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449" documentId="5_{8398B0FA-8206-48F3-B090-2406DDEE78D3}" xr6:coauthVersionLast="36" xr6:coauthVersionMax="47" xr10:uidLastSave="{D362604A-A534-4849-B240-66D20A89C853}"/>
  <bookViews>
    <workbookView xWindow="-120" yWindow="-120" windowWidth="20730" windowHeight="11160" firstSheet="25" activeTab="40" xr2:uid="{00000000-000D-0000-FFFF-FFFF00000000}"/>
  </bookViews>
  <sheets>
    <sheet name="Mines (2)" sheetId="2" r:id="rId1"/>
    <sheet name="Clinker" sheetId="1" r:id="rId2"/>
    <sheet name="RAW MILL 2" sheetId="99" r:id="rId3"/>
    <sheet name="Cement" sheetId="3" r:id="rId4"/>
    <sheet name="Production2" sheetId="6" r:id="rId5"/>
    <sheet name="CPP" sheetId="8" r:id="rId6"/>
    <sheet name="Daily unit" sheetId="55" r:id="rId7"/>
    <sheet name="Daily CEM-1" sheetId="12" r:id="rId8"/>
    <sheet name="Daily  CEM - 2" sheetId="97" r:id="rId9"/>
    <sheet name="Internal use cement" sheetId="64" r:id="rId10"/>
    <sheet name="Raw mill moisture content" sheetId="98" r:id="rId11"/>
    <sheet name="1" sheetId="78" r:id="rId12"/>
    <sheet name="2" sheetId="79" r:id="rId13"/>
    <sheet name="3" sheetId="80" r:id="rId14"/>
    <sheet name="4" sheetId="81" r:id="rId15"/>
    <sheet name="5" sheetId="82" r:id="rId16"/>
    <sheet name="6" sheetId="83" r:id="rId17"/>
    <sheet name="7" sheetId="84" r:id="rId18"/>
    <sheet name="8" sheetId="85" r:id="rId19"/>
    <sheet name="9" sheetId="86" r:id="rId20"/>
    <sheet name="10" sheetId="87" r:id="rId21"/>
    <sheet name="11" sheetId="88" r:id="rId22"/>
    <sheet name="12" sheetId="89" r:id="rId23"/>
    <sheet name="13" sheetId="90" r:id="rId24"/>
    <sheet name="14" sheetId="91" r:id="rId25"/>
    <sheet name="15" sheetId="92" r:id="rId26"/>
    <sheet name="16" sheetId="93" r:id="rId27"/>
    <sheet name="17" sheetId="94" r:id="rId28"/>
    <sheet name="18" sheetId="95" r:id="rId29"/>
    <sheet name="19" sheetId="96" r:id="rId30"/>
    <sheet name="20" sheetId="42" r:id="rId31"/>
    <sheet name="21" sheetId="67" r:id="rId32"/>
    <sheet name="22" sheetId="68" r:id="rId33"/>
    <sheet name="23" sheetId="69" r:id="rId34"/>
    <sheet name="24" sheetId="70" r:id="rId35"/>
    <sheet name="25" sheetId="71" r:id="rId36"/>
    <sheet name="26" sheetId="72" r:id="rId37"/>
    <sheet name="27" sheetId="73" r:id="rId38"/>
    <sheet name="28" sheetId="74" r:id="rId39"/>
    <sheet name="29" sheetId="75" r:id="rId40"/>
    <sheet name="30" sheetId="76" r:id="rId41"/>
    <sheet name="31" sheetId="77" r:id="rId42"/>
  </sheets>
  <definedNames>
    <definedName name="_xlnm.Print_Area" localSheetId="3">Cement!$B:$R</definedName>
    <definedName name="_xlnm.Print_Area" localSheetId="1">Clinker!$EO$3:$ER$31</definedName>
    <definedName name="_xlnm.Print_Area" localSheetId="8">'Daily  CEM - 2'!$27:$33</definedName>
    <definedName name="_xlnm.Print_Area" localSheetId="7">'Daily CEM-1'!$27:$32</definedName>
    <definedName name="_xlnm.Print_Area" localSheetId="6">'Daily unit'!$AA$2:$AE$33</definedName>
    <definedName name="_xlnm.Print_Area" localSheetId="0">'Mines (2)'!$D$2:$D$34</definedName>
    <definedName name="_xlnm.Print_Area" localSheetId="4">Production2!$CK$2:$CQ$32</definedName>
    <definedName name="_xlnm.Print_Area" localSheetId="2">'RAW MILL 2'!#REF!</definedName>
  </definedName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3" i="6" l="1"/>
  <c r="AL35" i="6" l="1"/>
  <c r="AN35" i="6"/>
  <c r="AO35" i="6"/>
  <c r="AE34" i="55" l="1"/>
  <c r="AD33" i="55"/>
  <c r="AD34" i="55"/>
  <c r="T23" i="76" l="1"/>
  <c r="T22" i="76"/>
  <c r="T41" i="76"/>
  <c r="T19" i="76"/>
  <c r="T45" i="76"/>
  <c r="T39" i="76"/>
  <c r="T32" i="76"/>
  <c r="S32" i="76"/>
  <c r="T17" i="76" l="1"/>
  <c r="T15" i="76"/>
  <c r="T14" i="76"/>
  <c r="EQ31" i="1" l="1"/>
  <c r="AJ30" i="1"/>
  <c r="C3" i="2" l="1"/>
  <c r="D29" i="2" l="1"/>
  <c r="G31" i="76" l="1"/>
  <c r="H44" i="76" l="1"/>
  <c r="H45" i="76"/>
  <c r="G43" i="76"/>
  <c r="G44" i="76"/>
  <c r="G45" i="76"/>
  <c r="G37" i="76"/>
  <c r="G38" i="76"/>
  <c r="G39" i="76"/>
  <c r="H38" i="76"/>
  <c r="H39" i="76"/>
  <c r="K37" i="76"/>
  <c r="K38" i="76"/>
  <c r="K39" i="76"/>
  <c r="L37" i="76"/>
  <c r="L38" i="76"/>
  <c r="L39" i="76"/>
  <c r="L44" i="76"/>
  <c r="L45" i="76"/>
  <c r="K44" i="76"/>
  <c r="K45" i="76"/>
  <c r="O37" i="76"/>
  <c r="O38" i="76"/>
  <c r="O39" i="76"/>
  <c r="N37" i="76"/>
  <c r="N38" i="76"/>
  <c r="N39" i="76"/>
  <c r="O40" i="76" l="1"/>
  <c r="N40" i="76"/>
  <c r="M40" i="76"/>
  <c r="Q52" i="76" l="1"/>
  <c r="Q33" i="97" l="1"/>
  <c r="Y32" i="97" l="1"/>
  <c r="Z32" i="97"/>
  <c r="X32" i="97"/>
  <c r="S32" i="97"/>
  <c r="Q32" i="97"/>
  <c r="L37" i="73" l="1"/>
  <c r="L38" i="73"/>
  <c r="L39" i="73"/>
  <c r="L39" i="74" s="1"/>
  <c r="L39" i="75" s="1"/>
  <c r="L37" i="74"/>
  <c r="L37" i="75" s="1"/>
  <c r="L38" i="74"/>
  <c r="L38" i="75" s="1"/>
  <c r="L36" i="76"/>
  <c r="K40" i="76"/>
  <c r="L43" i="76"/>
  <c r="K43" i="76"/>
  <c r="J45" i="76"/>
  <c r="F45" i="76"/>
  <c r="Q45" i="76"/>
  <c r="J40" i="76"/>
  <c r="G40" i="76"/>
  <c r="H40" i="76"/>
  <c r="F40" i="76"/>
  <c r="M39" i="76"/>
  <c r="J39" i="76"/>
  <c r="Q39" i="76" s="1"/>
  <c r="H36" i="76"/>
  <c r="H37" i="76"/>
  <c r="G36" i="76"/>
  <c r="F39" i="76"/>
  <c r="L43" i="75"/>
  <c r="K43" i="75"/>
  <c r="J40" i="75"/>
  <c r="K40" i="75"/>
  <c r="G40" i="75"/>
  <c r="H40" i="75"/>
  <c r="F40" i="75"/>
  <c r="G37" i="75"/>
  <c r="G38" i="75"/>
  <c r="G39" i="75"/>
  <c r="H38" i="75"/>
  <c r="H39" i="75"/>
  <c r="K37" i="75"/>
  <c r="K38" i="75"/>
  <c r="K39" i="75"/>
  <c r="O37" i="75"/>
  <c r="O39" i="75"/>
  <c r="N37" i="75"/>
  <c r="N39" i="75"/>
  <c r="M39" i="75"/>
  <c r="J39" i="75"/>
  <c r="I39" i="75"/>
  <c r="F39" i="75"/>
  <c r="L40" i="75" l="1"/>
  <c r="L40" i="76"/>
  <c r="Q39" i="75"/>
  <c r="H43" i="74"/>
  <c r="H44" i="74"/>
  <c r="H45" i="74"/>
  <c r="G43" i="74"/>
  <c r="G44" i="74"/>
  <c r="G45" i="74"/>
  <c r="H38" i="74"/>
  <c r="H39" i="74"/>
  <c r="G38" i="74"/>
  <c r="G39" i="74"/>
  <c r="K37" i="74"/>
  <c r="K38" i="74"/>
  <c r="K39" i="74"/>
  <c r="L43" i="74"/>
  <c r="L44" i="74"/>
  <c r="L45" i="74"/>
  <c r="K44" i="74"/>
  <c r="K45" i="74"/>
  <c r="K46" i="74"/>
  <c r="O36" i="74"/>
  <c r="O38" i="74"/>
  <c r="O39" i="74"/>
  <c r="N38" i="74"/>
  <c r="N39" i="74"/>
  <c r="BF3" i="6" l="1"/>
  <c r="BJ3" i="6"/>
  <c r="AY3" i="1"/>
  <c r="EI3" i="1"/>
  <c r="H3" i="6"/>
  <c r="C3" i="1"/>
  <c r="C3" i="3"/>
  <c r="Q31" i="97" l="1"/>
  <c r="CW4" i="6"/>
  <c r="CW5" i="6"/>
  <c r="CW6" i="6"/>
  <c r="CW7" i="6"/>
  <c r="CW8" i="6"/>
  <c r="CW9" i="6"/>
  <c r="CW10" i="6"/>
  <c r="CW11" i="6"/>
  <c r="CW12" i="6"/>
  <c r="CW13" i="6"/>
  <c r="CW14" i="6"/>
  <c r="CW15" i="6"/>
  <c r="CW16" i="6"/>
  <c r="CW17" i="6"/>
  <c r="CW18" i="6"/>
  <c r="CW19" i="6"/>
  <c r="CW20" i="6"/>
  <c r="CW21" i="6"/>
  <c r="CW22" i="6"/>
  <c r="CW23" i="6"/>
  <c r="CW24" i="6"/>
  <c r="CW25" i="6"/>
  <c r="CW26" i="6"/>
  <c r="CW27" i="6"/>
  <c r="CW28" i="6"/>
  <c r="CW29" i="6"/>
  <c r="CW30" i="6"/>
  <c r="CW31" i="6"/>
  <c r="CW32" i="6"/>
  <c r="CW3" i="6"/>
  <c r="AE31" i="97" l="1"/>
  <c r="AE33" i="97"/>
  <c r="AE34" i="97"/>
  <c r="AE35" i="97"/>
  <c r="Y31" i="97" l="1"/>
  <c r="Z31" i="97"/>
  <c r="R31" i="97"/>
  <c r="J46" i="73" l="1"/>
  <c r="F46" i="73"/>
  <c r="L43" i="73"/>
  <c r="L44" i="73"/>
  <c r="L45" i="73"/>
  <c r="K43" i="73"/>
  <c r="K44" i="73"/>
  <c r="K45" i="73"/>
  <c r="J45" i="73"/>
  <c r="H43" i="73"/>
  <c r="H44" i="73"/>
  <c r="H45" i="73"/>
  <c r="G44" i="73"/>
  <c r="G45" i="73"/>
  <c r="F45" i="73"/>
  <c r="K43" i="74"/>
  <c r="J45" i="74"/>
  <c r="J40" i="74"/>
  <c r="K40" i="74"/>
  <c r="L40" i="74"/>
  <c r="M40" i="74"/>
  <c r="G40" i="74"/>
  <c r="H40" i="74"/>
  <c r="F40" i="74"/>
  <c r="M39" i="74"/>
  <c r="J39" i="74"/>
  <c r="I39" i="74"/>
  <c r="F39" i="74"/>
  <c r="Q45" i="73" l="1"/>
  <c r="P39" i="74"/>
  <c r="Q39" i="74"/>
  <c r="K40" i="73"/>
  <c r="J40" i="73"/>
  <c r="H40" i="73"/>
  <c r="F40" i="73"/>
  <c r="Y30" i="97" l="1"/>
  <c r="Z30" i="97"/>
  <c r="S30" i="97"/>
  <c r="Q30" i="97"/>
  <c r="R30" i="97"/>
  <c r="R30" i="12"/>
  <c r="S30" i="12"/>
  <c r="F50" i="71" l="1"/>
  <c r="F39" i="72" l="1"/>
  <c r="F39" i="71"/>
  <c r="F39" i="70"/>
  <c r="O36" i="70" l="1"/>
  <c r="O38" i="70"/>
  <c r="O39" i="70"/>
  <c r="N36" i="70"/>
  <c r="N38" i="70"/>
  <c r="N39" i="70"/>
  <c r="O36" i="72"/>
  <c r="O38" i="72"/>
  <c r="O36" i="71"/>
  <c r="O38" i="71"/>
  <c r="O39" i="71"/>
  <c r="O39" i="72" s="1"/>
  <c r="N38" i="71"/>
  <c r="N38" i="72" s="1"/>
  <c r="N39" i="71"/>
  <c r="N39" i="72" s="1"/>
  <c r="S29" i="97" l="1"/>
  <c r="R29" i="12"/>
  <c r="R23" i="12" l="1"/>
  <c r="Z29" i="12"/>
  <c r="Q29" i="97" l="1"/>
  <c r="L46" i="72" l="1"/>
  <c r="K46" i="72"/>
  <c r="J46" i="72"/>
  <c r="J40" i="72"/>
  <c r="K40" i="72"/>
  <c r="L40" i="72"/>
  <c r="M40" i="72"/>
  <c r="J40" i="71"/>
  <c r="K40" i="71"/>
  <c r="L40" i="71"/>
  <c r="M40" i="71"/>
  <c r="K46" i="71"/>
  <c r="L46" i="71"/>
  <c r="J46" i="71"/>
  <c r="G46" i="71"/>
  <c r="H46" i="71"/>
  <c r="F46" i="71"/>
  <c r="F40" i="71"/>
  <c r="M39" i="71"/>
  <c r="J45" i="71"/>
  <c r="J39" i="71"/>
  <c r="I39" i="71"/>
  <c r="F45" i="71"/>
  <c r="F45" i="70"/>
  <c r="J45" i="70"/>
  <c r="L39" i="71"/>
  <c r="H39" i="71"/>
  <c r="H40" i="71" s="1"/>
  <c r="G39" i="71"/>
  <c r="G40" i="71" s="1"/>
  <c r="I39" i="72"/>
  <c r="J45" i="72"/>
  <c r="F45" i="72"/>
  <c r="Q45" i="72"/>
  <c r="H45" i="72"/>
  <c r="G45" i="72"/>
  <c r="M39" i="72"/>
  <c r="J39" i="72"/>
  <c r="L39" i="72" s="1"/>
  <c r="H39" i="72"/>
  <c r="G39" i="72"/>
  <c r="P39" i="71" l="1"/>
  <c r="K39" i="71"/>
  <c r="Q39" i="71"/>
  <c r="K45" i="72"/>
  <c r="L45" i="72"/>
  <c r="P39" i="72"/>
  <c r="K39" i="72"/>
  <c r="Q39" i="72"/>
  <c r="P38" i="71"/>
  <c r="L46" i="69"/>
  <c r="K46" i="69"/>
  <c r="J46" i="69"/>
  <c r="H46" i="69"/>
  <c r="G46" i="69"/>
  <c r="F46" i="69"/>
  <c r="F40" i="69"/>
  <c r="L46" i="70"/>
  <c r="J46" i="70"/>
  <c r="F46" i="70"/>
  <c r="L45" i="71"/>
  <c r="H45" i="71"/>
  <c r="Q28" i="97"/>
  <c r="Q45" i="71" l="1"/>
  <c r="G45" i="71"/>
  <c r="K45" i="71"/>
  <c r="Q27" i="97" l="1"/>
  <c r="P38" i="70"/>
  <c r="P38" i="69"/>
  <c r="M40" i="70"/>
  <c r="Q45" i="70"/>
  <c r="H45" i="70"/>
  <c r="H46" i="70" s="1"/>
  <c r="G45" i="70"/>
  <c r="G46" i="70" s="1"/>
  <c r="K45" i="70" l="1"/>
  <c r="K46" i="70" s="1"/>
  <c r="L45" i="70"/>
  <c r="L43" i="69" l="1"/>
  <c r="L44" i="69"/>
  <c r="L45" i="69"/>
  <c r="K43" i="69"/>
  <c r="K44" i="69"/>
  <c r="K45" i="69"/>
  <c r="J45" i="69"/>
  <c r="H43" i="69"/>
  <c r="H44" i="69"/>
  <c r="H45" i="69"/>
  <c r="G43" i="69"/>
  <c r="G44" i="69"/>
  <c r="G45" i="69"/>
  <c r="F45" i="69"/>
  <c r="Q45" i="69"/>
  <c r="J40" i="69"/>
  <c r="M40" i="69"/>
  <c r="G40" i="69"/>
  <c r="H40" i="69"/>
  <c r="O36" i="69"/>
  <c r="O38" i="69"/>
  <c r="O39" i="69"/>
  <c r="N36" i="69"/>
  <c r="N38" i="69"/>
  <c r="N39" i="69"/>
  <c r="M39" i="69"/>
  <c r="L37" i="69"/>
  <c r="L38" i="69"/>
  <c r="K38" i="69"/>
  <c r="J39" i="69"/>
  <c r="H38" i="69"/>
  <c r="H39" i="69"/>
  <c r="G38" i="69"/>
  <c r="G39" i="69"/>
  <c r="F39" i="69"/>
  <c r="Q39" i="69"/>
  <c r="Q26" i="97" l="1"/>
  <c r="K46" i="68" l="1"/>
  <c r="L46" i="68"/>
  <c r="J46" i="68"/>
  <c r="G46" i="68"/>
  <c r="H46" i="68"/>
  <c r="F46" i="68"/>
  <c r="L43" i="68" l="1"/>
  <c r="L44" i="68"/>
  <c r="L45" i="68"/>
  <c r="K43" i="68"/>
  <c r="K44" i="68"/>
  <c r="K45" i="68"/>
  <c r="J45" i="68"/>
  <c r="H43" i="68"/>
  <c r="H44" i="68"/>
  <c r="H45" i="68"/>
  <c r="G43" i="68"/>
  <c r="G44" i="68"/>
  <c r="G45" i="68"/>
  <c r="F45" i="68"/>
  <c r="Q45" i="68"/>
  <c r="M39" i="68"/>
  <c r="O39" i="68" s="1"/>
  <c r="J39" i="68"/>
  <c r="H39" i="68"/>
  <c r="G39" i="68"/>
  <c r="F39" i="68"/>
  <c r="N39" i="68" l="1"/>
  <c r="Q39" i="68"/>
  <c r="M39" i="67"/>
  <c r="Y24" i="97" l="1"/>
  <c r="Z24" i="97"/>
  <c r="Q24" i="97"/>
  <c r="S24" i="97"/>
  <c r="T24" i="97"/>
  <c r="R24" i="97"/>
  <c r="Y23" i="97" l="1"/>
  <c r="Z23" i="97"/>
  <c r="S23" i="12"/>
  <c r="L27" i="6"/>
  <c r="M39" i="42" l="1"/>
  <c r="R22" i="12" l="1"/>
  <c r="M39" i="96" l="1"/>
  <c r="AA21" i="12" l="1"/>
  <c r="Z21" i="12"/>
  <c r="S21" i="12"/>
  <c r="R21" i="12"/>
  <c r="Z21" i="97" l="1"/>
  <c r="Y21" i="97"/>
  <c r="R20" i="97" l="1"/>
  <c r="Q20" i="97"/>
  <c r="R20" i="12"/>
  <c r="M39" i="95" l="1"/>
  <c r="M39" i="94"/>
  <c r="I46" i="93" l="1"/>
  <c r="M39" i="93"/>
  <c r="Y19" i="97"/>
  <c r="AO19" i="97" s="1"/>
  <c r="Z19" i="97"/>
  <c r="Q19" i="97"/>
  <c r="R19" i="12"/>
  <c r="M33" i="92" l="1"/>
  <c r="Y18" i="97" l="1"/>
  <c r="Z18" i="97"/>
  <c r="X18" i="97"/>
  <c r="Q18" i="97"/>
  <c r="I46" i="92"/>
  <c r="M39" i="92"/>
  <c r="S17" i="12" l="1"/>
  <c r="R17" i="97"/>
  <c r="Z17" i="97"/>
  <c r="X17" i="97"/>
  <c r="Y17" i="97"/>
  <c r="AO17" i="97" s="1"/>
  <c r="Q17" i="97"/>
  <c r="S17" i="97"/>
  <c r="R17" i="12"/>
  <c r="M39" i="91"/>
  <c r="M39" i="90" l="1"/>
  <c r="Y16" i="97" l="1"/>
  <c r="AO16" i="97" s="1"/>
  <c r="Z16" i="97"/>
  <c r="X16" i="97"/>
  <c r="Q16" i="97"/>
  <c r="Q15" i="97" l="1"/>
  <c r="S15" i="97"/>
  <c r="T15" i="97"/>
  <c r="Y15" i="97"/>
  <c r="AO15" i="97" s="1"/>
  <c r="Z15" i="97"/>
  <c r="R14" i="97" l="1"/>
  <c r="Q14" i="97"/>
  <c r="CC12" i="6" l="1"/>
  <c r="CC13" i="6"/>
  <c r="T13" i="97" l="1"/>
  <c r="S13" i="97"/>
  <c r="Z13" i="97"/>
  <c r="Y13" i="97"/>
  <c r="AO13" i="97" s="1"/>
  <c r="Q13" i="97"/>
  <c r="M39" i="89" l="1"/>
  <c r="M39" i="88"/>
  <c r="M39" i="87"/>
  <c r="M39" i="86" l="1"/>
  <c r="Q12" i="97" l="1"/>
  <c r="T12" i="12"/>
  <c r="U12" i="12"/>
  <c r="Q11" i="97" l="1"/>
  <c r="Z11" i="12"/>
  <c r="X11" i="97"/>
  <c r="M39" i="85" l="1"/>
  <c r="G8" i="99" l="1"/>
  <c r="G9" i="99"/>
  <c r="G10" i="99"/>
  <c r="G11" i="99"/>
  <c r="G12" i="99"/>
  <c r="O5" i="97" l="1"/>
  <c r="O6" i="97"/>
  <c r="O7" i="97"/>
  <c r="O8" i="97"/>
  <c r="O9" i="97"/>
  <c r="O10" i="97"/>
  <c r="O11" i="97"/>
  <c r="O12" i="97"/>
  <c r="O13" i="97"/>
  <c r="O14" i="97"/>
  <c r="O15" i="97"/>
  <c r="O16" i="97"/>
  <c r="O17" i="97"/>
  <c r="O18" i="97"/>
  <c r="O19" i="97"/>
  <c r="O20" i="97"/>
  <c r="O21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4" i="97"/>
  <c r="R10" i="12"/>
  <c r="Y10" i="97"/>
  <c r="AO10" i="97" s="1"/>
  <c r="Z10" i="97"/>
  <c r="Q10" i="97"/>
  <c r="U8" i="12" l="1"/>
  <c r="T8" i="12"/>
  <c r="S8" i="12"/>
  <c r="R8" i="12"/>
  <c r="X8" i="97"/>
  <c r="Z8" i="97"/>
  <c r="Y8" i="97"/>
  <c r="AO8" i="97" s="1"/>
  <c r="R8" i="97"/>
  <c r="Q8" i="97"/>
  <c r="AA8" i="12"/>
  <c r="Z8" i="12"/>
  <c r="R7" i="97" l="1"/>
  <c r="Q7" i="97"/>
  <c r="AA7" i="12"/>
  <c r="Z7" i="12"/>
  <c r="S7" i="12"/>
  <c r="R7" i="12"/>
  <c r="X6" i="97" l="1"/>
  <c r="R6" i="97"/>
  <c r="Q6" i="97"/>
  <c r="Z6" i="12"/>
  <c r="S6" i="12"/>
  <c r="R6" i="12"/>
  <c r="Y7" i="97" l="1"/>
  <c r="AO7" i="97" s="1"/>
  <c r="AA6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Z9" i="12"/>
  <c r="Z10" i="12"/>
  <c r="Z12" i="12"/>
  <c r="Z13" i="12"/>
  <c r="Z14" i="12"/>
  <c r="Z15" i="12"/>
  <c r="Z16" i="12"/>
  <c r="Z17" i="12"/>
  <c r="Z18" i="12"/>
  <c r="Z19" i="12"/>
  <c r="Z20" i="12"/>
  <c r="Z22" i="12"/>
  <c r="Z23" i="12"/>
  <c r="Z24" i="12"/>
  <c r="Z25" i="12"/>
  <c r="Z26" i="12"/>
  <c r="Z27" i="12"/>
  <c r="Z28" i="12"/>
  <c r="Z30" i="12"/>
  <c r="Z31" i="12"/>
  <c r="Z32" i="12"/>
  <c r="Z33" i="12"/>
  <c r="Z34" i="12"/>
  <c r="Z35" i="12"/>
  <c r="Z36" i="12"/>
  <c r="Z37" i="12"/>
  <c r="Z38" i="12"/>
  <c r="Z5" i="12"/>
  <c r="AA5" i="12"/>
  <c r="Z5" i="97"/>
  <c r="Z6" i="97"/>
  <c r="Z7" i="97"/>
  <c r="Z9" i="97"/>
  <c r="Z11" i="97"/>
  <c r="Z12" i="97"/>
  <c r="Z14" i="97"/>
  <c r="Z20" i="97"/>
  <c r="Z22" i="97"/>
  <c r="Z25" i="97"/>
  <c r="Z26" i="97"/>
  <c r="Z27" i="97"/>
  <c r="Z28" i="97"/>
  <c r="Z29" i="97"/>
  <c r="Z33" i="97"/>
  <c r="Z34" i="97"/>
  <c r="Y5" i="97"/>
  <c r="AO5" i="97" s="1"/>
  <c r="Y6" i="97"/>
  <c r="AO6" i="97" s="1"/>
  <c r="Y9" i="97"/>
  <c r="AO9" i="97" s="1"/>
  <c r="Y11" i="97"/>
  <c r="AO11" i="97" s="1"/>
  <c r="Y12" i="97"/>
  <c r="AO12" i="97" s="1"/>
  <c r="Y14" i="97"/>
  <c r="AO14" i="97" s="1"/>
  <c r="AO18" i="97"/>
  <c r="Y20" i="97"/>
  <c r="AO20" i="97" s="1"/>
  <c r="AO21" i="97"/>
  <c r="Y22" i="97"/>
  <c r="AO22" i="97" s="1"/>
  <c r="AO23" i="97"/>
  <c r="AO24" i="97"/>
  <c r="Y25" i="97"/>
  <c r="AO25" i="97" s="1"/>
  <c r="Y26" i="97"/>
  <c r="AO26" i="97" s="1"/>
  <c r="Y27" i="97"/>
  <c r="AO27" i="97" s="1"/>
  <c r="Y28" i="97"/>
  <c r="AO28" i="97" s="1"/>
  <c r="Y29" i="97"/>
  <c r="AO29" i="97" s="1"/>
  <c r="AO30" i="97"/>
  <c r="AO31" i="97"/>
  <c r="Y33" i="97"/>
  <c r="AO33" i="97" s="1"/>
  <c r="Y34" i="97"/>
  <c r="AO34" i="97" s="1"/>
  <c r="Y4" i="97"/>
  <c r="AO4" i="97" s="1"/>
  <c r="Z4" i="97"/>
  <c r="AO32" i="97" l="1"/>
  <c r="AE32" i="97"/>
  <c r="X5" i="97"/>
  <c r="R5" i="97"/>
  <c r="Q5" i="97"/>
  <c r="Z4" i="12"/>
  <c r="S5" i="12"/>
  <c r="R5" i="12"/>
  <c r="AP5" i="12" l="1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8" i="12"/>
  <c r="AP29" i="12"/>
  <c r="AP35" i="12"/>
  <c r="AP4" i="12"/>
  <c r="S4" i="97" l="1"/>
  <c r="T4" i="97"/>
  <c r="Q4" i="97"/>
  <c r="AM4" i="97" s="1"/>
  <c r="R4" i="97"/>
  <c r="M39" i="84" l="1"/>
  <c r="I46" i="83"/>
  <c r="M39" i="83"/>
  <c r="M39" i="82"/>
  <c r="M39" i="81"/>
  <c r="M39" i="80"/>
  <c r="M39" i="79"/>
  <c r="M39" i="78"/>
  <c r="O39" i="78" s="1"/>
  <c r="I39" i="78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4" i="12"/>
  <c r="AD35" i="97"/>
  <c r="AC35" i="97"/>
  <c r="AD35" i="12"/>
  <c r="AD36" i="12"/>
  <c r="AD37" i="12"/>
  <c r="AD38" i="12"/>
  <c r="AD39" i="12"/>
  <c r="AA4" i="12"/>
  <c r="R4" i="12"/>
  <c r="S4" i="12"/>
  <c r="AB4" i="12" l="1"/>
  <c r="AN4" i="12"/>
  <c r="O39" i="79"/>
  <c r="O39" i="80" s="1"/>
  <c r="O39" i="81" s="1"/>
  <c r="O39" i="82" s="1"/>
  <c r="N39" i="78"/>
  <c r="N39" i="79" s="1"/>
  <c r="N39" i="80" s="1"/>
  <c r="N39" i="81" s="1"/>
  <c r="N39" i="82" s="1"/>
  <c r="N39" i="83" l="1"/>
  <c r="N39" i="84" s="1"/>
  <c r="N39" i="85" s="1"/>
  <c r="N39" i="86" s="1"/>
  <c r="N39" i="87" s="1"/>
  <c r="N39" i="88" s="1"/>
  <c r="N39" i="89" s="1"/>
  <c r="N39" i="90" s="1"/>
  <c r="N39" i="91" s="1"/>
  <c r="N39" i="92" s="1"/>
  <c r="N39" i="93" s="1"/>
  <c r="N39" i="94" s="1"/>
  <c r="N39" i="95" s="1"/>
  <c r="N39" i="96" s="1"/>
  <c r="N39" i="42" s="1"/>
  <c r="N39" i="67" s="1"/>
  <c r="O39" i="83"/>
  <c r="O39" i="84" s="1"/>
  <c r="O39" i="85" s="1"/>
  <c r="O39" i="86" s="1"/>
  <c r="O39" i="87" s="1"/>
  <c r="O39" i="88" s="1"/>
  <c r="O39" i="89" s="1"/>
  <c r="O39" i="90" s="1"/>
  <c r="O39" i="91" s="1"/>
  <c r="O39" i="92" s="1"/>
  <c r="O39" i="93" s="1"/>
  <c r="O39" i="94" s="1"/>
  <c r="O39" i="95" s="1"/>
  <c r="O39" i="96" s="1"/>
  <c r="O39" i="42" s="1"/>
  <c r="O39" i="67" s="1"/>
  <c r="P34" i="6"/>
  <c r="CS4" i="6" l="1"/>
  <c r="CS5" i="6"/>
  <c r="CS6" i="6"/>
  <c r="CS7" i="6"/>
  <c r="CS8" i="6"/>
  <c r="CS9" i="6"/>
  <c r="CS10" i="6"/>
  <c r="CS11" i="6"/>
  <c r="CS12" i="6"/>
  <c r="CS13" i="6"/>
  <c r="CS14" i="6"/>
  <c r="CS15" i="6"/>
  <c r="CS16" i="6"/>
  <c r="CS17" i="6"/>
  <c r="CS18" i="6"/>
  <c r="CS19" i="6"/>
  <c r="CS20" i="6"/>
  <c r="CS21" i="6"/>
  <c r="CS22" i="6"/>
  <c r="CS23" i="6"/>
  <c r="CS24" i="6"/>
  <c r="CS25" i="6"/>
  <c r="CS26" i="6"/>
  <c r="CS27" i="6"/>
  <c r="CS28" i="6"/>
  <c r="CS29" i="6"/>
  <c r="CS30" i="6"/>
  <c r="CS31" i="6"/>
  <c r="CS32" i="6"/>
  <c r="CS33" i="6"/>
  <c r="CS3" i="6"/>
  <c r="M39" i="77" l="1"/>
  <c r="F34" i="64" l="1"/>
  <c r="CC33" i="6"/>
  <c r="CC32" i="6"/>
  <c r="Q34" i="97"/>
  <c r="R34" i="97"/>
  <c r="X34" i="97"/>
  <c r="R34" i="12"/>
  <c r="AN34" i="12" l="1"/>
  <c r="AM34" i="97"/>
  <c r="AA34" i="97"/>
  <c r="AP34" i="12"/>
  <c r="T34" i="12"/>
  <c r="U33" i="12"/>
  <c r="K41" i="97"/>
  <c r="P35" i="97"/>
  <c r="AO34" i="12" l="1"/>
  <c r="X33" i="97"/>
  <c r="R33" i="12"/>
  <c r="T33" i="12"/>
  <c r="AP33" i="12"/>
  <c r="AM33" i="97" l="1"/>
  <c r="AO33" i="12"/>
  <c r="AC33" i="12"/>
  <c r="AN33" i="12"/>
  <c r="AP32" i="12"/>
  <c r="R32" i="12"/>
  <c r="BD4" i="6"/>
  <c r="J45" i="79" s="1"/>
  <c r="BD5" i="6"/>
  <c r="J45" i="80" s="1"/>
  <c r="BD6" i="6"/>
  <c r="J45" i="81" s="1"/>
  <c r="BD7" i="6"/>
  <c r="J45" i="82" s="1"/>
  <c r="BD8" i="6"/>
  <c r="J45" i="83" s="1"/>
  <c r="BD9" i="6"/>
  <c r="J45" i="84" s="1"/>
  <c r="BD10" i="6"/>
  <c r="J45" i="85" s="1"/>
  <c r="BD11" i="6"/>
  <c r="J45" i="86" s="1"/>
  <c r="BD12" i="6"/>
  <c r="J45" i="87" s="1"/>
  <c r="BD13" i="6"/>
  <c r="J45" i="88" s="1"/>
  <c r="BD14" i="6"/>
  <c r="J45" i="89" s="1"/>
  <c r="BD15" i="6"/>
  <c r="J45" i="90" s="1"/>
  <c r="BD16" i="6"/>
  <c r="J45" i="91" s="1"/>
  <c r="BD17" i="6"/>
  <c r="J45" i="92" s="1"/>
  <c r="BD18" i="6"/>
  <c r="J45" i="93" s="1"/>
  <c r="BD19" i="6"/>
  <c r="J45" i="94" s="1"/>
  <c r="BD20" i="6"/>
  <c r="J45" i="95" s="1"/>
  <c r="BD21" i="6"/>
  <c r="J45" i="96" s="1"/>
  <c r="BD22" i="6"/>
  <c r="J45" i="42" s="1"/>
  <c r="BD23" i="6"/>
  <c r="J45" i="67" s="1"/>
  <c r="BD24" i="6"/>
  <c r="BD25" i="6"/>
  <c r="BD26" i="6"/>
  <c r="BD27" i="6"/>
  <c r="BD28" i="6"/>
  <c r="BD29" i="6"/>
  <c r="BD30" i="6"/>
  <c r="BD31" i="6"/>
  <c r="J45" i="75" s="1"/>
  <c r="BD32" i="6"/>
  <c r="BD33" i="6"/>
  <c r="J45" i="77" s="1"/>
  <c r="BD3" i="6"/>
  <c r="J45" i="78" s="1"/>
  <c r="BC4" i="6"/>
  <c r="F45" i="79" s="1"/>
  <c r="BC5" i="6"/>
  <c r="F45" i="80" s="1"/>
  <c r="BC6" i="6"/>
  <c r="BC7" i="6"/>
  <c r="F45" i="82" s="1"/>
  <c r="BC8" i="6"/>
  <c r="F45" i="83" s="1"/>
  <c r="BC9" i="6"/>
  <c r="F45" i="84" s="1"/>
  <c r="BC10" i="6"/>
  <c r="F45" i="85" s="1"/>
  <c r="BC11" i="6"/>
  <c r="F45" i="86" s="1"/>
  <c r="BC12" i="6"/>
  <c r="BC13" i="6"/>
  <c r="F45" i="88" s="1"/>
  <c r="BC14" i="6"/>
  <c r="F45" i="89" s="1"/>
  <c r="BC15" i="6"/>
  <c r="F45" i="90" s="1"/>
  <c r="BC16" i="6"/>
  <c r="F45" i="91" s="1"/>
  <c r="BC17" i="6"/>
  <c r="F45" i="92" s="1"/>
  <c r="BC18" i="6"/>
  <c r="BC19" i="6"/>
  <c r="F45" i="94" s="1"/>
  <c r="BC20" i="6"/>
  <c r="F45" i="95" s="1"/>
  <c r="BC21" i="6"/>
  <c r="F45" i="96" s="1"/>
  <c r="BC22" i="6"/>
  <c r="F45" i="42" s="1"/>
  <c r="BC23" i="6"/>
  <c r="F45" i="67" s="1"/>
  <c r="BC24" i="6"/>
  <c r="BC25" i="6"/>
  <c r="BC26" i="6"/>
  <c r="BC27" i="6"/>
  <c r="BC28" i="6"/>
  <c r="BC29" i="6"/>
  <c r="BC30" i="6"/>
  <c r="F45" i="74" s="1"/>
  <c r="BC31" i="6"/>
  <c r="F45" i="75" s="1"/>
  <c r="BC32" i="6"/>
  <c r="BC33" i="6"/>
  <c r="F45" i="77" s="1"/>
  <c r="BC3" i="6"/>
  <c r="F45" i="78" s="1"/>
  <c r="H45" i="75" l="1"/>
  <c r="G45" i="75"/>
  <c r="K45" i="75"/>
  <c r="L45" i="75"/>
  <c r="Q45" i="75"/>
  <c r="P39" i="75"/>
  <c r="Q45" i="74"/>
  <c r="Q45" i="67"/>
  <c r="Q45" i="96"/>
  <c r="Q45" i="94"/>
  <c r="Q45" i="42"/>
  <c r="Q45" i="95"/>
  <c r="BE18" i="6"/>
  <c r="F45" i="93"/>
  <c r="Q45" i="92"/>
  <c r="BE22" i="6"/>
  <c r="Q45" i="86"/>
  <c r="Q45" i="88"/>
  <c r="Q45" i="91"/>
  <c r="BE16" i="6"/>
  <c r="Q45" i="90"/>
  <c r="Q45" i="89"/>
  <c r="BE12" i="6"/>
  <c r="F45" i="87"/>
  <c r="Q45" i="87" s="1"/>
  <c r="Q45" i="85"/>
  <c r="Q45" i="82"/>
  <c r="AN32" i="12"/>
  <c r="Q45" i="78"/>
  <c r="L45" i="78"/>
  <c r="L45" i="79" s="1"/>
  <c r="L45" i="81" s="1"/>
  <c r="L45" i="82" s="1"/>
  <c r="K45" i="78"/>
  <c r="K45" i="79" s="1"/>
  <c r="K45" i="80" s="1"/>
  <c r="BE6" i="6"/>
  <c r="F45" i="81"/>
  <c r="Q45" i="84"/>
  <c r="Q45" i="80"/>
  <c r="G45" i="78"/>
  <c r="G45" i="79" s="1"/>
  <c r="G45" i="80" s="1"/>
  <c r="H45" i="78"/>
  <c r="Q45" i="83"/>
  <c r="Q45" i="79"/>
  <c r="BE33" i="6"/>
  <c r="BE29" i="6"/>
  <c r="BE23" i="6"/>
  <c r="BE11" i="6"/>
  <c r="BE21" i="6"/>
  <c r="BE27" i="6"/>
  <c r="BE15" i="6"/>
  <c r="BE9" i="6"/>
  <c r="BE4" i="6"/>
  <c r="Q45" i="77"/>
  <c r="BE31" i="6"/>
  <c r="BE30" i="6"/>
  <c r="BE5" i="6"/>
  <c r="BE24" i="6"/>
  <c r="BE28" i="6"/>
  <c r="BE10" i="6"/>
  <c r="BE17" i="6"/>
  <c r="BE19" i="6"/>
  <c r="BE7" i="6"/>
  <c r="BC35" i="6"/>
  <c r="BD35" i="6"/>
  <c r="BE32" i="6"/>
  <c r="BE26" i="6"/>
  <c r="BE20" i="6"/>
  <c r="BE14" i="6"/>
  <c r="BE8" i="6"/>
  <c r="BD34" i="6"/>
  <c r="BE13" i="6"/>
  <c r="BE25" i="6"/>
  <c r="BE3" i="6"/>
  <c r="BC34" i="6"/>
  <c r="X31" i="97"/>
  <c r="T31" i="97"/>
  <c r="S31" i="97"/>
  <c r="AP31" i="12"/>
  <c r="S31" i="12"/>
  <c r="R31" i="12"/>
  <c r="Q45" i="93" l="1"/>
  <c r="L45" i="84"/>
  <c r="L45" i="85" s="1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L45" i="83"/>
  <c r="K45" i="81"/>
  <c r="K45" i="82" s="1"/>
  <c r="AB31" i="97"/>
  <c r="AN31" i="97"/>
  <c r="L45" i="80"/>
  <c r="G45" i="81"/>
  <c r="G45" i="82" s="1"/>
  <c r="Q45" i="81"/>
  <c r="H45" i="79"/>
  <c r="H45" i="80" s="1"/>
  <c r="H45" i="81" s="1"/>
  <c r="H45" i="82" s="1"/>
  <c r="AN31" i="12"/>
  <c r="AB31" i="12"/>
  <c r="AM31" i="97"/>
  <c r="AA31" i="97"/>
  <c r="BE34" i="6"/>
  <c r="L45" i="96" l="1"/>
  <c r="L45" i="42"/>
  <c r="L45" i="67" s="1"/>
  <c r="H45" i="83"/>
  <c r="H45" i="84"/>
  <c r="H45" i="85" s="1"/>
  <c r="H45" i="86" s="1"/>
  <c r="H45" i="87" s="1"/>
  <c r="H45" i="88" s="1"/>
  <c r="H45" i="89" s="1"/>
  <c r="H45" i="90" s="1"/>
  <c r="G45" i="84"/>
  <c r="G45" i="85" s="1"/>
  <c r="G45" i="86" s="1"/>
  <c r="G45" i="87" s="1"/>
  <c r="G45" i="88" s="1"/>
  <c r="G45" i="89" s="1"/>
  <c r="G45" i="90" s="1"/>
  <c r="G45" i="83"/>
  <c r="K45" i="83"/>
  <c r="K45" i="84"/>
  <c r="K45" i="85" s="1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D34" i="3"/>
  <c r="K45" i="96" l="1"/>
  <c r="K45" i="42"/>
  <c r="G45" i="91"/>
  <c r="G45" i="92" s="1"/>
  <c r="G45" i="93" s="1"/>
  <c r="G45" i="94" s="1"/>
  <c r="G45" i="95" s="1"/>
  <c r="G45" i="96" s="1"/>
  <c r="G45" i="42" s="1"/>
  <c r="G45" i="67" s="1"/>
  <c r="H45" i="91"/>
  <c r="H45" i="92" s="1"/>
  <c r="H45" i="93" s="1"/>
  <c r="H45" i="94" s="1"/>
  <c r="H45" i="95" s="1"/>
  <c r="H45" i="96" s="1"/>
  <c r="H45" i="42" s="1"/>
  <c r="CC29" i="6"/>
  <c r="W30" i="12"/>
  <c r="V30" i="12"/>
  <c r="AP30" i="12"/>
  <c r="H45" i="67" l="1"/>
  <c r="K45" i="67"/>
  <c r="AD30" i="12"/>
  <c r="AB30" i="12"/>
  <c r="AN30" i="12"/>
  <c r="AF30" i="12"/>
  <c r="AE5" i="97"/>
  <c r="AE6" i="97"/>
  <c r="AE7" i="97"/>
  <c r="AE8" i="97"/>
  <c r="AE9" i="97"/>
  <c r="AE10" i="97"/>
  <c r="AE11" i="97"/>
  <c r="AE12" i="97"/>
  <c r="AE13" i="97"/>
  <c r="AE14" i="97"/>
  <c r="AE15" i="97"/>
  <c r="AE16" i="97"/>
  <c r="AE17" i="97"/>
  <c r="AE18" i="97"/>
  <c r="AE19" i="97"/>
  <c r="AE20" i="97"/>
  <c r="AE21" i="97"/>
  <c r="AE22" i="97"/>
  <c r="AE23" i="97"/>
  <c r="AE24" i="97"/>
  <c r="AE25" i="97"/>
  <c r="AE26" i="97"/>
  <c r="AE27" i="97"/>
  <c r="AE28" i="97"/>
  <c r="AE29" i="97"/>
  <c r="AE4" i="97"/>
  <c r="X30" i="97"/>
  <c r="AE30" i="97"/>
  <c r="AM30" i="97" l="1"/>
  <c r="AA30" i="97"/>
  <c r="M39" i="73" l="1"/>
  <c r="X29" i="97" l="1"/>
  <c r="U29" i="97"/>
  <c r="AN29" i="12" l="1"/>
  <c r="AM29" i="97"/>
  <c r="CF4" i="6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F30" i="6"/>
  <c r="CF31" i="6"/>
  <c r="CF32" i="6"/>
  <c r="CF33" i="6"/>
  <c r="CF3" i="6"/>
  <c r="X28" i="97" l="1"/>
  <c r="R28" i="12"/>
  <c r="V28" i="12"/>
  <c r="W28" i="12"/>
  <c r="AD28" i="12" l="1"/>
  <c r="AN28" i="12"/>
  <c r="AM28" i="97"/>
  <c r="AF33" i="12" l="1"/>
  <c r="AF34" i="12"/>
  <c r="AF35" i="12"/>
  <c r="AF36" i="12"/>
  <c r="AF37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8" i="12"/>
  <c r="AF29" i="12"/>
  <c r="AF31" i="12"/>
  <c r="AF32" i="12"/>
  <c r="AF4" i="12"/>
  <c r="M39" i="70" l="1"/>
  <c r="BX35" i="6"/>
  <c r="BX34" i="6"/>
  <c r="AO4" i="6"/>
  <c r="BW4" i="6" s="1"/>
  <c r="J39" i="79" s="1"/>
  <c r="AO5" i="6"/>
  <c r="BW5" i="6" s="1"/>
  <c r="J39" i="80" s="1"/>
  <c r="AO6" i="6"/>
  <c r="AO7" i="6"/>
  <c r="AO8" i="6"/>
  <c r="AO9" i="6"/>
  <c r="AO10" i="6"/>
  <c r="AO11" i="6"/>
  <c r="AO12" i="6"/>
  <c r="AO13" i="6"/>
  <c r="J39" i="88" s="1"/>
  <c r="AO14" i="6"/>
  <c r="AO15" i="6"/>
  <c r="AO16" i="6"/>
  <c r="AO17" i="6"/>
  <c r="AO18" i="6"/>
  <c r="AO19" i="6"/>
  <c r="J39" i="94" s="1"/>
  <c r="AO20" i="6"/>
  <c r="AO21" i="6"/>
  <c r="AO22" i="6"/>
  <c r="AO23" i="6"/>
  <c r="AO24" i="6"/>
  <c r="BW24" i="6" s="1"/>
  <c r="AO25" i="6"/>
  <c r="AO26" i="6"/>
  <c r="BW26" i="6" s="1"/>
  <c r="AO27" i="6"/>
  <c r="AO28" i="6"/>
  <c r="AO29" i="6"/>
  <c r="AO30" i="6"/>
  <c r="BW30" i="6" s="1"/>
  <c r="AO31" i="6"/>
  <c r="AO32" i="6"/>
  <c r="BW32" i="6" s="1"/>
  <c r="AO33" i="6"/>
  <c r="BW33" i="6" s="1"/>
  <c r="J39" i="77" s="1"/>
  <c r="AO3" i="6"/>
  <c r="BW3" i="6" s="1"/>
  <c r="AN4" i="6"/>
  <c r="F39" i="79" s="1"/>
  <c r="AN5" i="6"/>
  <c r="F39" i="80" s="1"/>
  <c r="AN6" i="6"/>
  <c r="F39" i="81" s="1"/>
  <c r="AN7" i="6"/>
  <c r="F39" i="82" s="1"/>
  <c r="AN8" i="6"/>
  <c r="F39" i="83" s="1"/>
  <c r="AN9" i="6"/>
  <c r="F39" i="84" s="1"/>
  <c r="AN10" i="6"/>
  <c r="F39" i="85" s="1"/>
  <c r="AN11" i="6"/>
  <c r="F39" i="86" s="1"/>
  <c r="AN12" i="6"/>
  <c r="F39" i="87" s="1"/>
  <c r="AN13" i="6"/>
  <c r="F39" i="88" s="1"/>
  <c r="AN14" i="6"/>
  <c r="F39" i="89" s="1"/>
  <c r="AN15" i="6"/>
  <c r="F39" i="90" s="1"/>
  <c r="AN16" i="6"/>
  <c r="F39" i="91" s="1"/>
  <c r="AN17" i="6"/>
  <c r="F39" i="92" s="1"/>
  <c r="AN18" i="6"/>
  <c r="F39" i="93" s="1"/>
  <c r="AN19" i="6"/>
  <c r="F39" i="94" s="1"/>
  <c r="AN20" i="6"/>
  <c r="F39" i="95" s="1"/>
  <c r="AN21" i="6"/>
  <c r="F39" i="96" s="1"/>
  <c r="AN22" i="6"/>
  <c r="F39" i="42" s="1"/>
  <c r="AN23" i="6"/>
  <c r="F39" i="67" s="1"/>
  <c r="AN24" i="6"/>
  <c r="AN25" i="6"/>
  <c r="AN26" i="6"/>
  <c r="AN27" i="6"/>
  <c r="AN28" i="6"/>
  <c r="AN29" i="6"/>
  <c r="F39" i="73" s="1"/>
  <c r="AN30" i="6"/>
  <c r="AN31" i="6"/>
  <c r="AN32" i="6"/>
  <c r="AN33" i="6"/>
  <c r="F39" i="77" s="1"/>
  <c r="AN3" i="6"/>
  <c r="F39" i="78" s="1"/>
  <c r="H39" i="70"/>
  <c r="BW23" i="6" l="1"/>
  <c r="J39" i="67"/>
  <c r="BW22" i="6"/>
  <c r="J39" i="42"/>
  <c r="Q39" i="94"/>
  <c r="BW21" i="6"/>
  <c r="J39" i="96"/>
  <c r="BW20" i="6"/>
  <c r="J39" i="95"/>
  <c r="BW18" i="6"/>
  <c r="J39" i="93"/>
  <c r="BW17" i="6"/>
  <c r="J39" i="92"/>
  <c r="BW12" i="6"/>
  <c r="J39" i="87"/>
  <c r="BW16" i="6"/>
  <c r="J39" i="91"/>
  <c r="BW15" i="6"/>
  <c r="J39" i="90"/>
  <c r="BW14" i="6"/>
  <c r="J39" i="89"/>
  <c r="BW11" i="6"/>
  <c r="J39" i="86"/>
  <c r="Q39" i="88"/>
  <c r="BW6" i="6"/>
  <c r="J39" i="81" s="1"/>
  <c r="Q39" i="81" s="1"/>
  <c r="BW9" i="6"/>
  <c r="J39" i="84"/>
  <c r="Q39" i="84" s="1"/>
  <c r="BW8" i="6"/>
  <c r="J39" i="83"/>
  <c r="Q39" i="83" s="1"/>
  <c r="J39" i="82"/>
  <c r="Q39" i="82" s="1"/>
  <c r="BW7" i="6"/>
  <c r="BW10" i="6"/>
  <c r="J39" i="85"/>
  <c r="H39" i="78"/>
  <c r="H39" i="79" s="1"/>
  <c r="H39" i="80" s="1"/>
  <c r="H39" i="81" s="1"/>
  <c r="H39" i="82" s="1"/>
  <c r="G39" i="78"/>
  <c r="G39" i="79" s="1"/>
  <c r="G39" i="80" s="1"/>
  <c r="G39" i="81" s="1"/>
  <c r="G39" i="82" s="1"/>
  <c r="BY3" i="6"/>
  <c r="BV4" i="6" s="1"/>
  <c r="J39" i="78"/>
  <c r="Q39" i="80"/>
  <c r="Q39" i="79"/>
  <c r="BW28" i="6"/>
  <c r="H39" i="73"/>
  <c r="H39" i="77" s="1"/>
  <c r="Q39" i="77"/>
  <c r="BW27" i="6"/>
  <c r="J39" i="73"/>
  <c r="BW29" i="6"/>
  <c r="AP12" i="6"/>
  <c r="AP25" i="6"/>
  <c r="BW25" i="6"/>
  <c r="AP19" i="6"/>
  <c r="BW19" i="6"/>
  <c r="AP13" i="6"/>
  <c r="BW13" i="6"/>
  <c r="AP7" i="6"/>
  <c r="AP31" i="6"/>
  <c r="BW31" i="6"/>
  <c r="AP32" i="6"/>
  <c r="AP26" i="6"/>
  <c r="AP20" i="6"/>
  <c r="AP14" i="6"/>
  <c r="AP8" i="6"/>
  <c r="AP18" i="6"/>
  <c r="AP6" i="6"/>
  <c r="G39" i="70"/>
  <c r="AP24" i="6"/>
  <c r="AP30" i="6"/>
  <c r="Q39" i="73"/>
  <c r="J39" i="70"/>
  <c r="AP29" i="6"/>
  <c r="AP23" i="6"/>
  <c r="AP17" i="6"/>
  <c r="AP11" i="6"/>
  <c r="AP5" i="6"/>
  <c r="AP3" i="6"/>
  <c r="AP28" i="6"/>
  <c r="AP22" i="6"/>
  <c r="AP16" i="6"/>
  <c r="AP10" i="6"/>
  <c r="AP4" i="6"/>
  <c r="AP33" i="6"/>
  <c r="AP27" i="6"/>
  <c r="AP21" i="6"/>
  <c r="AP15" i="6"/>
  <c r="AP9" i="6"/>
  <c r="G39" i="73" l="1"/>
  <c r="G39" i="77" s="1"/>
  <c r="G40" i="70"/>
  <c r="Q39" i="67"/>
  <c r="Q39" i="42"/>
  <c r="Q39" i="96"/>
  <c r="Q39" i="95"/>
  <c r="Q39" i="92"/>
  <c r="Q39" i="93"/>
  <c r="Q39" i="90"/>
  <c r="Q39" i="89"/>
  <c r="Q39" i="87"/>
  <c r="Q39" i="86"/>
  <c r="Q39" i="91"/>
  <c r="Q39" i="85"/>
  <c r="BY4" i="6"/>
  <c r="BV5" i="6" s="1"/>
  <c r="BY5" i="6" s="1"/>
  <c r="BV6" i="6" s="1"/>
  <c r="I39" i="79"/>
  <c r="P39" i="79" s="1"/>
  <c r="L39" i="78"/>
  <c r="L39" i="79" s="1"/>
  <c r="L39" i="80" s="1"/>
  <c r="L39" i="81" s="1"/>
  <c r="L39" i="82" s="1"/>
  <c r="L39" i="84" s="1"/>
  <c r="L39" i="85" s="1"/>
  <c r="L39" i="86" s="1"/>
  <c r="L39" i="87" s="1"/>
  <c r="L39" i="88" s="1"/>
  <c r="L39" i="89" s="1"/>
  <c r="L39" i="90" s="1"/>
  <c r="L39" i="91" s="1"/>
  <c r="L39" i="92" s="1"/>
  <c r="L39" i="93" s="1"/>
  <c r="L39" i="94" s="1"/>
  <c r="L39" i="95" s="1"/>
  <c r="L39" i="96" s="1"/>
  <c r="L39" i="42" s="1"/>
  <c r="L39" i="67" s="1"/>
  <c r="L39" i="68" s="1"/>
  <c r="L39" i="69" s="1"/>
  <c r="L39" i="70" s="1"/>
  <c r="P39" i="78"/>
  <c r="K39" i="78"/>
  <c r="K39" i="79" s="1"/>
  <c r="K39" i="80" s="1"/>
  <c r="K39" i="81" s="1"/>
  <c r="Q39" i="78"/>
  <c r="G39" i="84"/>
  <c r="G39" i="85" s="1"/>
  <c r="G39" i="86" s="1"/>
  <c r="G39" i="87" s="1"/>
  <c r="G39" i="88" s="1"/>
  <c r="G39" i="89" s="1"/>
  <c r="G39" i="90" s="1"/>
  <c r="G39" i="91" s="1"/>
  <c r="G39" i="92" s="1"/>
  <c r="G39" i="93" s="1"/>
  <c r="G39" i="94" s="1"/>
  <c r="G39" i="95" s="1"/>
  <c r="G39" i="96" s="1"/>
  <c r="G39" i="42" s="1"/>
  <c r="G39" i="67" s="1"/>
  <c r="G39" i="83"/>
  <c r="H39" i="83"/>
  <c r="H39" i="84"/>
  <c r="H39" i="85" s="1"/>
  <c r="H39" i="86" s="1"/>
  <c r="H39" i="87" s="1"/>
  <c r="H39" i="88" s="1"/>
  <c r="H39" i="89" s="1"/>
  <c r="H39" i="90" s="1"/>
  <c r="H39" i="91" s="1"/>
  <c r="H39" i="92" s="1"/>
  <c r="H39" i="93" s="1"/>
  <c r="H39" i="94" s="1"/>
  <c r="H39" i="95" s="1"/>
  <c r="H39" i="96" s="1"/>
  <c r="H39" i="42" s="1"/>
  <c r="H39" i="67" s="1"/>
  <c r="O39" i="73"/>
  <c r="BW34" i="6"/>
  <c r="N39" i="73"/>
  <c r="Q39" i="70"/>
  <c r="BW35" i="6"/>
  <c r="R27" i="12"/>
  <c r="S27" i="12"/>
  <c r="R27" i="97"/>
  <c r="V27" i="97"/>
  <c r="U27" i="97"/>
  <c r="I39" i="80" l="1"/>
  <c r="P39" i="80" s="1"/>
  <c r="K39" i="82"/>
  <c r="K39" i="84" s="1"/>
  <c r="K39" i="85" s="1"/>
  <c r="K39" i="86" s="1"/>
  <c r="K39" i="87" s="1"/>
  <c r="K39" i="88" s="1"/>
  <c r="K39" i="89" s="1"/>
  <c r="K39" i="90" s="1"/>
  <c r="K39" i="91" s="1"/>
  <c r="K39" i="92" s="1"/>
  <c r="K39" i="93" s="1"/>
  <c r="K39" i="94" s="1"/>
  <c r="K39" i="95" s="1"/>
  <c r="K39" i="96" s="1"/>
  <c r="K39" i="42" s="1"/>
  <c r="K39" i="67" s="1"/>
  <c r="K39" i="68" s="1"/>
  <c r="K39" i="69" s="1"/>
  <c r="K39" i="70" s="1"/>
  <c r="L39" i="83"/>
  <c r="K39" i="83"/>
  <c r="AC27" i="97"/>
  <c r="AN27" i="12"/>
  <c r="AB27" i="12"/>
  <c r="AM27" i="97"/>
  <c r="AA27" i="97"/>
  <c r="AF27" i="12"/>
  <c r="AP27" i="12"/>
  <c r="BY6" i="6"/>
  <c r="BV7" i="6" s="1"/>
  <c r="I39" i="81"/>
  <c r="P39" i="81" s="1"/>
  <c r="K39" i="73"/>
  <c r="K39" i="77" s="1"/>
  <c r="L39" i="77"/>
  <c r="R26" i="12"/>
  <c r="AN26" i="12" l="1"/>
  <c r="BY7" i="6"/>
  <c r="BV8" i="6" s="1"/>
  <c r="I39" i="82"/>
  <c r="P39" i="82" s="1"/>
  <c r="O39" i="77"/>
  <c r="N39" i="77"/>
  <c r="U26" i="97"/>
  <c r="S26" i="97"/>
  <c r="AN26" i="97" l="1"/>
  <c r="AM26" i="97"/>
  <c r="BY8" i="6"/>
  <c r="BV9" i="6" s="1"/>
  <c r="I39" i="83"/>
  <c r="P39" i="83" s="1"/>
  <c r="AG26" i="97"/>
  <c r="G25" i="55"/>
  <c r="C25" i="55"/>
  <c r="G24" i="55"/>
  <c r="C24" i="55"/>
  <c r="V22" i="12"/>
  <c r="K25" i="55" l="1"/>
  <c r="BY9" i="6"/>
  <c r="BV10" i="6" s="1"/>
  <c r="I39" i="84"/>
  <c r="P39" i="84" s="1"/>
  <c r="K24" i="55"/>
  <c r="R25" i="12"/>
  <c r="Q25" i="97"/>
  <c r="BY10" i="6" l="1"/>
  <c r="BV11" i="6" s="1"/>
  <c r="I39" i="85"/>
  <c r="P39" i="85" s="1"/>
  <c r="AM25" i="97"/>
  <c r="AN25" i="12"/>
  <c r="U25" i="97"/>
  <c r="V25" i="97"/>
  <c r="X25" i="97"/>
  <c r="BY11" i="6" l="1"/>
  <c r="BV12" i="6" s="1"/>
  <c r="I39" i="86"/>
  <c r="P39" i="86" s="1"/>
  <c r="AC25" i="97"/>
  <c r="V24" i="97"/>
  <c r="U24" i="97"/>
  <c r="W24" i="12"/>
  <c r="V24" i="12"/>
  <c r="S24" i="12"/>
  <c r="R24" i="12"/>
  <c r="AD24" i="12" l="1"/>
  <c r="BY12" i="6"/>
  <c r="BV13" i="6" s="1"/>
  <c r="I39" i="87"/>
  <c r="P39" i="87" s="1"/>
  <c r="AN24" i="12"/>
  <c r="AB24" i="12"/>
  <c r="AM24" i="97"/>
  <c r="AA24" i="97"/>
  <c r="AC24" i="97"/>
  <c r="V23" i="97"/>
  <c r="U23" i="97"/>
  <c r="R23" i="97"/>
  <c r="Q23" i="97"/>
  <c r="BY13" i="6" l="1"/>
  <c r="BV14" i="6" s="1"/>
  <c r="I39" i="88"/>
  <c r="P39" i="88" s="1"/>
  <c r="AM23" i="97"/>
  <c r="AA23" i="97"/>
  <c r="AC23" i="97"/>
  <c r="BY14" i="6" l="1"/>
  <c r="BV15" i="6" s="1"/>
  <c r="I39" i="89"/>
  <c r="P39" i="89" s="1"/>
  <c r="AN23" i="12"/>
  <c r="AB23" i="12"/>
  <c r="S22" i="12"/>
  <c r="BY15" i="6" l="1"/>
  <c r="BV16" i="6" s="1"/>
  <c r="I39" i="90"/>
  <c r="P39" i="90" s="1"/>
  <c r="AB22" i="12"/>
  <c r="AN22" i="12"/>
  <c r="Q22" i="97"/>
  <c r="U22" i="97"/>
  <c r="V22" i="97"/>
  <c r="BY16" i="6" l="1"/>
  <c r="BV17" i="6" s="1"/>
  <c r="I39" i="91"/>
  <c r="P39" i="91" s="1"/>
  <c r="AC22" i="97"/>
  <c r="AM22" i="97"/>
  <c r="Q21" i="97"/>
  <c r="U21" i="97"/>
  <c r="V21" i="97"/>
  <c r="BY17" i="6" l="1"/>
  <c r="BV18" i="6" s="1"/>
  <c r="I39" i="92"/>
  <c r="P39" i="92" s="1"/>
  <c r="AN21" i="12"/>
  <c r="AM21" i="97"/>
  <c r="AC21" i="97"/>
  <c r="U20" i="97"/>
  <c r="X20" i="97"/>
  <c r="V20" i="12"/>
  <c r="T20" i="12"/>
  <c r="BY18" i="6" l="1"/>
  <c r="BV19" i="6" s="1"/>
  <c r="I39" i="93"/>
  <c r="P39" i="93" s="1"/>
  <c r="AN20" i="12"/>
  <c r="AO20" i="12"/>
  <c r="AM20" i="97"/>
  <c r="AH20" i="12"/>
  <c r="X19" i="97"/>
  <c r="S19" i="97"/>
  <c r="V19" i="12"/>
  <c r="W19" i="12"/>
  <c r="BY19" i="6" l="1"/>
  <c r="BV20" i="6" s="1"/>
  <c r="I39" i="94"/>
  <c r="BY20" i="6"/>
  <c r="BV21" i="6" s="1"/>
  <c r="I39" i="95"/>
  <c r="P39" i="95" s="1"/>
  <c r="AM19" i="97"/>
  <c r="AN19" i="12"/>
  <c r="AD19" i="12"/>
  <c r="AN19" i="97"/>
  <c r="P39" i="94" l="1"/>
  <c r="BY21" i="6"/>
  <c r="BV22" i="6" s="1"/>
  <c r="I39" i="96"/>
  <c r="P39" i="96" s="1"/>
  <c r="AM18" i="97"/>
  <c r="R18" i="12"/>
  <c r="W18" i="12"/>
  <c r="T17" i="97"/>
  <c r="V17" i="12"/>
  <c r="BY22" i="6" l="1"/>
  <c r="BV23" i="6" s="1"/>
  <c r="I39" i="42"/>
  <c r="P39" i="42" s="1"/>
  <c r="AN17" i="97"/>
  <c r="AB17" i="97"/>
  <c r="AB17" i="12"/>
  <c r="AN17" i="12"/>
  <c r="AN18" i="12"/>
  <c r="AM17" i="97"/>
  <c r="AA17" i="97"/>
  <c r="U16" i="97"/>
  <c r="V16" i="97"/>
  <c r="U16" i="12"/>
  <c r="BY23" i="6" l="1"/>
  <c r="BV24" i="6" s="1"/>
  <c r="I39" i="67"/>
  <c r="P39" i="67" s="1"/>
  <c r="AC16" i="97"/>
  <c r="R16" i="12"/>
  <c r="S16" i="12"/>
  <c r="T16" i="12"/>
  <c r="R16" i="97"/>
  <c r="BY24" i="6" l="1"/>
  <c r="BV25" i="6" s="1"/>
  <c r="I39" i="68"/>
  <c r="P39" i="68" s="1"/>
  <c r="AN16" i="12"/>
  <c r="AB16" i="12"/>
  <c r="AM16" i="97"/>
  <c r="AA16" i="97"/>
  <c r="AC16" i="12"/>
  <c r="AO16" i="12"/>
  <c r="U15" i="97"/>
  <c r="V15" i="97"/>
  <c r="R15" i="12"/>
  <c r="BY25" i="6" l="1"/>
  <c r="BV26" i="6" s="1"/>
  <c r="I39" i="69"/>
  <c r="P39" i="69" s="1"/>
  <c r="AC15" i="97"/>
  <c r="AN15" i="12"/>
  <c r="AM15" i="97"/>
  <c r="X13" i="97"/>
  <c r="BY26" i="6" l="1"/>
  <c r="BV27" i="6" s="1"/>
  <c r="I39" i="70"/>
  <c r="P39" i="70" s="1"/>
  <c r="AM13" i="97"/>
  <c r="AM12" i="97"/>
  <c r="S14" i="97"/>
  <c r="U14" i="97"/>
  <c r="T14" i="97"/>
  <c r="V14" i="97"/>
  <c r="R14" i="12"/>
  <c r="T14" i="12"/>
  <c r="BY27" i="6" l="1"/>
  <c r="BV28" i="6" s="1"/>
  <c r="AN14" i="12"/>
  <c r="AM14" i="97"/>
  <c r="AA14" i="97"/>
  <c r="AC14" i="97"/>
  <c r="AO14" i="12"/>
  <c r="AB14" i="97"/>
  <c r="AN14" i="97"/>
  <c r="AG14" i="97"/>
  <c r="R13" i="12"/>
  <c r="U13" i="97"/>
  <c r="V13" i="97"/>
  <c r="BY28" i="6" l="1"/>
  <c r="BV29" i="6" s="1"/>
  <c r="AN13" i="12"/>
  <c r="AG13" i="97"/>
  <c r="AN13" i="97"/>
  <c r="AC13" i="97"/>
  <c r="P35" i="6"/>
  <c r="Q35" i="6"/>
  <c r="BY29" i="6" l="1"/>
  <c r="BV30" i="6" s="1"/>
  <c r="I39" i="73"/>
  <c r="P39" i="73" s="1"/>
  <c r="U12" i="97"/>
  <c r="V12" i="97"/>
  <c r="X12" i="97"/>
  <c r="R12" i="12"/>
  <c r="BY30" i="6" l="1"/>
  <c r="BV31" i="6" s="1"/>
  <c r="AO12" i="12"/>
  <c r="AC12" i="97"/>
  <c r="AN12" i="12"/>
  <c r="AM11" i="97"/>
  <c r="V6" i="97"/>
  <c r="U6" i="97"/>
  <c r="BY31" i="6" l="1"/>
  <c r="BV32" i="6" s="1"/>
  <c r="I39" i="76" s="1"/>
  <c r="P39" i="76" s="1"/>
  <c r="AC6" i="97"/>
  <c r="U11" i="97"/>
  <c r="R10" i="97"/>
  <c r="U10" i="97"/>
  <c r="V10" i="97"/>
  <c r="X10" i="97"/>
  <c r="V11" i="12"/>
  <c r="W11" i="12"/>
  <c r="R11" i="12"/>
  <c r="S10" i="12"/>
  <c r="T10" i="12"/>
  <c r="V10" i="12"/>
  <c r="BY32" i="6" l="1"/>
  <c r="BV33" i="6" s="1"/>
  <c r="AN11" i="12"/>
  <c r="AO10" i="12"/>
  <c r="AC10" i="97"/>
  <c r="AD11" i="12"/>
  <c r="AH10" i="12"/>
  <c r="AB10" i="12"/>
  <c r="AN10" i="12"/>
  <c r="AM10" i="97"/>
  <c r="AA10" i="97"/>
  <c r="EJ35" i="1"/>
  <c r="I39" i="77" l="1"/>
  <c r="P39" i="77" s="1"/>
  <c r="BY33" i="6"/>
  <c r="X9" i="97"/>
  <c r="U9" i="97"/>
  <c r="S9" i="97"/>
  <c r="Q9" i="97"/>
  <c r="R9" i="97"/>
  <c r="R9" i="12"/>
  <c r="S9" i="12"/>
  <c r="AG9" i="97" l="1"/>
  <c r="AM9" i="97"/>
  <c r="AA9" i="97"/>
  <c r="AN9" i="97"/>
  <c r="AB9" i="12"/>
  <c r="AN9" i="12"/>
  <c r="V8" i="97"/>
  <c r="U8" i="97"/>
  <c r="AC8" i="97" l="1"/>
  <c r="AN8" i="12"/>
  <c r="AM8" i="97"/>
  <c r="X7" i="97"/>
  <c r="U7" i="97" l="1"/>
  <c r="V7" i="97"/>
  <c r="S7" i="97"/>
  <c r="AC7" i="97" l="1"/>
  <c r="AM7" i="97"/>
  <c r="AN7" i="97"/>
  <c r="AN7" i="12"/>
  <c r="AG7" i="97"/>
  <c r="AN6" i="12" l="1"/>
  <c r="AM6" i="97"/>
  <c r="AA6" i="97"/>
  <c r="U5" i="97"/>
  <c r="AM5" i="97" l="1"/>
  <c r="AN5" i="12"/>
  <c r="AB5" i="12"/>
  <c r="X4" i="97"/>
  <c r="V4" i="97"/>
  <c r="U4" i="97"/>
  <c r="AC4" i="97" l="1"/>
  <c r="AA4" i="97"/>
  <c r="AN4" i="97"/>
  <c r="AB4" i="97"/>
  <c r="AG4" i="97"/>
  <c r="AH4" i="97"/>
  <c r="V31" i="12"/>
  <c r="W31" i="12"/>
  <c r="T31" i="12"/>
  <c r="AD31" i="12" l="1"/>
  <c r="AH31" i="12"/>
  <c r="AO31" i="12"/>
  <c r="U30" i="97"/>
  <c r="V30" i="97"/>
  <c r="AC30" i="97" l="1"/>
  <c r="T30" i="97"/>
  <c r="AH30" i="97" s="1"/>
  <c r="U28" i="97" l="1"/>
  <c r="V28" i="97"/>
  <c r="AC28" i="97" l="1"/>
  <c r="V26" i="12"/>
  <c r="S26" i="12"/>
  <c r="AB26" i="12" s="1"/>
  <c r="R26" i="97"/>
  <c r="W26" i="12"/>
  <c r="AD26" i="12" l="1"/>
  <c r="AA26" i="97"/>
  <c r="X24" i="97"/>
  <c r="V23" i="12" l="1"/>
  <c r="T22" i="12" l="1"/>
  <c r="X22" i="97"/>
  <c r="AH22" i="12" l="1"/>
  <c r="AO22" i="12"/>
  <c r="AA20" i="97" l="1"/>
  <c r="X21" i="97"/>
  <c r="AD21" i="97" s="1"/>
  <c r="T19" i="97" l="1"/>
  <c r="AB19" i="97" s="1"/>
  <c r="R19" i="97"/>
  <c r="S19" i="12"/>
  <c r="AB19" i="12" s="1"/>
  <c r="AA19" i="97" l="1"/>
  <c r="T18" i="12"/>
  <c r="U18" i="12"/>
  <c r="V18" i="12"/>
  <c r="AD18" i="12" s="1"/>
  <c r="AO18" i="12" l="1"/>
  <c r="AC18" i="12"/>
  <c r="AH18" i="12"/>
  <c r="V17" i="97"/>
  <c r="AH17" i="97" s="1"/>
  <c r="U17" i="97"/>
  <c r="U17" i="12"/>
  <c r="T17" i="12"/>
  <c r="AH17" i="12" l="1"/>
  <c r="AO17" i="12"/>
  <c r="AC17" i="12"/>
  <c r="AG17" i="97"/>
  <c r="AC17" i="97"/>
  <c r="X15" i="97" l="1"/>
  <c r="V15" i="12"/>
  <c r="W15" i="12"/>
  <c r="T15" i="12"/>
  <c r="AH15" i="12" l="1"/>
  <c r="AO15" i="12"/>
  <c r="AD15" i="12"/>
  <c r="W13" i="12"/>
  <c r="V13" i="12"/>
  <c r="AD13" i="12" s="1"/>
  <c r="T13" i="12"/>
  <c r="U13" i="12"/>
  <c r="AH13" i="12" l="1"/>
  <c r="AO13" i="12"/>
  <c r="AC13" i="12"/>
  <c r="S12" i="12"/>
  <c r="AB12" i="12" s="1"/>
  <c r="R12" i="97"/>
  <c r="AA12" i="97" l="1"/>
  <c r="V6" i="12"/>
  <c r="W9" i="12" l="1"/>
  <c r="V9" i="12"/>
  <c r="AD9" i="12" s="1"/>
  <c r="S8" i="97" l="1"/>
  <c r="V8" i="12"/>
  <c r="W8" i="12"/>
  <c r="AD8" i="12" l="1"/>
  <c r="AG8" i="97"/>
  <c r="AN8" i="97"/>
  <c r="V7" i="12"/>
  <c r="W7" i="12"/>
  <c r="AD7" i="12" l="1"/>
  <c r="R9" i="6"/>
  <c r="W6" i="12"/>
  <c r="AD6" i="12" s="1"/>
  <c r="V5" i="97" l="1"/>
  <c r="AC5" i="97" s="1"/>
  <c r="S5" i="97"/>
  <c r="T5" i="97"/>
  <c r="AH5" i="97" s="1"/>
  <c r="V5" i="12"/>
  <c r="W5" i="12"/>
  <c r="AD5" i="12" l="1"/>
  <c r="AG5" i="97"/>
  <c r="AN5" i="97"/>
  <c r="AB5" i="97"/>
  <c r="AA5" i="97"/>
  <c r="EA3" i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" i="1"/>
  <c r="R3" i="98" s="1"/>
  <c r="S34" i="97" l="1"/>
  <c r="AN34" i="97" l="1"/>
  <c r="U34" i="12"/>
  <c r="AC34" i="12" s="1"/>
  <c r="U33" i="97" l="1"/>
  <c r="V33" i="97"/>
  <c r="AC33" i="97" l="1"/>
  <c r="T32" i="12"/>
  <c r="U32" i="12"/>
  <c r="V32" i="12"/>
  <c r="W32" i="12"/>
  <c r="U32" i="97"/>
  <c r="AM32" i="97" l="1"/>
  <c r="AC32" i="12"/>
  <c r="AO32" i="12"/>
  <c r="AD32" i="12"/>
  <c r="AH32" i="12"/>
  <c r="U31" i="97"/>
  <c r="V31" i="97"/>
  <c r="AH31" i="97" s="1"/>
  <c r="AG31" i="97" l="1"/>
  <c r="AC31" i="97"/>
  <c r="T29" i="12"/>
  <c r="AO29" i="12" l="1"/>
  <c r="V29" i="97"/>
  <c r="AC29" i="97" s="1"/>
  <c r="S29" i="12"/>
  <c r="AB29" i="12" s="1"/>
  <c r="S28" i="97" l="1"/>
  <c r="AG28" i="97" l="1"/>
  <c r="AN28" i="97"/>
  <c r="R28" i="97"/>
  <c r="S28" i="12"/>
  <c r="AB28" i="12" s="1"/>
  <c r="AA28" i="97" l="1"/>
  <c r="U27" i="12"/>
  <c r="T27" i="12"/>
  <c r="W27" i="12"/>
  <c r="V27" i="12"/>
  <c r="AD27" i="12" s="1"/>
  <c r="T27" i="97"/>
  <c r="S27" i="97"/>
  <c r="X27" i="97"/>
  <c r="J31" i="71"/>
  <c r="AH27" i="97" l="1"/>
  <c r="AO27" i="12"/>
  <c r="AC27" i="12"/>
  <c r="AG27" i="97"/>
  <c r="AB27" i="97"/>
  <c r="AN27" i="97"/>
  <c r="AH27" i="12"/>
  <c r="I46" i="69"/>
  <c r="U26" i="12" l="1"/>
  <c r="T26" i="12"/>
  <c r="X26" i="97"/>
  <c r="AH26" i="12" l="1"/>
  <c r="AO26" i="12"/>
  <c r="AC26" i="12"/>
  <c r="V25" i="12"/>
  <c r="S25" i="12"/>
  <c r="AB25" i="12" s="1"/>
  <c r="R25" i="97"/>
  <c r="AA25" i="97" l="1"/>
  <c r="E21" i="1"/>
  <c r="E22" i="1"/>
  <c r="E23" i="1"/>
  <c r="E24" i="1"/>
  <c r="E25" i="1"/>
  <c r="E26" i="1"/>
  <c r="E27" i="1"/>
  <c r="X23" i="97" l="1"/>
  <c r="S22" i="97" l="1"/>
  <c r="R22" i="97"/>
  <c r="AA22" i="97" l="1"/>
  <c r="AG22" i="97"/>
  <c r="AN22" i="97"/>
  <c r="S20" i="12"/>
  <c r="AB20" i="12" s="1"/>
  <c r="R21" i="97" l="1"/>
  <c r="V20" i="97"/>
  <c r="AC20" i="97" s="1"/>
  <c r="T21" i="12"/>
  <c r="U21" i="12"/>
  <c r="AB21" i="12"/>
  <c r="AA21" i="97" l="1"/>
  <c r="AO21" i="12"/>
  <c r="AC21" i="12"/>
  <c r="I17" i="1"/>
  <c r="V19" i="97" l="1"/>
  <c r="AH19" i="97" s="1"/>
  <c r="U19" i="97"/>
  <c r="L18" i="6"/>
  <c r="AG19" i="97" l="1"/>
  <c r="AC19" i="97"/>
  <c r="R18" i="97"/>
  <c r="S18" i="12"/>
  <c r="AB18" i="12" s="1"/>
  <c r="AA18" i="97" l="1"/>
  <c r="W17" i="12"/>
  <c r="AI17" i="12" l="1"/>
  <c r="E16" i="3" s="1"/>
  <c r="AD17" i="12"/>
  <c r="S15" i="12"/>
  <c r="AB15" i="12" s="1"/>
  <c r="X14" i="97"/>
  <c r="AH14" i="97" s="1"/>
  <c r="S14" i="12"/>
  <c r="AB14" i="12" s="1"/>
  <c r="V14" i="12"/>
  <c r="W14" i="12"/>
  <c r="S13" i="12"/>
  <c r="AB13" i="12" s="1"/>
  <c r="AH14" i="12" l="1"/>
  <c r="AD14" i="12"/>
  <c r="W12" i="12"/>
  <c r="V12" i="12"/>
  <c r="AH12" i="12" l="1"/>
  <c r="AD12" i="12"/>
  <c r="R11" i="97"/>
  <c r="V11" i="97"/>
  <c r="AC11" i="97" s="1"/>
  <c r="S11" i="12"/>
  <c r="AB11" i="12" s="1"/>
  <c r="AA11" i="97" l="1"/>
  <c r="T9" i="97"/>
  <c r="V9" i="97"/>
  <c r="AC9" i="97" s="1"/>
  <c r="AB9" i="97" l="1"/>
  <c r="AH9" i="97"/>
  <c r="T8" i="97"/>
  <c r="AB8" i="97" s="1"/>
  <c r="G53" i="82"/>
  <c r="AB8" i="12" l="1"/>
  <c r="AH8" i="97" l="1"/>
  <c r="AA8" i="97" l="1"/>
  <c r="C8" i="55"/>
  <c r="F53" i="83" s="1"/>
  <c r="C9" i="55"/>
  <c r="F53" i="84" s="1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6" i="55"/>
  <c r="C27" i="55"/>
  <c r="C28" i="55"/>
  <c r="C29" i="55"/>
  <c r="C30" i="55"/>
  <c r="C31" i="55"/>
  <c r="C32" i="55"/>
  <c r="C33" i="55"/>
  <c r="C5" i="55"/>
  <c r="C6" i="55"/>
  <c r="C7" i="55"/>
  <c r="F53" i="82" s="1"/>
  <c r="T7" i="97" l="1"/>
  <c r="AB7" i="97" s="1"/>
  <c r="T6" i="97"/>
  <c r="AH6" i="97" s="1"/>
  <c r="S6" i="97"/>
  <c r="AG6" i="97" s="1"/>
  <c r="U7" i="12"/>
  <c r="T7" i="12"/>
  <c r="AB7" i="12"/>
  <c r="AH7" i="97" l="1"/>
  <c r="AA7" i="97"/>
  <c r="AB6" i="97"/>
  <c r="AN6" i="97"/>
  <c r="AH7" i="12"/>
  <c r="AO7" i="12"/>
  <c r="AC7" i="12"/>
  <c r="C4" i="55"/>
  <c r="EE3" i="1" l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" i="1"/>
  <c r="G3" i="99" l="1"/>
  <c r="Y34" i="6"/>
  <c r="Y35" i="6"/>
  <c r="V33" i="55" l="1"/>
  <c r="K53" i="77" l="1"/>
  <c r="U34" i="97" l="1"/>
  <c r="AG32" i="97" l="1"/>
  <c r="AN32" i="97"/>
  <c r="G30" i="55"/>
  <c r="AG30" i="97" l="1"/>
  <c r="AB30" i="97"/>
  <c r="AN30" i="97"/>
  <c r="G4" i="99"/>
  <c r="G5" i="99"/>
  <c r="G6" i="99"/>
  <c r="G7" i="99"/>
  <c r="G13" i="99"/>
  <c r="G14" i="99"/>
  <c r="G15" i="99"/>
  <c r="G16" i="99"/>
  <c r="G17" i="99"/>
  <c r="G18" i="99"/>
  <c r="G19" i="99"/>
  <c r="G20" i="99"/>
  <c r="G21" i="99"/>
  <c r="G22" i="99"/>
  <c r="G23" i="99"/>
  <c r="G24" i="99"/>
  <c r="G25" i="99"/>
  <c r="G26" i="99"/>
  <c r="G27" i="99"/>
  <c r="G28" i="99"/>
  <c r="G29" i="99"/>
  <c r="G30" i="99"/>
  <c r="G31" i="99"/>
  <c r="G32" i="99"/>
  <c r="G33" i="99"/>
  <c r="R29" i="97" l="1"/>
  <c r="T28" i="97"/>
  <c r="AH28" i="97" s="1"/>
  <c r="AA29" i="97" l="1"/>
  <c r="AB28" i="97"/>
  <c r="T25" i="97"/>
  <c r="AH25" i="97" s="1"/>
  <c r="S25" i="97"/>
  <c r="AG25" i="97" l="1"/>
  <c r="AN25" i="97"/>
  <c r="AB25" i="97"/>
  <c r="G24" i="64"/>
  <c r="AH24" i="97" l="1"/>
  <c r="AG24" i="97" l="1"/>
  <c r="AB24" i="97"/>
  <c r="AN24" i="97"/>
  <c r="T23" i="97"/>
  <c r="AH23" i="97" s="1"/>
  <c r="S23" i="97"/>
  <c r="U23" i="12"/>
  <c r="T23" i="12"/>
  <c r="AH23" i="12" l="1"/>
  <c r="AO23" i="12"/>
  <c r="AC23" i="12"/>
  <c r="AG23" i="97"/>
  <c r="AB23" i="97"/>
  <c r="AN23" i="97"/>
  <c r="L38" i="78"/>
  <c r="L38" i="79" s="1"/>
  <c r="L38" i="80" s="1"/>
  <c r="L38" i="81" s="1"/>
  <c r="K38" i="78"/>
  <c r="K38" i="79" s="1"/>
  <c r="K38" i="80" s="1"/>
  <c r="K38" i="81" s="1"/>
  <c r="T22" i="97" l="1"/>
  <c r="AH22" i="97" s="1"/>
  <c r="AB22" i="97" l="1"/>
  <c r="W21" i="12"/>
  <c r="V21" i="12"/>
  <c r="AH21" i="12" l="1"/>
  <c r="AD21" i="12"/>
  <c r="S14" i="2"/>
  <c r="L15" i="6" l="1"/>
  <c r="K15" i="6" s="1"/>
  <c r="R15" i="97" l="1"/>
  <c r="AH15" i="97" l="1"/>
  <c r="AG15" i="97"/>
  <c r="AB15" i="97"/>
  <c r="AN15" i="97"/>
  <c r="AA15" i="97"/>
  <c r="AH34" i="1"/>
  <c r="AC12" i="12" l="1"/>
  <c r="T10" i="97" l="1"/>
  <c r="AH10" i="97" s="1"/>
  <c r="S10" i="97"/>
  <c r="Y8" i="12"/>
  <c r="AE8" i="12" s="1"/>
  <c r="Y9" i="12"/>
  <c r="Y7" i="12"/>
  <c r="AI7" i="12" s="1"/>
  <c r="E6" i="3" s="1"/>
  <c r="Y4" i="12"/>
  <c r="AE4" i="12" s="1"/>
  <c r="Y5" i="12"/>
  <c r="AE5" i="12" s="1"/>
  <c r="Y6" i="12"/>
  <c r="AE6" i="12" s="1"/>
  <c r="Y3" i="12"/>
  <c r="AG10" i="97" l="1"/>
  <c r="AB10" i="97"/>
  <c r="AN10" i="97"/>
  <c r="AH8" i="12"/>
  <c r="AC8" i="12"/>
  <c r="AO8" i="12"/>
  <c r="AI8" i="12"/>
  <c r="E7" i="3" s="1"/>
  <c r="AE7" i="12"/>
  <c r="G7" i="55"/>
  <c r="K7" i="55" s="1"/>
  <c r="E8" i="1" l="1"/>
  <c r="R8" i="6"/>
  <c r="E9" i="2" l="1"/>
  <c r="P6" i="55" l="1"/>
  <c r="N34" i="55"/>
  <c r="J53" i="77" l="1"/>
  <c r="H53" i="77"/>
  <c r="G53" i="77"/>
  <c r="F53" i="77"/>
  <c r="E53" i="77"/>
  <c r="L53" i="77"/>
  <c r="M53" i="76"/>
  <c r="L53" i="76"/>
  <c r="K53" i="76"/>
  <c r="I53" i="76"/>
  <c r="H53" i="76"/>
  <c r="F53" i="76"/>
  <c r="E53" i="76"/>
  <c r="M53" i="75"/>
  <c r="L53" i="75"/>
  <c r="K53" i="75"/>
  <c r="I53" i="75"/>
  <c r="H53" i="75"/>
  <c r="F53" i="75"/>
  <c r="E53" i="75"/>
  <c r="M53" i="74"/>
  <c r="L53" i="74"/>
  <c r="K53" i="74"/>
  <c r="I53" i="74"/>
  <c r="H53" i="74"/>
  <c r="F53" i="74"/>
  <c r="E53" i="74"/>
  <c r="M53" i="73"/>
  <c r="L53" i="73"/>
  <c r="K53" i="73"/>
  <c r="I53" i="73"/>
  <c r="H53" i="73"/>
  <c r="F53" i="73"/>
  <c r="E53" i="73"/>
  <c r="M53" i="72"/>
  <c r="L53" i="72"/>
  <c r="K53" i="72"/>
  <c r="I53" i="72"/>
  <c r="H53" i="72"/>
  <c r="F53" i="72"/>
  <c r="E53" i="72"/>
  <c r="M53" i="71"/>
  <c r="L53" i="71"/>
  <c r="K53" i="71"/>
  <c r="I53" i="71"/>
  <c r="H53" i="71"/>
  <c r="F53" i="71"/>
  <c r="E53" i="71"/>
  <c r="M53" i="70"/>
  <c r="L53" i="70"/>
  <c r="K53" i="70"/>
  <c r="I53" i="70"/>
  <c r="H53" i="70"/>
  <c r="F53" i="70"/>
  <c r="E53" i="70"/>
  <c r="M53" i="69"/>
  <c r="L53" i="69"/>
  <c r="K53" i="69"/>
  <c r="I53" i="69"/>
  <c r="H53" i="69"/>
  <c r="F53" i="69"/>
  <c r="E53" i="69"/>
  <c r="M53" i="68"/>
  <c r="L53" i="68"/>
  <c r="K53" i="68"/>
  <c r="I53" i="68"/>
  <c r="H53" i="68"/>
  <c r="F53" i="68"/>
  <c r="E53" i="68"/>
  <c r="M53" i="67"/>
  <c r="L53" i="67"/>
  <c r="K53" i="67"/>
  <c r="I53" i="67"/>
  <c r="H53" i="67"/>
  <c r="F53" i="67"/>
  <c r="E53" i="67"/>
  <c r="M53" i="42"/>
  <c r="L53" i="42"/>
  <c r="K53" i="42"/>
  <c r="I53" i="42"/>
  <c r="H53" i="42"/>
  <c r="F53" i="42"/>
  <c r="E53" i="42"/>
  <c r="M53" i="96"/>
  <c r="L53" i="96"/>
  <c r="K53" i="96"/>
  <c r="I53" i="96"/>
  <c r="H53" i="96"/>
  <c r="F53" i="96"/>
  <c r="E53" i="96"/>
  <c r="M53" i="95"/>
  <c r="L53" i="95"/>
  <c r="K53" i="95"/>
  <c r="I53" i="95"/>
  <c r="H53" i="95"/>
  <c r="F53" i="95"/>
  <c r="E53" i="95"/>
  <c r="M53" i="94"/>
  <c r="L53" i="94"/>
  <c r="K53" i="94"/>
  <c r="I53" i="94"/>
  <c r="H53" i="94"/>
  <c r="F53" i="94"/>
  <c r="E53" i="94"/>
  <c r="M53" i="93"/>
  <c r="L53" i="93"/>
  <c r="K53" i="93"/>
  <c r="I53" i="93"/>
  <c r="H53" i="93"/>
  <c r="F53" i="93"/>
  <c r="E53" i="93"/>
  <c r="M53" i="92"/>
  <c r="L53" i="92"/>
  <c r="K53" i="92"/>
  <c r="I53" i="92"/>
  <c r="H53" i="92"/>
  <c r="F53" i="92"/>
  <c r="E53" i="92"/>
  <c r="M53" i="91"/>
  <c r="L53" i="91"/>
  <c r="K53" i="91"/>
  <c r="I53" i="91"/>
  <c r="H53" i="91"/>
  <c r="F53" i="91"/>
  <c r="E53" i="91"/>
  <c r="M53" i="90"/>
  <c r="L53" i="90"/>
  <c r="K53" i="90"/>
  <c r="I53" i="90"/>
  <c r="H53" i="90"/>
  <c r="F53" i="90"/>
  <c r="E53" i="90"/>
  <c r="M53" i="89"/>
  <c r="L53" i="89"/>
  <c r="K53" i="89"/>
  <c r="I53" i="89"/>
  <c r="H53" i="89"/>
  <c r="F53" i="89"/>
  <c r="E53" i="89"/>
  <c r="M53" i="88"/>
  <c r="L53" i="88"/>
  <c r="K53" i="88"/>
  <c r="I53" i="88"/>
  <c r="H53" i="88"/>
  <c r="F53" i="88"/>
  <c r="E53" i="88"/>
  <c r="M53" i="87"/>
  <c r="L53" i="87"/>
  <c r="K53" i="87"/>
  <c r="I53" i="87"/>
  <c r="H53" i="87"/>
  <c r="F53" i="87"/>
  <c r="E53" i="87"/>
  <c r="M53" i="86"/>
  <c r="L53" i="86"/>
  <c r="K53" i="86"/>
  <c r="I53" i="86"/>
  <c r="H53" i="86"/>
  <c r="F53" i="86"/>
  <c r="E53" i="86"/>
  <c r="M53" i="82"/>
  <c r="L53" i="82"/>
  <c r="K53" i="82"/>
  <c r="I53" i="82"/>
  <c r="H53" i="82"/>
  <c r="E53" i="82"/>
  <c r="M53" i="83"/>
  <c r="L53" i="83"/>
  <c r="K53" i="83"/>
  <c r="I53" i="83"/>
  <c r="H53" i="83"/>
  <c r="E53" i="83"/>
  <c r="M53" i="84"/>
  <c r="L53" i="84"/>
  <c r="K53" i="84"/>
  <c r="I53" i="84"/>
  <c r="H53" i="84"/>
  <c r="E53" i="84"/>
  <c r="M53" i="85"/>
  <c r="L53" i="85"/>
  <c r="K53" i="85"/>
  <c r="I53" i="85"/>
  <c r="H53" i="85"/>
  <c r="F53" i="85"/>
  <c r="E53" i="85"/>
  <c r="M53" i="81"/>
  <c r="L53" i="81"/>
  <c r="K53" i="81"/>
  <c r="I53" i="81"/>
  <c r="H53" i="81"/>
  <c r="E53" i="81"/>
  <c r="J32" i="77"/>
  <c r="F32" i="77"/>
  <c r="J32" i="76"/>
  <c r="F32" i="76"/>
  <c r="J32" i="75"/>
  <c r="F32" i="75"/>
  <c r="J32" i="74"/>
  <c r="F32" i="74"/>
  <c r="J32" i="73"/>
  <c r="F32" i="73"/>
  <c r="J32" i="72"/>
  <c r="F32" i="72"/>
  <c r="J32" i="71"/>
  <c r="F32" i="71"/>
  <c r="J32" i="70"/>
  <c r="F32" i="70"/>
  <c r="J32" i="69"/>
  <c r="F32" i="69"/>
  <c r="J32" i="68"/>
  <c r="F32" i="68"/>
  <c r="J32" i="67"/>
  <c r="F32" i="67"/>
  <c r="J32" i="42"/>
  <c r="F32" i="42"/>
  <c r="J32" i="96"/>
  <c r="F32" i="96"/>
  <c r="J32" i="95"/>
  <c r="F32" i="95"/>
  <c r="J32" i="94"/>
  <c r="F32" i="94"/>
  <c r="J32" i="93"/>
  <c r="F32" i="93"/>
  <c r="J32" i="92"/>
  <c r="F32" i="92"/>
  <c r="J32" i="91"/>
  <c r="F32" i="91"/>
  <c r="J32" i="90"/>
  <c r="F32" i="90"/>
  <c r="J32" i="89"/>
  <c r="F32" i="89"/>
  <c r="J32" i="88"/>
  <c r="F32" i="88"/>
  <c r="J32" i="87"/>
  <c r="F32" i="87"/>
  <c r="J32" i="86"/>
  <c r="F32" i="86"/>
  <c r="J32" i="85"/>
  <c r="F32" i="85"/>
  <c r="J32" i="84"/>
  <c r="F32" i="84"/>
  <c r="J32" i="83"/>
  <c r="F32" i="83"/>
  <c r="J32" i="82"/>
  <c r="F32" i="82"/>
  <c r="J32" i="81"/>
  <c r="F32" i="81"/>
  <c r="Q32" i="92" l="1"/>
  <c r="Q32" i="90"/>
  <c r="Q32" i="77"/>
  <c r="Q32" i="76"/>
  <c r="Q32" i="88"/>
  <c r="Q32" i="71"/>
  <c r="Q32" i="70"/>
  <c r="Q32" i="69"/>
  <c r="Q32" i="68"/>
  <c r="Q32" i="67"/>
  <c r="Q32" i="42"/>
  <c r="Q32" i="94"/>
  <c r="Q32" i="91"/>
  <c r="Q32" i="89"/>
  <c r="Q32" i="87"/>
  <c r="Q32" i="73"/>
  <c r="Q32" i="83"/>
  <c r="Q32" i="84"/>
  <c r="Q32" i="75"/>
  <c r="Q32" i="74"/>
  <c r="Q32" i="72"/>
  <c r="Q32" i="96"/>
  <c r="Q32" i="95"/>
  <c r="Q32" i="93"/>
  <c r="Q32" i="86"/>
  <c r="Q32" i="85"/>
  <c r="Q32" i="82"/>
  <c r="Q32" i="81"/>
  <c r="Q34" i="6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" i="55"/>
  <c r="S4" i="2" l="1"/>
  <c r="S5" i="2"/>
  <c r="S6" i="2"/>
  <c r="S7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" i="2"/>
  <c r="U3" i="2" s="1"/>
  <c r="T35" i="2"/>
  <c r="T3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P3" i="2" s="1"/>
  <c r="O35" i="2"/>
  <c r="O34" i="2"/>
  <c r="E4" i="2"/>
  <c r="E4" i="6" s="1"/>
  <c r="E5" i="2"/>
  <c r="E5" i="6" s="1"/>
  <c r="E6" i="2"/>
  <c r="E6" i="6" s="1"/>
  <c r="E7" i="2"/>
  <c r="E7" i="6" s="1"/>
  <c r="E8" i="2"/>
  <c r="E8" i="6" s="1"/>
  <c r="E10" i="2"/>
  <c r="E10" i="6" s="1"/>
  <c r="E11" i="2"/>
  <c r="E11" i="6" s="1"/>
  <c r="E12" i="2"/>
  <c r="E12" i="6" s="1"/>
  <c r="E13" i="2"/>
  <c r="E13" i="6" s="1"/>
  <c r="E14" i="2"/>
  <c r="E14" i="6" s="1"/>
  <c r="E15" i="2"/>
  <c r="E15" i="6" s="1"/>
  <c r="E16" i="2"/>
  <c r="E16" i="6" s="1"/>
  <c r="E17" i="2"/>
  <c r="E17" i="6" s="1"/>
  <c r="E18" i="2"/>
  <c r="E18" i="6" s="1"/>
  <c r="E19" i="2"/>
  <c r="E19" i="6" s="1"/>
  <c r="E20" i="2"/>
  <c r="E20" i="6" s="1"/>
  <c r="E21" i="2"/>
  <c r="E21" i="6" s="1"/>
  <c r="E22" i="2"/>
  <c r="E22" i="6" s="1"/>
  <c r="E23" i="2"/>
  <c r="E23" i="6" s="1"/>
  <c r="E24" i="2"/>
  <c r="E24" i="6" s="1"/>
  <c r="E25" i="2"/>
  <c r="E25" i="6" s="1"/>
  <c r="E26" i="2"/>
  <c r="E26" i="6" s="1"/>
  <c r="E27" i="2"/>
  <c r="E27" i="6" s="1"/>
  <c r="E28" i="2"/>
  <c r="E28" i="6" s="1"/>
  <c r="E29" i="2"/>
  <c r="E29" i="6" s="1"/>
  <c r="E30" i="2"/>
  <c r="E30" i="6" s="1"/>
  <c r="E31" i="2"/>
  <c r="E31" i="6" s="1"/>
  <c r="E32" i="2"/>
  <c r="E32" i="6" s="1"/>
  <c r="E33" i="2"/>
  <c r="E33" i="6" s="1"/>
  <c r="E3" i="2"/>
  <c r="G3" i="2" s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8" i="1"/>
  <c r="E29" i="1"/>
  <c r="E30" i="1"/>
  <c r="E31" i="1"/>
  <c r="E32" i="1"/>
  <c r="E33" i="1"/>
  <c r="E3" i="1"/>
  <c r="G3" i="1" s="1"/>
  <c r="E9" i="6" l="1"/>
  <c r="E3" i="6"/>
  <c r="M53" i="80"/>
  <c r="L53" i="80"/>
  <c r="K53" i="80"/>
  <c r="I53" i="80"/>
  <c r="H53" i="80"/>
  <c r="G53" i="80"/>
  <c r="G53" i="81"/>
  <c r="G50" i="81" s="1"/>
  <c r="G51" i="81" s="1"/>
  <c r="G51" i="82"/>
  <c r="G53" i="85"/>
  <c r="G53" i="87"/>
  <c r="G53" i="88"/>
  <c r="G53" i="89"/>
  <c r="G53" i="90"/>
  <c r="G53" i="91"/>
  <c r="G53" i="92"/>
  <c r="G53" i="93"/>
  <c r="G53" i="94"/>
  <c r="G53" i="95"/>
  <c r="G53" i="96"/>
  <c r="G53" i="42"/>
  <c r="G50" i="42" s="1"/>
  <c r="G51" i="42" s="1"/>
  <c r="G53" i="67"/>
  <c r="G53" i="68"/>
  <c r="G50" i="68" s="1"/>
  <c r="G51" i="68" s="1"/>
  <c r="G53" i="69"/>
  <c r="G53" i="71"/>
  <c r="G53" i="72"/>
  <c r="G53" i="75"/>
  <c r="G53" i="76"/>
  <c r="G53" i="70" l="1"/>
  <c r="G50" i="70" s="1"/>
  <c r="G51" i="70" s="1"/>
  <c r="G53" i="74"/>
  <c r="K30" i="55"/>
  <c r="G53" i="73"/>
  <c r="G51" i="73" s="1"/>
  <c r="G51" i="71"/>
  <c r="N51" i="71" s="1"/>
  <c r="G50" i="96"/>
  <c r="G51" i="96" s="1"/>
  <c r="G50" i="90"/>
  <c r="G51" i="90" s="1"/>
  <c r="G50" i="76"/>
  <c r="G51" i="76" s="1"/>
  <c r="G50" i="95"/>
  <c r="G51" i="95" s="1"/>
  <c r="G50" i="89"/>
  <c r="G51" i="89" s="1"/>
  <c r="G50" i="69"/>
  <c r="G51" i="69" s="1"/>
  <c r="G50" i="94"/>
  <c r="G51" i="94" s="1"/>
  <c r="G50" i="88"/>
  <c r="G51" i="88" s="1"/>
  <c r="G50" i="75"/>
  <c r="G51" i="75" s="1"/>
  <c r="G50" i="74"/>
  <c r="G51" i="74" s="1"/>
  <c r="G50" i="93"/>
  <c r="G51" i="93" s="1"/>
  <c r="G50" i="87"/>
  <c r="G51" i="87" s="1"/>
  <c r="G50" i="67"/>
  <c r="G51" i="67" s="1"/>
  <c r="G50" i="92"/>
  <c r="G51" i="92" s="1"/>
  <c r="G51" i="72"/>
  <c r="G50" i="91"/>
  <c r="G51" i="91" s="1"/>
  <c r="G53" i="86"/>
  <c r="G50" i="86" s="1"/>
  <c r="G51" i="86" s="1"/>
  <c r="G50" i="85"/>
  <c r="G51" i="85" s="1"/>
  <c r="G50" i="84"/>
  <c r="G51" i="84" s="1"/>
  <c r="G50" i="83"/>
  <c r="G51" i="83" s="1"/>
  <c r="J32" i="80"/>
  <c r="F32" i="80"/>
  <c r="J32" i="79"/>
  <c r="F32" i="79"/>
  <c r="J32" i="78"/>
  <c r="F32" i="78"/>
  <c r="G32" i="78" s="1"/>
  <c r="AB6" i="12"/>
  <c r="Q32" i="79" l="1"/>
  <c r="L32" i="78"/>
  <c r="L32" i="79" s="1"/>
  <c r="L32" i="80" s="1"/>
  <c r="L32" i="81" s="1"/>
  <c r="L32" i="82" s="1"/>
  <c r="L32" i="83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42" s="1"/>
  <c r="L32" i="67" s="1"/>
  <c r="L32" i="68" s="1"/>
  <c r="L32" i="69" s="1"/>
  <c r="L32" i="70" s="1"/>
  <c r="L32" i="71" s="1"/>
  <c r="L32" i="72" s="1"/>
  <c r="L32" i="73" s="1"/>
  <c r="L32" i="74" s="1"/>
  <c r="L32" i="75" s="1"/>
  <c r="L32" i="76" s="1"/>
  <c r="L32" i="77" s="1"/>
  <c r="Q32" i="78"/>
  <c r="H32" i="78"/>
  <c r="H32" i="79" s="1"/>
  <c r="H32" i="80" s="1"/>
  <c r="H32" i="81" s="1"/>
  <c r="H32" i="82" s="1"/>
  <c r="H32" i="83" s="1"/>
  <c r="H32" i="84" s="1"/>
  <c r="H32" i="85" s="1"/>
  <c r="H32" i="86" s="1"/>
  <c r="H32" i="87" s="1"/>
  <c r="H32" i="88" s="1"/>
  <c r="H32" i="89" s="1"/>
  <c r="H32" i="90" s="1"/>
  <c r="H32" i="91" s="1"/>
  <c r="H32" i="92" s="1"/>
  <c r="H32" i="93" s="1"/>
  <c r="H32" i="94" s="1"/>
  <c r="H32" i="95" s="1"/>
  <c r="H32" i="96" s="1"/>
  <c r="H32" i="42" s="1"/>
  <c r="H32" i="67" s="1"/>
  <c r="H32" i="68" s="1"/>
  <c r="H32" i="69" s="1"/>
  <c r="H32" i="70" s="1"/>
  <c r="H32" i="71" s="1"/>
  <c r="H32" i="72" s="1"/>
  <c r="H32" i="73" s="1"/>
  <c r="H32" i="74" s="1"/>
  <c r="H32" i="75" s="1"/>
  <c r="H32" i="76" s="1"/>
  <c r="H32" i="77" s="1"/>
  <c r="G50" i="80"/>
  <c r="G51" i="80" s="1"/>
  <c r="Q32" i="80"/>
  <c r="G32" i="79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42" s="1"/>
  <c r="G32" i="67" s="1"/>
  <c r="G32" i="68" s="1"/>
  <c r="G32" i="69" s="1"/>
  <c r="G32" i="70" s="1"/>
  <c r="G32" i="71" s="1"/>
  <c r="G32" i="72" s="1"/>
  <c r="G32" i="73" s="1"/>
  <c r="G32" i="74" s="1"/>
  <c r="G32" i="75" s="1"/>
  <c r="G32" i="76" s="1"/>
  <c r="G32" i="77" s="1"/>
  <c r="K32" i="78"/>
  <c r="K32" i="79" s="1"/>
  <c r="K32" i="80" s="1"/>
  <c r="K32" i="81" s="1"/>
  <c r="K32" i="82" s="1"/>
  <c r="K32" i="83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42" s="1"/>
  <c r="K32" i="67" s="1"/>
  <c r="K32" i="68" s="1"/>
  <c r="K32" i="69" s="1"/>
  <c r="K32" i="70" s="1"/>
  <c r="K32" i="71" s="1"/>
  <c r="K32" i="72" s="1"/>
  <c r="K32" i="73" s="1"/>
  <c r="K32" i="74" s="1"/>
  <c r="K32" i="75" s="1"/>
  <c r="K32" i="76" s="1"/>
  <c r="K32" i="77" s="1"/>
  <c r="R4" i="6" l="1"/>
  <c r="R5" i="6"/>
  <c r="R6" i="6"/>
  <c r="R7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" i="6"/>
  <c r="E39" i="99"/>
  <c r="D39" i="99"/>
  <c r="E35" i="99"/>
  <c r="D35" i="99"/>
  <c r="C35" i="99"/>
  <c r="E34" i="99"/>
  <c r="D34" i="99"/>
  <c r="C34" i="99"/>
  <c r="G34" i="99" l="1"/>
  <c r="G35" i="99"/>
  <c r="P3" i="55" l="1"/>
  <c r="V4" i="12" l="1"/>
  <c r="W4" i="12"/>
  <c r="T4" i="12"/>
  <c r="U4" i="12"/>
  <c r="AI4" i="12" s="1"/>
  <c r="E3" i="3" s="1"/>
  <c r="AD4" i="12" l="1"/>
  <c r="AH4" i="12"/>
  <c r="AC4" i="12"/>
  <c r="AO4" i="12"/>
  <c r="AU4" i="97"/>
  <c r="W4" i="97"/>
  <c r="AD4" i="97" s="1"/>
  <c r="AR4" i="97"/>
  <c r="P4" i="97"/>
  <c r="P41" i="97" s="1"/>
  <c r="N4" i="97"/>
  <c r="M4" i="97"/>
  <c r="AT4" i="97" l="1"/>
  <c r="AS4" i="97"/>
  <c r="AQ4" i="97" l="1"/>
  <c r="AF4" i="97"/>
  <c r="AL4" i="97" s="1"/>
  <c r="AK4" i="97" l="1"/>
  <c r="S11" i="97"/>
  <c r="T11" i="97"/>
  <c r="AH11" i="97" s="1"/>
  <c r="AG11" i="97" l="1"/>
  <c r="AB11" i="97"/>
  <c r="AN11" i="97"/>
  <c r="S33" i="97"/>
  <c r="AN33" i="97" l="1"/>
  <c r="AX32" i="12"/>
  <c r="AX33" i="12"/>
  <c r="T32" i="55" s="1"/>
  <c r="AX34" i="12"/>
  <c r="T33" i="55" s="1"/>
  <c r="AX35" i="12"/>
  <c r="V32" i="55" l="1"/>
  <c r="R4" i="98" l="1"/>
  <c r="R5" i="98"/>
  <c r="R6" i="98"/>
  <c r="R7" i="98"/>
  <c r="R8" i="98"/>
  <c r="R9" i="98"/>
  <c r="R10" i="98"/>
  <c r="R11" i="98"/>
  <c r="R12" i="98"/>
  <c r="R13" i="98"/>
  <c r="R14" i="98"/>
  <c r="R15" i="98"/>
  <c r="R16" i="98"/>
  <c r="R17" i="98"/>
  <c r="R18" i="98"/>
  <c r="R19" i="98"/>
  <c r="R20" i="98"/>
  <c r="R21" i="98"/>
  <c r="R22" i="98"/>
  <c r="R23" i="98"/>
  <c r="R24" i="98"/>
  <c r="R25" i="98"/>
  <c r="R26" i="98"/>
  <c r="R27" i="98"/>
  <c r="R28" i="98"/>
  <c r="R29" i="98"/>
  <c r="R30" i="98"/>
  <c r="R31" i="98"/>
  <c r="R32" i="98"/>
  <c r="R33" i="98"/>
  <c r="D4" i="98"/>
  <c r="L4" i="98" s="1"/>
  <c r="D5" i="98"/>
  <c r="L5" i="98" s="1"/>
  <c r="D6" i="98"/>
  <c r="L6" i="98" s="1"/>
  <c r="D7" i="98"/>
  <c r="L7" i="98" s="1"/>
  <c r="D8" i="98"/>
  <c r="L8" i="98" s="1"/>
  <c r="D9" i="98"/>
  <c r="L9" i="98" s="1"/>
  <c r="D10" i="98"/>
  <c r="L10" i="98" s="1"/>
  <c r="D11" i="98"/>
  <c r="L11" i="98" s="1"/>
  <c r="D12" i="98"/>
  <c r="L12" i="98" s="1"/>
  <c r="D13" i="98"/>
  <c r="L13" i="98" s="1"/>
  <c r="D14" i="98"/>
  <c r="L14" i="98" s="1"/>
  <c r="D15" i="98"/>
  <c r="L15" i="98" s="1"/>
  <c r="D16" i="98"/>
  <c r="L16" i="98" s="1"/>
  <c r="D17" i="98"/>
  <c r="L17" i="98" s="1"/>
  <c r="D18" i="98"/>
  <c r="L18" i="98" s="1"/>
  <c r="D19" i="98"/>
  <c r="L19" i="98" s="1"/>
  <c r="D20" i="98"/>
  <c r="L20" i="98" s="1"/>
  <c r="D21" i="98"/>
  <c r="L21" i="98" s="1"/>
  <c r="D22" i="98"/>
  <c r="L22" i="98" s="1"/>
  <c r="D23" i="98"/>
  <c r="L23" i="98" s="1"/>
  <c r="D24" i="98"/>
  <c r="L24" i="98" s="1"/>
  <c r="D25" i="98"/>
  <c r="L25" i="98" s="1"/>
  <c r="D26" i="98"/>
  <c r="L26" i="98" s="1"/>
  <c r="D27" i="98"/>
  <c r="L27" i="98" s="1"/>
  <c r="D28" i="98"/>
  <c r="D29" i="98"/>
  <c r="L29" i="98" s="1"/>
  <c r="D30" i="98"/>
  <c r="L30" i="98" s="1"/>
  <c r="D31" i="98"/>
  <c r="L31" i="98" s="1"/>
  <c r="D32" i="98"/>
  <c r="L32" i="98" s="1"/>
  <c r="D33" i="98"/>
  <c r="L33" i="98" s="1"/>
  <c r="D3" i="98"/>
  <c r="E4" i="98"/>
  <c r="M4" i="98" s="1"/>
  <c r="E5" i="98"/>
  <c r="M5" i="98" s="1"/>
  <c r="E6" i="98"/>
  <c r="M6" i="98" s="1"/>
  <c r="E7" i="98"/>
  <c r="M7" i="98" s="1"/>
  <c r="E8" i="98"/>
  <c r="M8" i="98" s="1"/>
  <c r="E9" i="98"/>
  <c r="E10" i="98"/>
  <c r="M10" i="98" s="1"/>
  <c r="E11" i="98"/>
  <c r="M11" i="98" s="1"/>
  <c r="E12" i="98"/>
  <c r="M12" i="98" s="1"/>
  <c r="E13" i="98"/>
  <c r="M13" i="98" s="1"/>
  <c r="E14" i="98"/>
  <c r="M14" i="98" s="1"/>
  <c r="E15" i="98"/>
  <c r="M15" i="98" s="1"/>
  <c r="E16" i="98"/>
  <c r="M16" i="98" s="1"/>
  <c r="E17" i="98"/>
  <c r="M17" i="98" s="1"/>
  <c r="E18" i="98"/>
  <c r="M18" i="98" s="1"/>
  <c r="E19" i="98"/>
  <c r="M19" i="98" s="1"/>
  <c r="E20" i="98"/>
  <c r="M20" i="98" s="1"/>
  <c r="E21" i="98"/>
  <c r="E22" i="98"/>
  <c r="M22" i="98" s="1"/>
  <c r="E23" i="98"/>
  <c r="M23" i="98" s="1"/>
  <c r="E24" i="98"/>
  <c r="M24" i="98" s="1"/>
  <c r="E25" i="98"/>
  <c r="M25" i="98" s="1"/>
  <c r="E26" i="98"/>
  <c r="M26" i="98" s="1"/>
  <c r="E27" i="98"/>
  <c r="E28" i="98"/>
  <c r="M28" i="98" s="1"/>
  <c r="E29" i="98"/>
  <c r="M29" i="98" s="1"/>
  <c r="E30" i="98"/>
  <c r="M30" i="98" s="1"/>
  <c r="E31" i="98"/>
  <c r="M31" i="98" s="1"/>
  <c r="E32" i="98"/>
  <c r="M32" i="98" s="1"/>
  <c r="E33" i="98"/>
  <c r="M33" i="98" s="1"/>
  <c r="M9" i="98"/>
  <c r="M21" i="98"/>
  <c r="M27" i="98"/>
  <c r="L28" i="98"/>
  <c r="R33" i="97" l="1"/>
  <c r="S33" i="12"/>
  <c r="AB33" i="12" s="1"/>
  <c r="AA33" i="97" l="1"/>
  <c r="V32" i="97"/>
  <c r="AC32" i="97" s="1"/>
  <c r="D40" i="12" l="1"/>
  <c r="E40" i="12"/>
  <c r="F40" i="12"/>
  <c r="H40" i="12"/>
  <c r="I40" i="12"/>
  <c r="J40" i="12"/>
  <c r="K40" i="12"/>
  <c r="AJ40" i="12"/>
  <c r="AK40" i="12"/>
  <c r="C40" i="12"/>
  <c r="D41" i="97"/>
  <c r="E41" i="97"/>
  <c r="F41" i="97"/>
  <c r="H41" i="97"/>
  <c r="I41" i="97"/>
  <c r="J41" i="97"/>
  <c r="AI41" i="97"/>
  <c r="AJ41" i="97"/>
  <c r="C41" i="97"/>
  <c r="AI42" i="97" l="1"/>
  <c r="AJ42" i="97"/>
  <c r="J42" i="97"/>
  <c r="K42" i="97"/>
  <c r="I42" i="97"/>
  <c r="D42" i="97"/>
  <c r="F42" i="97"/>
  <c r="H42" i="97"/>
  <c r="E42" i="97"/>
  <c r="T29" i="97"/>
  <c r="AH29" i="97" s="1"/>
  <c r="AG29" i="97" l="1"/>
  <c r="AN29" i="97"/>
  <c r="AB29" i="97"/>
  <c r="P4" i="55"/>
  <c r="P5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V26" i="97" l="1"/>
  <c r="AC26" i="97" s="1"/>
  <c r="T26" i="97" l="1"/>
  <c r="AH26" i="97" s="1"/>
  <c r="AB26" i="97" l="1"/>
  <c r="T24" i="12"/>
  <c r="AH24" i="12" l="1"/>
  <c r="AO24" i="12"/>
  <c r="W22" i="12"/>
  <c r="AD22" i="12" s="1"/>
  <c r="S21" i="97" l="1"/>
  <c r="AG21" i="97" l="1"/>
  <c r="AN21" i="97"/>
  <c r="T20" i="97"/>
  <c r="AH20" i="97" s="1"/>
  <c r="AE9" i="12" l="1"/>
  <c r="AE16" i="12"/>
  <c r="AE17" i="12"/>
  <c r="AE34" i="12"/>
  <c r="S20" i="97"/>
  <c r="Y20" i="12"/>
  <c r="AE20" i="12" s="1"/>
  <c r="W20" i="12"/>
  <c r="AD20" i="12" s="1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4" i="12"/>
  <c r="P40" i="12" s="1"/>
  <c r="AG20" i="97" l="1"/>
  <c r="AB20" i="97"/>
  <c r="AN20" i="97"/>
  <c r="T19" i="12"/>
  <c r="U19" i="12"/>
  <c r="V18" i="97"/>
  <c r="U18" i="97"/>
  <c r="AH19" i="12" l="1"/>
  <c r="AO19" i="12"/>
  <c r="AC19" i="12"/>
  <c r="AC18" i="97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3" i="2"/>
  <c r="D34" i="8" l="1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C34" i="8"/>
  <c r="G12" i="55" l="1"/>
  <c r="J53" i="87" s="1"/>
  <c r="G13" i="55"/>
  <c r="J53" i="88" s="1"/>
  <c r="G14" i="55"/>
  <c r="J53" i="89" s="1"/>
  <c r="G15" i="55"/>
  <c r="J53" i="90" s="1"/>
  <c r="G11" i="55"/>
  <c r="G10" i="55"/>
  <c r="J53" i="85" s="1"/>
  <c r="N53" i="85" s="1"/>
  <c r="J53" i="86" l="1"/>
  <c r="N53" i="86" s="1"/>
  <c r="K11" i="55"/>
  <c r="N53" i="88"/>
  <c r="N53" i="90"/>
  <c r="N53" i="89"/>
  <c r="N53" i="87"/>
  <c r="Y12" i="12"/>
  <c r="Y11" i="12"/>
  <c r="AE11" i="12" s="1"/>
  <c r="Y13" i="12"/>
  <c r="Y14" i="12"/>
  <c r="AE14" i="12" s="1"/>
  <c r="Y15" i="12"/>
  <c r="AE15" i="12" s="1"/>
  <c r="AE13" i="12" l="1"/>
  <c r="AI13" i="12"/>
  <c r="AE12" i="12"/>
  <c r="AI12" i="12"/>
  <c r="R13" i="97"/>
  <c r="AA13" i="97" l="1"/>
  <c r="EX4" i="1"/>
  <c r="EX5" i="1"/>
  <c r="EX6" i="1"/>
  <c r="EX7" i="1"/>
  <c r="EX8" i="1"/>
  <c r="EX9" i="1"/>
  <c r="EX10" i="1"/>
  <c r="EX11" i="1"/>
  <c r="EX12" i="1"/>
  <c r="EX13" i="1"/>
  <c r="EX3" i="1"/>
  <c r="Y10" i="12"/>
  <c r="AE10" i="12" l="1"/>
  <c r="CC9" i="6" l="1"/>
  <c r="V33" i="12" l="1"/>
  <c r="T33" i="97"/>
  <c r="AB33" i="97" l="1"/>
  <c r="AH33" i="97"/>
  <c r="M33" i="74"/>
  <c r="D29" i="6" l="1"/>
  <c r="S34" i="55" l="1"/>
  <c r="V29" i="12" l="1"/>
  <c r="W29" i="12"/>
  <c r="AH29" i="12" l="1"/>
  <c r="AD29" i="12"/>
  <c r="W23" i="12"/>
  <c r="AD23" i="12" s="1"/>
  <c r="W16" i="12" l="1"/>
  <c r="AI16" i="12" s="1"/>
  <c r="V16" i="12"/>
  <c r="AH16" i="12" l="1"/>
  <c r="AD16" i="12"/>
  <c r="AH13" i="97"/>
  <c r="E12" i="3" s="1"/>
  <c r="AB13" i="97" l="1"/>
  <c r="Z12" i="6"/>
  <c r="U10" i="12" l="1"/>
  <c r="AC10" i="12" s="1"/>
  <c r="V5" i="55" l="1"/>
  <c r="G4" i="55" l="1"/>
  <c r="K4" i="55" s="1"/>
  <c r="G5" i="55"/>
  <c r="J53" i="80" s="1"/>
  <c r="G6" i="55"/>
  <c r="J53" i="82"/>
  <c r="G8" i="55"/>
  <c r="J53" i="83" s="1"/>
  <c r="N53" i="83" s="1"/>
  <c r="G9" i="55"/>
  <c r="J53" i="84" s="1"/>
  <c r="N53" i="84" s="1"/>
  <c r="G16" i="55"/>
  <c r="J53" i="91" s="1"/>
  <c r="G17" i="55"/>
  <c r="J53" i="92" s="1"/>
  <c r="G18" i="55"/>
  <c r="J53" i="93" s="1"/>
  <c r="G19" i="55"/>
  <c r="J53" i="94" s="1"/>
  <c r="G20" i="55"/>
  <c r="J53" i="95" s="1"/>
  <c r="G21" i="55"/>
  <c r="J53" i="96" s="1"/>
  <c r="G22" i="55"/>
  <c r="J53" i="42" s="1"/>
  <c r="G23" i="55"/>
  <c r="J53" i="67" s="1"/>
  <c r="J53" i="68"/>
  <c r="J53" i="69"/>
  <c r="G26" i="55"/>
  <c r="G27" i="55"/>
  <c r="J53" i="71" s="1"/>
  <c r="G28" i="55"/>
  <c r="J53" i="72" s="1"/>
  <c r="G29" i="55"/>
  <c r="J53" i="74"/>
  <c r="G31" i="55"/>
  <c r="J53" i="75" s="1"/>
  <c r="G32" i="55"/>
  <c r="J53" i="76" s="1"/>
  <c r="G33" i="55"/>
  <c r="I53" i="77" s="1"/>
  <c r="G3" i="55"/>
  <c r="F53" i="81"/>
  <c r="C3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J53" i="73" l="1"/>
  <c r="N53" i="73" s="1"/>
  <c r="K29" i="55"/>
  <c r="J53" i="70"/>
  <c r="N53" i="70" s="1"/>
  <c r="K26" i="55"/>
  <c r="N53" i="69"/>
  <c r="N53" i="94"/>
  <c r="N53" i="96"/>
  <c r="N53" i="68"/>
  <c r="N53" i="93"/>
  <c r="J53" i="81"/>
  <c r="N53" i="81" s="1"/>
  <c r="K6" i="55"/>
  <c r="N53" i="71"/>
  <c r="N53" i="76"/>
  <c r="N53" i="75"/>
  <c r="N53" i="67"/>
  <c r="N53" i="92"/>
  <c r="N53" i="95"/>
  <c r="N53" i="74"/>
  <c r="N53" i="72"/>
  <c r="N53" i="42"/>
  <c r="N53" i="91"/>
  <c r="K9" i="55"/>
  <c r="N53" i="82"/>
  <c r="V4" i="55"/>
  <c r="T5" i="12" l="1"/>
  <c r="U5" i="12"/>
  <c r="AI5" i="12" s="1"/>
  <c r="AH5" i="12" l="1"/>
  <c r="AO5" i="12"/>
  <c r="AC5" i="12"/>
  <c r="R34" i="55"/>
  <c r="O34" i="55"/>
  <c r="Q34" i="55" s="1"/>
  <c r="ER4" i="1" l="1"/>
  <c r="ER5" i="1"/>
  <c r="ER6" i="1"/>
  <c r="ER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R20" i="1"/>
  <c r="ER21" i="1"/>
  <c r="ER22" i="1"/>
  <c r="ER23" i="1"/>
  <c r="ER24" i="1"/>
  <c r="ER25" i="1"/>
  <c r="ER26" i="1"/>
  <c r="ER27" i="1"/>
  <c r="ER28" i="1"/>
  <c r="ER29" i="1"/>
  <c r="ER30" i="1"/>
  <c r="ER31" i="1"/>
  <c r="ER32" i="1"/>
  <c r="ER3" i="1"/>
  <c r="T32" i="97" l="1"/>
  <c r="AB32" i="97" s="1"/>
  <c r="R32" i="97"/>
  <c r="AH32" i="97" s="1"/>
  <c r="S32" i="12"/>
  <c r="AB32" i="12" s="1"/>
  <c r="AA32" i="97" l="1"/>
  <c r="R40" i="12"/>
  <c r="S12" i="97" l="1"/>
  <c r="AG12" i="97" l="1"/>
  <c r="AN12" i="97"/>
  <c r="T11" i="12"/>
  <c r="AH11" i="12" l="1"/>
  <c r="AO11" i="12"/>
  <c r="W10" i="12"/>
  <c r="AI10" i="12" l="1"/>
  <c r="E9" i="3" s="1"/>
  <c r="AD10" i="12"/>
  <c r="T9" i="12"/>
  <c r="AH9" i="12" l="1"/>
  <c r="AO9" i="12"/>
  <c r="U6" i="12"/>
  <c r="AI6" i="12" s="1"/>
  <c r="CM4" i="6" l="1"/>
  <c r="CM5" i="6"/>
  <c r="CM6" i="6"/>
  <c r="CM7" i="6"/>
  <c r="CM8" i="6"/>
  <c r="CM9" i="6"/>
  <c r="CM10" i="6"/>
  <c r="CM11" i="6"/>
  <c r="CM12" i="6"/>
  <c r="CM13" i="6"/>
  <c r="CM14" i="6"/>
  <c r="CM15" i="6"/>
  <c r="CM16" i="6"/>
  <c r="CM17" i="6"/>
  <c r="CM18" i="6"/>
  <c r="CM19" i="6"/>
  <c r="CM20" i="6"/>
  <c r="CM21" i="6"/>
  <c r="CM22" i="6"/>
  <c r="CM23" i="6"/>
  <c r="CM24" i="6"/>
  <c r="CM25" i="6"/>
  <c r="CM26" i="6"/>
  <c r="CM27" i="6"/>
  <c r="CM28" i="6"/>
  <c r="CM29" i="6"/>
  <c r="CM30" i="6"/>
  <c r="CM31" i="6"/>
  <c r="CM32" i="6"/>
  <c r="CM33" i="6"/>
  <c r="V34" i="12" l="1"/>
  <c r="S34" i="12"/>
  <c r="AB34" i="12" s="1"/>
  <c r="AH34" i="12" l="1"/>
  <c r="O34" i="12"/>
  <c r="O31" i="6" l="1"/>
  <c r="R36" i="97" l="1"/>
  <c r="U31" i="12" l="1"/>
  <c r="AC31" i="12" s="1"/>
  <c r="T25" i="12" l="1"/>
  <c r="U25" i="12"/>
  <c r="AH25" i="12" l="1"/>
  <c r="AO25" i="12"/>
  <c r="AC25" i="12"/>
  <c r="U24" i="12"/>
  <c r="AC24" i="12" s="1"/>
  <c r="U22" i="12" l="1"/>
  <c r="AC22" i="12" s="1"/>
  <c r="U41" i="97" l="1"/>
  <c r="AU5" i="97" l="1"/>
  <c r="U4" i="55" s="1"/>
  <c r="AU6" i="97"/>
  <c r="U5" i="55" s="1"/>
  <c r="AU7" i="97"/>
  <c r="U6" i="55" s="1"/>
  <c r="AU8" i="97"/>
  <c r="U7" i="55" s="1"/>
  <c r="AU9" i="97"/>
  <c r="U8" i="55" s="1"/>
  <c r="AU10" i="97"/>
  <c r="U9" i="55" s="1"/>
  <c r="AU11" i="97"/>
  <c r="U10" i="55" s="1"/>
  <c r="AU12" i="97"/>
  <c r="U11" i="55" s="1"/>
  <c r="AU13" i="97"/>
  <c r="U12" i="55" s="1"/>
  <c r="AU14" i="97"/>
  <c r="U13" i="55" s="1"/>
  <c r="AU15" i="97"/>
  <c r="U14" i="55" s="1"/>
  <c r="AU16" i="97"/>
  <c r="U15" i="55" s="1"/>
  <c r="AU17" i="97"/>
  <c r="U16" i="55" s="1"/>
  <c r="AU18" i="97"/>
  <c r="U17" i="55" s="1"/>
  <c r="AU19" i="97"/>
  <c r="U18" i="55" s="1"/>
  <c r="AU20" i="97"/>
  <c r="U19" i="55" s="1"/>
  <c r="AU21" i="97"/>
  <c r="U20" i="55" s="1"/>
  <c r="AU22" i="97"/>
  <c r="U21" i="55" s="1"/>
  <c r="AU23" i="97"/>
  <c r="U22" i="55" s="1"/>
  <c r="AU24" i="97"/>
  <c r="U23" i="55" s="1"/>
  <c r="AU25" i="97"/>
  <c r="U24" i="55" s="1"/>
  <c r="AU26" i="97"/>
  <c r="U25" i="55" s="1"/>
  <c r="AU27" i="97"/>
  <c r="U26" i="55" s="1"/>
  <c r="AU28" i="97"/>
  <c r="U27" i="55" s="1"/>
  <c r="AU29" i="97"/>
  <c r="U28" i="55" s="1"/>
  <c r="AU30" i="97"/>
  <c r="AU31" i="97"/>
  <c r="U30" i="55" s="1"/>
  <c r="AU32" i="97"/>
  <c r="U31" i="55" s="1"/>
  <c r="AU33" i="97"/>
  <c r="U32" i="55" s="1"/>
  <c r="AU34" i="97"/>
  <c r="U33" i="55" s="1"/>
  <c r="AU35" i="97"/>
  <c r="AU36" i="97"/>
  <c r="U3" i="55"/>
  <c r="AX36" i="12"/>
  <c r="AX5" i="12"/>
  <c r="AX6" i="12"/>
  <c r="AX7" i="12"/>
  <c r="T6" i="55" s="1"/>
  <c r="AX8" i="12"/>
  <c r="T7" i="55" s="1"/>
  <c r="AX9" i="12"/>
  <c r="T8" i="55" s="1"/>
  <c r="AX10" i="12"/>
  <c r="T9" i="55" s="1"/>
  <c r="AX11" i="12"/>
  <c r="T10" i="55" s="1"/>
  <c r="AX12" i="12"/>
  <c r="T11" i="55" s="1"/>
  <c r="AX13" i="12"/>
  <c r="T12" i="55" s="1"/>
  <c r="AX14" i="12"/>
  <c r="T13" i="55" s="1"/>
  <c r="AX15" i="12"/>
  <c r="T14" i="55" s="1"/>
  <c r="AX16" i="12"/>
  <c r="T15" i="55" s="1"/>
  <c r="AX17" i="12"/>
  <c r="T16" i="55" s="1"/>
  <c r="AX18" i="12"/>
  <c r="T17" i="55" s="1"/>
  <c r="AX19" i="12"/>
  <c r="T18" i="55" s="1"/>
  <c r="AX20" i="12"/>
  <c r="T19" i="55" s="1"/>
  <c r="AX21" i="12"/>
  <c r="T20" i="55" s="1"/>
  <c r="AX22" i="12"/>
  <c r="T21" i="55" s="1"/>
  <c r="AX23" i="12"/>
  <c r="T22" i="55" s="1"/>
  <c r="AX24" i="12"/>
  <c r="T23" i="55" s="1"/>
  <c r="AX25" i="12"/>
  <c r="T24" i="55" s="1"/>
  <c r="AX26" i="12"/>
  <c r="T25" i="55" s="1"/>
  <c r="AX27" i="12"/>
  <c r="T26" i="55" s="1"/>
  <c r="AX28" i="12"/>
  <c r="T27" i="55" s="1"/>
  <c r="AX29" i="12"/>
  <c r="T28" i="55" s="1"/>
  <c r="AX30" i="12"/>
  <c r="AX31" i="12"/>
  <c r="T30" i="55" s="1"/>
  <c r="T31" i="55"/>
  <c r="AX4" i="12"/>
  <c r="T3" i="55" s="1"/>
  <c r="T4" i="55" l="1"/>
  <c r="AX40" i="12"/>
  <c r="T34" i="55" s="1"/>
  <c r="U29" i="55"/>
  <c r="AU41" i="97"/>
  <c r="U34" i="55" s="1"/>
  <c r="T29" i="55"/>
  <c r="T5" i="55"/>
  <c r="F38" i="77"/>
  <c r="V34" i="97" l="1"/>
  <c r="AC34" i="97" s="1"/>
  <c r="Q41" i="97"/>
  <c r="T33" i="98"/>
  <c r="G33" i="98"/>
  <c r="O33" i="98" s="1"/>
  <c r="F33" i="98"/>
  <c r="N33" i="98" s="1"/>
  <c r="Q42" i="97" l="1"/>
  <c r="W34" i="12"/>
  <c r="AI34" i="12" l="1"/>
  <c r="AD34" i="12"/>
  <c r="AU34" i="12" s="1"/>
  <c r="AI33" i="6"/>
  <c r="AH33" i="6"/>
  <c r="AV34" i="12" l="1"/>
  <c r="AB4" i="55"/>
  <c r="AB5" i="55"/>
  <c r="AB6" i="55"/>
  <c r="AB7" i="55"/>
  <c r="AB8" i="55"/>
  <c r="AB9" i="55"/>
  <c r="AB10" i="55"/>
  <c r="AB11" i="55"/>
  <c r="AB12" i="55"/>
  <c r="AB13" i="55"/>
  <c r="AB14" i="55"/>
  <c r="AB15" i="55"/>
  <c r="AB16" i="55"/>
  <c r="AB17" i="55"/>
  <c r="AB18" i="55"/>
  <c r="AB19" i="55"/>
  <c r="AB20" i="55"/>
  <c r="AB21" i="55"/>
  <c r="AB22" i="55"/>
  <c r="AB23" i="55"/>
  <c r="AB24" i="55"/>
  <c r="AB25" i="55"/>
  <c r="AB26" i="55"/>
  <c r="AB27" i="55"/>
  <c r="AB28" i="55"/>
  <c r="AB29" i="55"/>
  <c r="AB30" i="55"/>
  <c r="AB31" i="55"/>
  <c r="AB32" i="55"/>
  <c r="AB3" i="55"/>
  <c r="AC4" i="55"/>
  <c r="AC5" i="55"/>
  <c r="AC6" i="55"/>
  <c r="AC7" i="55"/>
  <c r="AC8" i="55"/>
  <c r="AC9" i="55"/>
  <c r="AC10" i="55"/>
  <c r="AC11" i="55"/>
  <c r="AC12" i="55"/>
  <c r="AC13" i="55"/>
  <c r="AC14" i="55"/>
  <c r="AC15" i="55"/>
  <c r="AC16" i="55"/>
  <c r="AC17" i="55"/>
  <c r="AC18" i="55"/>
  <c r="AC19" i="55"/>
  <c r="AC20" i="55"/>
  <c r="AC21" i="55"/>
  <c r="AC22" i="55"/>
  <c r="AC23" i="55"/>
  <c r="AC24" i="55"/>
  <c r="AC25" i="55"/>
  <c r="AC26" i="55"/>
  <c r="AC27" i="55"/>
  <c r="AC28" i="55"/>
  <c r="AC29" i="55"/>
  <c r="AC30" i="55"/>
  <c r="AC31" i="55"/>
  <c r="AC32" i="55"/>
  <c r="AC3" i="55"/>
  <c r="AC33" i="55" l="1"/>
  <c r="AB33" i="55"/>
  <c r="W33" i="12"/>
  <c r="AD33" i="12" s="1"/>
  <c r="AE30" i="6" l="1"/>
  <c r="AE31" i="6"/>
  <c r="AE32" i="6"/>
  <c r="AE33" i="6"/>
  <c r="AF30" i="6"/>
  <c r="AF31" i="6"/>
  <c r="AF32" i="6"/>
  <c r="AF33" i="6"/>
  <c r="AH33" i="12"/>
  <c r="S40" i="12" l="1"/>
  <c r="AB40" i="12" s="1"/>
  <c r="T30" i="12" l="1"/>
  <c r="U30" i="12"/>
  <c r="AH30" i="12" l="1"/>
  <c r="AO30" i="12"/>
  <c r="AC30" i="12"/>
  <c r="J31" i="69"/>
  <c r="F50" i="69" s="1"/>
  <c r="F51" i="69" s="1"/>
  <c r="W25" i="12" l="1"/>
  <c r="AD25" i="12" s="1"/>
  <c r="Y22" i="12" l="1"/>
  <c r="AI22" i="12" s="1"/>
  <c r="AE22" i="12" l="1"/>
  <c r="W16" i="97" l="1"/>
  <c r="AD16" i="97" s="1"/>
  <c r="U15" i="12"/>
  <c r="AI15" i="12" l="1"/>
  <c r="E14" i="3" s="1"/>
  <c r="AC15" i="12"/>
  <c r="EP34" i="1"/>
  <c r="W11" i="97" l="1"/>
  <c r="AD11" i="97" s="1"/>
  <c r="EO38" i="1" l="1"/>
  <c r="BL35" i="6" l="1"/>
  <c r="AL20" i="6" l="1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B33" i="6"/>
  <c r="AC33" i="6"/>
  <c r="CP3" i="6" l="1"/>
  <c r="CU33" i="6"/>
  <c r="CN3" i="6" l="1"/>
  <c r="CU3" i="6"/>
  <c r="CN8" i="6"/>
  <c r="CU8" i="6"/>
  <c r="CN14" i="6"/>
  <c r="CU14" i="6"/>
  <c r="CN6" i="6"/>
  <c r="CU6" i="6"/>
  <c r="CN26" i="6"/>
  <c r="CU26" i="6"/>
  <c r="CN25" i="6"/>
  <c r="CU25" i="6"/>
  <c r="CN13" i="6"/>
  <c r="CU13" i="6"/>
  <c r="CN18" i="6"/>
  <c r="CU18" i="6"/>
  <c r="CN11" i="6"/>
  <c r="CU11" i="6"/>
  <c r="CN5" i="6"/>
  <c r="CU5" i="6"/>
  <c r="CN20" i="6"/>
  <c r="CU20" i="6"/>
  <c r="CN19" i="6"/>
  <c r="CU19" i="6"/>
  <c r="CN30" i="6"/>
  <c r="CU30" i="6"/>
  <c r="CN12" i="6"/>
  <c r="CU12" i="6"/>
  <c r="CN23" i="6"/>
  <c r="CU23" i="6"/>
  <c r="CN16" i="6"/>
  <c r="CU16" i="6"/>
  <c r="CN10" i="6"/>
  <c r="CU10" i="6"/>
  <c r="CN4" i="6"/>
  <c r="CU4" i="6"/>
  <c r="CN32" i="6"/>
  <c r="CU32" i="6"/>
  <c r="CN31" i="6"/>
  <c r="CU31" i="6"/>
  <c r="CN7" i="6"/>
  <c r="CU7" i="6"/>
  <c r="CN24" i="6"/>
  <c r="CU24" i="6"/>
  <c r="CN29" i="6"/>
  <c r="CU29" i="6"/>
  <c r="CN17" i="6"/>
  <c r="CU17" i="6"/>
  <c r="CN28" i="6"/>
  <c r="CU28" i="6"/>
  <c r="CN22" i="6"/>
  <c r="CU22" i="6"/>
  <c r="CN27" i="6"/>
  <c r="CU27" i="6"/>
  <c r="CN21" i="6"/>
  <c r="CU21" i="6"/>
  <c r="CN15" i="6"/>
  <c r="CU15" i="6"/>
  <c r="CN9" i="6"/>
  <c r="CU9" i="6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AK24" i="6"/>
  <c r="AK25" i="6"/>
  <c r="F38" i="69" s="1"/>
  <c r="AK26" i="6"/>
  <c r="F38" i="70" s="1"/>
  <c r="Q38" i="70" s="1"/>
  <c r="AK27" i="6"/>
  <c r="F38" i="71" s="1"/>
  <c r="AK28" i="6"/>
  <c r="AK29" i="6"/>
  <c r="F38" i="73" s="1"/>
  <c r="AK30" i="6"/>
  <c r="AK31" i="6"/>
  <c r="F38" i="75" s="1"/>
  <c r="AI24" i="6"/>
  <c r="AI25" i="6"/>
  <c r="AI26" i="6"/>
  <c r="AI27" i="6"/>
  <c r="AI28" i="6"/>
  <c r="AI29" i="6"/>
  <c r="AI30" i="6"/>
  <c r="AI31" i="6"/>
  <c r="AI32" i="6"/>
  <c r="AH26" i="6"/>
  <c r="AH27" i="6"/>
  <c r="AH28" i="6"/>
  <c r="AH29" i="6"/>
  <c r="AH30" i="6"/>
  <c r="AH31" i="6"/>
  <c r="AH32" i="6"/>
  <c r="AF25" i="6"/>
  <c r="AF26" i="6"/>
  <c r="AF27" i="6"/>
  <c r="AF28" i="6"/>
  <c r="AF29" i="6"/>
  <c r="AE28" i="6"/>
  <c r="AE29" i="6"/>
  <c r="AC28" i="6"/>
  <c r="AC29" i="6"/>
  <c r="AC30" i="6"/>
  <c r="AC31" i="6"/>
  <c r="AC32" i="6"/>
  <c r="AB29" i="6"/>
  <c r="AB30" i="6"/>
  <c r="AB31" i="6"/>
  <c r="AB32" i="6"/>
  <c r="AM30" i="6" l="1"/>
  <c r="F38" i="74"/>
  <c r="AM24" i="6"/>
  <c r="F38" i="68"/>
  <c r="AM28" i="6"/>
  <c r="F38" i="72"/>
  <c r="AM27" i="6"/>
  <c r="AD31" i="6"/>
  <c r="AM26" i="6"/>
  <c r="AM31" i="6"/>
  <c r="AM25" i="6"/>
  <c r="AD32" i="6"/>
  <c r="AM29" i="6"/>
  <c r="AD30" i="6"/>
  <c r="H38" i="68" l="1"/>
  <c r="G38" i="68"/>
  <c r="U29" i="12"/>
  <c r="AC29" i="12" s="1"/>
  <c r="T4" i="98" l="1"/>
  <c r="T5" i="98"/>
  <c r="T6" i="98"/>
  <c r="T7" i="98"/>
  <c r="T8" i="98"/>
  <c r="T9" i="98"/>
  <c r="T10" i="98"/>
  <c r="T11" i="98"/>
  <c r="T12" i="98"/>
  <c r="T13" i="98"/>
  <c r="T14" i="98"/>
  <c r="T15" i="98"/>
  <c r="T16" i="98"/>
  <c r="T17" i="98"/>
  <c r="T18" i="98"/>
  <c r="T19" i="98"/>
  <c r="T20" i="98"/>
  <c r="T21" i="98"/>
  <c r="T22" i="98"/>
  <c r="T23" i="98"/>
  <c r="T24" i="98"/>
  <c r="T25" i="98"/>
  <c r="T26" i="98"/>
  <c r="T27" i="98"/>
  <c r="T28" i="98"/>
  <c r="T30" i="98"/>
  <c r="T31" i="98"/>
  <c r="T32" i="98"/>
  <c r="F4" i="98"/>
  <c r="N4" i="98" s="1"/>
  <c r="F5" i="98"/>
  <c r="N5" i="98" s="1"/>
  <c r="F6" i="98"/>
  <c r="N6" i="98" s="1"/>
  <c r="F7" i="98"/>
  <c r="N7" i="98" s="1"/>
  <c r="F8" i="98"/>
  <c r="N8" i="98" s="1"/>
  <c r="F9" i="98"/>
  <c r="N9" i="98" s="1"/>
  <c r="F10" i="98"/>
  <c r="N10" i="98" s="1"/>
  <c r="F11" i="98"/>
  <c r="N11" i="98" s="1"/>
  <c r="F12" i="98"/>
  <c r="N12" i="98" s="1"/>
  <c r="F13" i="98"/>
  <c r="N13" i="98" s="1"/>
  <c r="F14" i="98"/>
  <c r="N14" i="98" s="1"/>
  <c r="F15" i="98"/>
  <c r="N15" i="98" s="1"/>
  <c r="F16" i="98"/>
  <c r="N16" i="98" s="1"/>
  <c r="F17" i="98"/>
  <c r="N17" i="98" s="1"/>
  <c r="F18" i="98"/>
  <c r="N18" i="98" s="1"/>
  <c r="F19" i="98"/>
  <c r="N19" i="98" s="1"/>
  <c r="F20" i="98"/>
  <c r="N20" i="98" s="1"/>
  <c r="F21" i="98"/>
  <c r="N21" i="98" s="1"/>
  <c r="F22" i="98"/>
  <c r="N22" i="98" s="1"/>
  <c r="F23" i="98"/>
  <c r="N23" i="98" s="1"/>
  <c r="F24" i="98"/>
  <c r="N24" i="98" s="1"/>
  <c r="F25" i="98"/>
  <c r="N25" i="98" s="1"/>
  <c r="F26" i="98"/>
  <c r="N26" i="98" s="1"/>
  <c r="F27" i="98"/>
  <c r="N27" i="98" s="1"/>
  <c r="F28" i="98"/>
  <c r="N28" i="98" s="1"/>
  <c r="F29" i="98"/>
  <c r="N29" i="98" s="1"/>
  <c r="F30" i="98"/>
  <c r="N30" i="98" s="1"/>
  <c r="F31" i="98"/>
  <c r="N31" i="98" s="1"/>
  <c r="F32" i="98"/>
  <c r="N32" i="98" s="1"/>
  <c r="G4" i="98"/>
  <c r="O4" i="98" s="1"/>
  <c r="G5" i="98"/>
  <c r="O5" i="98" s="1"/>
  <c r="G6" i="98"/>
  <c r="O6" i="98" s="1"/>
  <c r="G7" i="98"/>
  <c r="O7" i="98" s="1"/>
  <c r="G8" i="98"/>
  <c r="O8" i="98" s="1"/>
  <c r="G9" i="98"/>
  <c r="O9" i="98" s="1"/>
  <c r="G10" i="98"/>
  <c r="O10" i="98" s="1"/>
  <c r="G11" i="98"/>
  <c r="O11" i="98" s="1"/>
  <c r="G12" i="98"/>
  <c r="O12" i="98" s="1"/>
  <c r="G13" i="98"/>
  <c r="O13" i="98" s="1"/>
  <c r="G14" i="98"/>
  <c r="O14" i="98" s="1"/>
  <c r="G15" i="98"/>
  <c r="O15" i="98" s="1"/>
  <c r="G16" i="98"/>
  <c r="O16" i="98" s="1"/>
  <c r="G17" i="98"/>
  <c r="O17" i="98" s="1"/>
  <c r="G18" i="98"/>
  <c r="O18" i="98" s="1"/>
  <c r="G19" i="98"/>
  <c r="O19" i="98" s="1"/>
  <c r="G20" i="98"/>
  <c r="O20" i="98" s="1"/>
  <c r="G21" i="98"/>
  <c r="O21" i="98" s="1"/>
  <c r="G22" i="98"/>
  <c r="O22" i="98" s="1"/>
  <c r="G23" i="98"/>
  <c r="O23" i="98" s="1"/>
  <c r="G24" i="98"/>
  <c r="O24" i="98" s="1"/>
  <c r="G25" i="98"/>
  <c r="O25" i="98" s="1"/>
  <c r="G26" i="98"/>
  <c r="O26" i="98" s="1"/>
  <c r="G27" i="98"/>
  <c r="O27" i="98" s="1"/>
  <c r="G28" i="98"/>
  <c r="O28" i="98" s="1"/>
  <c r="G29" i="98"/>
  <c r="O29" i="98" s="1"/>
  <c r="G30" i="98"/>
  <c r="O30" i="98" s="1"/>
  <c r="G31" i="98"/>
  <c r="O31" i="98" s="1"/>
  <c r="G32" i="98"/>
  <c r="O32" i="98" s="1"/>
  <c r="G3" i="98"/>
  <c r="F3" i="98"/>
  <c r="N3" i="98" s="1"/>
  <c r="E3" i="98"/>
  <c r="G34" i="98" l="1"/>
  <c r="M3" i="98"/>
  <c r="E34" i="98"/>
  <c r="L3" i="98"/>
  <c r="D34" i="98"/>
  <c r="F34" i="98"/>
  <c r="T3" i="98"/>
  <c r="R34" i="98"/>
  <c r="O3" i="98"/>
  <c r="O34" i="98" s="1"/>
  <c r="T29" i="98"/>
  <c r="T28" i="12"/>
  <c r="U28" i="12"/>
  <c r="AH28" i="12" l="1"/>
  <c r="AC28" i="12"/>
  <c r="AO28" i="12"/>
  <c r="T34" i="98"/>
  <c r="S35" i="98" s="1"/>
  <c r="Q14" i="78" s="1"/>
  <c r="O35" i="98"/>
  <c r="Q12" i="42" s="1"/>
  <c r="M34" i="98"/>
  <c r="M35" i="98" s="1"/>
  <c r="Q10" i="81" s="1"/>
  <c r="L34" i="98"/>
  <c r="L35" i="98" s="1"/>
  <c r="Q9" i="81" s="1"/>
  <c r="N34" i="98"/>
  <c r="N35" i="98" s="1"/>
  <c r="S36" i="98"/>
  <c r="Q14" i="89" l="1"/>
  <c r="Q14" i="96"/>
  <c r="Q14" i="92"/>
  <c r="Q14" i="42"/>
  <c r="Q14" i="86"/>
  <c r="Q14" i="94"/>
  <c r="Q14" i="79"/>
  <c r="Q14" i="72"/>
  <c r="Q14" i="75"/>
  <c r="Q14" i="77"/>
  <c r="Q14" i="69"/>
  <c r="Q14" i="81"/>
  <c r="Q14" i="80"/>
  <c r="Q14" i="67"/>
  <c r="Q12" i="80"/>
  <c r="Q12" i="81"/>
  <c r="Q11" i="80"/>
  <c r="Q11" i="81"/>
  <c r="Q9" i="79"/>
  <c r="Q9" i="80"/>
  <c r="Q10" i="79"/>
  <c r="Q10" i="80"/>
  <c r="Q11" i="77"/>
  <c r="Q11" i="79"/>
  <c r="Q12" i="77"/>
  <c r="Q12" i="79"/>
  <c r="Q12" i="75"/>
  <c r="Q12" i="76"/>
  <c r="Q11" i="75"/>
  <c r="Q11" i="76"/>
  <c r="Q11" i="73"/>
  <c r="Q11" i="74"/>
  <c r="Q12" i="73"/>
  <c r="Q12" i="74"/>
  <c r="Q11" i="71"/>
  <c r="Q11" i="72"/>
  <c r="Q12" i="71"/>
  <c r="Q12" i="72"/>
  <c r="Q11" i="70"/>
  <c r="Q11" i="69"/>
  <c r="Q11" i="68"/>
  <c r="Q12" i="70"/>
  <c r="Q12" i="69"/>
  <c r="Q12" i="68"/>
  <c r="Q12" i="67"/>
  <c r="Q11" i="42"/>
  <c r="Q11" i="67"/>
  <c r="Q11" i="95"/>
  <c r="Q11" i="96"/>
  <c r="Q12" i="95"/>
  <c r="Q12" i="96"/>
  <c r="Q12" i="91"/>
  <c r="Q12" i="94"/>
  <c r="Q12" i="92"/>
  <c r="Q12" i="93"/>
  <c r="Q11" i="91"/>
  <c r="Q11" i="94"/>
  <c r="Q11" i="92"/>
  <c r="Q11" i="93"/>
  <c r="Q11" i="89"/>
  <c r="Q11" i="90"/>
  <c r="Q12" i="89"/>
  <c r="Q12" i="90"/>
  <c r="Q12" i="86"/>
  <c r="Q12" i="87"/>
  <c r="Q12" i="88"/>
  <c r="Q11" i="87"/>
  <c r="Q11" i="86"/>
  <c r="Q11" i="88"/>
  <c r="Q12" i="84"/>
  <c r="Q12" i="85"/>
  <c r="Q12" i="83"/>
  <c r="Q12" i="82"/>
  <c r="Q11" i="83"/>
  <c r="Q11" i="84"/>
  <c r="Q11" i="85"/>
  <c r="Q11" i="82"/>
  <c r="Q12" i="78"/>
  <c r="Q11" i="78"/>
  <c r="Q9" i="77"/>
  <c r="Q10" i="77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4" i="12"/>
  <c r="AW40" i="12" s="1"/>
  <c r="Q14" i="74" l="1"/>
  <c r="Q14" i="90"/>
  <c r="Q14" i="76"/>
  <c r="Q14" i="68"/>
  <c r="Q14" i="84"/>
  <c r="Q14" i="91"/>
  <c r="Q14" i="82"/>
  <c r="Q14" i="87"/>
  <c r="Q14" i="83"/>
  <c r="Q14" i="70"/>
  <c r="Q14" i="88"/>
  <c r="Q14" i="85"/>
  <c r="Q14" i="95"/>
  <c r="Q14" i="71"/>
  <c r="Q9" i="76"/>
  <c r="Q9" i="75"/>
  <c r="Q10" i="75"/>
  <c r="Q10" i="76"/>
  <c r="Q10" i="73"/>
  <c r="Q10" i="74"/>
  <c r="Q9" i="73"/>
  <c r="Q9" i="74"/>
  <c r="Q9" i="71"/>
  <c r="Q9" i="72"/>
  <c r="Q10" i="71"/>
  <c r="Q10" i="72"/>
  <c r="Q9" i="70"/>
  <c r="Q9" i="69"/>
  <c r="Q9" i="68"/>
  <c r="Q10" i="69"/>
  <c r="Q10" i="70"/>
  <c r="Q10" i="68"/>
  <c r="Q10" i="42"/>
  <c r="Q10" i="67"/>
  <c r="Q9" i="42"/>
  <c r="Q9" i="67"/>
  <c r="Q10" i="95"/>
  <c r="Q10" i="96"/>
  <c r="Q9" i="95"/>
  <c r="Q9" i="96"/>
  <c r="Q9" i="91"/>
  <c r="Q9" i="94"/>
  <c r="Q9" i="93"/>
  <c r="Q9" i="92"/>
  <c r="Q10" i="91"/>
  <c r="Q10" i="92"/>
  <c r="Q10" i="94"/>
  <c r="Q10" i="93"/>
  <c r="Q10" i="89"/>
  <c r="Q10" i="90"/>
  <c r="Q9" i="89"/>
  <c r="Q9" i="90"/>
  <c r="Q10" i="88"/>
  <c r="Q10" i="86"/>
  <c r="Q10" i="87"/>
  <c r="Q9" i="87"/>
  <c r="Q9" i="88"/>
  <c r="Q9" i="86"/>
  <c r="Q9" i="85"/>
  <c r="Q9" i="84"/>
  <c r="Q10" i="83"/>
  <c r="Q10" i="85"/>
  <c r="Q10" i="84"/>
  <c r="Q9" i="83"/>
  <c r="Q9" i="82"/>
  <c r="Q10" i="82"/>
  <c r="Q9" i="78"/>
  <c r="Q10" i="78"/>
  <c r="Y25" i="12" l="1"/>
  <c r="AI25" i="12" s="1"/>
  <c r="AE25" i="12" l="1"/>
  <c r="R41" i="97"/>
  <c r="R42" i="97" l="1"/>
  <c r="AA42" i="97" s="1"/>
  <c r="AA41" i="97"/>
  <c r="S16" i="97"/>
  <c r="AG16" i="97" l="1"/>
  <c r="AN16" i="97"/>
  <c r="U14" i="12"/>
  <c r="AI14" i="12" l="1"/>
  <c r="E13" i="3" s="1"/>
  <c r="AC14" i="12"/>
  <c r="X11" i="6"/>
  <c r="U11" i="12" l="1"/>
  <c r="AI11" i="12" l="1"/>
  <c r="E10" i="3" s="1"/>
  <c r="AC11" i="12"/>
  <c r="W9" i="97"/>
  <c r="AD9" i="97" s="1"/>
  <c r="CC4" i="6" l="1"/>
  <c r="X3" i="6" l="1"/>
  <c r="W33" i="97" l="1"/>
  <c r="AD33" i="97" s="1"/>
  <c r="W22" i="97" l="1"/>
  <c r="AD22" i="97" s="1"/>
  <c r="W20" i="97" l="1"/>
  <c r="AD20" i="97" s="1"/>
  <c r="X41" i="97"/>
  <c r="S18" i="97" l="1"/>
  <c r="AG18" i="97" l="1"/>
  <c r="AN18" i="97"/>
  <c r="W13" i="97"/>
  <c r="AD13" i="97" s="1"/>
  <c r="U9" i="12" l="1"/>
  <c r="AI9" i="12" l="1"/>
  <c r="E8" i="3" s="1"/>
  <c r="AC9" i="12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T21" i="97" l="1"/>
  <c r="W19" i="97" l="1"/>
  <c r="AD19" i="97" s="1"/>
  <c r="W15" i="97" l="1"/>
  <c r="AD15" i="97" s="1"/>
  <c r="T18" i="97" l="1"/>
  <c r="AH18" i="97" s="1"/>
  <c r="W17" i="97"/>
  <c r="AD17" i="97" s="1"/>
  <c r="AB18" i="97" l="1"/>
  <c r="T16" i="97"/>
  <c r="AH16" i="97" s="1"/>
  <c r="E15" i="3" s="1"/>
  <c r="AB16" i="97" l="1"/>
  <c r="W5" i="97"/>
  <c r="AD5" i="97" s="1"/>
  <c r="AF5" i="97" s="1"/>
  <c r="P5" i="97"/>
  <c r="N5" i="97"/>
  <c r="M5" i="97"/>
  <c r="AS5" i="97" l="1"/>
  <c r="AR5" i="97"/>
  <c r="AT5" i="97"/>
  <c r="AQ5" i="97"/>
  <c r="B34" i="55"/>
  <c r="AL5" i="97" l="1"/>
  <c r="AK5" i="97" l="1"/>
  <c r="AL15" i="6"/>
  <c r="AL16" i="6"/>
  <c r="AL17" i="6"/>
  <c r="J38" i="92" s="1"/>
  <c r="AL18" i="6"/>
  <c r="AL19" i="6"/>
  <c r="J38" i="77"/>
  <c r="Y33" i="12"/>
  <c r="AI33" i="12" s="1"/>
  <c r="AW22" i="12"/>
  <c r="Y23" i="12"/>
  <c r="AI23" i="12" s="1"/>
  <c r="Y24" i="12"/>
  <c r="AI24" i="12" s="1"/>
  <c r="AW25" i="12"/>
  <c r="Y26" i="12"/>
  <c r="AI26" i="12" s="1"/>
  <c r="Y27" i="12"/>
  <c r="AI27" i="12" s="1"/>
  <c r="Y28" i="12"/>
  <c r="AI28" i="12" s="1"/>
  <c r="Y29" i="12"/>
  <c r="AI29" i="12" s="1"/>
  <c r="Y30" i="12"/>
  <c r="AI30" i="12" s="1"/>
  <c r="Y31" i="12"/>
  <c r="AI31" i="12" s="1"/>
  <c r="Y32" i="12"/>
  <c r="AE32" i="12" l="1"/>
  <c r="AI32" i="12"/>
  <c r="AE30" i="12"/>
  <c r="AE29" i="12"/>
  <c r="AW29" i="12" s="1"/>
  <c r="AE31" i="12"/>
  <c r="AE24" i="12"/>
  <c r="AW24" i="12" s="1"/>
  <c r="AE23" i="12"/>
  <c r="AW23" i="12" s="1"/>
  <c r="AE28" i="12"/>
  <c r="AW28" i="12" s="1"/>
  <c r="AE27" i="12"/>
  <c r="AW27" i="12" s="1"/>
  <c r="AE33" i="12"/>
  <c r="AE26" i="12"/>
  <c r="AW26" i="12" s="1"/>
  <c r="AQ7" i="2" l="1"/>
  <c r="Y21" i="12" l="1"/>
  <c r="AI21" i="12" s="1"/>
  <c r="AE21" i="12" l="1"/>
  <c r="AW21" i="12"/>
  <c r="Y19" i="12"/>
  <c r="AI19" i="12" s="1"/>
  <c r="E18" i="3" s="1"/>
  <c r="AE19" i="12" l="1"/>
  <c r="AW19" i="12"/>
  <c r="AW20" i="12"/>
  <c r="AL4" i="6"/>
  <c r="AL5" i="6"/>
  <c r="AL6" i="6"/>
  <c r="AL7" i="6"/>
  <c r="AL8" i="6"/>
  <c r="J38" i="83" s="1"/>
  <c r="AL9" i="6"/>
  <c r="AL10" i="6"/>
  <c r="J38" i="85" s="1"/>
  <c r="AL11" i="6"/>
  <c r="J38" i="86" s="1"/>
  <c r="AL12" i="6"/>
  <c r="J38" i="87" s="1"/>
  <c r="AL13" i="6"/>
  <c r="AL14" i="6"/>
  <c r="J38" i="94"/>
  <c r="J38" i="95"/>
  <c r="J38" i="96"/>
  <c r="J38" i="42"/>
  <c r="J38" i="67"/>
  <c r="J38" i="68"/>
  <c r="J38" i="69"/>
  <c r="AL3" i="6"/>
  <c r="AK4" i="6"/>
  <c r="AK5" i="6"/>
  <c r="F38" i="80" s="1"/>
  <c r="AK6" i="6"/>
  <c r="F38" i="81" s="1"/>
  <c r="AK7" i="6"/>
  <c r="F38" i="82" s="1"/>
  <c r="AK8" i="6"/>
  <c r="F38" i="83" s="1"/>
  <c r="AK9" i="6"/>
  <c r="F38" i="84" s="1"/>
  <c r="AK10" i="6"/>
  <c r="F38" i="85" s="1"/>
  <c r="AK11" i="6"/>
  <c r="F38" i="86" s="1"/>
  <c r="AK12" i="6"/>
  <c r="F38" i="87" s="1"/>
  <c r="AK13" i="6"/>
  <c r="F38" i="88" s="1"/>
  <c r="AK14" i="6"/>
  <c r="F38" i="89" s="1"/>
  <c r="AK15" i="6"/>
  <c r="F38" i="90" s="1"/>
  <c r="AK16" i="6"/>
  <c r="F38" i="91" s="1"/>
  <c r="AK17" i="6"/>
  <c r="F38" i="92" s="1"/>
  <c r="AK18" i="6"/>
  <c r="F38" i="93" s="1"/>
  <c r="AK19" i="6"/>
  <c r="F38" i="94" s="1"/>
  <c r="AK20" i="6"/>
  <c r="F38" i="95" s="1"/>
  <c r="AK21" i="6"/>
  <c r="F38" i="96" s="1"/>
  <c r="AK22" i="6"/>
  <c r="AK23" i="6"/>
  <c r="AK32" i="6"/>
  <c r="F38" i="76" s="1"/>
  <c r="AK3" i="6"/>
  <c r="F38" i="78" s="1"/>
  <c r="L38" i="68" l="1"/>
  <c r="K38" i="68"/>
  <c r="J38" i="84"/>
  <c r="J38" i="82"/>
  <c r="H38" i="78"/>
  <c r="G38" i="78"/>
  <c r="AM23" i="6"/>
  <c r="F38" i="67"/>
  <c r="AM22" i="6"/>
  <c r="F38" i="42"/>
  <c r="AK35" i="6"/>
  <c r="F38" i="79"/>
  <c r="AM13" i="6"/>
  <c r="AM4" i="6"/>
  <c r="AM16" i="6"/>
  <c r="AM10" i="6"/>
  <c r="AM7" i="6"/>
  <c r="AM32" i="6"/>
  <c r="AM20" i="6"/>
  <c r="AM14" i="6"/>
  <c r="AM8" i="6"/>
  <c r="AM18" i="6"/>
  <c r="AM12" i="6"/>
  <c r="AM6" i="6"/>
  <c r="AM17" i="6"/>
  <c r="AM5" i="6"/>
  <c r="AM11" i="6"/>
  <c r="AM3" i="6"/>
  <c r="AM21" i="6"/>
  <c r="AM15" i="6"/>
  <c r="AM9" i="6"/>
  <c r="AM19" i="6"/>
  <c r="Y18" i="12"/>
  <c r="X18" i="12"/>
  <c r="X40" i="12" s="1"/>
  <c r="L38" i="82" l="1"/>
  <c r="L38" i="83" s="1"/>
  <c r="K38" i="82"/>
  <c r="K38" i="83" s="1"/>
  <c r="G38" i="79"/>
  <c r="G38" i="80" s="1"/>
  <c r="G38" i="81" s="1"/>
  <c r="G38" i="82" s="1"/>
  <c r="G38" i="83" s="1"/>
  <c r="G38" i="84" s="1"/>
  <c r="G38" i="85" s="1"/>
  <c r="H38" i="79"/>
  <c r="H38" i="80" s="1"/>
  <c r="H38" i="81" s="1"/>
  <c r="H38" i="82" s="1"/>
  <c r="H38" i="83" s="1"/>
  <c r="H38" i="84" s="1"/>
  <c r="H38" i="85" s="1"/>
  <c r="Y40" i="12"/>
  <c r="X42" i="97" s="1"/>
  <c r="AI18" i="12"/>
  <c r="E17" i="3" s="1"/>
  <c r="AE18" i="12"/>
  <c r="H38" i="86" l="1"/>
  <c r="H38" i="87" s="1"/>
  <c r="H38" i="88" s="1"/>
  <c r="H38" i="89" s="1"/>
  <c r="G38" i="86"/>
  <c r="G38" i="87" s="1"/>
  <c r="G38" i="88" s="1"/>
  <c r="G38" i="89" s="1"/>
  <c r="AW18" i="12"/>
  <c r="AE40" i="12"/>
  <c r="S41" i="97"/>
  <c r="G38" i="90" l="1"/>
  <c r="G38" i="91" s="1"/>
  <c r="G38" i="92" s="1"/>
  <c r="G38" i="93" s="1"/>
  <c r="H38" i="90"/>
  <c r="H38" i="91" s="1"/>
  <c r="H38" i="92" s="1"/>
  <c r="H38" i="93" s="1"/>
  <c r="M6" i="97"/>
  <c r="N6" i="97"/>
  <c r="P6" i="97"/>
  <c r="W6" i="97"/>
  <c r="AD6" i="97" s="1"/>
  <c r="AT6" i="97" l="1"/>
  <c r="AR6" i="97"/>
  <c r="AS6" i="97"/>
  <c r="AF6" i="97" l="1"/>
  <c r="AL6" i="97" s="1"/>
  <c r="AQ6" i="97"/>
  <c r="AK6" i="97" l="1"/>
  <c r="AH3" i="2"/>
  <c r="AH4" i="2"/>
  <c r="W31" i="97" l="1"/>
  <c r="AD31" i="97" s="1"/>
  <c r="AS28" i="12" l="1"/>
  <c r="O28" i="12"/>
  <c r="N28" i="12"/>
  <c r="M28" i="12"/>
  <c r="AC27" i="3" l="1"/>
  <c r="AT28" i="12"/>
  <c r="AU28" i="12"/>
  <c r="AG28" i="12" l="1"/>
  <c r="AV28" i="12"/>
  <c r="AL28" i="12" l="1"/>
  <c r="AM28" i="12"/>
  <c r="W28" i="97"/>
  <c r="AD28" i="97" s="1"/>
  <c r="P28" i="97"/>
  <c r="N28" i="97"/>
  <c r="M28" i="97"/>
  <c r="W29" i="97"/>
  <c r="AD29" i="97" s="1"/>
  <c r="E27" i="3" l="1"/>
  <c r="AR28" i="97"/>
  <c r="AT28" i="97"/>
  <c r="AS28" i="97"/>
  <c r="Q27" i="3"/>
  <c r="AF28" i="97" l="1"/>
  <c r="AL28" i="97" s="1"/>
  <c r="AQ28" i="97"/>
  <c r="EK27" i="1" l="1"/>
  <c r="ET27" i="1" s="1"/>
  <c r="AK28" i="97"/>
  <c r="W26" i="97" l="1"/>
  <c r="AD26" i="97" s="1"/>
  <c r="P26" i="97"/>
  <c r="N26" i="97"/>
  <c r="M26" i="97"/>
  <c r="AS26" i="12"/>
  <c r="O26" i="12"/>
  <c r="N26" i="12"/>
  <c r="M26" i="12"/>
  <c r="W25" i="97"/>
  <c r="AD25" i="97" s="1"/>
  <c r="W24" i="97"/>
  <c r="AD24" i="97" s="1"/>
  <c r="W23" i="97"/>
  <c r="AD23" i="97" s="1"/>
  <c r="T21" i="97"/>
  <c r="AH21" i="97" s="1"/>
  <c r="E20" i="3" s="1"/>
  <c r="AB21" i="97" l="1"/>
  <c r="AC25" i="3"/>
  <c r="AV26" i="12"/>
  <c r="AS26" i="97"/>
  <c r="AR26" i="97"/>
  <c r="AT26" i="97"/>
  <c r="AU26" i="12"/>
  <c r="AF26" i="97" l="1"/>
  <c r="AL26" i="97" s="1"/>
  <c r="AG26" i="12"/>
  <c r="AM26" i="12" s="1"/>
  <c r="Q25" i="3"/>
  <c r="E25" i="3"/>
  <c r="AT26" i="12"/>
  <c r="AQ26" i="97"/>
  <c r="AP26" i="97"/>
  <c r="EK25" i="1" l="1"/>
  <c r="ET25" i="1" s="1"/>
  <c r="AL26" i="12"/>
  <c r="AK26" i="97"/>
  <c r="W12" i="97" l="1"/>
  <c r="AD12" i="97" s="1"/>
  <c r="W8" i="97" l="1"/>
  <c r="AD8" i="97" s="1"/>
  <c r="W7" i="97" l="1"/>
  <c r="AD7" i="97" s="1"/>
  <c r="F60" i="77" l="1"/>
  <c r="F60" i="76"/>
  <c r="F60" i="75"/>
  <c r="F60" i="74"/>
  <c r="F60" i="73"/>
  <c r="F60" i="72"/>
  <c r="F60" i="71"/>
  <c r="F60" i="70"/>
  <c r="F60" i="69"/>
  <c r="F60" i="67"/>
  <c r="F60" i="42"/>
  <c r="F60" i="96"/>
  <c r="F60" i="95"/>
  <c r="F60" i="94"/>
  <c r="F60" i="93"/>
  <c r="F60" i="91"/>
  <c r="F60" i="90"/>
  <c r="F60" i="89"/>
  <c r="F60" i="88"/>
  <c r="F60" i="87"/>
  <c r="F60" i="86"/>
  <c r="F60" i="85"/>
  <c r="F60" i="84"/>
  <c r="F60" i="83"/>
  <c r="F60" i="82"/>
  <c r="F60" i="80"/>
  <c r="F60" i="79"/>
  <c r="F60" i="78"/>
  <c r="H60" i="78" s="1"/>
  <c r="F60" i="81"/>
  <c r="G60" i="78" l="1"/>
  <c r="G60" i="79" s="1"/>
  <c r="G60" i="80" s="1"/>
  <c r="G60" i="81" s="1"/>
  <c r="G60" i="82" s="1"/>
  <c r="G60" i="83" s="1"/>
  <c r="G60" i="84" s="1"/>
  <c r="G60" i="85" s="1"/>
  <c r="G60" i="86" s="1"/>
  <c r="G60" i="87" s="1"/>
  <c r="G60" i="88" s="1"/>
  <c r="G60" i="89" s="1"/>
  <c r="G60" i="90" s="1"/>
  <c r="G60" i="91" s="1"/>
  <c r="H60" i="79"/>
  <c r="S35" i="97"/>
  <c r="T34" i="97"/>
  <c r="W34" i="97"/>
  <c r="AD34" i="97" s="1"/>
  <c r="W32" i="97"/>
  <c r="AD32" i="97" s="1"/>
  <c r="EO34" i="1"/>
  <c r="AB34" i="97" l="1"/>
  <c r="AH34" i="97"/>
  <c r="W30" i="97"/>
  <c r="AD30" i="97" s="1"/>
  <c r="U20" i="12" l="1"/>
  <c r="AI20" i="12" l="1"/>
  <c r="E19" i="3" s="1"/>
  <c r="AC20" i="12"/>
  <c r="W18" i="97"/>
  <c r="AD18" i="97" s="1"/>
  <c r="V41" i="97" l="1"/>
  <c r="W14" i="97" l="1"/>
  <c r="AD14" i="97" s="1"/>
  <c r="T12" i="97" l="1"/>
  <c r="M38" i="77"/>
  <c r="M38" i="76"/>
  <c r="M38" i="75"/>
  <c r="M38" i="74"/>
  <c r="M38" i="69"/>
  <c r="M38" i="68"/>
  <c r="M38" i="67"/>
  <c r="M38" i="42"/>
  <c r="M38" i="96"/>
  <c r="M38" i="95"/>
  <c r="M38" i="94"/>
  <c r="M38" i="93"/>
  <c r="M38" i="92"/>
  <c r="M38" i="91"/>
  <c r="M38" i="90"/>
  <c r="M38" i="89"/>
  <c r="M38" i="88"/>
  <c r="M38" i="87"/>
  <c r="M38" i="86"/>
  <c r="I46" i="74"/>
  <c r="M38" i="85"/>
  <c r="N38" i="75" l="1"/>
  <c r="O38" i="75"/>
  <c r="N38" i="68"/>
  <c r="O38" i="68"/>
  <c r="AB12" i="97"/>
  <c r="AH12" i="97"/>
  <c r="E11" i="3" s="1"/>
  <c r="T41" i="97"/>
  <c r="AB41" i="97" s="1"/>
  <c r="U40" i="12"/>
  <c r="W10" i="97"/>
  <c r="AD10" i="97" s="1"/>
  <c r="M38" i="84"/>
  <c r="T42" i="97" l="1"/>
  <c r="M38" i="83"/>
  <c r="M38" i="82" l="1"/>
  <c r="M38" i="81"/>
  <c r="M38" i="80"/>
  <c r="M38" i="79"/>
  <c r="M38" i="78"/>
  <c r="T6" i="12"/>
  <c r="AH6" i="12" s="1"/>
  <c r="M6" i="12"/>
  <c r="N6" i="12"/>
  <c r="O6" i="12"/>
  <c r="AS6" i="12"/>
  <c r="AO6" i="12" l="1"/>
  <c r="AC6" i="12"/>
  <c r="AU6" i="12" s="1"/>
  <c r="T40" i="12"/>
  <c r="AV6" i="12"/>
  <c r="S42" i="97" l="1"/>
  <c r="AB42" i="97" s="1"/>
  <c r="AC40" i="12"/>
  <c r="AG6" i="12"/>
  <c r="AM6" i="12" s="1"/>
  <c r="AT6" i="12"/>
  <c r="P34" i="97"/>
  <c r="P33" i="97"/>
  <c r="P32" i="97"/>
  <c r="P31" i="97"/>
  <c r="P30" i="97"/>
  <c r="P29" i="97"/>
  <c r="P27" i="97"/>
  <c r="P25" i="97"/>
  <c r="P24" i="97"/>
  <c r="P23" i="97"/>
  <c r="P22" i="97"/>
  <c r="P21" i="97"/>
  <c r="P20" i="97"/>
  <c r="P19" i="97"/>
  <c r="P18" i="97"/>
  <c r="P17" i="97"/>
  <c r="P16" i="97"/>
  <c r="P15" i="97"/>
  <c r="P14" i="97"/>
  <c r="P13" i="97"/>
  <c r="P12" i="97"/>
  <c r="P11" i="97"/>
  <c r="P10" i="97"/>
  <c r="P9" i="97"/>
  <c r="P8" i="97"/>
  <c r="P7" i="97"/>
  <c r="I38" i="78"/>
  <c r="P42" i="97" l="1"/>
  <c r="AL6" i="12"/>
  <c r="L53" i="79"/>
  <c r="K53" i="79"/>
  <c r="J53" i="79"/>
  <c r="I53" i="79"/>
  <c r="H53" i="79"/>
  <c r="G53" i="79"/>
  <c r="F53" i="79"/>
  <c r="E53" i="79"/>
  <c r="L53" i="78"/>
  <c r="K53" i="78"/>
  <c r="J53" i="78"/>
  <c r="I53" i="78"/>
  <c r="H53" i="78"/>
  <c r="G53" i="78"/>
  <c r="F53" i="78"/>
  <c r="E53" i="78"/>
  <c r="O38" i="78" l="1"/>
  <c r="O38" i="79" s="1"/>
  <c r="O38" i="80" s="1"/>
  <c r="O38" i="81" s="1"/>
  <c r="O38" i="82" s="1"/>
  <c r="O38" i="83" s="1"/>
  <c r="BT35" i="6"/>
  <c r="M38" i="73" l="1"/>
  <c r="O38" i="84" l="1"/>
  <c r="O38" i="85" s="1"/>
  <c r="M38" i="70"/>
  <c r="W27" i="97"/>
  <c r="M38" i="72"/>
  <c r="M38" i="71"/>
  <c r="O38" i="86" l="1"/>
  <c r="O38" i="87" s="1"/>
  <c r="O38" i="88" s="1"/>
  <c r="O38" i="89" s="1"/>
  <c r="W41" i="97"/>
  <c r="W42" i="97" s="1"/>
  <c r="AD27" i="97"/>
  <c r="O38" i="90" l="1"/>
  <c r="O38" i="91" s="1"/>
  <c r="F53" i="80"/>
  <c r="E53" i="80"/>
  <c r="E9" i="78"/>
  <c r="K5" i="55"/>
  <c r="K8" i="55"/>
  <c r="K10" i="55"/>
  <c r="K3" i="55"/>
  <c r="CC5" i="6"/>
  <c r="CC6" i="6"/>
  <c r="CC7" i="6"/>
  <c r="CC8" i="6"/>
  <c r="CC10" i="6"/>
  <c r="CC11" i="6"/>
  <c r="CC14" i="6"/>
  <c r="CC15" i="6"/>
  <c r="CC16" i="6"/>
  <c r="CC17" i="6"/>
  <c r="CC18" i="6"/>
  <c r="CC19" i="6"/>
  <c r="CC20" i="6"/>
  <c r="CC21" i="6"/>
  <c r="CC22" i="6"/>
  <c r="CC23" i="6"/>
  <c r="CC24" i="6"/>
  <c r="CC25" i="6"/>
  <c r="CC26" i="6"/>
  <c r="CC27" i="6"/>
  <c r="CC28" i="6"/>
  <c r="CC30" i="6"/>
  <c r="CC31" i="6"/>
  <c r="CC3" i="6"/>
  <c r="D35" i="2"/>
  <c r="O38" i="92" l="1"/>
  <c r="O38" i="93" s="1"/>
  <c r="O38" i="94" s="1"/>
  <c r="N21" i="97"/>
  <c r="M21" i="97"/>
  <c r="O38" i="73" l="1"/>
  <c r="O38" i="95"/>
  <c r="O38" i="96" s="1"/>
  <c r="O38" i="42" s="1"/>
  <c r="O38" i="67" s="1"/>
  <c r="AS21" i="97"/>
  <c r="AR21" i="97"/>
  <c r="AQ21" i="97" l="1"/>
  <c r="AF21" i="97"/>
  <c r="AL21" i="97" s="1"/>
  <c r="AK21" i="97" l="1"/>
  <c r="V40" i="12" l="1"/>
  <c r="U42" i="97" l="1"/>
  <c r="AU35" i="12"/>
  <c r="AV4" i="2" l="1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3" i="2"/>
  <c r="CL4" i="6" l="1"/>
  <c r="CL5" i="6"/>
  <c r="CL6" i="6"/>
  <c r="CL7" i="6"/>
  <c r="CL8" i="6"/>
  <c r="CL9" i="6"/>
  <c r="CL10" i="6"/>
  <c r="CL11" i="6"/>
  <c r="CL12" i="6"/>
  <c r="CL13" i="6"/>
  <c r="CL14" i="6"/>
  <c r="CL15" i="6"/>
  <c r="CL16" i="6"/>
  <c r="CL17" i="6"/>
  <c r="CL18" i="6"/>
  <c r="CL19" i="6"/>
  <c r="CL20" i="6"/>
  <c r="CL21" i="6"/>
  <c r="CL22" i="6"/>
  <c r="CL23" i="6"/>
  <c r="CL24" i="6"/>
  <c r="CL3" i="6"/>
  <c r="AX4" i="2" l="1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3" i="2"/>
  <c r="AX26" i="2"/>
  <c r="AW4" i="2" l="1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3" i="2"/>
  <c r="AH15" i="2" l="1"/>
  <c r="AI40" i="12" l="1"/>
  <c r="W40" i="12"/>
  <c r="AS5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7" i="12"/>
  <c r="AS29" i="12"/>
  <c r="AS30" i="12"/>
  <c r="AS31" i="12"/>
  <c r="AS32" i="12"/>
  <c r="AS33" i="12"/>
  <c r="AS4" i="12"/>
  <c r="V42" i="97" l="1"/>
  <c r="AD40" i="12"/>
  <c r="AS40" i="12"/>
  <c r="E26" i="3" l="1"/>
  <c r="M35" i="79" l="1"/>
  <c r="D31" i="6" l="1"/>
  <c r="D32" i="6"/>
  <c r="D33" i="6"/>
  <c r="F9" i="77" s="1"/>
  <c r="DY4" i="1" l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" i="1"/>
  <c r="CP4" i="6" l="1"/>
  <c r="CP5" i="6"/>
  <c r="CP6" i="6"/>
  <c r="CP7" i="6"/>
  <c r="CP8" i="6"/>
  <c r="CP9" i="6"/>
  <c r="CP10" i="6"/>
  <c r="CP11" i="6"/>
  <c r="CP12" i="6"/>
  <c r="CP13" i="6"/>
  <c r="CP14" i="6"/>
  <c r="CP15" i="6"/>
  <c r="CP16" i="6"/>
  <c r="CP17" i="6"/>
  <c r="CP18" i="6"/>
  <c r="CP19" i="6"/>
  <c r="CP20" i="6"/>
  <c r="CP21" i="6"/>
  <c r="CP22" i="6"/>
  <c r="CP23" i="6"/>
  <c r="CP24" i="6"/>
  <c r="CP25" i="6"/>
  <c r="CP26" i="6"/>
  <c r="CP27" i="6"/>
  <c r="CP28" i="6"/>
  <c r="CP29" i="6"/>
  <c r="CP30" i="6"/>
  <c r="CP31" i="6"/>
  <c r="CP32" i="6"/>
  <c r="CP33" i="6"/>
  <c r="CM3" i="6"/>
  <c r="CL25" i="6"/>
  <c r="CL26" i="6"/>
  <c r="CL27" i="6"/>
  <c r="CL28" i="6"/>
  <c r="CL29" i="6"/>
  <c r="CL30" i="6"/>
  <c r="CL31" i="6"/>
  <c r="CL32" i="6"/>
  <c r="CL33" i="6"/>
  <c r="Z17" i="55" l="1"/>
  <c r="Z18" i="55"/>
  <c r="Z4" i="55" l="1"/>
  <c r="Z5" i="55"/>
  <c r="Z6" i="55"/>
  <c r="Z7" i="55"/>
  <c r="Z8" i="55"/>
  <c r="Z9" i="55"/>
  <c r="Z10" i="55"/>
  <c r="Z11" i="55"/>
  <c r="Z12" i="55"/>
  <c r="Z13" i="55"/>
  <c r="Z14" i="55"/>
  <c r="Z15" i="55"/>
  <c r="Z16" i="55"/>
  <c r="Z3" i="55"/>
  <c r="CO34" i="1" l="1"/>
  <c r="CN34" i="1"/>
  <c r="AI3" i="1" l="1"/>
  <c r="Q38" i="77"/>
  <c r="I46" i="77"/>
  <c r="E14" i="78" l="1"/>
  <c r="AI27" i="2" l="1"/>
  <c r="I12" i="70"/>
  <c r="AI26" i="2"/>
  <c r="DX35" i="1"/>
  <c r="DW35" i="1"/>
  <c r="DX34" i="1"/>
  <c r="DW34" i="1"/>
  <c r="AZ27" i="2" l="1"/>
  <c r="BA27" i="2" s="1"/>
  <c r="AZ26" i="2"/>
  <c r="BA26" i="2" s="1"/>
  <c r="DY34" i="1"/>
  <c r="DY35" i="1" s="1"/>
  <c r="DZ3" i="1"/>
  <c r="DV4" i="1" s="1"/>
  <c r="DZ4" i="1" s="1"/>
  <c r="DV5" i="1" s="1"/>
  <c r="DZ5" i="1" s="1"/>
  <c r="DV6" i="1" s="1"/>
  <c r="DZ6" i="1" s="1"/>
  <c r="DV7" i="1" s="1"/>
  <c r="DZ7" i="1" s="1"/>
  <c r="DV8" i="1" s="1"/>
  <c r="DZ8" i="1" s="1"/>
  <c r="DV9" i="1" s="1"/>
  <c r="DZ9" i="1" s="1"/>
  <c r="DV10" i="1" s="1"/>
  <c r="DZ10" i="1" s="1"/>
  <c r="DV11" i="1" s="1"/>
  <c r="DZ11" i="1" s="1"/>
  <c r="DV12" i="1" s="1"/>
  <c r="DZ12" i="1" s="1"/>
  <c r="DV13" i="1" s="1"/>
  <c r="DZ13" i="1" s="1"/>
  <c r="DV14" i="1" s="1"/>
  <c r="DZ14" i="1" s="1"/>
  <c r="DV15" i="1" s="1"/>
  <c r="DZ15" i="1" s="1"/>
  <c r="DV16" i="1" s="1"/>
  <c r="DZ16" i="1" s="1"/>
  <c r="DV17" i="1" s="1"/>
  <c r="DZ17" i="1" s="1"/>
  <c r="DV18" i="1" s="1"/>
  <c r="DZ18" i="1" s="1"/>
  <c r="DV19" i="1" s="1"/>
  <c r="DZ19" i="1" s="1"/>
  <c r="DV20" i="1" s="1"/>
  <c r="DZ20" i="1" s="1"/>
  <c r="DV21" i="1" s="1"/>
  <c r="DZ21" i="1" s="1"/>
  <c r="DV22" i="1" s="1"/>
  <c r="DZ22" i="1" s="1"/>
  <c r="DV23" i="1" s="1"/>
  <c r="DZ23" i="1" s="1"/>
  <c r="DV24" i="1" s="1"/>
  <c r="DZ24" i="1" s="1"/>
  <c r="DV25" i="1" s="1"/>
  <c r="DZ25" i="1" s="1"/>
  <c r="DV26" i="1" s="1"/>
  <c r="DZ26" i="1" s="1"/>
  <c r="DV27" i="1" s="1"/>
  <c r="DZ27" i="1" s="1"/>
  <c r="DV28" i="1" s="1"/>
  <c r="DZ28" i="1" s="1"/>
  <c r="DV29" i="1" s="1"/>
  <c r="DZ29" i="1" s="1"/>
  <c r="DV30" i="1" s="1"/>
  <c r="DZ30" i="1" s="1"/>
  <c r="DV31" i="1" s="1"/>
  <c r="DZ31" i="1" s="1"/>
  <c r="DV32" i="1" s="1"/>
  <c r="DZ32" i="1" s="1"/>
  <c r="DV33" i="1" s="1"/>
  <c r="DZ33" i="1" s="1"/>
  <c r="AI25" i="2" l="1"/>
  <c r="I9" i="69"/>
  <c r="AZ25" i="2" l="1"/>
  <c r="BA25" i="2" s="1"/>
  <c r="F60" i="68"/>
  <c r="F60" i="92"/>
  <c r="G60" i="92" s="1"/>
  <c r="G60" i="93" s="1"/>
  <c r="G60" i="94" s="1"/>
  <c r="G60" i="95" s="1"/>
  <c r="G60" i="96" s="1"/>
  <c r="G60" i="42" s="1"/>
  <c r="G60" i="67" s="1"/>
  <c r="G60" i="68" l="1"/>
  <c r="G60" i="69" s="1"/>
  <c r="G60" i="70" s="1"/>
  <c r="G60" i="71" s="1"/>
  <c r="G60" i="72" s="1"/>
  <c r="G60" i="73" s="1"/>
  <c r="G60" i="74" s="1"/>
  <c r="G60" i="75" s="1"/>
  <c r="G60" i="76" s="1"/>
  <c r="G60" i="77" s="1"/>
  <c r="I9" i="82"/>
  <c r="I9" i="85"/>
  <c r="I9" i="86"/>
  <c r="I9" i="87"/>
  <c r="I9" i="88"/>
  <c r="I9" i="89"/>
  <c r="I9" i="90"/>
  <c r="I9" i="91"/>
  <c r="I9" i="80"/>
  <c r="I9" i="81"/>
  <c r="AI6" i="2"/>
  <c r="AZ6" i="2" l="1"/>
  <c r="BA6" i="2" s="1"/>
  <c r="H60" i="80"/>
  <c r="H60" i="81" s="1"/>
  <c r="H60" i="82" s="1"/>
  <c r="H60" i="83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H60" i="95" s="1"/>
  <c r="H60" i="96" s="1"/>
  <c r="H60" i="42" s="1"/>
  <c r="H60" i="67" s="1"/>
  <c r="H60" i="68" s="1"/>
  <c r="H60" i="69" s="1"/>
  <c r="H60" i="70" s="1"/>
  <c r="H60" i="71" s="1"/>
  <c r="H60" i="72" s="1"/>
  <c r="H60" i="73" s="1"/>
  <c r="H60" i="74" s="1"/>
  <c r="H60" i="75" s="1"/>
  <c r="H60" i="76" s="1"/>
  <c r="H60" i="77" s="1"/>
  <c r="D4" i="6"/>
  <c r="F9" i="79" s="1"/>
  <c r="D5" i="6"/>
  <c r="F9" i="80" s="1"/>
  <c r="D6" i="6"/>
  <c r="F9" i="81" s="1"/>
  <c r="D7" i="6"/>
  <c r="D8" i="6"/>
  <c r="D9" i="6"/>
  <c r="D10" i="6"/>
  <c r="F9" i="85" s="1"/>
  <c r="D11" i="6"/>
  <c r="F9" i="86" s="1"/>
  <c r="D12" i="6"/>
  <c r="F9" i="87" s="1"/>
  <c r="D13" i="6"/>
  <c r="F9" i="88" s="1"/>
  <c r="D14" i="6"/>
  <c r="F9" i="89" s="1"/>
  <c r="D15" i="6"/>
  <c r="F9" i="90" s="1"/>
  <c r="D16" i="6"/>
  <c r="F9" i="91" s="1"/>
  <c r="D17" i="6"/>
  <c r="F9" i="92" s="1"/>
  <c r="D18" i="6"/>
  <c r="F9" i="93" s="1"/>
  <c r="D19" i="6"/>
  <c r="F9" i="94" s="1"/>
  <c r="D20" i="6"/>
  <c r="F9" i="95" s="1"/>
  <c r="D21" i="6"/>
  <c r="F9" i="96" s="1"/>
  <c r="D22" i="6"/>
  <c r="F9" i="42" s="1"/>
  <c r="D23" i="6"/>
  <c r="F9" i="67" s="1"/>
  <c r="D24" i="6"/>
  <c r="F9" i="68" s="1"/>
  <c r="D25" i="6"/>
  <c r="F9" i="69" s="1"/>
  <c r="D26" i="6"/>
  <c r="F9" i="70" s="1"/>
  <c r="D27" i="6"/>
  <c r="F9" i="71" s="1"/>
  <c r="D28" i="6"/>
  <c r="F9" i="72" s="1"/>
  <c r="F9" i="73"/>
  <c r="D30" i="6"/>
  <c r="F9" i="74" s="1"/>
  <c r="F9" i="75"/>
  <c r="F9" i="76"/>
  <c r="I9" i="83"/>
  <c r="M9" i="83" s="1"/>
  <c r="I9" i="84"/>
  <c r="I9" i="92"/>
  <c r="I9" i="93"/>
  <c r="I9" i="94"/>
  <c r="I9" i="95"/>
  <c r="I9" i="96"/>
  <c r="I9" i="42"/>
  <c r="I9" i="67"/>
  <c r="I9" i="68"/>
  <c r="I9" i="70"/>
  <c r="I9" i="71"/>
  <c r="I9" i="72"/>
  <c r="I9" i="73"/>
  <c r="I9" i="74"/>
  <c r="I9" i="75"/>
  <c r="I9" i="76"/>
  <c r="I9" i="77"/>
  <c r="E34" i="6" l="1"/>
  <c r="E35" i="6"/>
  <c r="J30" i="83"/>
  <c r="E50" i="83" s="1"/>
  <c r="F9" i="83"/>
  <c r="J30" i="82"/>
  <c r="E50" i="82" s="1"/>
  <c r="F9" i="82"/>
  <c r="J30" i="84"/>
  <c r="E50" i="84" s="1"/>
  <c r="F9" i="84"/>
  <c r="J30" i="79"/>
  <c r="AJ35" i="64"/>
  <c r="AJ34" i="64"/>
  <c r="AG34" i="64"/>
  <c r="AG35" i="64" s="1"/>
  <c r="AK33" i="64"/>
  <c r="AK30" i="64"/>
  <c r="AF31" i="64" s="1"/>
  <c r="AK31" i="64" s="1"/>
  <c r="AF32" i="64" s="1"/>
  <c r="AK32" i="64" s="1"/>
  <c r="AK27" i="64"/>
  <c r="AF28" i="64" s="1"/>
  <c r="AK28" i="64" s="1"/>
  <c r="AF29" i="64" s="1"/>
  <c r="AK29" i="64" s="1"/>
  <c r="AK24" i="64"/>
  <c r="AF25" i="64" s="1"/>
  <c r="AK25" i="64" s="1"/>
  <c r="AF26" i="64" s="1"/>
  <c r="AK26" i="64" s="1"/>
  <c r="AK21" i="64"/>
  <c r="AF22" i="64" s="1"/>
  <c r="AK22" i="64" s="1"/>
  <c r="AF23" i="64" s="1"/>
  <c r="AK23" i="64" s="1"/>
  <c r="AK18" i="64"/>
  <c r="AF19" i="64" s="1"/>
  <c r="AK19" i="64" s="1"/>
  <c r="AF20" i="64" s="1"/>
  <c r="AK20" i="64" s="1"/>
  <c r="AK15" i="64"/>
  <c r="AF16" i="64" s="1"/>
  <c r="AK16" i="64" s="1"/>
  <c r="AF17" i="64" s="1"/>
  <c r="AK17" i="64" s="1"/>
  <c r="AK12" i="64"/>
  <c r="AF13" i="64" s="1"/>
  <c r="AK13" i="64" s="1"/>
  <c r="AF14" i="64" s="1"/>
  <c r="AK14" i="64" s="1"/>
  <c r="AK9" i="64"/>
  <c r="AF10" i="64" s="1"/>
  <c r="AK10" i="64" s="1"/>
  <c r="AF11" i="64" s="1"/>
  <c r="AK11" i="64" s="1"/>
  <c r="AK6" i="64"/>
  <c r="AF7" i="64" s="1"/>
  <c r="AK7" i="64" s="1"/>
  <c r="AF8" i="64" s="1"/>
  <c r="AK8" i="64" s="1"/>
  <c r="AK3" i="64"/>
  <c r="AF4" i="64" s="1"/>
  <c r="AK4" i="64" s="1"/>
  <c r="AF5" i="64" s="1"/>
  <c r="AK5" i="64" s="1"/>
  <c r="I30" i="78"/>
  <c r="I9" i="78"/>
  <c r="I9" i="79"/>
  <c r="D3" i="6"/>
  <c r="F9" i="78" s="1"/>
  <c r="H9" i="78" s="1"/>
  <c r="H9" i="79" s="1"/>
  <c r="DS35" i="1"/>
  <c r="DR35" i="1"/>
  <c r="DN35" i="1"/>
  <c r="DI35" i="1"/>
  <c r="DH35" i="1"/>
  <c r="DD35" i="1"/>
  <c r="DC35" i="1"/>
  <c r="CY35" i="1"/>
  <c r="CX35" i="1"/>
  <c r="BZ35" i="1"/>
  <c r="W34" i="2"/>
  <c r="W35" i="2" s="1"/>
  <c r="Q38" i="76"/>
  <c r="Q38" i="75"/>
  <c r="Q38" i="74"/>
  <c r="I46" i="75"/>
  <c r="K9" i="78" l="1"/>
  <c r="I46" i="73"/>
  <c r="Q38" i="73"/>
  <c r="Q38" i="72" l="1"/>
  <c r="Q38" i="71"/>
  <c r="I46" i="70" l="1"/>
  <c r="Q38" i="69"/>
  <c r="Q38" i="68"/>
  <c r="I46" i="68"/>
  <c r="Q38" i="67"/>
  <c r="I46" i="67"/>
  <c r="O38" i="77" l="1"/>
  <c r="Q38" i="42"/>
  <c r="I46" i="95" l="1"/>
  <c r="Q38" i="96"/>
  <c r="Q38" i="95" l="1"/>
  <c r="I46" i="94"/>
  <c r="Q38" i="94"/>
  <c r="Q38" i="93"/>
  <c r="Q38" i="92"/>
  <c r="Q38" i="91" l="1"/>
  <c r="I19" i="90"/>
  <c r="Q38" i="90"/>
  <c r="I46" i="90"/>
  <c r="I46" i="89"/>
  <c r="Q38" i="89"/>
  <c r="Q38" i="88"/>
  <c r="Q38" i="87"/>
  <c r="Q38" i="86" l="1"/>
  <c r="I46" i="85"/>
  <c r="Q38" i="85"/>
  <c r="Q38" i="84" l="1"/>
  <c r="I46" i="84"/>
  <c r="Q38" i="82"/>
  <c r="I46" i="82"/>
  <c r="Q38" i="81"/>
  <c r="I46" i="81"/>
  <c r="Q38" i="80"/>
  <c r="Q38" i="79"/>
  <c r="N38" i="78"/>
  <c r="N38" i="79" s="1"/>
  <c r="N38" i="80" s="1"/>
  <c r="N38" i="81" s="1"/>
  <c r="N38" i="82" s="1"/>
  <c r="N38" i="83" s="1"/>
  <c r="G38" i="94" l="1"/>
  <c r="G38" i="95" s="1"/>
  <c r="G38" i="96" s="1"/>
  <c r="G38" i="42" s="1"/>
  <c r="G38" i="67" s="1"/>
  <c r="Q38" i="78"/>
  <c r="G38" i="70" l="1"/>
  <c r="G38" i="71" s="1"/>
  <c r="N38" i="84"/>
  <c r="AW3" i="6"/>
  <c r="F43" i="78" s="1"/>
  <c r="H43" i="78" s="1"/>
  <c r="E21" i="3"/>
  <c r="E22" i="3"/>
  <c r="E23" i="3"/>
  <c r="E24" i="3"/>
  <c r="E30" i="3"/>
  <c r="E31" i="3"/>
  <c r="I22" i="75" s="1"/>
  <c r="E32" i="3"/>
  <c r="CI3" i="6"/>
  <c r="I46" i="78"/>
  <c r="BT34" i="6"/>
  <c r="BA4" i="6"/>
  <c r="BS4" i="6" s="1"/>
  <c r="BA5" i="6"/>
  <c r="BS5" i="6" s="1"/>
  <c r="BA6" i="6"/>
  <c r="BS6" i="6" s="1"/>
  <c r="BA7" i="6"/>
  <c r="BA8" i="6"/>
  <c r="BA9" i="6"/>
  <c r="BS9" i="6" s="1"/>
  <c r="BA10" i="6"/>
  <c r="BA11" i="6"/>
  <c r="BS11" i="6" s="1"/>
  <c r="BA12" i="6"/>
  <c r="BA13" i="6"/>
  <c r="BA14" i="6"/>
  <c r="BA15" i="6"/>
  <c r="BS15" i="6" s="1"/>
  <c r="BA16" i="6"/>
  <c r="BA17" i="6"/>
  <c r="BA18" i="6"/>
  <c r="BA19" i="6"/>
  <c r="BS19" i="6" s="1"/>
  <c r="BA20" i="6"/>
  <c r="BS20" i="6" s="1"/>
  <c r="BA21" i="6"/>
  <c r="BS21" i="6" s="1"/>
  <c r="BA22" i="6"/>
  <c r="BS22" i="6" s="1"/>
  <c r="BA23" i="6"/>
  <c r="BS23" i="6" s="1"/>
  <c r="BA24" i="6"/>
  <c r="BS24" i="6" s="1"/>
  <c r="BA25" i="6"/>
  <c r="BS25" i="6" s="1"/>
  <c r="BA26" i="6"/>
  <c r="BS26" i="6" s="1"/>
  <c r="BA27" i="6"/>
  <c r="BS27" i="6" s="1"/>
  <c r="BA28" i="6"/>
  <c r="BA29" i="6"/>
  <c r="BS29" i="6" s="1"/>
  <c r="BA30" i="6"/>
  <c r="BS30" i="6" s="1"/>
  <c r="BA31" i="6"/>
  <c r="BS31" i="6" s="1"/>
  <c r="BA32" i="6"/>
  <c r="BS32" i="6" s="1"/>
  <c r="BA33" i="6"/>
  <c r="BS33" i="6" s="1"/>
  <c r="BA3" i="6"/>
  <c r="AZ4" i="6"/>
  <c r="F44" i="79" s="1"/>
  <c r="AZ5" i="6"/>
  <c r="F44" i="80" s="1"/>
  <c r="AZ6" i="6"/>
  <c r="F44" i="81" s="1"/>
  <c r="AZ7" i="6"/>
  <c r="F44" i="82" s="1"/>
  <c r="AZ8" i="6"/>
  <c r="F44" i="83" s="1"/>
  <c r="AZ9" i="6"/>
  <c r="F44" i="84" s="1"/>
  <c r="AZ10" i="6"/>
  <c r="F44" i="85" s="1"/>
  <c r="AZ11" i="6"/>
  <c r="F44" i="86" s="1"/>
  <c r="AZ12" i="6"/>
  <c r="F44" i="87" s="1"/>
  <c r="AZ13" i="6"/>
  <c r="F44" i="88" s="1"/>
  <c r="AZ14" i="6"/>
  <c r="F44" i="89" s="1"/>
  <c r="AZ15" i="6"/>
  <c r="F44" i="90" s="1"/>
  <c r="AZ16" i="6"/>
  <c r="F44" i="91" s="1"/>
  <c r="AZ17" i="6"/>
  <c r="F44" i="92" s="1"/>
  <c r="AZ18" i="6"/>
  <c r="F44" i="93" s="1"/>
  <c r="AZ19" i="6"/>
  <c r="F44" i="94" s="1"/>
  <c r="AZ20" i="6"/>
  <c r="F44" i="95" s="1"/>
  <c r="AZ21" i="6"/>
  <c r="F44" i="96" s="1"/>
  <c r="AZ22" i="6"/>
  <c r="F44" i="42" s="1"/>
  <c r="AZ23" i="6"/>
  <c r="F44" i="67" s="1"/>
  <c r="AZ24" i="6"/>
  <c r="F44" i="68" s="1"/>
  <c r="AZ25" i="6"/>
  <c r="F44" i="69" s="1"/>
  <c r="AZ26" i="6"/>
  <c r="F44" i="70" s="1"/>
  <c r="AZ27" i="6"/>
  <c r="F44" i="71" s="1"/>
  <c r="AZ28" i="6"/>
  <c r="F44" i="72" s="1"/>
  <c r="AZ29" i="6"/>
  <c r="F44" i="73" s="1"/>
  <c r="AZ30" i="6"/>
  <c r="F44" i="74" s="1"/>
  <c r="AZ31" i="6"/>
  <c r="AZ32" i="6"/>
  <c r="F44" i="76" s="1"/>
  <c r="AZ33" i="6"/>
  <c r="F44" i="77" s="1"/>
  <c r="AZ3" i="6"/>
  <c r="F44" i="78" s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" i="6"/>
  <c r="AW4" i="6"/>
  <c r="F43" i="79" s="1"/>
  <c r="AW5" i="6"/>
  <c r="F43" i="80" s="1"/>
  <c r="AW6" i="6"/>
  <c r="F43" i="81" s="1"/>
  <c r="AW7" i="6"/>
  <c r="F43" i="82" s="1"/>
  <c r="AW8" i="6"/>
  <c r="F43" i="83" s="1"/>
  <c r="AW9" i="6"/>
  <c r="F43" i="84" s="1"/>
  <c r="AW10" i="6"/>
  <c r="F43" i="85" s="1"/>
  <c r="AW11" i="6"/>
  <c r="F43" i="86" s="1"/>
  <c r="AW12" i="6"/>
  <c r="F43" i="87" s="1"/>
  <c r="AW13" i="6"/>
  <c r="F43" i="88" s="1"/>
  <c r="AW14" i="6"/>
  <c r="F43" i="89" s="1"/>
  <c r="AW15" i="6"/>
  <c r="F43" i="90" s="1"/>
  <c r="AW16" i="6"/>
  <c r="F43" i="91" s="1"/>
  <c r="AW17" i="6"/>
  <c r="F43" i="92" s="1"/>
  <c r="AW18" i="6"/>
  <c r="F43" i="93" s="1"/>
  <c r="AW19" i="6"/>
  <c r="F43" i="94" s="1"/>
  <c r="AW20" i="6"/>
  <c r="F43" i="95" s="1"/>
  <c r="AW21" i="6"/>
  <c r="F43" i="96" s="1"/>
  <c r="AW22" i="6"/>
  <c r="F43" i="42" s="1"/>
  <c r="AW23" i="6"/>
  <c r="F43" i="67" s="1"/>
  <c r="AW24" i="6"/>
  <c r="F43" i="68" s="1"/>
  <c r="AW25" i="6"/>
  <c r="F43" i="69" s="1"/>
  <c r="AW26" i="6"/>
  <c r="F43" i="70" s="1"/>
  <c r="AW27" i="6"/>
  <c r="F43" i="71" s="1"/>
  <c r="AW28" i="6"/>
  <c r="F43" i="72" s="1"/>
  <c r="AW29" i="6"/>
  <c r="F43" i="73" s="1"/>
  <c r="AW30" i="6"/>
  <c r="F43" i="74" s="1"/>
  <c r="AW31" i="6"/>
  <c r="AW32" i="6"/>
  <c r="F43" i="76" s="1"/>
  <c r="AW33" i="6"/>
  <c r="F43" i="77" s="1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" i="6"/>
  <c r="AT4" i="6"/>
  <c r="F41" i="79" s="1"/>
  <c r="AT5" i="6"/>
  <c r="F41" i="80" s="1"/>
  <c r="AT6" i="6"/>
  <c r="AT7" i="6"/>
  <c r="F41" i="82" s="1"/>
  <c r="AT8" i="6"/>
  <c r="F41" i="83" s="1"/>
  <c r="AT9" i="6"/>
  <c r="F41" i="84" s="1"/>
  <c r="AT10" i="6"/>
  <c r="AT11" i="6"/>
  <c r="F41" i="86" s="1"/>
  <c r="AT12" i="6"/>
  <c r="F41" i="87" s="1"/>
  <c r="AT13" i="6"/>
  <c r="F41" i="88" s="1"/>
  <c r="AT14" i="6"/>
  <c r="F41" i="89" s="1"/>
  <c r="AT15" i="6"/>
  <c r="F41" i="90" s="1"/>
  <c r="AT16" i="6"/>
  <c r="F41" i="91" s="1"/>
  <c r="AT17" i="6"/>
  <c r="F41" i="92" s="1"/>
  <c r="AT18" i="6"/>
  <c r="F41" i="93" s="1"/>
  <c r="AT19" i="6"/>
  <c r="F41" i="94" s="1"/>
  <c r="AT20" i="6"/>
  <c r="F41" i="95" s="1"/>
  <c r="AT21" i="6"/>
  <c r="F41" i="96" s="1"/>
  <c r="AT22" i="6"/>
  <c r="F41" i="42" s="1"/>
  <c r="AT23" i="6"/>
  <c r="AT24" i="6"/>
  <c r="F41" i="68" s="1"/>
  <c r="AT25" i="6"/>
  <c r="F41" i="69" s="1"/>
  <c r="AT26" i="6"/>
  <c r="F41" i="70" s="1"/>
  <c r="AT27" i="6"/>
  <c r="AT28" i="6"/>
  <c r="AT29" i="6"/>
  <c r="F41" i="73" s="1"/>
  <c r="AT30" i="6"/>
  <c r="F41" i="74" s="1"/>
  <c r="AT31" i="6"/>
  <c r="F41" i="75" s="1"/>
  <c r="AT32" i="6"/>
  <c r="F41" i="76" s="1"/>
  <c r="AT33" i="6"/>
  <c r="F41" i="77" s="1"/>
  <c r="AT3" i="6"/>
  <c r="F41" i="78" s="1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CG30" i="6" s="1"/>
  <c r="AR31" i="6"/>
  <c r="AR32" i="6"/>
  <c r="AR33" i="6"/>
  <c r="AR3" i="6"/>
  <c r="AQ4" i="6"/>
  <c r="AQ5" i="6"/>
  <c r="CT5" i="6" s="1"/>
  <c r="AQ6" i="6"/>
  <c r="CT6" i="6" s="1"/>
  <c r="AQ7" i="6"/>
  <c r="AQ8" i="6"/>
  <c r="AQ9" i="6"/>
  <c r="AQ10" i="6"/>
  <c r="AQ11" i="6"/>
  <c r="AQ12" i="6"/>
  <c r="CT12" i="6" s="1"/>
  <c r="AQ13" i="6"/>
  <c r="AQ14" i="6"/>
  <c r="AQ15" i="6"/>
  <c r="AQ16" i="6"/>
  <c r="AQ17" i="6"/>
  <c r="CT17" i="6" s="1"/>
  <c r="AQ18" i="6"/>
  <c r="CT18" i="6" s="1"/>
  <c r="AQ19" i="6"/>
  <c r="AQ20" i="6"/>
  <c r="AQ21" i="6"/>
  <c r="AQ22" i="6"/>
  <c r="AQ23" i="6"/>
  <c r="AQ24" i="6"/>
  <c r="CT24" i="6" s="1"/>
  <c r="AQ25" i="6"/>
  <c r="AQ26" i="6"/>
  <c r="AQ27" i="6"/>
  <c r="AQ28" i="6"/>
  <c r="AQ29" i="6"/>
  <c r="AQ30" i="6"/>
  <c r="CT30" i="6" s="1"/>
  <c r="AQ31" i="6"/>
  <c r="AQ32" i="6"/>
  <c r="AQ33" i="6"/>
  <c r="AQ3" i="6"/>
  <c r="S53" i="97"/>
  <c r="Q53" i="97"/>
  <c r="T40" i="97"/>
  <c r="S40" i="97"/>
  <c r="R40" i="97"/>
  <c r="Q40" i="97"/>
  <c r="N40" i="97"/>
  <c r="M40" i="97"/>
  <c r="T39" i="97"/>
  <c r="S39" i="97"/>
  <c r="R39" i="97"/>
  <c r="Q39" i="97"/>
  <c r="N39" i="97"/>
  <c r="M39" i="97"/>
  <c r="T38" i="97"/>
  <c r="S38" i="97"/>
  <c r="R38" i="97"/>
  <c r="Q38" i="97"/>
  <c r="N38" i="97"/>
  <c r="M38" i="97"/>
  <c r="T37" i="97"/>
  <c r="S37" i="97"/>
  <c r="R37" i="97"/>
  <c r="Q37" i="97"/>
  <c r="AA37" i="97" s="1"/>
  <c r="N37" i="97"/>
  <c r="M37" i="97"/>
  <c r="T36" i="97"/>
  <c r="AH36" i="97" s="1"/>
  <c r="S36" i="97"/>
  <c r="Q36" i="97"/>
  <c r="AA36" i="97" s="1"/>
  <c r="N36" i="97"/>
  <c r="M36" i="97"/>
  <c r="T35" i="97"/>
  <c r="AB35" i="97" s="1"/>
  <c r="R35" i="97"/>
  <c r="Q35" i="97"/>
  <c r="N35" i="97"/>
  <c r="M35" i="97"/>
  <c r="N34" i="97"/>
  <c r="M34" i="97"/>
  <c r="N33" i="97"/>
  <c r="M33" i="97"/>
  <c r="N32" i="97"/>
  <c r="M32" i="97"/>
  <c r="N31" i="97"/>
  <c r="M31" i="97"/>
  <c r="N30" i="97"/>
  <c r="M30" i="97"/>
  <c r="N29" i="97"/>
  <c r="M29" i="97"/>
  <c r="N27" i="97"/>
  <c r="M27" i="97"/>
  <c r="N25" i="97"/>
  <c r="M25" i="97"/>
  <c r="N24" i="97"/>
  <c r="M24" i="97"/>
  <c r="N23" i="97"/>
  <c r="M23" i="97"/>
  <c r="N22" i="97"/>
  <c r="M22" i="97"/>
  <c r="N20" i="97"/>
  <c r="M20" i="97"/>
  <c r="N19" i="97"/>
  <c r="M19" i="97"/>
  <c r="N18" i="97"/>
  <c r="M18" i="97"/>
  <c r="N17" i="97"/>
  <c r="M17" i="97"/>
  <c r="N16" i="97"/>
  <c r="M16" i="97"/>
  <c r="N15" i="97"/>
  <c r="M15" i="97"/>
  <c r="N14" i="97"/>
  <c r="M14" i="97"/>
  <c r="N13" i="97"/>
  <c r="M13" i="97"/>
  <c r="N12" i="97"/>
  <c r="M12" i="97"/>
  <c r="N11" i="97"/>
  <c r="M11" i="97"/>
  <c r="N10" i="97"/>
  <c r="M10" i="97"/>
  <c r="N9" i="97"/>
  <c r="M9" i="97"/>
  <c r="N8" i="97"/>
  <c r="M8" i="97"/>
  <c r="AP7" i="97"/>
  <c r="N7" i="97"/>
  <c r="N41" i="97" s="1"/>
  <c r="M7" i="97"/>
  <c r="CT29" i="6" l="1"/>
  <c r="CT23" i="6"/>
  <c r="CT3" i="6"/>
  <c r="AH35" i="97"/>
  <c r="CT11" i="6"/>
  <c r="AA35" i="97"/>
  <c r="AB36" i="97"/>
  <c r="AB37" i="97"/>
  <c r="AB38" i="97"/>
  <c r="AB39" i="97"/>
  <c r="CG31" i="6"/>
  <c r="AA38" i="97"/>
  <c r="AA40" i="97"/>
  <c r="CT28" i="6"/>
  <c r="CO28" i="6" s="1"/>
  <c r="CT22" i="6"/>
  <c r="CO22" i="6" s="1"/>
  <c r="CT16" i="6"/>
  <c r="CO16" i="6" s="1"/>
  <c r="CT10" i="6"/>
  <c r="CO10" i="6" s="1"/>
  <c r="CT4" i="6"/>
  <c r="CO4" i="6" s="1"/>
  <c r="AH37" i="97"/>
  <c r="AH38" i="97"/>
  <c r="AH39" i="97"/>
  <c r="AH40" i="97"/>
  <c r="CT33" i="6"/>
  <c r="CO33" i="6" s="1"/>
  <c r="CT27" i="6"/>
  <c r="CO27" i="6" s="1"/>
  <c r="CT21" i="6"/>
  <c r="CT15" i="6"/>
  <c r="CO15" i="6" s="1"/>
  <c r="CT9" i="6"/>
  <c r="CO9" i="6" s="1"/>
  <c r="CG28" i="6"/>
  <c r="AA39" i="97"/>
  <c r="AB40" i="97"/>
  <c r="H41" i="78"/>
  <c r="AQ24" i="97"/>
  <c r="CG29" i="6"/>
  <c r="CT32" i="6"/>
  <c r="CO32" i="6" s="1"/>
  <c r="CT26" i="6"/>
  <c r="CO26" i="6" s="1"/>
  <c r="CT20" i="6"/>
  <c r="CO20" i="6" s="1"/>
  <c r="CT14" i="6"/>
  <c r="CO14" i="6" s="1"/>
  <c r="CT8" i="6"/>
  <c r="CO8" i="6" s="1"/>
  <c r="CG33" i="6"/>
  <c r="CT31" i="6"/>
  <c r="CO31" i="6" s="1"/>
  <c r="CT25" i="6"/>
  <c r="CO25" i="6" s="1"/>
  <c r="CT19" i="6"/>
  <c r="CO19" i="6" s="1"/>
  <c r="CT13" i="6"/>
  <c r="CO13" i="6" s="1"/>
  <c r="CT7" i="6"/>
  <c r="CO7" i="6" s="1"/>
  <c r="CG32" i="6"/>
  <c r="BS28" i="6"/>
  <c r="J44" i="72"/>
  <c r="G38" i="72"/>
  <c r="G38" i="73" s="1"/>
  <c r="O41" i="97"/>
  <c r="M41" i="97"/>
  <c r="BS7" i="6"/>
  <c r="J44" i="82"/>
  <c r="E29" i="3"/>
  <c r="AH41" i="97"/>
  <c r="AH42" i="97" s="1"/>
  <c r="CO21" i="6"/>
  <c r="CO3" i="6"/>
  <c r="BS3" i="6"/>
  <c r="BU3" i="6" s="1"/>
  <c r="CO30" i="6"/>
  <c r="CO24" i="6"/>
  <c r="CO18" i="6"/>
  <c r="CO12" i="6"/>
  <c r="CO6" i="6"/>
  <c r="CO29" i="6"/>
  <c r="CO23" i="6"/>
  <c r="CO17" i="6"/>
  <c r="CO11" i="6"/>
  <c r="CO5" i="6"/>
  <c r="BS8" i="6"/>
  <c r="J44" i="83"/>
  <c r="AT20" i="97"/>
  <c r="J44" i="42"/>
  <c r="Q44" i="42" s="1"/>
  <c r="J44" i="85"/>
  <c r="BS10" i="6"/>
  <c r="J44" i="76"/>
  <c r="Q44" i="76" s="1"/>
  <c r="J44" i="95"/>
  <c r="Q44" i="95" s="1"/>
  <c r="J44" i="89"/>
  <c r="Q44" i="89" s="1"/>
  <c r="BS14" i="6"/>
  <c r="J44" i="75"/>
  <c r="J44" i="69"/>
  <c r="Q44" i="69" s="1"/>
  <c r="J44" i="88"/>
  <c r="Q44" i="88" s="1"/>
  <c r="BS13" i="6"/>
  <c r="J44" i="93"/>
  <c r="Q44" i="93" s="1"/>
  <c r="BS18" i="6"/>
  <c r="J44" i="87"/>
  <c r="BS12" i="6"/>
  <c r="J44" i="91"/>
  <c r="Q44" i="91" s="1"/>
  <c r="BS16" i="6"/>
  <c r="J44" i="96"/>
  <c r="J44" i="67"/>
  <c r="J44" i="92"/>
  <c r="BS17" i="6"/>
  <c r="N38" i="85"/>
  <c r="N38" i="86" s="1"/>
  <c r="J43" i="67"/>
  <c r="J41" i="77"/>
  <c r="J41" i="71"/>
  <c r="J41" i="96"/>
  <c r="J41" i="90"/>
  <c r="J43" i="72"/>
  <c r="Q43" i="72" s="1"/>
  <c r="J43" i="42"/>
  <c r="Q43" i="42" s="1"/>
  <c r="J43" i="91"/>
  <c r="Q43" i="91" s="1"/>
  <c r="J41" i="67"/>
  <c r="J43" i="93"/>
  <c r="Q43" i="93" s="1"/>
  <c r="J41" i="76"/>
  <c r="J41" i="70"/>
  <c r="Q41" i="70" s="1"/>
  <c r="J41" i="95"/>
  <c r="J41" i="89"/>
  <c r="Q41" i="89" s="1"/>
  <c r="J41" i="83"/>
  <c r="J43" i="77"/>
  <c r="Q43" i="77" s="1"/>
  <c r="J43" i="71"/>
  <c r="Q43" i="71" s="1"/>
  <c r="J43" i="96"/>
  <c r="Q43" i="96" s="1"/>
  <c r="J43" i="90"/>
  <c r="Q43" i="90" s="1"/>
  <c r="J41" i="86"/>
  <c r="J43" i="68"/>
  <c r="Q43" i="68" s="1"/>
  <c r="J43" i="87"/>
  <c r="Q43" i="87" s="1"/>
  <c r="J41" i="42"/>
  <c r="J41" i="91"/>
  <c r="J41" i="79"/>
  <c r="J43" i="73"/>
  <c r="Q43" i="73" s="1"/>
  <c r="J43" i="86"/>
  <c r="Q43" i="86" s="1"/>
  <c r="J41" i="75"/>
  <c r="J46" i="75" s="1"/>
  <c r="J41" i="69"/>
  <c r="Q41" i="69" s="1"/>
  <c r="J41" i="94"/>
  <c r="Q41" i="94" s="1"/>
  <c r="J41" i="88"/>
  <c r="J41" i="82"/>
  <c r="J43" i="76"/>
  <c r="Q43" i="76" s="1"/>
  <c r="J43" i="70"/>
  <c r="Q43" i="70" s="1"/>
  <c r="J43" i="95"/>
  <c r="Q43" i="95" s="1"/>
  <c r="J43" i="89"/>
  <c r="Q43" i="89" s="1"/>
  <c r="J41" i="73"/>
  <c r="J41" i="92"/>
  <c r="Q41" i="92" s="1"/>
  <c r="J41" i="80"/>
  <c r="J43" i="74"/>
  <c r="Q43" i="74" s="1"/>
  <c r="J43" i="81"/>
  <c r="Q43" i="81" s="1"/>
  <c r="J41" i="72"/>
  <c r="J41" i="85"/>
  <c r="J43" i="92"/>
  <c r="Q43" i="92" s="1"/>
  <c r="J41" i="74"/>
  <c r="Q41" i="74" s="1"/>
  <c r="J41" i="68"/>
  <c r="J41" i="93"/>
  <c r="Q41" i="93" s="1"/>
  <c r="J41" i="81"/>
  <c r="J43" i="75"/>
  <c r="J43" i="69"/>
  <c r="Q43" i="69" s="1"/>
  <c r="J43" i="94"/>
  <c r="Q43" i="94" s="1"/>
  <c r="J43" i="88"/>
  <c r="Q43" i="88" s="1"/>
  <c r="G44" i="78"/>
  <c r="H44" i="78"/>
  <c r="J42" i="95"/>
  <c r="CR20" i="6"/>
  <c r="J42" i="75"/>
  <c r="CR31" i="6"/>
  <c r="J42" i="71"/>
  <c r="CR27" i="6"/>
  <c r="J42" i="67"/>
  <c r="J46" i="67" s="1"/>
  <c r="CR23" i="6"/>
  <c r="J42" i="94"/>
  <c r="CR19" i="6"/>
  <c r="J42" i="90"/>
  <c r="CR15" i="6"/>
  <c r="J42" i="86"/>
  <c r="CR11" i="6"/>
  <c r="J42" i="82"/>
  <c r="CR7" i="6"/>
  <c r="J42" i="72"/>
  <c r="CR28" i="6"/>
  <c r="J42" i="91"/>
  <c r="CR16" i="6"/>
  <c r="J42" i="79"/>
  <c r="CR4" i="6"/>
  <c r="J42" i="74"/>
  <c r="J46" i="74" s="1"/>
  <c r="CR30" i="6"/>
  <c r="J42" i="70"/>
  <c r="CR26" i="6"/>
  <c r="J42" i="42"/>
  <c r="CR22" i="6"/>
  <c r="J42" i="93"/>
  <c r="J46" i="93" s="1"/>
  <c r="CR18" i="6"/>
  <c r="J42" i="89"/>
  <c r="CR14" i="6"/>
  <c r="CR10" i="6"/>
  <c r="J42" i="81"/>
  <c r="CR6" i="6"/>
  <c r="J42" i="76"/>
  <c r="J46" i="76" s="1"/>
  <c r="CR32" i="6"/>
  <c r="J42" i="68"/>
  <c r="CR24" i="6"/>
  <c r="J42" i="87"/>
  <c r="CR12" i="6"/>
  <c r="J42" i="83"/>
  <c r="CR8" i="6"/>
  <c r="J42" i="73"/>
  <c r="CR29" i="6"/>
  <c r="J42" i="69"/>
  <c r="CR25" i="6"/>
  <c r="J42" i="96"/>
  <c r="CR21" i="6"/>
  <c r="J42" i="92"/>
  <c r="CR17" i="6"/>
  <c r="J42" i="88"/>
  <c r="CR13" i="6"/>
  <c r="J42" i="84"/>
  <c r="CR9" i="6"/>
  <c r="J42" i="80"/>
  <c r="CR5" i="6"/>
  <c r="J42" i="78"/>
  <c r="K42" i="78" s="1"/>
  <c r="CR3" i="6"/>
  <c r="J42" i="77"/>
  <c r="CR33" i="6"/>
  <c r="F42" i="77"/>
  <c r="F46" i="77" s="1"/>
  <c r="F42" i="76"/>
  <c r="F46" i="76" s="1"/>
  <c r="F42" i="72"/>
  <c r="F42" i="75"/>
  <c r="F42" i="71"/>
  <c r="AT34" i="97"/>
  <c r="J44" i="77"/>
  <c r="F42" i="67"/>
  <c r="F42" i="86"/>
  <c r="F46" i="86" s="1"/>
  <c r="F42" i="70"/>
  <c r="F42" i="42"/>
  <c r="F46" i="42" s="1"/>
  <c r="F42" i="93"/>
  <c r="F46" i="93" s="1"/>
  <c r="F42" i="89"/>
  <c r="F46" i="89" s="1"/>
  <c r="F42" i="85"/>
  <c r="F42" i="81"/>
  <c r="F42" i="90"/>
  <c r="F46" i="90" s="1"/>
  <c r="F42" i="69"/>
  <c r="F42" i="96"/>
  <c r="F46" i="96" s="1"/>
  <c r="F42" i="92"/>
  <c r="F46" i="92" s="1"/>
  <c r="F42" i="88"/>
  <c r="F46" i="88" s="1"/>
  <c r="F42" i="84"/>
  <c r="F46" i="84" s="1"/>
  <c r="F42" i="80"/>
  <c r="F46" i="80" s="1"/>
  <c r="F42" i="94"/>
  <c r="F46" i="94" s="1"/>
  <c r="F42" i="82"/>
  <c r="F46" i="82" s="1"/>
  <c r="F42" i="68"/>
  <c r="F42" i="95"/>
  <c r="F46" i="95" s="1"/>
  <c r="F42" i="91"/>
  <c r="F46" i="91" s="1"/>
  <c r="F42" i="87"/>
  <c r="F46" i="87" s="1"/>
  <c r="F42" i="78"/>
  <c r="H42" i="78" s="1"/>
  <c r="F43" i="75"/>
  <c r="F41" i="71"/>
  <c r="F41" i="72"/>
  <c r="F42" i="73"/>
  <c r="F42" i="74"/>
  <c r="F46" i="74" s="1"/>
  <c r="AT17" i="97"/>
  <c r="AS33" i="6"/>
  <c r="J44" i="73"/>
  <c r="Q44" i="72"/>
  <c r="J44" i="71"/>
  <c r="F44" i="75"/>
  <c r="J44" i="74"/>
  <c r="AT11" i="97"/>
  <c r="AT27" i="97"/>
  <c r="AV15" i="6"/>
  <c r="J44" i="68"/>
  <c r="J44" i="70"/>
  <c r="AV23" i="6"/>
  <c r="F41" i="67"/>
  <c r="J44" i="94"/>
  <c r="J44" i="90"/>
  <c r="H38" i="94"/>
  <c r="H38" i="95" s="1"/>
  <c r="H38" i="96" s="1"/>
  <c r="H38" i="42" s="1"/>
  <c r="H38" i="67" s="1"/>
  <c r="AS28" i="6"/>
  <c r="AS24" i="6"/>
  <c r="AS20" i="6"/>
  <c r="AS16" i="6"/>
  <c r="AS4" i="6"/>
  <c r="AV30" i="6"/>
  <c r="AV26" i="6"/>
  <c r="AV22" i="6"/>
  <c r="AV18" i="6"/>
  <c r="AV14" i="6"/>
  <c r="BB29" i="6"/>
  <c r="AS30" i="6"/>
  <c r="AS26" i="6"/>
  <c r="AS22" i="6"/>
  <c r="AS18" i="6"/>
  <c r="AS14" i="6"/>
  <c r="AV32" i="6"/>
  <c r="AV28" i="6"/>
  <c r="AV24" i="6"/>
  <c r="AV20" i="6"/>
  <c r="AV16" i="6"/>
  <c r="AV12" i="6"/>
  <c r="J41" i="87"/>
  <c r="AY33" i="6"/>
  <c r="AY29" i="6"/>
  <c r="AY25" i="6"/>
  <c r="AY21" i="6"/>
  <c r="AY17" i="6"/>
  <c r="AY13" i="6"/>
  <c r="AY5" i="6"/>
  <c r="AT22" i="97"/>
  <c r="AS25" i="6"/>
  <c r="AS12" i="6"/>
  <c r="AT10" i="97"/>
  <c r="J44" i="86"/>
  <c r="AT31" i="97"/>
  <c r="AT23" i="97"/>
  <c r="AT19" i="97"/>
  <c r="AT15" i="97"/>
  <c r="AT7" i="97"/>
  <c r="AT29" i="97"/>
  <c r="AT25" i="97"/>
  <c r="AS10" i="6"/>
  <c r="J42" i="85"/>
  <c r="AV4" i="6"/>
  <c r="AT18" i="97"/>
  <c r="AT14" i="97"/>
  <c r="AV7" i="6"/>
  <c r="AV10" i="6"/>
  <c r="F41" i="85"/>
  <c r="AV33" i="6"/>
  <c r="AY30" i="6"/>
  <c r="AY26" i="6"/>
  <c r="AY18" i="6"/>
  <c r="AY14" i="6"/>
  <c r="AY10" i="6"/>
  <c r="J43" i="85"/>
  <c r="AT9" i="97"/>
  <c r="AY22" i="6"/>
  <c r="F42" i="79"/>
  <c r="F46" i="79" s="1"/>
  <c r="BB3" i="6"/>
  <c r="BB22" i="6"/>
  <c r="BB18" i="6"/>
  <c r="BB14" i="6"/>
  <c r="BB10" i="6"/>
  <c r="AV13" i="6"/>
  <c r="AS6" i="6"/>
  <c r="AY32" i="6"/>
  <c r="AY28" i="6"/>
  <c r="AY24" i="6"/>
  <c r="AY20" i="6"/>
  <c r="AY16" i="6"/>
  <c r="AY12" i="6"/>
  <c r="AY8" i="6"/>
  <c r="J43" i="83"/>
  <c r="BB25" i="6"/>
  <c r="BB21" i="6"/>
  <c r="BB17" i="6"/>
  <c r="BB13" i="6"/>
  <c r="BB9" i="6"/>
  <c r="J44" i="84"/>
  <c r="BB5" i="6"/>
  <c r="AY9" i="6"/>
  <c r="J43" i="84"/>
  <c r="BB6" i="6"/>
  <c r="J44" i="81"/>
  <c r="AY31" i="6"/>
  <c r="AY27" i="6"/>
  <c r="AY23" i="6"/>
  <c r="AY19" i="6"/>
  <c r="AY15" i="6"/>
  <c r="AY11" i="6"/>
  <c r="AY7" i="6"/>
  <c r="J43" i="82"/>
  <c r="BB32" i="6"/>
  <c r="BB28" i="6"/>
  <c r="BB24" i="6"/>
  <c r="BB20" i="6"/>
  <c r="BB16" i="6"/>
  <c r="BB12" i="6"/>
  <c r="BB8" i="6"/>
  <c r="BB4" i="6"/>
  <c r="J43" i="80"/>
  <c r="Q43" i="80" s="1"/>
  <c r="AY6" i="6"/>
  <c r="AV8" i="6"/>
  <c r="AS8" i="6"/>
  <c r="F42" i="83"/>
  <c r="F46" i="83" s="1"/>
  <c r="AS31" i="6"/>
  <c r="AV6" i="6"/>
  <c r="F41" i="81"/>
  <c r="AV29" i="6"/>
  <c r="AV25" i="6"/>
  <c r="AV21" i="6"/>
  <c r="AV17" i="6"/>
  <c r="AV9" i="6"/>
  <c r="J41" i="84"/>
  <c r="BB23" i="6"/>
  <c r="BB7" i="6"/>
  <c r="J44" i="80"/>
  <c r="J43" i="78"/>
  <c r="L43" i="78" s="1"/>
  <c r="G41" i="78"/>
  <c r="H43" i="79"/>
  <c r="H43" i="80" s="1"/>
  <c r="H43" i="81" s="1"/>
  <c r="H43" i="82" s="1"/>
  <c r="H43" i="83" s="1"/>
  <c r="H43" i="84" s="1"/>
  <c r="H43" i="85" s="1"/>
  <c r="H43" i="86" s="1"/>
  <c r="H43" i="87" s="1"/>
  <c r="H43" i="88" s="1"/>
  <c r="H43" i="89" s="1"/>
  <c r="H43" i="90" s="1"/>
  <c r="H43" i="91" s="1"/>
  <c r="H43" i="92" s="1"/>
  <c r="H43" i="93" s="1"/>
  <c r="H43" i="94" s="1"/>
  <c r="H43" i="95" s="1"/>
  <c r="H43" i="96" s="1"/>
  <c r="H43" i="42" s="1"/>
  <c r="G43" i="78"/>
  <c r="G43" i="79" s="1"/>
  <c r="G43" i="80" s="1"/>
  <c r="G43" i="81" s="1"/>
  <c r="G43" i="82" s="1"/>
  <c r="G43" i="83" s="1"/>
  <c r="G43" i="84" s="1"/>
  <c r="G43" i="85" s="1"/>
  <c r="G43" i="86" s="1"/>
  <c r="G43" i="87" s="1"/>
  <c r="G43" i="88" s="1"/>
  <c r="G43" i="89" s="1"/>
  <c r="G43" i="90" s="1"/>
  <c r="AY3" i="6"/>
  <c r="J41" i="78"/>
  <c r="AT32" i="97"/>
  <c r="AT24" i="97"/>
  <c r="AT16" i="97"/>
  <c r="AT12" i="97"/>
  <c r="AT8" i="97"/>
  <c r="BB26" i="6"/>
  <c r="BB30" i="6"/>
  <c r="BB19" i="6"/>
  <c r="BB15" i="6"/>
  <c r="BB11" i="6"/>
  <c r="J44" i="79"/>
  <c r="J44" i="78"/>
  <c r="P38" i="78" s="1"/>
  <c r="AV5" i="6"/>
  <c r="AY4" i="6"/>
  <c r="J43" i="79"/>
  <c r="BB31" i="6"/>
  <c r="BB27" i="6"/>
  <c r="AX35" i="6"/>
  <c r="AV31" i="6"/>
  <c r="AV19" i="6"/>
  <c r="AV11" i="6"/>
  <c r="BA35" i="6"/>
  <c r="AZ34" i="6"/>
  <c r="BB33" i="6"/>
  <c r="AV27" i="6"/>
  <c r="AS27" i="6"/>
  <c r="BA34" i="6"/>
  <c r="AZ35" i="6"/>
  <c r="AU35" i="6"/>
  <c r="AS5" i="6"/>
  <c r="AS9" i="6"/>
  <c r="AS13" i="6"/>
  <c r="AS17" i="6"/>
  <c r="AS21" i="6"/>
  <c r="AQ35" i="6"/>
  <c r="AV3" i="6"/>
  <c r="AX34" i="6"/>
  <c r="AS32" i="6"/>
  <c r="AR35" i="6"/>
  <c r="AW34" i="6"/>
  <c r="AS7" i="6"/>
  <c r="AS11" i="6"/>
  <c r="AS15" i="6"/>
  <c r="AS19" i="6"/>
  <c r="AS23" i="6"/>
  <c r="AT35" i="6"/>
  <c r="AS29" i="6"/>
  <c r="AT34" i="6"/>
  <c r="AS3" i="6"/>
  <c r="AQ34" i="6"/>
  <c r="AU34" i="6"/>
  <c r="AR34" i="6"/>
  <c r="AW35" i="6"/>
  <c r="AM35" i="97"/>
  <c r="AG36" i="97"/>
  <c r="AR27" i="97"/>
  <c r="AR31" i="97"/>
  <c r="AS22" i="97"/>
  <c r="AG34" i="97"/>
  <c r="Q33" i="3" s="1"/>
  <c r="AR34" i="97"/>
  <c r="AM37" i="97"/>
  <c r="AS9" i="97"/>
  <c r="AS10" i="97"/>
  <c r="AR12" i="97"/>
  <c r="AS19" i="97"/>
  <c r="AR23" i="97"/>
  <c r="AP20" i="97"/>
  <c r="AP8" i="97"/>
  <c r="Q17" i="3"/>
  <c r="AS20" i="97"/>
  <c r="AR29" i="97"/>
  <c r="AR7" i="97"/>
  <c r="AS23" i="97"/>
  <c r="AS24" i="97"/>
  <c r="AR32" i="97"/>
  <c r="AG33" i="97"/>
  <c r="AM36" i="97"/>
  <c r="AS18" i="97"/>
  <c r="AR22" i="97"/>
  <c r="AR25" i="97"/>
  <c r="AR33" i="97"/>
  <c r="AG37" i="97"/>
  <c r="AS32" i="97"/>
  <c r="AN41" i="97"/>
  <c r="AS27" i="97"/>
  <c r="AS31" i="97"/>
  <c r="AM38" i="97"/>
  <c r="AG38" i="97"/>
  <c r="AM40" i="97"/>
  <c r="AG40" i="97"/>
  <c r="AS8" i="97"/>
  <c r="AR9" i="97"/>
  <c r="AR10" i="97"/>
  <c r="AR11" i="97"/>
  <c r="AS25" i="97"/>
  <c r="AS13" i="97"/>
  <c r="AS29" i="97"/>
  <c r="AS33" i="97"/>
  <c r="AM39" i="97"/>
  <c r="AG39" i="97"/>
  <c r="AR14" i="97"/>
  <c r="AR15" i="97"/>
  <c r="AR16" i="97"/>
  <c r="AR17" i="97"/>
  <c r="AR18" i="97"/>
  <c r="AR19" i="97"/>
  <c r="AR20" i="97"/>
  <c r="AR13" i="97"/>
  <c r="AS14" i="97"/>
  <c r="AS15" i="97"/>
  <c r="AS16" i="97"/>
  <c r="AS17" i="97"/>
  <c r="AG35" i="97"/>
  <c r="H43" i="75" l="1"/>
  <c r="H43" i="76" s="1"/>
  <c r="G43" i="75"/>
  <c r="F46" i="75"/>
  <c r="G44" i="75"/>
  <c r="H44" i="75"/>
  <c r="L44" i="75"/>
  <c r="K44" i="75"/>
  <c r="F46" i="72"/>
  <c r="Q41" i="68"/>
  <c r="J46" i="94"/>
  <c r="Q44" i="67"/>
  <c r="Q44" i="96"/>
  <c r="Q41" i="95"/>
  <c r="J46" i="95"/>
  <c r="Q43" i="67"/>
  <c r="H43" i="67"/>
  <c r="H43" i="70" s="1"/>
  <c r="H43" i="71" s="1"/>
  <c r="H43" i="72" s="1"/>
  <c r="H43" i="77" s="1"/>
  <c r="Q41" i="42"/>
  <c r="J46" i="42"/>
  <c r="Q41" i="96"/>
  <c r="J46" i="96"/>
  <c r="F46" i="67"/>
  <c r="Q44" i="92"/>
  <c r="J46" i="92"/>
  <c r="Q41" i="91"/>
  <c r="J46" i="91"/>
  <c r="Q41" i="90"/>
  <c r="J46" i="90"/>
  <c r="J46" i="88"/>
  <c r="F46" i="85"/>
  <c r="J46" i="86"/>
  <c r="J46" i="89"/>
  <c r="J46" i="87"/>
  <c r="J46" i="84"/>
  <c r="Q44" i="85"/>
  <c r="J46" i="85"/>
  <c r="F46" i="81"/>
  <c r="J46" i="81"/>
  <c r="J46" i="82"/>
  <c r="Q46" i="82" s="1"/>
  <c r="F46" i="78"/>
  <c r="J46" i="78"/>
  <c r="J46" i="80"/>
  <c r="J46" i="83"/>
  <c r="H46" i="78"/>
  <c r="L43" i="79"/>
  <c r="H44" i="79"/>
  <c r="H44" i="80" s="1"/>
  <c r="H44" i="81" s="1"/>
  <c r="H44" i="82" s="1"/>
  <c r="H44" i="83" s="1"/>
  <c r="H44" i="84" s="1"/>
  <c r="H44" i="85" s="1"/>
  <c r="H44" i="86" s="1"/>
  <c r="G44" i="79"/>
  <c r="G44" i="80" s="1"/>
  <c r="G44" i="81" s="1"/>
  <c r="G44" i="82" s="1"/>
  <c r="G44" i="83" s="1"/>
  <c r="G44" i="84" s="1"/>
  <c r="G44" i="85" s="1"/>
  <c r="G44" i="86" s="1"/>
  <c r="J46" i="79"/>
  <c r="AF24" i="97"/>
  <c r="AL24" i="97" s="1"/>
  <c r="AF32" i="97"/>
  <c r="AL32" i="97" s="1"/>
  <c r="AF25" i="97"/>
  <c r="AL25" i="97" s="1"/>
  <c r="AF16" i="97"/>
  <c r="AL16" i="97" s="1"/>
  <c r="AF10" i="97"/>
  <c r="AL10" i="97" s="1"/>
  <c r="AF27" i="97"/>
  <c r="AL27" i="97" s="1"/>
  <c r="AF18" i="97"/>
  <c r="AL18" i="97" s="1"/>
  <c r="AF13" i="97"/>
  <c r="AL13" i="97" s="1"/>
  <c r="AF8" i="97"/>
  <c r="AL8" i="97" s="1"/>
  <c r="AF7" i="97"/>
  <c r="AL7" i="97" s="1"/>
  <c r="Q41" i="77"/>
  <c r="J46" i="77"/>
  <c r="AF31" i="97"/>
  <c r="AL31" i="97" s="1"/>
  <c r="AQ23" i="97"/>
  <c r="AF23" i="97"/>
  <c r="AL23" i="97" s="1"/>
  <c r="AF19" i="97"/>
  <c r="AL19" i="97" s="1"/>
  <c r="AF12" i="97"/>
  <c r="AL12" i="97" s="1"/>
  <c r="AF14" i="97"/>
  <c r="AL14" i="97" s="1"/>
  <c r="AF30" i="97"/>
  <c r="AL30" i="97" s="1"/>
  <c r="AQ22" i="97"/>
  <c r="AF22" i="97"/>
  <c r="AL22" i="97" s="1"/>
  <c r="AF11" i="97"/>
  <c r="AL11" i="97" s="1"/>
  <c r="AF29" i="97"/>
  <c r="AL29" i="97" s="1"/>
  <c r="AF15" i="97"/>
  <c r="AL15" i="97" s="1"/>
  <c r="Q41" i="76"/>
  <c r="AF20" i="97"/>
  <c r="AL20" i="97" s="1"/>
  <c r="AF17" i="97"/>
  <c r="AL17" i="97" s="1"/>
  <c r="AF9" i="97"/>
  <c r="AL9" i="97" s="1"/>
  <c r="Q41" i="75"/>
  <c r="G38" i="77"/>
  <c r="AT33" i="97"/>
  <c r="AF33" i="97"/>
  <c r="AL33" i="97" s="1"/>
  <c r="Q41" i="73"/>
  <c r="Q46" i="73"/>
  <c r="AO41" i="97"/>
  <c r="AM41" i="97"/>
  <c r="Q41" i="80"/>
  <c r="Q46" i="84"/>
  <c r="Q41" i="86"/>
  <c r="Q41" i="88"/>
  <c r="Q41" i="79"/>
  <c r="Q46" i="79"/>
  <c r="AC41" i="97"/>
  <c r="AG41" i="97"/>
  <c r="AR30" i="97"/>
  <c r="AT30" i="97"/>
  <c r="AD41" i="97"/>
  <c r="AD42" i="97" s="1"/>
  <c r="AT13" i="97"/>
  <c r="AT41" i="97" s="1"/>
  <c r="Q41" i="83"/>
  <c r="Q44" i="87"/>
  <c r="CT34" i="6"/>
  <c r="H38" i="70"/>
  <c r="H38" i="71" s="1"/>
  <c r="AF34" i="97"/>
  <c r="AL34" i="97" s="1"/>
  <c r="AS30" i="97"/>
  <c r="Q42" i="72"/>
  <c r="AR24" i="97"/>
  <c r="AF40" i="97"/>
  <c r="AK40" i="97" s="1"/>
  <c r="AF38" i="97"/>
  <c r="AK38" i="97" s="1"/>
  <c r="AQ7" i="97"/>
  <c r="AQ8" i="97"/>
  <c r="AQ14" i="97"/>
  <c r="AQ10" i="97"/>
  <c r="AQ12" i="97"/>
  <c r="AQ11" i="97"/>
  <c r="EK5" i="1"/>
  <c r="Q41" i="72"/>
  <c r="AF35" i="97"/>
  <c r="AL35" i="97" s="1"/>
  <c r="AQ25" i="97"/>
  <c r="L38" i="84"/>
  <c r="Q38" i="83"/>
  <c r="AQ15" i="97"/>
  <c r="AQ20" i="97"/>
  <c r="AQ9" i="97"/>
  <c r="Q41" i="82"/>
  <c r="AQ33" i="97"/>
  <c r="AQ32" i="97"/>
  <c r="AQ18" i="97"/>
  <c r="AF36" i="97"/>
  <c r="AL36" i="97" s="1"/>
  <c r="AQ31" i="97"/>
  <c r="AF39" i="97"/>
  <c r="AK39" i="97" s="1"/>
  <c r="AQ16" i="97"/>
  <c r="AQ13" i="97"/>
  <c r="AQ29" i="97"/>
  <c r="AQ30" i="97"/>
  <c r="AF37" i="97"/>
  <c r="AL37" i="97" s="1"/>
  <c r="AQ19" i="97"/>
  <c r="N38" i="87"/>
  <c r="N38" i="88" s="1"/>
  <c r="N38" i="89" s="1"/>
  <c r="AQ17" i="97"/>
  <c r="AS12" i="97"/>
  <c r="Q41" i="85"/>
  <c r="AS11" i="97"/>
  <c r="AR8" i="97"/>
  <c r="AS7" i="97"/>
  <c r="Q41" i="67"/>
  <c r="Q42" i="92"/>
  <c r="Q43" i="75"/>
  <c r="AQ34" i="97"/>
  <c r="AS34" i="97"/>
  <c r="L42" i="78"/>
  <c r="L42" i="79" s="1"/>
  <c r="Q42" i="67"/>
  <c r="Q42" i="85"/>
  <c r="Q42" i="81"/>
  <c r="BS35" i="6"/>
  <c r="AQ27" i="97"/>
  <c r="Q42" i="94"/>
  <c r="Q42" i="83"/>
  <c r="Q42" i="71"/>
  <c r="Q42" i="73"/>
  <c r="AR41" i="97"/>
  <c r="AR42" i="97" s="1"/>
  <c r="Q46" i="77"/>
  <c r="Q42" i="75"/>
  <c r="Q42" i="87"/>
  <c r="Q42" i="91"/>
  <c r="G42" i="78"/>
  <c r="G46" i="78" s="1"/>
  <c r="K42" i="79"/>
  <c r="BB34" i="6"/>
  <c r="Q42" i="84"/>
  <c r="Q42" i="69"/>
  <c r="Q42" i="77"/>
  <c r="Q42" i="76"/>
  <c r="Q42" i="42"/>
  <c r="Q42" i="93"/>
  <c r="Q42" i="86"/>
  <c r="Q42" i="89"/>
  <c r="Q42" i="68"/>
  <c r="Q42" i="90"/>
  <c r="Q42" i="95"/>
  <c r="Q44" i="77"/>
  <c r="Q41" i="71"/>
  <c r="Q42" i="88"/>
  <c r="Q42" i="70"/>
  <c r="Q42" i="82"/>
  <c r="Q42" i="80"/>
  <c r="Q42" i="96"/>
  <c r="Q42" i="74"/>
  <c r="Q44" i="80"/>
  <c r="Q44" i="79"/>
  <c r="Q44" i="71"/>
  <c r="Q44" i="75"/>
  <c r="Q44" i="74"/>
  <c r="Q44" i="73"/>
  <c r="Q44" i="70"/>
  <c r="Q44" i="68"/>
  <c r="G43" i="91"/>
  <c r="G43" i="92" s="1"/>
  <c r="G43" i="93" s="1"/>
  <c r="G43" i="94" s="1"/>
  <c r="G43" i="95" s="1"/>
  <c r="G43" i="96" s="1"/>
  <c r="G43" i="42" s="1"/>
  <c r="Q44" i="90"/>
  <c r="Q44" i="94"/>
  <c r="Q41" i="87"/>
  <c r="Q44" i="86"/>
  <c r="H42" i="79"/>
  <c r="Q43" i="85"/>
  <c r="Q42" i="79"/>
  <c r="BR4" i="6"/>
  <c r="BU4" i="6" s="1"/>
  <c r="Q44" i="82"/>
  <c r="Q44" i="81"/>
  <c r="BS34" i="6"/>
  <c r="Q44" i="83"/>
  <c r="Q41" i="81"/>
  <c r="Q43" i="84"/>
  <c r="Q43" i="82"/>
  <c r="Q41" i="84"/>
  <c r="Q44" i="84"/>
  <c r="Q43" i="83"/>
  <c r="Q43" i="79"/>
  <c r="K43" i="78"/>
  <c r="K43" i="79" s="1"/>
  <c r="H41" i="79"/>
  <c r="L41" i="78"/>
  <c r="K41" i="78"/>
  <c r="G41" i="79"/>
  <c r="Q44" i="78"/>
  <c r="L44" i="78"/>
  <c r="L44" i="79" s="1"/>
  <c r="L44" i="80" s="1"/>
  <c r="K44" i="78"/>
  <c r="K44" i="79" s="1"/>
  <c r="K44" i="80" s="1"/>
  <c r="AV34" i="6"/>
  <c r="L43" i="80"/>
  <c r="L43" i="81" s="1"/>
  <c r="L43" i="82" s="1"/>
  <c r="L43" i="83" s="1"/>
  <c r="L43" i="84" s="1"/>
  <c r="L43" i="85" s="1"/>
  <c r="L43" i="86" s="1"/>
  <c r="L43" i="87" s="1"/>
  <c r="L43" i="88" s="1"/>
  <c r="L43" i="89" s="1"/>
  <c r="L43" i="90" s="1"/>
  <c r="L43" i="91" s="1"/>
  <c r="L43" i="92" s="1"/>
  <c r="L43" i="93" s="1"/>
  <c r="L43" i="94" s="1"/>
  <c r="L43" i="95" s="1"/>
  <c r="L43" i="96" s="1"/>
  <c r="L43" i="42" s="1"/>
  <c r="L43" i="67" s="1"/>
  <c r="AY34" i="6"/>
  <c r="AS34" i="6"/>
  <c r="AP25" i="97"/>
  <c r="AP41" i="97" s="1"/>
  <c r="K27" i="55"/>
  <c r="K28" i="55"/>
  <c r="G43" i="67" l="1"/>
  <c r="G43" i="70" s="1"/>
  <c r="G43" i="71" s="1"/>
  <c r="G43" i="72" s="1"/>
  <c r="G43" i="73" s="1"/>
  <c r="G43" i="77" s="1"/>
  <c r="L43" i="70"/>
  <c r="L43" i="71" s="1"/>
  <c r="L43" i="72" s="1"/>
  <c r="L43" i="77" s="1"/>
  <c r="N38" i="90"/>
  <c r="N38" i="91" s="1"/>
  <c r="H44" i="87"/>
  <c r="H44" i="88" s="1"/>
  <c r="H44" i="89" s="1"/>
  <c r="H44" i="90" s="1"/>
  <c r="G44" i="87"/>
  <c r="G44" i="88" s="1"/>
  <c r="G44" i="89" s="1"/>
  <c r="G44" i="90" s="1"/>
  <c r="L46" i="78"/>
  <c r="K43" i="80"/>
  <c r="K43" i="81" s="1"/>
  <c r="K43" i="82" s="1"/>
  <c r="K43" i="83" s="1"/>
  <c r="K43" i="84" s="1"/>
  <c r="K43" i="85" s="1"/>
  <c r="K43" i="86" s="1"/>
  <c r="K43" i="87" s="1"/>
  <c r="K43" i="88" s="1"/>
  <c r="K43" i="89" s="1"/>
  <c r="K43" i="90" s="1"/>
  <c r="K43" i="91" s="1"/>
  <c r="K43" i="92" s="1"/>
  <c r="K43" i="93" s="1"/>
  <c r="K43" i="94" s="1"/>
  <c r="K43" i="95" s="1"/>
  <c r="K43" i="96" s="1"/>
  <c r="K43" i="42" s="1"/>
  <c r="K46" i="78"/>
  <c r="H42" i="80"/>
  <c r="H46" i="79"/>
  <c r="L42" i="80"/>
  <c r="K42" i="80"/>
  <c r="Q46" i="75"/>
  <c r="H38" i="72"/>
  <c r="H38" i="73" s="1"/>
  <c r="AS41" i="97"/>
  <c r="AQ41" i="97"/>
  <c r="K38" i="84"/>
  <c r="K41" i="79"/>
  <c r="K46" i="79" s="1"/>
  <c r="Q46" i="87"/>
  <c r="Q46" i="95"/>
  <c r="Q46" i="69"/>
  <c r="Q46" i="93"/>
  <c r="Q46" i="70"/>
  <c r="Q46" i="88"/>
  <c r="Q46" i="89"/>
  <c r="Q46" i="96"/>
  <c r="Q46" i="80"/>
  <c r="Q46" i="68"/>
  <c r="Q46" i="90"/>
  <c r="Q46" i="76"/>
  <c r="Q46" i="42"/>
  <c r="Q46" i="86"/>
  <c r="EU5" i="1"/>
  <c r="ET5" i="1"/>
  <c r="AF41" i="97"/>
  <c r="L38" i="85"/>
  <c r="L38" i="86" s="1"/>
  <c r="L38" i="87" s="1"/>
  <c r="L38" i="88" s="1"/>
  <c r="L38" i="89" s="1"/>
  <c r="AK37" i="97"/>
  <c r="AK35" i="97"/>
  <c r="AK13" i="97"/>
  <c r="AK29" i="97"/>
  <c r="AK22" i="97"/>
  <c r="AK23" i="97"/>
  <c r="Q46" i="91"/>
  <c r="Q46" i="92"/>
  <c r="Q46" i="67"/>
  <c r="BR5" i="6"/>
  <c r="BU5" i="6" s="1"/>
  <c r="I38" i="79"/>
  <c r="P38" i="79" s="1"/>
  <c r="L41" i="79"/>
  <c r="L41" i="80" s="1"/>
  <c r="L41" i="81" s="1"/>
  <c r="L41" i="82" s="1"/>
  <c r="L41" i="83" s="1"/>
  <c r="L41" i="84" s="1"/>
  <c r="AK34" i="97"/>
  <c r="Q46" i="71"/>
  <c r="G42" i="79"/>
  <c r="Q46" i="94"/>
  <c r="Q46" i="72"/>
  <c r="Q46" i="81"/>
  <c r="Q46" i="74"/>
  <c r="Q46" i="83"/>
  <c r="Q46" i="85"/>
  <c r="AK12" i="97"/>
  <c r="AK33" i="97"/>
  <c r="AK7" i="97"/>
  <c r="G41" i="80"/>
  <c r="H41" i="80"/>
  <c r="I46" i="79"/>
  <c r="AK24" i="97"/>
  <c r="AK32" i="97"/>
  <c r="AK27" i="97"/>
  <c r="AK36" i="97"/>
  <c r="AK11" i="97"/>
  <c r="AK14" i="97"/>
  <c r="AK25" i="97"/>
  <c r="AK31" i="97"/>
  <c r="AK10" i="97"/>
  <c r="AK9" i="97"/>
  <c r="AK16" i="97"/>
  <c r="AK20" i="97"/>
  <c r="AK17" i="97"/>
  <c r="AK19" i="97"/>
  <c r="AK8" i="97"/>
  <c r="AK30" i="97"/>
  <c r="AK15" i="97"/>
  <c r="AK18" i="97"/>
  <c r="K43" i="67" l="1"/>
  <c r="K43" i="70" s="1"/>
  <c r="K43" i="71" s="1"/>
  <c r="K43" i="72" s="1"/>
  <c r="K43" i="77" s="1"/>
  <c r="N38" i="92"/>
  <c r="N38" i="93" s="1"/>
  <c r="N38" i="94" s="1"/>
  <c r="L38" i="90"/>
  <c r="L38" i="91" s="1"/>
  <c r="G44" i="91"/>
  <c r="H44" i="91"/>
  <c r="H44" i="92" s="1"/>
  <c r="H44" i="93" s="1"/>
  <c r="L46" i="79"/>
  <c r="G42" i="80"/>
  <c r="G46" i="79"/>
  <c r="H42" i="81"/>
  <c r="H46" i="80"/>
  <c r="K42" i="81"/>
  <c r="L42" i="81"/>
  <c r="L46" i="80"/>
  <c r="H38" i="77"/>
  <c r="K41" i="80"/>
  <c r="K46" i="80" s="1"/>
  <c r="K38" i="85"/>
  <c r="K38" i="86" s="1"/>
  <c r="K38" i="87" s="1"/>
  <c r="K38" i="88" s="1"/>
  <c r="K38" i="89" s="1"/>
  <c r="AK41" i="97"/>
  <c r="AL41" i="97"/>
  <c r="BR6" i="6"/>
  <c r="BU6" i="6" s="1"/>
  <c r="I38" i="80"/>
  <c r="P38" i="80" s="1"/>
  <c r="L41" i="85"/>
  <c r="L41" i="86" s="1"/>
  <c r="H41" i="81"/>
  <c r="L44" i="81"/>
  <c r="L44" i="82" s="1"/>
  <c r="L44" i="83" s="1"/>
  <c r="G41" i="81"/>
  <c r="I46" i="80"/>
  <c r="H44" i="95" l="1"/>
  <c r="H44" i="94"/>
  <c r="N38" i="95"/>
  <c r="N38" i="96" s="1"/>
  <c r="N38" i="42" s="1"/>
  <c r="N38" i="67" s="1"/>
  <c r="N38" i="73" s="1"/>
  <c r="N38" i="77" s="1"/>
  <c r="G44" i="92"/>
  <c r="G44" i="93" s="1"/>
  <c r="L38" i="92"/>
  <c r="L38" i="93" s="1"/>
  <c r="L38" i="94" s="1"/>
  <c r="L41" i="87"/>
  <c r="L41" i="88" s="1"/>
  <c r="L41" i="89" s="1"/>
  <c r="L41" i="90" s="1"/>
  <c r="L41" i="91" s="1"/>
  <c r="K38" i="90"/>
  <c r="K38" i="91" s="1"/>
  <c r="H42" i="82"/>
  <c r="H46" i="81"/>
  <c r="G42" i="81"/>
  <c r="G46" i="80"/>
  <c r="L42" i="82"/>
  <c r="L46" i="81"/>
  <c r="K42" i="82"/>
  <c r="K41" i="81"/>
  <c r="BR7" i="6"/>
  <c r="BU7" i="6" s="1"/>
  <c r="I38" i="81"/>
  <c r="P38" i="81" s="1"/>
  <c r="G41" i="82"/>
  <c r="H41" i="82"/>
  <c r="K44" i="81"/>
  <c r="K44" i="82" s="1"/>
  <c r="K44" i="83" s="1"/>
  <c r="L38" i="95" l="1"/>
  <c r="L38" i="96" s="1"/>
  <c r="L38" i="42" s="1"/>
  <c r="L38" i="67" s="1"/>
  <c r="L38" i="70" s="1"/>
  <c r="L38" i="71" s="1"/>
  <c r="L38" i="72" s="1"/>
  <c r="L38" i="77" s="1"/>
  <c r="G44" i="94"/>
  <c r="G44" i="95" s="1"/>
  <c r="H44" i="96"/>
  <c r="H44" i="42" s="1"/>
  <c r="H44" i="67" s="1"/>
  <c r="H44" i="70" s="1"/>
  <c r="H44" i="71" s="1"/>
  <c r="H44" i="72" s="1"/>
  <c r="K38" i="92"/>
  <c r="K38" i="93" s="1"/>
  <c r="K38" i="94" s="1"/>
  <c r="K46" i="81"/>
  <c r="G42" i="82"/>
  <c r="G46" i="81"/>
  <c r="H46" i="82"/>
  <c r="H42" i="83"/>
  <c r="K42" i="83"/>
  <c r="L46" i="82"/>
  <c r="L42" i="83"/>
  <c r="K41" i="82"/>
  <c r="K46" i="82" s="1"/>
  <c r="BR8" i="6"/>
  <c r="BU8" i="6" s="1"/>
  <c r="I38" i="82"/>
  <c r="P38" i="82" s="1"/>
  <c r="L41" i="92"/>
  <c r="H41" i="83"/>
  <c r="G41" i="83"/>
  <c r="H44" i="77" l="1"/>
  <c r="G44" i="96"/>
  <c r="G44" i="42" s="1"/>
  <c r="G44" i="67" s="1"/>
  <c r="G44" i="70" s="1"/>
  <c r="G44" i="71" s="1"/>
  <c r="G44" i="72" s="1"/>
  <c r="K38" i="95"/>
  <c r="K38" i="96" s="1"/>
  <c r="K38" i="42" s="1"/>
  <c r="K38" i="67" s="1"/>
  <c r="K38" i="70" s="1"/>
  <c r="K38" i="71" s="1"/>
  <c r="K38" i="72" s="1"/>
  <c r="K38" i="73" s="1"/>
  <c r="K38" i="77" s="1"/>
  <c r="H46" i="83"/>
  <c r="H42" i="84"/>
  <c r="G42" i="83"/>
  <c r="G46" i="82"/>
  <c r="L46" i="83"/>
  <c r="L42" i="84"/>
  <c r="K42" i="84"/>
  <c r="K41" i="83"/>
  <c r="K41" i="84" s="1"/>
  <c r="K41" i="85" s="1"/>
  <c r="K41" i="86" s="1"/>
  <c r="BR9" i="6"/>
  <c r="BU9" i="6" s="1"/>
  <c r="I38" i="83"/>
  <c r="P38" i="83" s="1"/>
  <c r="L41" i="93"/>
  <c r="L44" i="84"/>
  <c r="G41" i="84"/>
  <c r="H41" i="84"/>
  <c r="G44" i="77" l="1"/>
  <c r="K41" i="87"/>
  <c r="K41" i="88" s="1"/>
  <c r="K41" i="89" s="1"/>
  <c r="K41" i="90" s="1"/>
  <c r="K46" i="83"/>
  <c r="H42" i="85"/>
  <c r="H46" i="84"/>
  <c r="G46" i="83"/>
  <c r="G42" i="84"/>
  <c r="K42" i="85"/>
  <c r="K42" i="86" s="1"/>
  <c r="K42" i="87" s="1"/>
  <c r="L42" i="85"/>
  <c r="L42" i="86" s="1"/>
  <c r="L46" i="84"/>
  <c r="BR10" i="6"/>
  <c r="BU10" i="6" s="1"/>
  <c r="I38" i="84"/>
  <c r="P38" i="84" s="1"/>
  <c r="L41" i="94"/>
  <c r="H41" i="85"/>
  <c r="L44" i="85"/>
  <c r="G41" i="85"/>
  <c r="K44" i="84"/>
  <c r="K46" i="84" s="1"/>
  <c r="AH8" i="2"/>
  <c r="L42" i="87" l="1"/>
  <c r="L42" i="88" s="1"/>
  <c r="L46" i="85"/>
  <c r="L44" i="86"/>
  <c r="L44" i="87" s="1"/>
  <c r="K41" i="91"/>
  <c r="K42" i="88"/>
  <c r="H42" i="86"/>
  <c r="H42" i="87" s="1"/>
  <c r="H46" i="85"/>
  <c r="G42" i="85"/>
  <c r="G46" i="84"/>
  <c r="BR11" i="6"/>
  <c r="BU11" i="6" s="1"/>
  <c r="I38" i="85"/>
  <c r="P38" i="85" s="1"/>
  <c r="L41" i="95"/>
  <c r="K44" i="85"/>
  <c r="G41" i="86"/>
  <c r="H41" i="86"/>
  <c r="L46" i="87" l="1"/>
  <c r="K41" i="92"/>
  <c r="K41" i="93" s="1"/>
  <c r="K41" i="94" s="1"/>
  <c r="H46" i="86"/>
  <c r="K46" i="85"/>
  <c r="K44" i="86"/>
  <c r="L46" i="86"/>
  <c r="H42" i="88"/>
  <c r="L42" i="89"/>
  <c r="K42" i="89"/>
  <c r="G42" i="86"/>
  <c r="G42" i="87" s="1"/>
  <c r="G46" i="85"/>
  <c r="BR12" i="6"/>
  <c r="BU12" i="6" s="1"/>
  <c r="I38" i="86"/>
  <c r="P38" i="86" s="1"/>
  <c r="L41" i="96"/>
  <c r="K41" i="95"/>
  <c r="H41" i="87"/>
  <c r="H46" i="87" s="1"/>
  <c r="G41" i="87"/>
  <c r="E28" i="3"/>
  <c r="L41" i="42" l="1"/>
  <c r="G46" i="86"/>
  <c r="K44" i="87"/>
  <c r="K46" i="87" s="1"/>
  <c r="K46" i="86"/>
  <c r="G42" i="88"/>
  <c r="G46" i="87"/>
  <c r="H42" i="89"/>
  <c r="K42" i="90"/>
  <c r="L42" i="90"/>
  <c r="BR13" i="6"/>
  <c r="BU13" i="6" s="1"/>
  <c r="I38" i="87"/>
  <c r="P38" i="87" s="1"/>
  <c r="G41" i="88"/>
  <c r="K41" i="96"/>
  <c r="L44" i="88"/>
  <c r="L46" i="88" s="1"/>
  <c r="H41" i="88"/>
  <c r="H46" i="88" s="1"/>
  <c r="AE35" i="2"/>
  <c r="L41" i="67" l="1"/>
  <c r="L41" i="68" s="1"/>
  <c r="L41" i="69" s="1"/>
  <c r="K42" i="91"/>
  <c r="L42" i="91"/>
  <c r="H42" i="90"/>
  <c r="H42" i="91" s="1"/>
  <c r="H42" i="92" s="1"/>
  <c r="G42" i="89"/>
  <c r="G46" i="88"/>
  <c r="I38" i="88"/>
  <c r="P38" i="88" s="1"/>
  <c r="BR14" i="6"/>
  <c r="BU14" i="6" s="1"/>
  <c r="L41" i="70"/>
  <c r="L41" i="71" s="1"/>
  <c r="L41" i="72" s="1"/>
  <c r="L41" i="73" s="1"/>
  <c r="L44" i="89"/>
  <c r="K44" i="88"/>
  <c r="K46" i="88" s="1"/>
  <c r="H41" i="89"/>
  <c r="H46" i="89" s="1"/>
  <c r="K41" i="42"/>
  <c r="G41" i="89"/>
  <c r="K41" i="67" l="1"/>
  <c r="K41" i="68" s="1"/>
  <c r="H42" i="93"/>
  <c r="L46" i="89"/>
  <c r="L44" i="90"/>
  <c r="L46" i="90" s="1"/>
  <c r="L42" i="92"/>
  <c r="K42" i="92"/>
  <c r="G42" i="90"/>
  <c r="G42" i="91" s="1"/>
  <c r="G42" i="92" s="1"/>
  <c r="G46" i="89"/>
  <c r="L41" i="74"/>
  <c r="L41" i="75" s="1"/>
  <c r="I38" i="89"/>
  <c r="P38" i="89" s="1"/>
  <c r="BR15" i="6"/>
  <c r="BU15" i="6" s="1"/>
  <c r="K41" i="69"/>
  <c r="K44" i="89"/>
  <c r="G41" i="90"/>
  <c r="H41" i="90"/>
  <c r="H46" i="90" s="1"/>
  <c r="C34" i="64"/>
  <c r="AI9" i="2"/>
  <c r="AZ9" i="2" s="1"/>
  <c r="BA9" i="2" s="1"/>
  <c r="L41" i="76" l="1"/>
  <c r="G46" i="90"/>
  <c r="H42" i="94"/>
  <c r="G42" i="93"/>
  <c r="K42" i="93"/>
  <c r="L42" i="93"/>
  <c r="K46" i="89"/>
  <c r="K44" i="90"/>
  <c r="K46" i="90" s="1"/>
  <c r="L41" i="77"/>
  <c r="I38" i="90"/>
  <c r="BR16" i="6"/>
  <c r="BU16" i="6" s="1"/>
  <c r="AU9" i="2"/>
  <c r="K41" i="70"/>
  <c r="K41" i="71" s="1"/>
  <c r="K41" i="72" s="1"/>
  <c r="K41" i="73" s="1"/>
  <c r="L44" i="91"/>
  <c r="G41" i="91"/>
  <c r="G46" i="91" s="1"/>
  <c r="H41" i="91"/>
  <c r="H46" i="91" s="1"/>
  <c r="Z26" i="6"/>
  <c r="W26" i="55" s="1"/>
  <c r="H42" i="95" l="1"/>
  <c r="L46" i="91"/>
  <c r="L44" i="92"/>
  <c r="L46" i="92" s="1"/>
  <c r="G42" i="94"/>
  <c r="L42" i="94"/>
  <c r="K42" i="94"/>
  <c r="K41" i="74"/>
  <c r="K41" i="75" s="1"/>
  <c r="BR17" i="6"/>
  <c r="BU17" i="6" s="1"/>
  <c r="I38" i="91"/>
  <c r="P38" i="91" s="1"/>
  <c r="G41" i="92"/>
  <c r="G46" i="92" s="1"/>
  <c r="K44" i="91"/>
  <c r="H41" i="92"/>
  <c r="H46" i="92" s="1"/>
  <c r="K41" i="76" l="1"/>
  <c r="G42" i="95"/>
  <c r="H42" i="96"/>
  <c r="H42" i="42" s="1"/>
  <c r="K42" i="95"/>
  <c r="L42" i="95"/>
  <c r="K46" i="91"/>
  <c r="K44" i="92"/>
  <c r="K46" i="92" s="1"/>
  <c r="I38" i="92"/>
  <c r="P38" i="92" s="1"/>
  <c r="BR18" i="6"/>
  <c r="BU18" i="6" s="1"/>
  <c r="L44" i="93"/>
  <c r="L46" i="93" s="1"/>
  <c r="H41" i="93"/>
  <c r="H46" i="93" s="1"/>
  <c r="G41" i="93"/>
  <c r="G46" i="93" s="1"/>
  <c r="K41" i="77" l="1"/>
  <c r="H42" i="68"/>
  <c r="H42" i="69" s="1"/>
  <c r="H42" i="67"/>
  <c r="G42" i="96"/>
  <c r="G42" i="42" s="1"/>
  <c r="G42" i="67" s="1"/>
  <c r="L42" i="96"/>
  <c r="K42" i="96"/>
  <c r="BR19" i="6"/>
  <c r="BU19" i="6" s="1"/>
  <c r="I38" i="93"/>
  <c r="P38" i="93" s="1"/>
  <c r="L44" i="94"/>
  <c r="L46" i="94" s="1"/>
  <c r="H41" i="94"/>
  <c r="H46" i="94" s="1"/>
  <c r="G41" i="94"/>
  <c r="G46" i="94" s="1"/>
  <c r="K44" i="93"/>
  <c r="K46" i="93" s="1"/>
  <c r="M14" i="12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H42" i="70" l="1"/>
  <c r="H42" i="71" s="1"/>
  <c r="H42" i="72" s="1"/>
  <c r="H42" i="73" s="1"/>
  <c r="H42" i="74" s="1"/>
  <c r="H42" i="75" s="1"/>
  <c r="H42" i="76" s="1"/>
  <c r="H42" i="77" s="1"/>
  <c r="L42" i="42"/>
  <c r="K42" i="42"/>
  <c r="G42" i="68"/>
  <c r="G42" i="69" s="1"/>
  <c r="BR20" i="6"/>
  <c r="BU20" i="6" s="1"/>
  <c r="I38" i="94"/>
  <c r="P38" i="94" s="1"/>
  <c r="H41" i="95"/>
  <c r="H46" i="95" s="1"/>
  <c r="K44" i="94"/>
  <c r="K46" i="94" s="1"/>
  <c r="G41" i="95"/>
  <c r="G46" i="95" s="1"/>
  <c r="L44" i="95"/>
  <c r="AH10" i="2"/>
  <c r="O13" i="12"/>
  <c r="M12" i="12"/>
  <c r="G42" i="70" l="1"/>
  <c r="G42" i="71" s="1"/>
  <c r="G42" i="72" s="1"/>
  <c r="G42" i="73" s="1"/>
  <c r="G42" i="74" s="1"/>
  <c r="G42" i="75" s="1"/>
  <c r="G42" i="76" s="1"/>
  <c r="G42" i="77" s="1"/>
  <c r="L44" i="96"/>
  <c r="L46" i="96" s="1"/>
  <c r="L46" i="95"/>
  <c r="K42" i="67"/>
  <c r="L42" i="67"/>
  <c r="BR21" i="6"/>
  <c r="BU21" i="6" s="1"/>
  <c r="I38" i="95"/>
  <c r="P38" i="95" s="1"/>
  <c r="K44" i="95"/>
  <c r="G41" i="96"/>
  <c r="G46" i="96" s="1"/>
  <c r="H41" i="96"/>
  <c r="H46" i="96" s="1"/>
  <c r="K42" i="68" l="1"/>
  <c r="K42" i="69" s="1"/>
  <c r="K42" i="70" s="1"/>
  <c r="L42" i="68"/>
  <c r="L42" i="69" s="1"/>
  <c r="L42" i="70" s="1"/>
  <c r="K44" i="96"/>
  <c r="K46" i="96" s="1"/>
  <c r="K46" i="95"/>
  <c r="I38" i="96"/>
  <c r="P38" i="96" s="1"/>
  <c r="BR22" i="6"/>
  <c r="BU22" i="6" s="1"/>
  <c r="H41" i="42"/>
  <c r="H46" i="42" s="1"/>
  <c r="G41" i="42"/>
  <c r="G46" i="42" s="1"/>
  <c r="L44" i="42"/>
  <c r="O29" i="12"/>
  <c r="N29" i="12"/>
  <c r="M29" i="12"/>
  <c r="L42" i="71" l="1"/>
  <c r="L42" i="72" s="1"/>
  <c r="L42" i="73" s="1"/>
  <c r="L42" i="74" s="1"/>
  <c r="L42" i="75" s="1"/>
  <c r="K42" i="71"/>
  <c r="K42" i="72" s="1"/>
  <c r="K42" i="73" s="1"/>
  <c r="K42" i="74" s="1"/>
  <c r="L44" i="67"/>
  <c r="L46" i="67" s="1"/>
  <c r="L46" i="42"/>
  <c r="BR23" i="6"/>
  <c r="BU23" i="6" s="1"/>
  <c r="I38" i="42"/>
  <c r="P38" i="42" s="1"/>
  <c r="K42" i="75"/>
  <c r="K46" i="75" s="1"/>
  <c r="K44" i="42"/>
  <c r="H41" i="67"/>
  <c r="H46" i="67" s="1"/>
  <c r="G41" i="67"/>
  <c r="G46" i="67" s="1"/>
  <c r="Q28" i="3"/>
  <c r="AU29" i="12"/>
  <c r="AV29" i="12"/>
  <c r="L42" i="76" l="1"/>
  <c r="L46" i="76" s="1"/>
  <c r="L46" i="75"/>
  <c r="K44" i="67"/>
  <c r="K46" i="67" s="1"/>
  <c r="K46" i="42"/>
  <c r="AG29" i="12"/>
  <c r="AM29" i="12" s="1"/>
  <c r="AC28" i="3"/>
  <c r="L42" i="77"/>
  <c r="AT29" i="12"/>
  <c r="BR24" i="6"/>
  <c r="BU24" i="6" s="1"/>
  <c r="I38" i="67"/>
  <c r="P38" i="67" s="1"/>
  <c r="K42" i="76"/>
  <c r="K46" i="76" s="1"/>
  <c r="G41" i="68"/>
  <c r="H41" i="68"/>
  <c r="EK28" i="1" l="1"/>
  <c r="ET28" i="1" s="1"/>
  <c r="K42" i="77"/>
  <c r="BR25" i="6"/>
  <c r="BU25" i="6" s="1"/>
  <c r="I38" i="68"/>
  <c r="H41" i="69"/>
  <c r="G41" i="69"/>
  <c r="AL29" i="12"/>
  <c r="BR26" i="6" l="1"/>
  <c r="BU26" i="6" s="1"/>
  <c r="BR27" i="6" s="1"/>
  <c r="I38" i="69"/>
  <c r="H41" i="70"/>
  <c r="G41" i="70"/>
  <c r="L44" i="70"/>
  <c r="BU27" i="6" l="1"/>
  <c r="BR28" i="6" s="1"/>
  <c r="I38" i="71"/>
  <c r="I38" i="70"/>
  <c r="L44" i="71"/>
  <c r="G41" i="71"/>
  <c r="H41" i="71"/>
  <c r="K44" i="70"/>
  <c r="BU28" i="6" l="1"/>
  <c r="BR29" i="6" s="1"/>
  <c r="I38" i="73" s="1"/>
  <c r="P38" i="73" s="1"/>
  <c r="L44" i="72"/>
  <c r="K44" i="71"/>
  <c r="H41" i="72"/>
  <c r="H46" i="72" s="1"/>
  <c r="G41" i="72"/>
  <c r="G46" i="72" s="1"/>
  <c r="AI30" i="2"/>
  <c r="AZ30" i="2" s="1"/>
  <c r="BA30" i="2" s="1"/>
  <c r="I38" i="72" l="1"/>
  <c r="BU29" i="6"/>
  <c r="AU30" i="2"/>
  <c r="K44" i="72"/>
  <c r="G41" i="73"/>
  <c r="H41" i="73"/>
  <c r="Q24" i="3"/>
  <c r="BR30" i="6" l="1"/>
  <c r="BU30" i="6" s="1"/>
  <c r="H41" i="74"/>
  <c r="G41" i="74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" i="1"/>
  <c r="BR31" i="6" l="1"/>
  <c r="BU31" i="6" s="1"/>
  <c r="I38" i="74"/>
  <c r="P38" i="74" s="1"/>
  <c r="G41" i="75"/>
  <c r="G46" i="75" s="1"/>
  <c r="H41" i="75"/>
  <c r="H46" i="75" s="1"/>
  <c r="AI16" i="2"/>
  <c r="AZ16" i="2" s="1"/>
  <c r="BA16" i="2" s="1"/>
  <c r="AI17" i="2"/>
  <c r="AZ17" i="2" s="1"/>
  <c r="BA17" i="2" s="1"/>
  <c r="L44" i="77" l="1"/>
  <c r="I38" i="75"/>
  <c r="BR32" i="6"/>
  <c r="BU32" i="6" s="1"/>
  <c r="AU16" i="2"/>
  <c r="AU17" i="2"/>
  <c r="H41" i="76"/>
  <c r="H46" i="76" s="1"/>
  <c r="G41" i="76"/>
  <c r="G46" i="76" s="1"/>
  <c r="K44" i="77" l="1"/>
  <c r="I38" i="76"/>
  <c r="P38" i="76" s="1"/>
  <c r="BR33" i="6"/>
  <c r="BU33" i="6" s="1"/>
  <c r="G41" i="77"/>
  <c r="H41" i="77"/>
  <c r="I38" i="77" l="1"/>
  <c r="P38" i="77" s="1"/>
  <c r="F15" i="88"/>
  <c r="F15" i="42"/>
  <c r="DS34" i="1"/>
  <c r="DR34" i="1"/>
  <c r="DU3" i="1"/>
  <c r="DQ4" i="1" s="1"/>
  <c r="DU4" i="1" s="1"/>
  <c r="DQ5" i="1" s="1"/>
  <c r="DU5" i="1" l="1"/>
  <c r="DQ6" i="1" s="1"/>
  <c r="DT34" i="1"/>
  <c r="DT35" i="1" s="1"/>
  <c r="DU6" i="1" l="1"/>
  <c r="DQ7" i="1" s="1"/>
  <c r="DU7" i="1" l="1"/>
  <c r="DQ8" i="1" s="1"/>
  <c r="DU8" i="1" l="1"/>
  <c r="DQ9" i="1" s="1"/>
  <c r="AH5" i="2"/>
  <c r="AH6" i="2"/>
  <c r="AH7" i="2"/>
  <c r="AH9" i="2"/>
  <c r="AH11" i="2"/>
  <c r="AH12" i="2"/>
  <c r="AH13" i="2"/>
  <c r="AH14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DU9" i="1" l="1"/>
  <c r="DQ10" i="1" s="1"/>
  <c r="DU10" i="1" l="1"/>
  <c r="DQ11" i="1" s="1"/>
  <c r="DU11" i="1" s="1"/>
  <c r="F14" i="42"/>
  <c r="DQ12" i="1" l="1"/>
  <c r="F16" i="42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" i="1"/>
  <c r="I14" i="42"/>
  <c r="DN34" i="1"/>
  <c r="DM34" i="1"/>
  <c r="DM35" i="1" s="1"/>
  <c r="DU12" i="1" l="1"/>
  <c r="DQ13" i="1" s="1"/>
  <c r="DO34" i="1"/>
  <c r="DO35" i="1" s="1"/>
  <c r="DP3" i="1"/>
  <c r="DL4" i="1" s="1"/>
  <c r="DP4" i="1" s="1"/>
  <c r="DL5" i="1" s="1"/>
  <c r="DP5" i="1" s="1"/>
  <c r="DL6" i="1" s="1"/>
  <c r="DP6" i="1" s="1"/>
  <c r="DL7" i="1" s="1"/>
  <c r="DP7" i="1" s="1"/>
  <c r="DL8" i="1" s="1"/>
  <c r="DP8" i="1" s="1"/>
  <c r="DL9" i="1" s="1"/>
  <c r="DP9" i="1" s="1"/>
  <c r="DL10" i="1" s="1"/>
  <c r="DP10" i="1" s="1"/>
  <c r="DL11" i="1" s="1"/>
  <c r="DP11" i="1" s="1"/>
  <c r="DL12" i="1" s="1"/>
  <c r="DP12" i="1" s="1"/>
  <c r="DL13" i="1" s="1"/>
  <c r="DP13" i="1" s="1"/>
  <c r="DL14" i="1" s="1"/>
  <c r="DP14" i="1" s="1"/>
  <c r="DL15" i="1" s="1"/>
  <c r="DP15" i="1" s="1"/>
  <c r="DL16" i="1" s="1"/>
  <c r="DP16" i="1" s="1"/>
  <c r="DL17" i="1" s="1"/>
  <c r="DP17" i="1" s="1"/>
  <c r="DL18" i="1" s="1"/>
  <c r="DP18" i="1" s="1"/>
  <c r="DL19" i="1" s="1"/>
  <c r="DP19" i="1" s="1"/>
  <c r="DL20" i="1" s="1"/>
  <c r="DP20" i="1" s="1"/>
  <c r="DL21" i="1" s="1"/>
  <c r="DP21" i="1" s="1"/>
  <c r="DL22" i="1" s="1"/>
  <c r="DP22" i="1" s="1"/>
  <c r="DL23" i="1" s="1"/>
  <c r="DP23" i="1" s="1"/>
  <c r="DL24" i="1" s="1"/>
  <c r="DP24" i="1" s="1"/>
  <c r="DL25" i="1" s="1"/>
  <c r="DP25" i="1" s="1"/>
  <c r="DL26" i="1" s="1"/>
  <c r="DP26" i="1" s="1"/>
  <c r="DL27" i="1" s="1"/>
  <c r="DP27" i="1" s="1"/>
  <c r="DL28" i="1" s="1"/>
  <c r="DP28" i="1" s="1"/>
  <c r="DL29" i="1" s="1"/>
  <c r="DP29" i="1" s="1"/>
  <c r="DL30" i="1" s="1"/>
  <c r="DP30" i="1" s="1"/>
  <c r="DL31" i="1" s="1"/>
  <c r="DP31" i="1" s="1"/>
  <c r="DL32" i="1" s="1"/>
  <c r="DP32" i="1" s="1"/>
  <c r="DL33" i="1" s="1"/>
  <c r="DP33" i="1" s="1"/>
  <c r="DU13" i="1" l="1"/>
  <c r="DQ14" i="1" s="1"/>
  <c r="DU14" i="1" s="1"/>
  <c r="E34" i="55"/>
  <c r="AU18" i="12"/>
  <c r="DQ15" i="1" l="1"/>
  <c r="DU15" i="1" l="1"/>
  <c r="DQ16" i="1" s="1"/>
  <c r="D35" i="8"/>
  <c r="F19" i="89"/>
  <c r="DU16" i="1" l="1"/>
  <c r="DQ17" i="1" s="1"/>
  <c r="M53" i="79"/>
  <c r="DU17" i="1" l="1"/>
  <c r="DQ18" i="1" s="1"/>
  <c r="DU18" i="1" l="1"/>
  <c r="DQ19" i="1" s="1"/>
  <c r="DU19" i="1" l="1"/>
  <c r="DQ20" i="1" s="1"/>
  <c r="DU20" i="1" l="1"/>
  <c r="DQ21" i="1" s="1"/>
  <c r="N21" i="12"/>
  <c r="M21" i="12"/>
  <c r="M20" i="12"/>
  <c r="M22" i="12"/>
  <c r="M23" i="12"/>
  <c r="AV18" i="12"/>
  <c r="DU21" i="1" l="1"/>
  <c r="DQ22" i="1" s="1"/>
  <c r="O14" i="12"/>
  <c r="N14" i="12"/>
  <c r="DU22" i="1" l="1"/>
  <c r="DQ23" i="1" s="1"/>
  <c r="AC13" i="3"/>
  <c r="AU14" i="12"/>
  <c r="AV14" i="12"/>
  <c r="AG14" i="12"/>
  <c r="AM14" i="12" s="1"/>
  <c r="Q13" i="3"/>
  <c r="I21" i="88" s="1"/>
  <c r="M30" i="88" s="1"/>
  <c r="DU23" i="1" l="1"/>
  <c r="DQ24" i="1" s="1"/>
  <c r="AT14" i="12"/>
  <c r="DU24" i="1" l="1"/>
  <c r="DQ25" i="1" s="1"/>
  <c r="EK13" i="1"/>
  <c r="AL14" i="12"/>
  <c r="DU25" i="1" l="1"/>
  <c r="DQ26" i="1" s="1"/>
  <c r="EU13" i="1"/>
  <c r="ET1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" i="1"/>
  <c r="DU26" i="1" l="1"/>
  <c r="DQ27" i="1" s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" i="1"/>
  <c r="DE30" i="1"/>
  <c r="DE31" i="1"/>
  <c r="DE32" i="1"/>
  <c r="DE3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" i="1"/>
  <c r="DU27" i="1" l="1"/>
  <c r="DQ28" i="1" s="1"/>
  <c r="EG25" i="1"/>
  <c r="EG31" i="1"/>
  <c r="EG27" i="1"/>
  <c r="EG23" i="1"/>
  <c r="EG19" i="1"/>
  <c r="EG15" i="1"/>
  <c r="EG11" i="1"/>
  <c r="EG7" i="1"/>
  <c r="EG3" i="1"/>
  <c r="EG33" i="1"/>
  <c r="EG30" i="1"/>
  <c r="EG26" i="1"/>
  <c r="EG22" i="1"/>
  <c r="I15" i="42" s="1"/>
  <c r="EG18" i="1"/>
  <c r="EG14" i="1"/>
  <c r="EG10" i="1"/>
  <c r="EG6" i="1"/>
  <c r="EG29" i="1"/>
  <c r="EG21" i="1"/>
  <c r="EG17" i="1"/>
  <c r="EG13" i="1"/>
  <c r="EG9" i="1"/>
  <c r="EG32" i="1"/>
  <c r="EG28" i="1"/>
  <c r="EG24" i="1"/>
  <c r="EG20" i="1"/>
  <c r="EG16" i="1"/>
  <c r="EG12" i="1"/>
  <c r="EG8" i="1"/>
  <c r="EG5" i="1"/>
  <c r="EG4" i="1"/>
  <c r="DI34" i="1"/>
  <c r="DH34" i="1"/>
  <c r="DK3" i="1"/>
  <c r="DG4" i="1" s="1"/>
  <c r="DK4" i="1" s="1"/>
  <c r="DG5" i="1" s="1"/>
  <c r="DK5" i="1" s="1"/>
  <c r="DG6" i="1" s="1"/>
  <c r="DK6" i="1" s="1"/>
  <c r="DG7" i="1" s="1"/>
  <c r="DK7" i="1" s="1"/>
  <c r="DG8" i="1" s="1"/>
  <c r="DK8" i="1" s="1"/>
  <c r="DG9" i="1" s="1"/>
  <c r="DK9" i="1" s="1"/>
  <c r="DG10" i="1" s="1"/>
  <c r="DK10" i="1" s="1"/>
  <c r="DG11" i="1" s="1"/>
  <c r="DK11" i="1" s="1"/>
  <c r="DG12" i="1" s="1"/>
  <c r="DK12" i="1" s="1"/>
  <c r="DG13" i="1" s="1"/>
  <c r="DK13" i="1" s="1"/>
  <c r="DG14" i="1" s="1"/>
  <c r="DK14" i="1" s="1"/>
  <c r="DG15" i="1" s="1"/>
  <c r="DK15" i="1" s="1"/>
  <c r="DG16" i="1" s="1"/>
  <c r="DK16" i="1" s="1"/>
  <c r="DG17" i="1" s="1"/>
  <c r="DK17" i="1" s="1"/>
  <c r="DG18" i="1" s="1"/>
  <c r="DK18" i="1" s="1"/>
  <c r="DG19" i="1" s="1"/>
  <c r="DK19" i="1" s="1"/>
  <c r="DG20" i="1" s="1"/>
  <c r="DK20" i="1" s="1"/>
  <c r="DG21" i="1" s="1"/>
  <c r="DK21" i="1" s="1"/>
  <c r="DG22" i="1" s="1"/>
  <c r="DK22" i="1" s="1"/>
  <c r="DG23" i="1" s="1"/>
  <c r="DK23" i="1" s="1"/>
  <c r="DG24" i="1" s="1"/>
  <c r="DK24" i="1" s="1"/>
  <c r="DG25" i="1" s="1"/>
  <c r="DK25" i="1" s="1"/>
  <c r="DG26" i="1" s="1"/>
  <c r="DK26" i="1" s="1"/>
  <c r="DG27" i="1" s="1"/>
  <c r="DK27" i="1" s="1"/>
  <c r="DG28" i="1" s="1"/>
  <c r="DK28" i="1" s="1"/>
  <c r="DG29" i="1" s="1"/>
  <c r="DK29" i="1" s="1"/>
  <c r="DG30" i="1" s="1"/>
  <c r="DK30" i="1" s="1"/>
  <c r="DG31" i="1" s="1"/>
  <c r="DK31" i="1" s="1"/>
  <c r="DG32" i="1" s="1"/>
  <c r="DK32" i="1" s="1"/>
  <c r="DG33" i="1" s="1"/>
  <c r="DK33" i="1" s="1"/>
  <c r="DU28" i="1" l="1"/>
  <c r="DQ29" i="1" s="1"/>
  <c r="I16" i="42"/>
  <c r="DJ34" i="1"/>
  <c r="DJ35" i="1" s="1"/>
  <c r="AV17" i="12"/>
  <c r="DU29" i="1" l="1"/>
  <c r="DQ30" i="1" s="1"/>
  <c r="DU30" i="1" l="1"/>
  <c r="DQ31" i="1" s="1"/>
  <c r="DD34" i="1"/>
  <c r="DC34" i="1"/>
  <c r="DU31" i="1" l="1"/>
  <c r="DQ32" i="1" s="1"/>
  <c r="DE34" i="1"/>
  <c r="DE35" i="1" s="1"/>
  <c r="DF3" i="1"/>
  <c r="DB4" i="1" s="1"/>
  <c r="DF4" i="1" s="1"/>
  <c r="DB5" i="1" s="1"/>
  <c r="DF5" i="1" s="1"/>
  <c r="DB6" i="1" s="1"/>
  <c r="DF6" i="1" s="1"/>
  <c r="DB7" i="1" s="1"/>
  <c r="DF7" i="1" s="1"/>
  <c r="DB8" i="1" s="1"/>
  <c r="DF8" i="1" s="1"/>
  <c r="DB9" i="1" s="1"/>
  <c r="DF9" i="1" s="1"/>
  <c r="DB10" i="1" s="1"/>
  <c r="DF10" i="1" s="1"/>
  <c r="DB11" i="1" s="1"/>
  <c r="DF11" i="1" s="1"/>
  <c r="DB12" i="1" s="1"/>
  <c r="DF12" i="1" s="1"/>
  <c r="DB13" i="1" s="1"/>
  <c r="DF13" i="1" s="1"/>
  <c r="DB14" i="1" s="1"/>
  <c r="DF14" i="1" s="1"/>
  <c r="DB15" i="1" s="1"/>
  <c r="DF15" i="1" s="1"/>
  <c r="DB16" i="1" s="1"/>
  <c r="DF16" i="1" s="1"/>
  <c r="DB17" i="1" s="1"/>
  <c r="DF17" i="1" s="1"/>
  <c r="DB18" i="1" s="1"/>
  <c r="DF18" i="1" s="1"/>
  <c r="DB19" i="1" s="1"/>
  <c r="DF19" i="1" s="1"/>
  <c r="DB20" i="1" s="1"/>
  <c r="DF20" i="1" s="1"/>
  <c r="DB21" i="1" s="1"/>
  <c r="DF21" i="1" s="1"/>
  <c r="DB22" i="1" s="1"/>
  <c r="DF22" i="1" s="1"/>
  <c r="DB23" i="1" s="1"/>
  <c r="DF23" i="1" s="1"/>
  <c r="DB24" i="1" s="1"/>
  <c r="DF24" i="1" s="1"/>
  <c r="DB25" i="1" s="1"/>
  <c r="DF25" i="1" s="1"/>
  <c r="DB26" i="1" s="1"/>
  <c r="DF26" i="1" s="1"/>
  <c r="DB27" i="1" s="1"/>
  <c r="DF27" i="1" s="1"/>
  <c r="DB28" i="1" s="1"/>
  <c r="DF28" i="1" s="1"/>
  <c r="DB29" i="1" s="1"/>
  <c r="DF29" i="1" s="1"/>
  <c r="DB30" i="1" s="1"/>
  <c r="DF30" i="1" s="1"/>
  <c r="DB31" i="1" s="1"/>
  <c r="DF31" i="1" s="1"/>
  <c r="DB32" i="1" s="1"/>
  <c r="DF32" i="1" s="1"/>
  <c r="DB33" i="1" s="1"/>
  <c r="DF33" i="1" s="1"/>
  <c r="E15" i="78"/>
  <c r="DU32" i="1" l="1"/>
  <c r="DQ33" i="1" s="1"/>
  <c r="DU33" i="1" l="1"/>
  <c r="AI24" i="2"/>
  <c r="AZ24" i="2" s="1"/>
  <c r="BA24" i="2" s="1"/>
  <c r="AG18" i="12"/>
  <c r="AM18" i="12" s="1"/>
  <c r="AU24" i="2" l="1"/>
  <c r="AU6" i="2"/>
  <c r="L4" i="6"/>
  <c r="L5" i="6"/>
  <c r="L6" i="6"/>
  <c r="K6" i="6" s="1"/>
  <c r="L7" i="6"/>
  <c r="L8" i="6"/>
  <c r="L9" i="6"/>
  <c r="L10" i="6"/>
  <c r="L11" i="6"/>
  <c r="L12" i="6"/>
  <c r="L13" i="6"/>
  <c r="L14" i="6"/>
  <c r="L16" i="6"/>
  <c r="L17" i="6"/>
  <c r="K17" i="6" s="1"/>
  <c r="L19" i="6"/>
  <c r="K19" i="6" s="1"/>
  <c r="L20" i="6"/>
  <c r="L21" i="6"/>
  <c r="L22" i="6"/>
  <c r="L23" i="6"/>
  <c r="L24" i="6"/>
  <c r="L25" i="6"/>
  <c r="L26" i="6"/>
  <c r="L28" i="6"/>
  <c r="L29" i="6"/>
  <c r="L30" i="6"/>
  <c r="L31" i="6"/>
  <c r="L32" i="6"/>
  <c r="L33" i="6"/>
  <c r="L3" i="6"/>
  <c r="M31" i="94" l="1"/>
  <c r="L35" i="6"/>
  <c r="CS35" i="1" l="1"/>
  <c r="CT35" i="1"/>
  <c r="CY34" i="1"/>
  <c r="CX34" i="1"/>
  <c r="DA3" i="1"/>
  <c r="CW4" i="1" s="1"/>
  <c r="DA4" i="1" l="1"/>
  <c r="CW5" i="1" s="1"/>
  <c r="DA5" i="1" s="1"/>
  <c r="CW6" i="1" s="1"/>
  <c r="DA6" i="1" s="1"/>
  <c r="CW7" i="1" s="1"/>
  <c r="DA7" i="1" s="1"/>
  <c r="CW8" i="1" s="1"/>
  <c r="DA8" i="1" s="1"/>
  <c r="CW9" i="1" s="1"/>
  <c r="DA9" i="1" s="1"/>
  <c r="CW10" i="1" s="1"/>
  <c r="DA10" i="1" s="1"/>
  <c r="CW11" i="1" s="1"/>
  <c r="DA11" i="1" s="1"/>
  <c r="CW12" i="1" s="1"/>
  <c r="DA12" i="1" s="1"/>
  <c r="CW13" i="1" s="1"/>
  <c r="DA13" i="1" s="1"/>
  <c r="CW14" i="1" s="1"/>
  <c r="DA14" i="1" s="1"/>
  <c r="CW15" i="1" s="1"/>
  <c r="DA15" i="1" s="1"/>
  <c r="CW16" i="1" s="1"/>
  <c r="DA16" i="1" s="1"/>
  <c r="CW17" i="1" s="1"/>
  <c r="DA17" i="1" s="1"/>
  <c r="CW18" i="1" s="1"/>
  <c r="DA18" i="1" s="1"/>
  <c r="CW19" i="1" s="1"/>
  <c r="DA19" i="1" s="1"/>
  <c r="CW20" i="1" s="1"/>
  <c r="DA20" i="1" s="1"/>
  <c r="CW21" i="1" s="1"/>
  <c r="DA21" i="1" s="1"/>
  <c r="CW22" i="1" s="1"/>
  <c r="DA22" i="1" s="1"/>
  <c r="CW23" i="1" s="1"/>
  <c r="DA23" i="1" s="1"/>
  <c r="CW24" i="1" s="1"/>
  <c r="DA24" i="1" s="1"/>
  <c r="CW25" i="1" s="1"/>
  <c r="DA25" i="1" s="1"/>
  <c r="CW26" i="1" s="1"/>
  <c r="DA26" i="1" s="1"/>
  <c r="CW27" i="1" s="1"/>
  <c r="DA27" i="1" s="1"/>
  <c r="CW28" i="1" s="1"/>
  <c r="DA28" i="1" s="1"/>
  <c r="CW29" i="1" s="1"/>
  <c r="DA29" i="1" s="1"/>
  <c r="CW30" i="1" s="1"/>
  <c r="DA30" i="1" s="1"/>
  <c r="CW31" i="1" s="1"/>
  <c r="DA31" i="1" s="1"/>
  <c r="CW32" i="1" s="1"/>
  <c r="DA32" i="1" s="1"/>
  <c r="CW33" i="1" s="1"/>
  <c r="DA33" i="1" s="1"/>
  <c r="CZ34" i="1"/>
  <c r="CZ35" i="1" s="1"/>
  <c r="K20" i="55" l="1"/>
  <c r="F59" i="71" l="1"/>
  <c r="F59" i="72"/>
  <c r="P38" i="72" s="1"/>
  <c r="F59" i="70" l="1"/>
  <c r="F59" i="69"/>
  <c r="F59" i="68" l="1"/>
  <c r="F59" i="67"/>
  <c r="P38" i="68" l="1"/>
  <c r="M33" i="95"/>
  <c r="M33" i="94"/>
  <c r="M33" i="93"/>
  <c r="M33" i="91"/>
  <c r="O4" i="12" l="1"/>
  <c r="N4" i="12"/>
  <c r="M4" i="12"/>
  <c r="AV4" i="12" l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" i="1"/>
  <c r="I19" i="73"/>
  <c r="F19" i="73"/>
  <c r="I19" i="72"/>
  <c r="F19" i="72"/>
  <c r="AG4" i="12" l="1"/>
  <c r="AM4" i="12" s="1"/>
  <c r="AU4" i="12"/>
  <c r="Q3" i="3"/>
  <c r="K3" i="2" s="1"/>
  <c r="AT4" i="12"/>
  <c r="I22" i="78"/>
  <c r="V3" i="3"/>
  <c r="EK3" i="1" l="1"/>
  <c r="AL4" i="12"/>
  <c r="I19" i="71"/>
  <c r="F19" i="71"/>
  <c r="I19" i="70"/>
  <c r="F19" i="70"/>
  <c r="F20" i="87"/>
  <c r="F20" i="88"/>
  <c r="F20" i="89"/>
  <c r="F20" i="90"/>
  <c r="F20" i="91"/>
  <c r="F20" i="92"/>
  <c r="F20" i="93"/>
  <c r="F20" i="94"/>
  <c r="F20" i="95"/>
  <c r="F20" i="96"/>
  <c r="F20" i="42"/>
  <c r="F20" i="67"/>
  <c r="F20" i="68"/>
  <c r="F20" i="69"/>
  <c r="F20" i="70"/>
  <c r="F20" i="86"/>
  <c r="F20" i="85"/>
  <c r="F20" i="84"/>
  <c r="F20" i="83"/>
  <c r="F20" i="82"/>
  <c r="F20" i="81"/>
  <c r="F20" i="80"/>
  <c r="F20" i="79"/>
  <c r="F20" i="78"/>
  <c r="EL3" i="1" l="1"/>
  <c r="I18" i="78"/>
  <c r="EU3" i="1"/>
  <c r="ET3" i="1"/>
  <c r="I19" i="69"/>
  <c r="F19" i="69"/>
  <c r="I19" i="68"/>
  <c r="F19" i="68"/>
  <c r="I19" i="67" l="1"/>
  <c r="F19" i="67"/>
  <c r="I19" i="42" l="1"/>
  <c r="F19" i="42"/>
  <c r="I19" i="96"/>
  <c r="F19" i="96"/>
  <c r="I19" i="95" l="1"/>
  <c r="F19" i="95"/>
  <c r="F19" i="90" l="1"/>
  <c r="F35" i="64"/>
  <c r="Q35" i="64"/>
  <c r="AB35" i="64"/>
  <c r="I19" i="94" l="1"/>
  <c r="F19" i="94"/>
  <c r="I19" i="93"/>
  <c r="F19" i="93"/>
  <c r="I19" i="92" l="1"/>
  <c r="F19" i="92"/>
  <c r="CT34" i="1"/>
  <c r="CU34" i="1"/>
  <c r="CU35" i="1" s="1"/>
  <c r="CS34" i="1"/>
  <c r="I19" i="91"/>
  <c r="F19" i="9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" i="1"/>
  <c r="CP34" i="1" l="1"/>
  <c r="I19" i="88"/>
  <c r="F19" i="88"/>
  <c r="F19" i="87"/>
  <c r="F19" i="86" l="1"/>
  <c r="F19" i="85" l="1"/>
  <c r="EO35" i="1"/>
  <c r="I19" i="83" l="1"/>
  <c r="F19" i="83"/>
  <c r="F19" i="84"/>
  <c r="I19" i="82" l="1"/>
  <c r="F19" i="82"/>
  <c r="I19" i="81"/>
  <c r="F19" i="81"/>
  <c r="I19" i="80" l="1"/>
  <c r="F19" i="80"/>
  <c r="I19" i="79"/>
  <c r="F19" i="79"/>
  <c r="E19" i="78"/>
  <c r="I19" i="78"/>
  <c r="F19" i="78"/>
  <c r="H19" i="78" s="1"/>
  <c r="J19" i="78" l="1"/>
  <c r="J19" i="79" s="1"/>
  <c r="J19" i="80" s="1"/>
  <c r="J19" i="81" s="1"/>
  <c r="J19" i="82" s="1"/>
  <c r="K19" i="78"/>
  <c r="K19" i="79" s="1"/>
  <c r="K19" i="80" s="1"/>
  <c r="K19" i="81" s="1"/>
  <c r="K19" i="82" s="1"/>
  <c r="G19" i="78"/>
  <c r="G19" i="79" s="1"/>
  <c r="G19" i="80" s="1"/>
  <c r="G19" i="81" s="1"/>
  <c r="G19" i="82" s="1"/>
  <c r="L19" i="78"/>
  <c r="H19" i="79"/>
  <c r="H19" i="80" s="1"/>
  <c r="H19" i="81" s="1"/>
  <c r="H19" i="82" s="1"/>
  <c r="I19" i="77"/>
  <c r="F19" i="77"/>
  <c r="J19" i="83" l="1"/>
  <c r="G19" i="83"/>
  <c r="G19" i="84" s="1"/>
  <c r="G19" i="85" s="1"/>
  <c r="G19" i="86" s="1"/>
  <c r="G19" i="87" s="1"/>
  <c r="G19" i="88" s="1"/>
  <c r="K19" i="83"/>
  <c r="H19" i="83"/>
  <c r="F19" i="76"/>
  <c r="I19" i="74"/>
  <c r="F19" i="75"/>
  <c r="H19" i="84" l="1"/>
  <c r="H19" i="85" s="1"/>
  <c r="H19" i="86" s="1"/>
  <c r="H19" i="87" s="1"/>
  <c r="H19" i="88" s="1"/>
  <c r="H19" i="89" s="1"/>
  <c r="H19" i="90" s="1"/>
  <c r="H19" i="91" s="1"/>
  <c r="H19" i="92" s="1"/>
  <c r="H19" i="93" s="1"/>
  <c r="H19" i="94" s="1"/>
  <c r="H19" i="95" s="1"/>
  <c r="H19" i="96" s="1"/>
  <c r="H19" i="42" s="1"/>
  <c r="H19" i="67" s="1"/>
  <c r="H19" i="68" s="1"/>
  <c r="H19" i="69" s="1"/>
  <c r="H19" i="70" s="1"/>
  <c r="H19" i="71" s="1"/>
  <c r="H19" i="72" s="1"/>
  <c r="H19" i="73" s="1"/>
  <c r="G19" i="89"/>
  <c r="G19" i="90" s="1"/>
  <c r="G19" i="91" s="1"/>
  <c r="G19" i="92" s="1"/>
  <c r="G19" i="93" s="1"/>
  <c r="G19" i="94" s="1"/>
  <c r="G19" i="95" s="1"/>
  <c r="G19" i="96" s="1"/>
  <c r="G19" i="42" s="1"/>
  <c r="G19" i="67" s="1"/>
  <c r="G19" i="68" s="1"/>
  <c r="G19" i="69" s="1"/>
  <c r="G19" i="70" s="1"/>
  <c r="G19" i="71" s="1"/>
  <c r="G19" i="72" s="1"/>
  <c r="G19" i="73" s="1"/>
  <c r="EQ3" i="1"/>
  <c r="EN4" i="1" s="1"/>
  <c r="F19" i="74"/>
  <c r="EQ4" i="1" l="1"/>
  <c r="EN5" i="1" s="1"/>
  <c r="E19" i="79"/>
  <c r="L19" i="79" s="1"/>
  <c r="H19" i="74"/>
  <c r="H19" i="75" s="1"/>
  <c r="H19" i="76" s="1"/>
  <c r="H19" i="77" s="1"/>
  <c r="G19" i="74"/>
  <c r="G19" i="75" s="1"/>
  <c r="G19" i="76" s="1"/>
  <c r="G19" i="77" s="1"/>
  <c r="K26" i="6"/>
  <c r="O26" i="6"/>
  <c r="X26" i="6"/>
  <c r="AA26" i="6"/>
  <c r="AB26" i="6"/>
  <c r="AC26" i="6"/>
  <c r="CG26" i="6" s="1"/>
  <c r="AE26" i="6"/>
  <c r="BK26" i="6"/>
  <c r="BO26" i="6"/>
  <c r="K24" i="6"/>
  <c r="O24" i="6"/>
  <c r="X24" i="6"/>
  <c r="Z24" i="6"/>
  <c r="AB24" i="6"/>
  <c r="F36" i="68" s="1"/>
  <c r="AC24" i="6"/>
  <c r="AE24" i="6"/>
  <c r="AF24" i="6"/>
  <c r="BK24" i="6" s="1"/>
  <c r="AH24" i="6"/>
  <c r="F37" i="68" s="1"/>
  <c r="BO24" i="6"/>
  <c r="K25" i="6"/>
  <c r="O25" i="6"/>
  <c r="X25" i="6"/>
  <c r="Z25" i="6"/>
  <c r="AB25" i="6"/>
  <c r="AC25" i="6"/>
  <c r="CG25" i="6" s="1"/>
  <c r="AE25" i="6"/>
  <c r="BK25" i="6"/>
  <c r="AH25" i="6"/>
  <c r="BO25" i="6"/>
  <c r="CV3" i="1"/>
  <c r="CR4" i="1" s="1"/>
  <c r="CV4" i="1" s="1"/>
  <c r="CR5" i="1" s="1"/>
  <c r="CV5" i="1" s="1"/>
  <c r="CR6" i="1" s="1"/>
  <c r="CV6" i="1" s="1"/>
  <c r="CR7" i="1" s="1"/>
  <c r="CV7" i="1" s="1"/>
  <c r="CR8" i="1" s="1"/>
  <c r="CV8" i="1" s="1"/>
  <c r="CR9" i="1" s="1"/>
  <c r="CV9" i="1" s="1"/>
  <c r="CR10" i="1" s="1"/>
  <c r="CV10" i="1" s="1"/>
  <c r="CR11" i="1" s="1"/>
  <c r="CV11" i="1" s="1"/>
  <c r="CR12" i="1" s="1"/>
  <c r="CV12" i="1" s="1"/>
  <c r="CR13" i="1" s="1"/>
  <c r="CV13" i="1" s="1"/>
  <c r="CR14" i="1" s="1"/>
  <c r="CV14" i="1" s="1"/>
  <c r="CR15" i="1" s="1"/>
  <c r="CV15" i="1" s="1"/>
  <c r="CR16" i="1" s="1"/>
  <c r="CV16" i="1" s="1"/>
  <c r="CR17" i="1" s="1"/>
  <c r="CV17" i="1" s="1"/>
  <c r="CR18" i="1" s="1"/>
  <c r="CV18" i="1" s="1"/>
  <c r="CR19" i="1" s="1"/>
  <c r="CV19" i="1" s="1"/>
  <c r="CR20" i="1" s="1"/>
  <c r="CV20" i="1" s="1"/>
  <c r="CR21" i="1" s="1"/>
  <c r="CV21" i="1" s="1"/>
  <c r="CR22" i="1" s="1"/>
  <c r="CV22" i="1" s="1"/>
  <c r="CR23" i="1" s="1"/>
  <c r="CV23" i="1" s="1"/>
  <c r="CR24" i="1" s="1"/>
  <c r="CV24" i="1" s="1"/>
  <c r="CR25" i="1" s="1"/>
  <c r="CV25" i="1" s="1"/>
  <c r="CR26" i="1" s="1"/>
  <c r="CV26" i="1" s="1"/>
  <c r="CR27" i="1" s="1"/>
  <c r="CV27" i="1" s="1"/>
  <c r="CR28" i="1" s="1"/>
  <c r="CV28" i="1" s="1"/>
  <c r="CR29" i="1" s="1"/>
  <c r="CV29" i="1" s="1"/>
  <c r="CR30" i="1" s="1"/>
  <c r="CV30" i="1" s="1"/>
  <c r="CR31" i="1" s="1"/>
  <c r="CV31" i="1" s="1"/>
  <c r="CR32" i="1" s="1"/>
  <c r="CV32" i="1" s="1"/>
  <c r="CR33" i="1" s="1"/>
  <c r="CV33" i="1" s="1"/>
  <c r="CG24" i="6" l="1"/>
  <c r="AA24" i="6"/>
  <c r="W24" i="55"/>
  <c r="AA25" i="6"/>
  <c r="W25" i="55"/>
  <c r="BG26" i="6"/>
  <c r="BG25" i="6"/>
  <c r="BG24" i="6"/>
  <c r="CJ25" i="6"/>
  <c r="CJ24" i="6"/>
  <c r="CJ26" i="6"/>
  <c r="F25" i="6"/>
  <c r="F24" i="6"/>
  <c r="F26" i="6"/>
  <c r="AJ24" i="6"/>
  <c r="AG24" i="6"/>
  <c r="EQ5" i="1"/>
  <c r="EN6" i="1" s="1"/>
  <c r="E19" i="80"/>
  <c r="L19" i="80" s="1"/>
  <c r="AG25" i="6"/>
  <c r="AG26" i="6"/>
  <c r="AD26" i="6"/>
  <c r="AJ26" i="6"/>
  <c r="AD25" i="6"/>
  <c r="AJ25" i="6"/>
  <c r="AD24" i="6"/>
  <c r="EQ6" i="1" l="1"/>
  <c r="EN7" i="1" s="1"/>
  <c r="E19" i="81"/>
  <c r="L19" i="81" s="1"/>
  <c r="CO35" i="1"/>
  <c r="CN35" i="1"/>
  <c r="CE35" i="1"/>
  <c r="CI35" i="1"/>
  <c r="CJ35" i="1"/>
  <c r="CD35" i="1"/>
  <c r="EQ7" i="1" l="1"/>
  <c r="EN8" i="1" s="1"/>
  <c r="E19" i="82"/>
  <c r="L19" i="82" s="1"/>
  <c r="CP35" i="1"/>
  <c r="CQ3" i="1"/>
  <c r="CM4" i="1" s="1"/>
  <c r="CQ4" i="1" s="1"/>
  <c r="CM5" i="1" s="1"/>
  <c r="CQ5" i="1" s="1"/>
  <c r="CM6" i="1" s="1"/>
  <c r="CQ6" i="1" s="1"/>
  <c r="CM7" i="1" s="1"/>
  <c r="CQ7" i="1" s="1"/>
  <c r="CM8" i="1" s="1"/>
  <c r="CQ8" i="1" s="1"/>
  <c r="CM9" i="1" s="1"/>
  <c r="CQ9" i="1" s="1"/>
  <c r="CM10" i="1" s="1"/>
  <c r="CQ10" i="1" s="1"/>
  <c r="CM11" i="1" s="1"/>
  <c r="CQ11" i="1" s="1"/>
  <c r="CM12" i="1" s="1"/>
  <c r="CQ12" i="1" s="1"/>
  <c r="CM13" i="1" s="1"/>
  <c r="CQ13" i="1" s="1"/>
  <c r="CM14" i="1" s="1"/>
  <c r="CQ14" i="1" s="1"/>
  <c r="CM15" i="1" s="1"/>
  <c r="CQ15" i="1" s="1"/>
  <c r="CM16" i="1" s="1"/>
  <c r="CQ16" i="1" s="1"/>
  <c r="CM17" i="1" s="1"/>
  <c r="CQ17" i="1" s="1"/>
  <c r="CM18" i="1" s="1"/>
  <c r="CQ18" i="1" s="1"/>
  <c r="CM19" i="1" s="1"/>
  <c r="CQ19" i="1" s="1"/>
  <c r="CM20" i="1" s="1"/>
  <c r="CQ20" i="1" s="1"/>
  <c r="CM21" i="1" s="1"/>
  <c r="CQ21" i="1" s="1"/>
  <c r="CM22" i="1" s="1"/>
  <c r="CQ22" i="1" s="1"/>
  <c r="CM23" i="1" s="1"/>
  <c r="CQ23" i="1" s="1"/>
  <c r="CM24" i="1" s="1"/>
  <c r="CQ24" i="1" s="1"/>
  <c r="CM25" i="1" s="1"/>
  <c r="CQ25" i="1" s="1"/>
  <c r="CM26" i="1" s="1"/>
  <c r="CQ26" i="1" s="1"/>
  <c r="CM27" i="1" s="1"/>
  <c r="CQ27" i="1" s="1"/>
  <c r="CM28" i="1" s="1"/>
  <c r="CQ28" i="1" s="1"/>
  <c r="CM29" i="1" s="1"/>
  <c r="CQ29" i="1" s="1"/>
  <c r="CM30" i="1" s="1"/>
  <c r="CQ30" i="1" l="1"/>
  <c r="CM31" i="1" s="1"/>
  <c r="EQ8" i="1"/>
  <c r="EN9" i="1" s="1"/>
  <c r="E19" i="83"/>
  <c r="L19" i="83" s="1"/>
  <c r="CQ31" i="1" l="1"/>
  <c r="CM32" i="1" s="1"/>
  <c r="E19" i="84"/>
  <c r="CQ32" i="1" l="1"/>
  <c r="CM33" i="1" s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" i="1"/>
  <c r="EH3" i="1" s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" i="1"/>
  <c r="CG3" i="1" s="1"/>
  <c r="CC4" i="1" s="1"/>
  <c r="CQ33" i="1" l="1"/>
  <c r="CG4" i="1"/>
  <c r="CC5" i="1" s="1"/>
  <c r="CL3" i="1"/>
  <c r="CH4" i="1" s="1"/>
  <c r="CL4" i="1" s="1"/>
  <c r="CH5" i="1" s="1"/>
  <c r="CL5" i="1" s="1"/>
  <c r="CH6" i="1" s="1"/>
  <c r="CL6" i="1" s="1"/>
  <c r="CH7" i="1" s="1"/>
  <c r="CL7" i="1" s="1"/>
  <c r="CH8" i="1" s="1"/>
  <c r="CL8" i="1" s="1"/>
  <c r="CH9" i="1" s="1"/>
  <c r="CL9" i="1" s="1"/>
  <c r="CH10" i="1" s="1"/>
  <c r="CL10" i="1" s="1"/>
  <c r="CH11" i="1" s="1"/>
  <c r="CL11" i="1" s="1"/>
  <c r="CH12" i="1" s="1"/>
  <c r="CL12" i="1" s="1"/>
  <c r="CH13" i="1" s="1"/>
  <c r="CK35" i="1"/>
  <c r="CF35" i="1"/>
  <c r="CL13" i="1" l="1"/>
  <c r="CH14" i="1" s="1"/>
  <c r="CG5" i="1"/>
  <c r="CC6" i="1" s="1"/>
  <c r="CG6" i="1" s="1"/>
  <c r="CC7" i="1" s="1"/>
  <c r="CL14" i="1" l="1"/>
  <c r="CH15" i="1" s="1"/>
  <c r="CG7" i="1"/>
  <c r="CC8" i="1" s="1"/>
  <c r="CL15" i="1" l="1"/>
  <c r="CH16" i="1" s="1"/>
  <c r="CG8" i="1"/>
  <c r="CC9" i="1" s="1"/>
  <c r="CL16" i="1" l="1"/>
  <c r="CH17" i="1" s="1"/>
  <c r="CG9" i="1"/>
  <c r="CC10" i="1" s="1"/>
  <c r="O19" i="12"/>
  <c r="N19" i="12"/>
  <c r="M19" i="12"/>
  <c r="CL17" i="1" l="1"/>
  <c r="CH18" i="1" s="1"/>
  <c r="CG10" i="1"/>
  <c r="CC11" i="1" s="1"/>
  <c r="Q18" i="3"/>
  <c r="AU19" i="12"/>
  <c r="AC18" i="3"/>
  <c r="AV19" i="12"/>
  <c r="AG19" i="12" l="1"/>
  <c r="AM19" i="12" s="1"/>
  <c r="AT19" i="12"/>
  <c r="CL18" i="1"/>
  <c r="CH19" i="1" s="1"/>
  <c r="CG11" i="1"/>
  <c r="CC12" i="1" s="1"/>
  <c r="EK18" i="1" l="1"/>
  <c r="ET18" i="1" s="1"/>
  <c r="CL19" i="1"/>
  <c r="CH20" i="1" s="1"/>
  <c r="CG12" i="1"/>
  <c r="CC13" i="1" s="1"/>
  <c r="AL19" i="12"/>
  <c r="CL20" i="1" l="1"/>
  <c r="CH21" i="1" s="1"/>
  <c r="CG13" i="1"/>
  <c r="CC14" i="1" s="1"/>
  <c r="CL21" i="1" l="1"/>
  <c r="CH22" i="1" s="1"/>
  <c r="CG14" i="1"/>
  <c r="CC15" i="1" s="1"/>
  <c r="CL22" i="1" l="1"/>
  <c r="CH23" i="1" s="1"/>
  <c r="CG15" i="1"/>
  <c r="CC16" i="1" s="1"/>
  <c r="CL23" i="1" l="1"/>
  <c r="CH24" i="1" s="1"/>
  <c r="CG16" i="1"/>
  <c r="CC17" i="1" s="1"/>
  <c r="CL24" i="1" l="1"/>
  <c r="CH25" i="1" s="1"/>
  <c r="CG17" i="1"/>
  <c r="CC18" i="1" s="1"/>
  <c r="CL25" i="1" l="1"/>
  <c r="CH26" i="1" s="1"/>
  <c r="CG18" i="1"/>
  <c r="CC19" i="1" s="1"/>
  <c r="CL26" i="1" l="1"/>
  <c r="CH27" i="1" s="1"/>
  <c r="CG19" i="1"/>
  <c r="CC20" i="1" s="1"/>
  <c r="CL27" i="1" l="1"/>
  <c r="CH28" i="1" s="1"/>
  <c r="CG20" i="1"/>
  <c r="CC21" i="1" s="1"/>
  <c r="CL28" i="1" l="1"/>
  <c r="CH29" i="1" s="1"/>
  <c r="CG21" i="1"/>
  <c r="CC22" i="1" s="1"/>
  <c r="X34" i="3"/>
  <c r="CL29" i="1" l="1"/>
  <c r="CH30" i="1" s="1"/>
  <c r="CG22" i="1"/>
  <c r="CC23" i="1" s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" i="1"/>
  <c r="BW3" i="1" l="1"/>
  <c r="CL30" i="1"/>
  <c r="CH31" i="1" s="1"/>
  <c r="CG23" i="1"/>
  <c r="CC24" i="1" s="1"/>
  <c r="CL31" i="1" l="1"/>
  <c r="CH32" i="1" s="1"/>
  <c r="CG24" i="1"/>
  <c r="CC25" i="1" s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" i="1"/>
  <c r="CL32" i="1" l="1"/>
  <c r="CH33" i="1" s="1"/>
  <c r="CG25" i="1"/>
  <c r="CC26" i="1" s="1"/>
  <c r="AI18" i="2"/>
  <c r="AZ18" i="2" l="1"/>
  <c r="BA18" i="2" s="1"/>
  <c r="AT18" i="2"/>
  <c r="AU18" i="2"/>
  <c r="CL33" i="1"/>
  <c r="CG26" i="1"/>
  <c r="CC27" i="1" s="1"/>
  <c r="CG27" i="1" l="1"/>
  <c r="CC28" i="1" s="1"/>
  <c r="F31" i="74"/>
  <c r="F33" i="74"/>
  <c r="F34" i="74"/>
  <c r="CG28" i="1" l="1"/>
  <c r="CC29" i="1" s="1"/>
  <c r="CG29" i="1" l="1"/>
  <c r="CC30" i="1" s="1"/>
  <c r="CG30" i="1" l="1"/>
  <c r="CC31" i="1" s="1"/>
  <c r="CG31" i="1" l="1"/>
  <c r="CC32" i="1" s="1"/>
  <c r="CG32" i="1" l="1"/>
  <c r="CC33" i="1" s="1"/>
  <c r="CG33" i="1" l="1"/>
  <c r="BL4" i="1" l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" i="1"/>
  <c r="M34" i="1"/>
  <c r="Y34" i="1"/>
  <c r="O34" i="1"/>
  <c r="E34" i="1"/>
  <c r="J30" i="76" l="1"/>
  <c r="E50" i="76" s="1"/>
  <c r="AI12" i="2" l="1"/>
  <c r="AI13" i="2"/>
  <c r="AI14" i="2"/>
  <c r="AI15" i="2"/>
  <c r="AT16" i="2"/>
  <c r="AT17" i="2"/>
  <c r="AI19" i="2"/>
  <c r="AI20" i="2"/>
  <c r="AI21" i="2"/>
  <c r="AI22" i="2"/>
  <c r="AI23" i="2"/>
  <c r="AT24" i="2"/>
  <c r="AZ23" i="2" l="1"/>
  <c r="BA23" i="2" s="1"/>
  <c r="AZ20" i="2"/>
  <c r="BA20" i="2" s="1"/>
  <c r="AZ21" i="2"/>
  <c r="BA21" i="2" s="1"/>
  <c r="AZ13" i="2"/>
  <c r="BA13" i="2" s="1"/>
  <c r="AZ22" i="2"/>
  <c r="BA22" i="2" s="1"/>
  <c r="AZ19" i="2"/>
  <c r="BA19" i="2" s="1"/>
  <c r="AZ15" i="2"/>
  <c r="BA15" i="2" s="1"/>
  <c r="AZ14" i="2"/>
  <c r="BA14" i="2" s="1"/>
  <c r="AZ12" i="2"/>
  <c r="BA12" i="2" s="1"/>
  <c r="AT21" i="2"/>
  <c r="AU21" i="2"/>
  <c r="AT12" i="2"/>
  <c r="AU12" i="2"/>
  <c r="AT25" i="2"/>
  <c r="AU25" i="2"/>
  <c r="AT23" i="2"/>
  <c r="AU23" i="2"/>
  <c r="AT22" i="2"/>
  <c r="AU22" i="2"/>
  <c r="AT20" i="2"/>
  <c r="AU20" i="2"/>
  <c r="AT19" i="2"/>
  <c r="AU19" i="2"/>
  <c r="AT15" i="2"/>
  <c r="AU15" i="2"/>
  <c r="AT14" i="2"/>
  <c r="AU14" i="2"/>
  <c r="AT13" i="2"/>
  <c r="AU13" i="2"/>
  <c r="AU35" i="1"/>
  <c r="AV35" i="1"/>
  <c r="BE35" i="1"/>
  <c r="BF35" i="1"/>
  <c r="BJ35" i="1"/>
  <c r="BK35" i="1"/>
  <c r="BL35" i="1"/>
  <c r="BO35" i="1"/>
  <c r="BP35" i="1"/>
  <c r="BQ35" i="1"/>
  <c r="BT35" i="1"/>
  <c r="BU35" i="1"/>
  <c r="BV35" i="1"/>
  <c r="BY35" i="1"/>
  <c r="CA35" i="1"/>
  <c r="EM35" i="1"/>
  <c r="S34" i="1"/>
  <c r="U34" i="1"/>
  <c r="AA34" i="1"/>
  <c r="AD34" i="1"/>
  <c r="AL34" i="1"/>
  <c r="AM34" i="1"/>
  <c r="AP34" i="1"/>
  <c r="AQ34" i="1"/>
  <c r="AU34" i="1"/>
  <c r="AV34" i="1"/>
  <c r="AZ34" i="1"/>
  <c r="AZ35" i="1" s="1"/>
  <c r="BA34" i="1"/>
  <c r="BA35" i="1" s="1"/>
  <c r="BE34" i="1"/>
  <c r="BF34" i="1"/>
  <c r="BJ34" i="1"/>
  <c r="BK34" i="1"/>
  <c r="BL34" i="1"/>
  <c r="BO34" i="1"/>
  <c r="BP34" i="1"/>
  <c r="BQ34" i="1"/>
  <c r="BT34" i="1"/>
  <c r="BU34" i="1"/>
  <c r="BV34" i="1"/>
  <c r="BY34" i="1"/>
  <c r="BZ34" i="1"/>
  <c r="CA34" i="1"/>
  <c r="EJ34" i="1"/>
  <c r="EM34" i="1"/>
  <c r="M9" i="70" l="1"/>
  <c r="F10" i="70"/>
  <c r="I10" i="70"/>
  <c r="F11" i="70"/>
  <c r="I11" i="70"/>
  <c r="F12" i="70"/>
  <c r="M12" i="70"/>
  <c r="F18" i="70"/>
  <c r="I20" i="70"/>
  <c r="F22" i="70"/>
  <c r="F23" i="70"/>
  <c r="F24" i="70"/>
  <c r="F30" i="70"/>
  <c r="F31" i="70"/>
  <c r="J31" i="70"/>
  <c r="F33" i="70"/>
  <c r="J33" i="70"/>
  <c r="I50" i="70" s="1"/>
  <c r="F34" i="70"/>
  <c r="J34" i="70"/>
  <c r="H50" i="70" s="1"/>
  <c r="H51" i="70" s="1"/>
  <c r="M35" i="70"/>
  <c r="M36" i="70"/>
  <c r="M37" i="70"/>
  <c r="F57" i="70"/>
  <c r="F58" i="70"/>
  <c r="L52" i="70" l="1"/>
  <c r="F50" i="70"/>
  <c r="F51" i="70" s="1"/>
  <c r="F25" i="70"/>
  <c r="I14" i="93"/>
  <c r="EC34" i="1"/>
  <c r="EC35" i="1" s="1"/>
  <c r="EB34" i="1"/>
  <c r="EB35" i="1" s="1"/>
  <c r="Q31" i="70"/>
  <c r="Q33" i="70"/>
  <c r="BX4" i="1"/>
  <c r="M10" i="70"/>
  <c r="M11" i="70"/>
  <c r="I13" i="70"/>
  <c r="N9" i="70" s="1"/>
  <c r="Q34" i="70"/>
  <c r="F13" i="70"/>
  <c r="I14" i="70"/>
  <c r="F14" i="70"/>
  <c r="M13" i="70" l="1"/>
  <c r="CB4" i="1"/>
  <c r="BS4" i="1"/>
  <c r="BW4" i="1" s="1"/>
  <c r="N10" i="70"/>
  <c r="N11" i="70"/>
  <c r="N12" i="70"/>
  <c r="BX5" i="1" l="1"/>
  <c r="CB5" i="1" l="1"/>
  <c r="BS5" i="1"/>
  <c r="BW5" i="1" s="1"/>
  <c r="BX6" i="1" l="1"/>
  <c r="CB6" i="1" l="1"/>
  <c r="BS6" i="1"/>
  <c r="BW6" i="1" s="1"/>
  <c r="BX7" i="1" l="1"/>
  <c r="C34" i="6"/>
  <c r="CB7" i="1" l="1"/>
  <c r="BS7" i="1"/>
  <c r="BW7" i="1" s="1"/>
  <c r="BX8" i="1" l="1"/>
  <c r="D35" i="1"/>
  <c r="CB8" i="1" l="1"/>
  <c r="BX9" i="1" s="1"/>
  <c r="CB9" i="1" s="1"/>
  <c r="BX10" i="1" s="1"/>
  <c r="CB10" i="1" s="1"/>
  <c r="BX11" i="1" s="1"/>
  <c r="CB11" i="1" s="1"/>
  <c r="BX12" i="1" s="1"/>
  <c r="CB12" i="1" s="1"/>
  <c r="BX13" i="1" s="1"/>
  <c r="CB13" i="1" s="1"/>
  <c r="BX14" i="1" s="1"/>
  <c r="CB14" i="1" s="1"/>
  <c r="BX15" i="1" s="1"/>
  <c r="CB15" i="1" s="1"/>
  <c r="BX16" i="1" s="1"/>
  <c r="CB16" i="1" s="1"/>
  <c r="BX17" i="1" s="1"/>
  <c r="CB17" i="1" s="1"/>
  <c r="BX18" i="1" s="1"/>
  <c r="CB18" i="1" s="1"/>
  <c r="BX19" i="1" s="1"/>
  <c r="CB19" i="1" s="1"/>
  <c r="BX20" i="1" s="1"/>
  <c r="CB20" i="1" s="1"/>
  <c r="BX21" i="1" s="1"/>
  <c r="CB21" i="1" s="1"/>
  <c r="BX22" i="1" s="1"/>
  <c r="CB22" i="1" s="1"/>
  <c r="BX23" i="1" s="1"/>
  <c r="CB23" i="1" s="1"/>
  <c r="BX24" i="1" s="1"/>
  <c r="CB24" i="1" s="1"/>
  <c r="BX25" i="1" s="1"/>
  <c r="CB25" i="1" s="1"/>
  <c r="BX26" i="1" s="1"/>
  <c r="CB26" i="1" s="1"/>
  <c r="BX27" i="1" s="1"/>
  <c r="CB27" i="1" s="1"/>
  <c r="BX28" i="1" s="1"/>
  <c r="CB28" i="1" s="1"/>
  <c r="BX29" i="1" s="1"/>
  <c r="CB29" i="1" s="1"/>
  <c r="BX30" i="1" s="1"/>
  <c r="CB30" i="1" s="1"/>
  <c r="BX31" i="1" s="1"/>
  <c r="CB31" i="1" s="1"/>
  <c r="BX32" i="1" s="1"/>
  <c r="CB32" i="1" s="1"/>
  <c r="BX33" i="1" s="1"/>
  <c r="CB33" i="1" s="1"/>
  <c r="BS8" i="1"/>
  <c r="BW8" i="1" s="1"/>
  <c r="BR3" i="1"/>
  <c r="CB34" i="1" l="1"/>
  <c r="BS9" i="1"/>
  <c r="BN4" i="1"/>
  <c r="BW9" i="1" l="1"/>
  <c r="BS10" i="1" s="1"/>
  <c r="BR4" i="1"/>
  <c r="BW10" i="1" l="1"/>
  <c r="BS11" i="1" s="1"/>
  <c r="BN5" i="1"/>
  <c r="BW11" i="1" l="1"/>
  <c r="BS12" i="1" s="1"/>
  <c r="BR5" i="1"/>
  <c r="BW12" i="1" l="1"/>
  <c r="BS13" i="1" s="1"/>
  <c r="BN6" i="1"/>
  <c r="BW13" i="1" l="1"/>
  <c r="BS14" i="1" s="1"/>
  <c r="BR6" i="1"/>
  <c r="BN7" i="1" s="1"/>
  <c r="BW14" i="1" l="1"/>
  <c r="BS15" i="1" s="1"/>
  <c r="BR7" i="1"/>
  <c r="BW15" i="1" l="1"/>
  <c r="BS16" i="1" s="1"/>
  <c r="BN8" i="1"/>
  <c r="BW16" i="1" l="1"/>
  <c r="BS17" i="1" s="1"/>
  <c r="BR8" i="1"/>
  <c r="BN9" i="1" s="1"/>
  <c r="BW17" i="1" l="1"/>
  <c r="BS18" i="1" s="1"/>
  <c r="BR9" i="1"/>
  <c r="BN10" i="1" s="1"/>
  <c r="BW18" i="1" l="1"/>
  <c r="BS19" i="1" s="1"/>
  <c r="BR10" i="1"/>
  <c r="BN11" i="1" s="1"/>
  <c r="BW19" i="1" l="1"/>
  <c r="BS20" i="1" s="1"/>
  <c r="BR11" i="1"/>
  <c r="BN12" i="1" s="1"/>
  <c r="BW20" i="1" l="1"/>
  <c r="BS21" i="1" s="1"/>
  <c r="BR12" i="1"/>
  <c r="BN13" i="1" s="1"/>
  <c r="BW21" i="1" l="1"/>
  <c r="BS22" i="1" s="1"/>
  <c r="BR13" i="1"/>
  <c r="BN14" i="1" s="1"/>
  <c r="BW22" i="1" l="1"/>
  <c r="BS23" i="1" s="1"/>
  <c r="BR14" i="1"/>
  <c r="BN15" i="1" s="1"/>
  <c r="BW23" i="1" l="1"/>
  <c r="BS24" i="1" s="1"/>
  <c r="BR15" i="1"/>
  <c r="BN16" i="1" s="1"/>
  <c r="BW24" i="1" l="1"/>
  <c r="BS25" i="1" s="1"/>
  <c r="BR16" i="1"/>
  <c r="BN17" i="1" s="1"/>
  <c r="BW25" i="1" l="1"/>
  <c r="BS26" i="1" s="1"/>
  <c r="BR17" i="1"/>
  <c r="BN18" i="1" s="1"/>
  <c r="BW26" i="1" l="1"/>
  <c r="BS27" i="1" s="1"/>
  <c r="BR18" i="1"/>
  <c r="BN19" i="1" s="1"/>
  <c r="BW27" i="1" l="1"/>
  <c r="BS28" i="1" s="1"/>
  <c r="BR19" i="1"/>
  <c r="BN20" i="1" s="1"/>
  <c r="BW28" i="1" l="1"/>
  <c r="BS29" i="1" s="1"/>
  <c r="BR20" i="1"/>
  <c r="BN21" i="1" s="1"/>
  <c r="BW29" i="1" l="1"/>
  <c r="BS30" i="1" s="1"/>
  <c r="BR21" i="1"/>
  <c r="BN22" i="1" s="1"/>
  <c r="BW30" i="1" l="1"/>
  <c r="BS31" i="1" s="1"/>
  <c r="BR22" i="1"/>
  <c r="BN23" i="1" s="1"/>
  <c r="BW31" i="1" l="1"/>
  <c r="BS32" i="1" s="1"/>
  <c r="BR23" i="1"/>
  <c r="BN24" i="1" s="1"/>
  <c r="BW32" i="1" l="1"/>
  <c r="BS33" i="1" s="1"/>
  <c r="BR24" i="1"/>
  <c r="BN25" i="1" s="1"/>
  <c r="BW33" i="1" l="1"/>
  <c r="BS34" i="1"/>
  <c r="BR25" i="1"/>
  <c r="BN26" i="1" s="1"/>
  <c r="BR26" i="1" l="1"/>
  <c r="BN27" i="1" s="1"/>
  <c r="BR27" i="1" l="1"/>
  <c r="BN28" i="1" s="1"/>
  <c r="BR28" i="1" l="1"/>
  <c r="BN29" i="1" s="1"/>
  <c r="BR29" i="1" l="1"/>
  <c r="BN30" i="1" s="1"/>
  <c r="I15" i="70"/>
  <c r="BR30" i="1" l="1"/>
  <c r="BN31" i="1" s="1"/>
  <c r="EG34" i="1"/>
  <c r="EG35" i="1" s="1"/>
  <c r="I16" i="70"/>
  <c r="T52" i="12"/>
  <c r="R52" i="12"/>
  <c r="BR31" i="1" l="1"/>
  <c r="BN32" i="1" s="1"/>
  <c r="M33" i="70"/>
  <c r="BR32" i="1" l="1"/>
  <c r="BN33" i="1" s="1"/>
  <c r="Q50" i="70"/>
  <c r="I51" i="70" s="1"/>
  <c r="O5" i="12"/>
  <c r="N5" i="12"/>
  <c r="N40" i="12" s="1"/>
  <c r="N42" i="97" s="1"/>
  <c r="M5" i="12"/>
  <c r="M7" i="12"/>
  <c r="N7" i="12"/>
  <c r="O7" i="12"/>
  <c r="M8" i="12"/>
  <c r="N8" i="12"/>
  <c r="O8" i="12"/>
  <c r="M9" i="12"/>
  <c r="N9" i="12"/>
  <c r="O9" i="12"/>
  <c r="O40" i="12" l="1"/>
  <c r="O42" i="97" s="1"/>
  <c r="BR33" i="1"/>
  <c r="Q52" i="70"/>
  <c r="J30" i="70"/>
  <c r="E50" i="70" s="1"/>
  <c r="E51" i="70" s="1"/>
  <c r="N51" i="70" s="1"/>
  <c r="J30" i="72"/>
  <c r="E50" i="72" s="1"/>
  <c r="M9" i="72"/>
  <c r="F10" i="72"/>
  <c r="I10" i="72"/>
  <c r="F11" i="72"/>
  <c r="I11" i="72"/>
  <c r="M11" i="72" s="1"/>
  <c r="F12" i="72"/>
  <c r="I12" i="72"/>
  <c r="M12" i="72" s="1"/>
  <c r="F18" i="72"/>
  <c r="I20" i="72"/>
  <c r="F21" i="72"/>
  <c r="F22" i="72"/>
  <c r="F23" i="72"/>
  <c r="F24" i="72"/>
  <c r="F30" i="72"/>
  <c r="F31" i="72"/>
  <c r="J31" i="72"/>
  <c r="F33" i="72"/>
  <c r="J33" i="72"/>
  <c r="I50" i="72" s="1"/>
  <c r="F34" i="72"/>
  <c r="J34" i="72"/>
  <c r="H50" i="72" s="1"/>
  <c r="H51" i="72" s="1"/>
  <c r="M35" i="72"/>
  <c r="M36" i="72"/>
  <c r="M37" i="72"/>
  <c r="F57" i="72"/>
  <c r="F58" i="72"/>
  <c r="E51" i="72" l="1"/>
  <c r="F50" i="72"/>
  <c r="F51" i="72" s="1"/>
  <c r="L52" i="72"/>
  <c r="F25" i="72"/>
  <c r="Q30" i="70"/>
  <c r="I13" i="72"/>
  <c r="M10" i="72"/>
  <c r="Q34" i="72"/>
  <c r="Q33" i="72"/>
  <c r="Q31" i="72"/>
  <c r="Q30" i="72"/>
  <c r="F13" i="72"/>
  <c r="N9" i="72" l="1"/>
  <c r="N10" i="72"/>
  <c r="N11" i="72"/>
  <c r="N12" i="72"/>
  <c r="M13" i="72"/>
  <c r="N13" i="72" l="1"/>
  <c r="AI33" i="2"/>
  <c r="AI4" i="2"/>
  <c r="AI5" i="2"/>
  <c r="AT6" i="2"/>
  <c r="AI7" i="2"/>
  <c r="AI8" i="2"/>
  <c r="AZ8" i="2" s="1"/>
  <c r="AT9" i="2"/>
  <c r="AI10" i="2"/>
  <c r="AI11" i="2"/>
  <c r="AI28" i="2"/>
  <c r="AI29" i="2"/>
  <c r="AT29" i="2" s="1"/>
  <c r="AT30" i="2"/>
  <c r="AI31" i="2"/>
  <c r="AI32" i="2"/>
  <c r="AI3" i="2"/>
  <c r="AZ3" i="2" s="1"/>
  <c r="BA3" i="2" s="1"/>
  <c r="AF34" i="2"/>
  <c r="AF35" i="2" s="1"/>
  <c r="AE34" i="2"/>
  <c r="AG3" i="2"/>
  <c r="AD4" i="2" s="1"/>
  <c r="AG4" i="2" s="1"/>
  <c r="AD5" i="2" s="1"/>
  <c r="AG5" i="2" s="1"/>
  <c r="AD6" i="2" s="1"/>
  <c r="AG6" i="2" s="1"/>
  <c r="AD7" i="2" s="1"/>
  <c r="AG7" i="2" s="1"/>
  <c r="AD8" i="2" s="1"/>
  <c r="AG8" i="2" s="1"/>
  <c r="AD9" i="2" s="1"/>
  <c r="AG9" i="2" s="1"/>
  <c r="AD10" i="2" s="1"/>
  <c r="AG10" i="2" s="1"/>
  <c r="AD11" i="2" s="1"/>
  <c r="AG11" i="2" s="1"/>
  <c r="AD12" i="2" s="1"/>
  <c r="AG12" i="2" s="1"/>
  <c r="AD13" i="2" s="1"/>
  <c r="AG13" i="2" s="1"/>
  <c r="AD14" i="2" s="1"/>
  <c r="AG14" i="2" s="1"/>
  <c r="AD15" i="2" s="1"/>
  <c r="AG15" i="2" s="1"/>
  <c r="AD16" i="2" s="1"/>
  <c r="AG16" i="2" s="1"/>
  <c r="AD17" i="2" s="1"/>
  <c r="AG17" i="2" s="1"/>
  <c r="AD18" i="2" s="1"/>
  <c r="AG18" i="2" s="1"/>
  <c r="AD19" i="2" s="1"/>
  <c r="AG19" i="2" s="1"/>
  <c r="AD20" i="2" s="1"/>
  <c r="AG20" i="2" s="1"/>
  <c r="AD21" i="2" s="1"/>
  <c r="AG21" i="2" s="1"/>
  <c r="AD22" i="2" s="1"/>
  <c r="AG22" i="2" s="1"/>
  <c r="AD23" i="2" s="1"/>
  <c r="BA8" i="2" l="1"/>
  <c r="AZ11" i="2"/>
  <c r="BA11" i="2" s="1"/>
  <c r="AZ5" i="2"/>
  <c r="BA5" i="2" s="1"/>
  <c r="AZ7" i="2"/>
  <c r="BA7" i="2" s="1"/>
  <c r="AZ4" i="2"/>
  <c r="BA4" i="2" s="1"/>
  <c r="AZ10" i="2"/>
  <c r="BA10" i="2" s="1"/>
  <c r="AZ32" i="2"/>
  <c r="AZ31" i="2"/>
  <c r="BA31" i="2" s="1"/>
  <c r="AZ29" i="2"/>
  <c r="BA29" i="2" s="1"/>
  <c r="AZ28" i="2"/>
  <c r="BA28" i="2" s="1"/>
  <c r="AU3" i="2"/>
  <c r="AT3" i="2"/>
  <c r="AT33" i="2"/>
  <c r="AU29" i="2"/>
  <c r="AT7" i="2"/>
  <c r="AU7" i="2"/>
  <c r="AT28" i="2"/>
  <c r="AU28" i="2"/>
  <c r="AT5" i="2"/>
  <c r="AU5" i="2"/>
  <c r="AT8" i="2"/>
  <c r="AU8" i="2"/>
  <c r="AT4" i="2"/>
  <c r="AU4" i="2"/>
  <c r="AT32" i="2"/>
  <c r="AU32" i="2"/>
  <c r="AT31" i="2"/>
  <c r="AU31" i="2"/>
  <c r="AT27" i="2"/>
  <c r="AU27" i="2"/>
  <c r="AT26" i="2"/>
  <c r="AU26" i="2"/>
  <c r="AT11" i="2"/>
  <c r="AU11" i="2"/>
  <c r="AT10" i="2"/>
  <c r="AU10" i="2"/>
  <c r="AG23" i="2"/>
  <c r="AD24" i="2" s="1"/>
  <c r="AG24" i="2" s="1"/>
  <c r="AD25" i="2" s="1"/>
  <c r="AG25" i="2" l="1"/>
  <c r="AD26" i="2" l="1"/>
  <c r="AG26" i="2" l="1"/>
  <c r="AD27" i="2" l="1"/>
  <c r="AG27" i="2" l="1"/>
  <c r="AD28" i="2" l="1"/>
  <c r="AG28" i="2" l="1"/>
  <c r="AD29" i="2" l="1"/>
  <c r="AG29" i="2" l="1"/>
  <c r="AD30" i="2" l="1"/>
  <c r="AG30" i="2" l="1"/>
  <c r="AD31" i="2" s="1"/>
  <c r="AG31" i="2" l="1"/>
  <c r="AD32" i="2" s="1"/>
  <c r="AG32" i="2" l="1"/>
  <c r="AD33" i="2" s="1"/>
  <c r="AD34" i="2" s="1"/>
  <c r="I14" i="72"/>
  <c r="F14" i="72"/>
  <c r="BM3" i="1"/>
  <c r="AG33" i="2" l="1"/>
  <c r="AG34" i="2" s="1"/>
  <c r="BI4" i="1"/>
  <c r="BM4" i="1" s="1"/>
  <c r="M33" i="72" l="1"/>
  <c r="Q50" i="72" s="1"/>
  <c r="I51" i="72" s="1"/>
  <c r="N51" i="72" s="1"/>
  <c r="BI5" i="1" l="1"/>
  <c r="Q52" i="72"/>
  <c r="BM5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" i="1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F36" i="70"/>
  <c r="AB27" i="6"/>
  <c r="AB28" i="6"/>
  <c r="I15" i="72"/>
  <c r="I16" i="72" s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" i="1"/>
  <c r="AI34" i="1"/>
  <c r="F36" i="72" l="1"/>
  <c r="F40" i="72" s="1"/>
  <c r="BH3" i="1"/>
  <c r="BD4" i="1" s="1"/>
  <c r="BH4" i="1" s="1"/>
  <c r="BG34" i="1"/>
  <c r="BG35" i="1"/>
  <c r="BC3" i="1"/>
  <c r="BB34" i="1"/>
  <c r="BB35" i="1" s="1"/>
  <c r="BI6" i="1"/>
  <c r="AR33" i="1"/>
  <c r="AR31" i="1"/>
  <c r="AR32" i="1"/>
  <c r="F58" i="75"/>
  <c r="BM6" i="1" l="1"/>
  <c r="BD5" i="1"/>
  <c r="BH5" i="1" s="1"/>
  <c r="BD6" i="1" s="1"/>
  <c r="BH6" i="1" s="1"/>
  <c r="BD7" i="1" s="1"/>
  <c r="BH7" i="1" s="1"/>
  <c r="BD8" i="1" s="1"/>
  <c r="BH8" i="1" s="1"/>
  <c r="BD9" i="1" s="1"/>
  <c r="BH9" i="1" s="1"/>
  <c r="BD10" i="1" s="1"/>
  <c r="BH10" i="1" s="1"/>
  <c r="BD11" i="1" s="1"/>
  <c r="BH11" i="1" s="1"/>
  <c r="BD12" i="1" s="1"/>
  <c r="BH12" i="1" s="1"/>
  <c r="BD13" i="1" s="1"/>
  <c r="BI7" i="1" l="1"/>
  <c r="BH13" i="1"/>
  <c r="BD14" i="1" s="1"/>
  <c r="BH14" i="1" s="1"/>
  <c r="BD15" i="1" s="1"/>
  <c r="BH15" i="1" s="1"/>
  <c r="BD16" i="1" s="1"/>
  <c r="BH16" i="1" s="1"/>
  <c r="BD17" i="1" s="1"/>
  <c r="BH17" i="1" s="1"/>
  <c r="BD18" i="1" s="1"/>
  <c r="BH18" i="1" s="1"/>
  <c r="BD19" i="1" s="1"/>
  <c r="BH19" i="1" s="1"/>
  <c r="BD20" i="1" s="1"/>
  <c r="BH20" i="1" s="1"/>
  <c r="BD21" i="1" s="1"/>
  <c r="BH21" i="1" s="1"/>
  <c r="BD22" i="1" s="1"/>
  <c r="BH22" i="1" s="1"/>
  <c r="BD23" i="1" s="1"/>
  <c r="BH23" i="1" s="1"/>
  <c r="BD24" i="1" s="1"/>
  <c r="BH24" i="1" s="1"/>
  <c r="BD25" i="1" s="1"/>
  <c r="BH25" i="1" s="1"/>
  <c r="BD26" i="1" s="1"/>
  <c r="BH26" i="1" s="1"/>
  <c r="BD27" i="1" s="1"/>
  <c r="BH27" i="1" s="1"/>
  <c r="BD28" i="1" s="1"/>
  <c r="BH28" i="1" s="1"/>
  <c r="BD29" i="1" s="1"/>
  <c r="BH29" i="1" s="1"/>
  <c r="BD30" i="1" s="1"/>
  <c r="BH30" i="1" s="1"/>
  <c r="BD31" i="1" s="1"/>
  <c r="BH31" i="1" s="1"/>
  <c r="BD32" i="1" s="1"/>
  <c r="BH32" i="1" s="1"/>
  <c r="BD33" i="1" s="1"/>
  <c r="BH33" i="1" s="1"/>
  <c r="AY4" i="1"/>
  <c r="BM7" i="1" l="1"/>
  <c r="BD35" i="1"/>
  <c r="BD34" i="1"/>
  <c r="BC4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" i="1"/>
  <c r="AW34" i="1" l="1"/>
  <c r="AW35" i="1" s="1"/>
  <c r="BI8" i="1"/>
  <c r="AY5" i="1"/>
  <c r="AX3" i="1"/>
  <c r="BM8" i="1" l="1"/>
  <c r="BI9" i="1" s="1"/>
  <c r="BM9" i="1" s="1"/>
  <c r="BI10" i="1" s="1"/>
  <c r="BM10" i="1" s="1"/>
  <c r="BI11" i="1" s="1"/>
  <c r="BM11" i="1" s="1"/>
  <c r="BI12" i="1" s="1"/>
  <c r="BM12" i="1" s="1"/>
  <c r="BI13" i="1" s="1"/>
  <c r="BM13" i="1" s="1"/>
  <c r="BI14" i="1" s="1"/>
  <c r="BM14" i="1" s="1"/>
  <c r="BI15" i="1" s="1"/>
  <c r="BC5" i="1"/>
  <c r="AY6" i="1" l="1"/>
  <c r="BM15" i="1"/>
  <c r="BI16" i="1" s="1"/>
  <c r="BC6" i="1" l="1"/>
  <c r="BM16" i="1"/>
  <c r="BI17" i="1" s="1"/>
  <c r="AY7" i="1" l="1"/>
  <c r="BM17" i="1"/>
  <c r="BI18" i="1" s="1"/>
  <c r="BC7" i="1" l="1"/>
  <c r="BM18" i="1"/>
  <c r="BI19" i="1" s="1"/>
  <c r="AY8" i="1" l="1"/>
  <c r="BM19" i="1"/>
  <c r="BI20" i="1" s="1"/>
  <c r="BC8" i="1" l="1"/>
  <c r="AY9" i="1" s="1"/>
  <c r="BM20" i="1"/>
  <c r="BI21" i="1" s="1"/>
  <c r="BC9" i="1" l="1"/>
  <c r="AY10" i="1" s="1"/>
  <c r="BM21" i="1"/>
  <c r="BI22" i="1" s="1"/>
  <c r="J30" i="93"/>
  <c r="E50" i="93" s="1"/>
  <c r="D35" i="6"/>
  <c r="BC10" i="1" l="1"/>
  <c r="AY11" i="1" s="1"/>
  <c r="BM22" i="1"/>
  <c r="BI23" i="1" s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" i="1"/>
  <c r="AS3" i="1" s="1"/>
  <c r="BC11" i="1" l="1"/>
  <c r="AY12" i="1" s="1"/>
  <c r="AR34" i="1"/>
  <c r="BM23" i="1"/>
  <c r="BI24" i="1" s="1"/>
  <c r="AR35" i="1"/>
  <c r="AD32" i="55"/>
  <c r="AD31" i="55"/>
  <c r="AD30" i="55"/>
  <c r="AD29" i="55"/>
  <c r="AD28" i="55"/>
  <c r="AD27" i="55"/>
  <c r="T34" i="3"/>
  <c r="BC12" i="1" l="1"/>
  <c r="AY13" i="1" s="1"/>
  <c r="BM24" i="1"/>
  <c r="BI25" i="1" s="1"/>
  <c r="BC13" i="1" l="1"/>
  <c r="AY14" i="1" s="1"/>
  <c r="BM25" i="1"/>
  <c r="BI26" i="1" s="1"/>
  <c r="AC22" i="3"/>
  <c r="Q22" i="3"/>
  <c r="BC14" i="1" l="1"/>
  <c r="AY15" i="1" s="1"/>
  <c r="BM26" i="1"/>
  <c r="BI27" i="1" s="1"/>
  <c r="Q12" i="3"/>
  <c r="AC12" i="3"/>
  <c r="BC15" i="1" l="1"/>
  <c r="AY16" i="1" s="1"/>
  <c r="AH22" i="3"/>
  <c r="AH18" i="3"/>
  <c r="BM27" i="1"/>
  <c r="BI28" i="1" s="1"/>
  <c r="BC16" i="1" l="1"/>
  <c r="AY17" i="1" s="1"/>
  <c r="AH12" i="3"/>
  <c r="BM28" i="1"/>
  <c r="BI29" i="1" s="1"/>
  <c r="F37" i="67"/>
  <c r="AC23" i="3"/>
  <c r="Q23" i="3"/>
  <c r="AH27" i="3" l="1"/>
  <c r="BC17" i="1"/>
  <c r="AY18" i="1" s="1"/>
  <c r="BM29" i="1"/>
  <c r="BI30" i="1" s="1"/>
  <c r="Q14" i="3"/>
  <c r="BC18" i="1" l="1"/>
  <c r="AY19" i="1" s="1"/>
  <c r="S4" i="3"/>
  <c r="AH23" i="3"/>
  <c r="AH3" i="3"/>
  <c r="AH14" i="3"/>
  <c r="Z3" i="3"/>
  <c r="W4" i="3" s="1"/>
  <c r="BM30" i="1"/>
  <c r="BI31" i="1" s="1"/>
  <c r="Q11" i="3"/>
  <c r="BC19" i="1" l="1"/>
  <c r="AY20" i="1" s="1"/>
  <c r="BM31" i="1"/>
  <c r="BI32" i="1" s="1"/>
  <c r="AT4" i="1"/>
  <c r="BC20" i="1" l="1"/>
  <c r="AY21" i="1" s="1"/>
  <c r="AH11" i="3"/>
  <c r="BM32" i="1"/>
  <c r="BI33" i="1" s="1"/>
  <c r="AX4" i="1"/>
  <c r="BC21" i="1" l="1"/>
  <c r="AY22" i="1" s="1"/>
  <c r="AT5" i="1"/>
  <c r="AX5" i="1" s="1"/>
  <c r="AT6" i="1" s="1"/>
  <c r="BM33" i="1"/>
  <c r="Q6" i="3"/>
  <c r="I21" i="81" s="1"/>
  <c r="BC22" i="1" l="1"/>
  <c r="AY23" i="1" s="1"/>
  <c r="AH6" i="3"/>
  <c r="AX6" i="1"/>
  <c r="C35" i="6"/>
  <c r="G35" i="6"/>
  <c r="N35" i="6"/>
  <c r="S35" i="6"/>
  <c r="U35" i="6"/>
  <c r="BH35" i="6"/>
  <c r="BP35" i="6"/>
  <c r="BC23" i="1" l="1"/>
  <c r="AY24" i="1" s="1"/>
  <c r="AT7" i="1"/>
  <c r="AX7" i="1" s="1"/>
  <c r="AT8" i="1" s="1"/>
  <c r="I19" i="1"/>
  <c r="N19" i="1"/>
  <c r="P19" i="1" s="1"/>
  <c r="T19" i="1"/>
  <c r="V19" i="1" s="1"/>
  <c r="Z19" i="1"/>
  <c r="I20" i="1"/>
  <c r="N20" i="1"/>
  <c r="T20" i="1"/>
  <c r="V20" i="1" s="1"/>
  <c r="Z20" i="1"/>
  <c r="I21" i="1"/>
  <c r="N21" i="1"/>
  <c r="P21" i="1" s="1"/>
  <c r="T21" i="1"/>
  <c r="V21" i="1" s="1"/>
  <c r="Z21" i="1"/>
  <c r="I22" i="1"/>
  <c r="N22" i="1"/>
  <c r="P22" i="1" s="1"/>
  <c r="T22" i="1"/>
  <c r="V22" i="1" s="1"/>
  <c r="Z22" i="1"/>
  <c r="I23" i="1"/>
  <c r="N23" i="1"/>
  <c r="P23" i="1" s="1"/>
  <c r="T23" i="1"/>
  <c r="V23" i="1" s="1"/>
  <c r="Z23" i="1"/>
  <c r="BC24" i="1" l="1"/>
  <c r="P20" i="1"/>
  <c r="AX8" i="1"/>
  <c r="AC21" i="3"/>
  <c r="Q21" i="3"/>
  <c r="AT9" i="1" l="1"/>
  <c r="AX9" i="1" s="1"/>
  <c r="AT10" i="1" s="1"/>
  <c r="AY25" i="1"/>
  <c r="BC25" i="1" l="1"/>
  <c r="AH21" i="3"/>
  <c r="Q20" i="3"/>
  <c r="AX10" i="1"/>
  <c r="AT11" i="1" s="1"/>
  <c r="AC15" i="3"/>
  <c r="Q15" i="3"/>
  <c r="AH15" i="3" l="1"/>
  <c r="AY26" i="1"/>
  <c r="AX11" i="1"/>
  <c r="AT12" i="1" s="1"/>
  <c r="BC26" i="1" l="1"/>
  <c r="AY27" i="1" s="1"/>
  <c r="AH20" i="3"/>
  <c r="Q10" i="3"/>
  <c r="AX12" i="1"/>
  <c r="AT13" i="1" s="1"/>
  <c r="Q8" i="3"/>
  <c r="I21" i="83" s="1"/>
  <c r="M30" i="83" l="1"/>
  <c r="BC27" i="1"/>
  <c r="AY28" i="1" s="1"/>
  <c r="AX13" i="1"/>
  <c r="AT14" i="1" s="1"/>
  <c r="AQ35" i="1"/>
  <c r="AP35" i="1"/>
  <c r="AO4" i="1"/>
  <c r="AH10" i="3" l="1"/>
  <c r="BC28" i="1"/>
  <c r="AY29" i="1" s="1"/>
  <c r="AH8" i="3"/>
  <c r="AS4" i="1"/>
  <c r="AO5" i="1" s="1"/>
  <c r="AX14" i="1"/>
  <c r="AT15" i="1" s="1"/>
  <c r="BC29" i="1" l="1"/>
  <c r="AY30" i="1" s="1"/>
  <c r="AX15" i="1"/>
  <c r="AT16" i="1" s="1"/>
  <c r="AS5" i="1"/>
  <c r="AO6" i="1" s="1"/>
  <c r="AN3" i="1"/>
  <c r="AM35" i="1"/>
  <c r="Q4" i="3" l="1"/>
  <c r="I21" i="79" s="1"/>
  <c r="E4" i="3"/>
  <c r="BC30" i="1"/>
  <c r="AY31" i="1" s="1"/>
  <c r="AK4" i="1"/>
  <c r="AX16" i="1"/>
  <c r="AT17" i="1" s="1"/>
  <c r="AS6" i="1"/>
  <c r="V35" i="6"/>
  <c r="M30" i="79" l="1"/>
  <c r="BC31" i="1"/>
  <c r="AY32" i="1" s="1"/>
  <c r="V4" i="3"/>
  <c r="S5" i="3" s="1"/>
  <c r="AH4" i="3"/>
  <c r="Z4" i="3"/>
  <c r="AN4" i="1"/>
  <c r="AO7" i="1"/>
  <c r="AS7" i="1" s="1"/>
  <c r="AO8" i="1" s="1"/>
  <c r="AX17" i="1"/>
  <c r="AT18" i="1" s="1"/>
  <c r="U34" i="6"/>
  <c r="BC32" i="1" l="1"/>
  <c r="AY33" i="1" s="1"/>
  <c r="W5" i="3"/>
  <c r="AX18" i="1"/>
  <c r="AT19" i="1" s="1"/>
  <c r="AS8" i="1"/>
  <c r="AO9" i="1" s="1"/>
  <c r="AS9" i="1" s="1"/>
  <c r="AO10" i="1" s="1"/>
  <c r="BC33" i="1" l="1"/>
  <c r="AY34" i="1"/>
  <c r="AX19" i="1"/>
  <c r="AT20" i="1" s="1"/>
  <c r="AS10" i="1"/>
  <c r="Q30" i="3"/>
  <c r="Q29" i="3" l="1"/>
  <c r="AC30" i="3"/>
  <c r="AH30" i="3"/>
  <c r="BC34" i="1"/>
  <c r="AX20" i="1"/>
  <c r="AT21" i="1" s="1"/>
  <c r="AO11" i="1"/>
  <c r="Q26" i="3"/>
  <c r="J30" i="67"/>
  <c r="E50" i="67" s="1"/>
  <c r="J30" i="68"/>
  <c r="E50" i="68" s="1"/>
  <c r="J37" i="67"/>
  <c r="AC26" i="3" l="1"/>
  <c r="AX21" i="1"/>
  <c r="AT22" i="1" s="1"/>
  <c r="AS11" i="1"/>
  <c r="J30" i="42"/>
  <c r="E50" i="42" s="1"/>
  <c r="F37" i="42"/>
  <c r="M9" i="42"/>
  <c r="I21" i="70" l="1"/>
  <c r="M30" i="70" s="1"/>
  <c r="AH26" i="3"/>
  <c r="AX22" i="1"/>
  <c r="AT23" i="1" s="1"/>
  <c r="AO12" i="1"/>
  <c r="AD22" i="55"/>
  <c r="AD21" i="55"/>
  <c r="AD20" i="55"/>
  <c r="AD19" i="55"/>
  <c r="AD18" i="55"/>
  <c r="AD17" i="55"/>
  <c r="AD16" i="55"/>
  <c r="AD15" i="55"/>
  <c r="AD14" i="55"/>
  <c r="AD13" i="55"/>
  <c r="AD12" i="55"/>
  <c r="AD11" i="55"/>
  <c r="AD10" i="55"/>
  <c r="AD9" i="55"/>
  <c r="AD8" i="55"/>
  <c r="AD7" i="55"/>
  <c r="AD6" i="55"/>
  <c r="AD5" i="55"/>
  <c r="AD4" i="55"/>
  <c r="AD3" i="55"/>
  <c r="F59" i="96"/>
  <c r="F58" i="96"/>
  <c r="F57" i="96"/>
  <c r="M37" i="96"/>
  <c r="M36" i="96"/>
  <c r="M35" i="96"/>
  <c r="M40" i="96" s="1"/>
  <c r="J34" i="96"/>
  <c r="H50" i="96" s="1"/>
  <c r="H51" i="96" s="1"/>
  <c r="J33" i="96"/>
  <c r="I50" i="96" s="1"/>
  <c r="J31" i="96"/>
  <c r="F34" i="96"/>
  <c r="F33" i="96"/>
  <c r="F31" i="96"/>
  <c r="F30" i="96"/>
  <c r="I20" i="96"/>
  <c r="F24" i="96"/>
  <c r="F23" i="96"/>
  <c r="F22" i="96"/>
  <c r="F21" i="96"/>
  <c r="F18" i="96"/>
  <c r="I12" i="96"/>
  <c r="M12" i="96" s="1"/>
  <c r="I11" i="96"/>
  <c r="M11" i="96" s="1"/>
  <c r="I10" i="96"/>
  <c r="M9" i="96"/>
  <c r="F12" i="96"/>
  <c r="F11" i="96"/>
  <c r="F10" i="96"/>
  <c r="F59" i="95"/>
  <c r="F58" i="95"/>
  <c r="F57" i="95"/>
  <c r="M37" i="95"/>
  <c r="M36" i="95"/>
  <c r="M35" i="95"/>
  <c r="J34" i="95"/>
  <c r="H50" i="95" s="1"/>
  <c r="H51" i="95" s="1"/>
  <c r="J33" i="95"/>
  <c r="I50" i="95" s="1"/>
  <c r="J31" i="95"/>
  <c r="F34" i="95"/>
  <c r="F33" i="95"/>
  <c r="F31" i="95"/>
  <c r="F30" i="95"/>
  <c r="I20" i="95"/>
  <c r="F24" i="95"/>
  <c r="F23" i="95"/>
  <c r="F22" i="95"/>
  <c r="F21" i="95"/>
  <c r="F18" i="95"/>
  <c r="I12" i="95"/>
  <c r="M12" i="95" s="1"/>
  <c r="I11" i="95"/>
  <c r="M11" i="95" s="1"/>
  <c r="I10" i="95"/>
  <c r="F12" i="95"/>
  <c r="F11" i="95"/>
  <c r="F10" i="95"/>
  <c r="J30" i="96"/>
  <c r="E50" i="96" s="1"/>
  <c r="E51" i="96" s="1"/>
  <c r="J30" i="95"/>
  <c r="E50" i="95" s="1"/>
  <c r="E51" i="95" s="1"/>
  <c r="I15" i="95"/>
  <c r="I15" i="96"/>
  <c r="I20" i="94"/>
  <c r="I15" i="94"/>
  <c r="I12" i="94"/>
  <c r="M12" i="94" s="1"/>
  <c r="I11" i="94"/>
  <c r="M11" i="94" s="1"/>
  <c r="I10" i="94"/>
  <c r="M10" i="94" s="1"/>
  <c r="M9" i="94"/>
  <c r="F24" i="94"/>
  <c r="F23" i="94"/>
  <c r="F22" i="94"/>
  <c r="F18" i="94"/>
  <c r="F12" i="94"/>
  <c r="F11" i="94"/>
  <c r="F10" i="94"/>
  <c r="M37" i="94"/>
  <c r="M36" i="94"/>
  <c r="M35" i="94"/>
  <c r="J34" i="94"/>
  <c r="H50" i="94" s="1"/>
  <c r="H51" i="94" s="1"/>
  <c r="J33" i="94"/>
  <c r="I50" i="94" s="1"/>
  <c r="J31" i="94"/>
  <c r="F59" i="94"/>
  <c r="F58" i="94"/>
  <c r="F57" i="94"/>
  <c r="F34" i="94"/>
  <c r="F33" i="94"/>
  <c r="F31" i="94"/>
  <c r="F30" i="94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4" i="1"/>
  <c r="Z25" i="1"/>
  <c r="Z26" i="1"/>
  <c r="Z27" i="1"/>
  <c r="Z28" i="1"/>
  <c r="Z29" i="1"/>
  <c r="Z30" i="1"/>
  <c r="Z31" i="1"/>
  <c r="Z32" i="1"/>
  <c r="Z33" i="1"/>
  <c r="Z3" i="1"/>
  <c r="AB34" i="2"/>
  <c r="AB35" i="2" s="1"/>
  <c r="AA34" i="2"/>
  <c r="AA35" i="2" s="1"/>
  <c r="AC3" i="2"/>
  <c r="Z4" i="2" s="1"/>
  <c r="M40" i="95" l="1"/>
  <c r="M40" i="94"/>
  <c r="F50" i="96"/>
  <c r="F51" i="96" s="1"/>
  <c r="F50" i="94"/>
  <c r="F51" i="94" s="1"/>
  <c r="F50" i="95"/>
  <c r="F51" i="95" s="1"/>
  <c r="M10" i="95"/>
  <c r="I13" i="95"/>
  <c r="L52" i="94"/>
  <c r="F25" i="95"/>
  <c r="L52" i="95"/>
  <c r="L52" i="96"/>
  <c r="F25" i="96"/>
  <c r="F25" i="94"/>
  <c r="M9" i="95"/>
  <c r="Z34" i="1"/>
  <c r="M10" i="96"/>
  <c r="AB3" i="1"/>
  <c r="AX23" i="1"/>
  <c r="AT24" i="1" s="1"/>
  <c r="Q19" i="3"/>
  <c r="AQ42" i="97"/>
  <c r="AC19" i="3"/>
  <c r="AS12" i="1"/>
  <c r="I13" i="96"/>
  <c r="F13" i="96"/>
  <c r="Q33" i="95"/>
  <c r="Q31" i="95"/>
  <c r="Q30" i="95"/>
  <c r="Q34" i="95"/>
  <c r="Q30" i="96"/>
  <c r="Q31" i="96"/>
  <c r="Q33" i="96"/>
  <c r="Q34" i="96"/>
  <c r="F13" i="95"/>
  <c r="F13" i="94"/>
  <c r="Q34" i="94"/>
  <c r="Q33" i="94"/>
  <c r="Q31" i="94"/>
  <c r="I13" i="94"/>
  <c r="AC4" i="2"/>
  <c r="Z5" i="2" s="1"/>
  <c r="I12" i="93"/>
  <c r="M12" i="93" s="1"/>
  <c r="I11" i="93"/>
  <c r="M11" i="93" s="1"/>
  <c r="I10" i="93"/>
  <c r="M10" i="93" s="1"/>
  <c r="M9" i="93"/>
  <c r="F12" i="93"/>
  <c r="F11" i="93"/>
  <c r="F10" i="93"/>
  <c r="I20" i="93"/>
  <c r="F24" i="93"/>
  <c r="F23" i="93"/>
  <c r="F22" i="93"/>
  <c r="F18" i="93"/>
  <c r="M37" i="93"/>
  <c r="M36" i="93"/>
  <c r="M35" i="93"/>
  <c r="J34" i="93"/>
  <c r="J33" i="93"/>
  <c r="I50" i="93" s="1"/>
  <c r="J31" i="93"/>
  <c r="F59" i="93"/>
  <c r="F58" i="93"/>
  <c r="F57" i="93"/>
  <c r="F34" i="93"/>
  <c r="F33" i="93"/>
  <c r="F31" i="93"/>
  <c r="F30" i="93"/>
  <c r="I20" i="92"/>
  <c r="I12" i="92"/>
  <c r="M12" i="92" s="1"/>
  <c r="I11" i="92"/>
  <c r="M11" i="92" s="1"/>
  <c r="I10" i="92"/>
  <c r="M10" i="92" s="1"/>
  <c r="M9" i="92"/>
  <c r="F24" i="92"/>
  <c r="F23" i="92"/>
  <c r="F22" i="92"/>
  <c r="F18" i="92"/>
  <c r="F12" i="92"/>
  <c r="F11" i="92"/>
  <c r="F10" i="92"/>
  <c r="M37" i="92"/>
  <c r="M36" i="92"/>
  <c r="M35" i="92"/>
  <c r="J34" i="92"/>
  <c r="H50" i="92" s="1"/>
  <c r="H51" i="92" s="1"/>
  <c r="J33" i="92"/>
  <c r="I50" i="92" s="1"/>
  <c r="J31" i="92"/>
  <c r="F50" i="92" s="1"/>
  <c r="F51" i="92" s="1"/>
  <c r="F59" i="92"/>
  <c r="F58" i="92"/>
  <c r="F57" i="92"/>
  <c r="F34" i="92"/>
  <c r="F33" i="92"/>
  <c r="F31" i="92"/>
  <c r="F30" i="92"/>
  <c r="F59" i="91"/>
  <c r="F58" i="91"/>
  <c r="F57" i="91"/>
  <c r="M37" i="91"/>
  <c r="M36" i="91"/>
  <c r="M35" i="91"/>
  <c r="J34" i="91"/>
  <c r="H50" i="91" s="1"/>
  <c r="H51" i="91" s="1"/>
  <c r="J33" i="91"/>
  <c r="I50" i="91" s="1"/>
  <c r="J31" i="91"/>
  <c r="F34" i="91"/>
  <c r="F33" i="91"/>
  <c r="F31" i="91"/>
  <c r="F30" i="91"/>
  <c r="I20" i="91"/>
  <c r="F24" i="91"/>
  <c r="F23" i="91"/>
  <c r="F22" i="91"/>
  <c r="F18" i="91"/>
  <c r="I11" i="91"/>
  <c r="M11" i="91" s="1"/>
  <c r="I12" i="91"/>
  <c r="M12" i="91" s="1"/>
  <c r="I10" i="91"/>
  <c r="M10" i="91" s="1"/>
  <c r="M9" i="91"/>
  <c r="F12" i="91"/>
  <c r="F11" i="91"/>
  <c r="F10" i="91"/>
  <c r="I20" i="90"/>
  <c r="F24" i="90"/>
  <c r="F23" i="90"/>
  <c r="F22" i="90"/>
  <c r="F18" i="90"/>
  <c r="I12" i="90"/>
  <c r="M12" i="90" s="1"/>
  <c r="I11" i="90"/>
  <c r="M11" i="90" s="1"/>
  <c r="I10" i="90"/>
  <c r="M9" i="90"/>
  <c r="F12" i="90"/>
  <c r="F11" i="90"/>
  <c r="F10" i="90"/>
  <c r="M37" i="90"/>
  <c r="M36" i="90"/>
  <c r="M35" i="90"/>
  <c r="J34" i="90"/>
  <c r="H50" i="90" s="1"/>
  <c r="H51" i="90" s="1"/>
  <c r="J33" i="90"/>
  <c r="I50" i="90" s="1"/>
  <c r="J31" i="90"/>
  <c r="F59" i="90"/>
  <c r="P38" i="90" s="1"/>
  <c r="F58" i="90"/>
  <c r="F57" i="90"/>
  <c r="F34" i="90"/>
  <c r="F33" i="90"/>
  <c r="F31" i="90"/>
  <c r="F30" i="90"/>
  <c r="I12" i="89"/>
  <c r="M12" i="89" s="1"/>
  <c r="I11" i="89"/>
  <c r="M11" i="89" s="1"/>
  <c r="I10" i="89"/>
  <c r="M10" i="89" s="1"/>
  <c r="M9" i="89"/>
  <c r="I20" i="89"/>
  <c r="F24" i="89"/>
  <c r="F23" i="89"/>
  <c r="F22" i="89"/>
  <c r="F18" i="89"/>
  <c r="F12" i="89"/>
  <c r="F11" i="89"/>
  <c r="F10" i="89"/>
  <c r="M37" i="89"/>
  <c r="M36" i="89"/>
  <c r="M35" i="89"/>
  <c r="J34" i="89"/>
  <c r="H50" i="89" s="1"/>
  <c r="H51" i="89" s="1"/>
  <c r="J33" i="89"/>
  <c r="I50" i="89" s="1"/>
  <c r="J31" i="89"/>
  <c r="F59" i="89"/>
  <c r="F58" i="89"/>
  <c r="F57" i="89"/>
  <c r="F34" i="89"/>
  <c r="F33" i="89"/>
  <c r="F31" i="89"/>
  <c r="F30" i="89"/>
  <c r="M40" i="93" l="1"/>
  <c r="M40" i="91"/>
  <c r="M40" i="92"/>
  <c r="M40" i="90"/>
  <c r="L52" i="90" s="1"/>
  <c r="M40" i="89"/>
  <c r="L52" i="89" s="1"/>
  <c r="F50" i="93"/>
  <c r="F51" i="93" s="1"/>
  <c r="F50" i="91"/>
  <c r="F51" i="91" s="1"/>
  <c r="F50" i="89"/>
  <c r="F51" i="89" s="1"/>
  <c r="F50" i="90"/>
  <c r="F51" i="90" s="1"/>
  <c r="H50" i="93"/>
  <c r="H51" i="93" s="1"/>
  <c r="E51" i="93"/>
  <c r="L52" i="92"/>
  <c r="L52" i="93"/>
  <c r="L52" i="91"/>
  <c r="M10" i="90"/>
  <c r="I13" i="90"/>
  <c r="F25" i="89"/>
  <c r="F25" i="90"/>
  <c r="F25" i="91"/>
  <c r="F25" i="93"/>
  <c r="F25" i="92"/>
  <c r="AX24" i="1"/>
  <c r="AT25" i="1" s="1"/>
  <c r="AX25" i="1" s="1"/>
  <c r="AT26" i="1" s="1"/>
  <c r="AO13" i="1"/>
  <c r="AC5" i="2"/>
  <c r="Z6" i="2" s="1"/>
  <c r="N12" i="96"/>
  <c r="N11" i="96"/>
  <c r="N10" i="96"/>
  <c r="N9" i="96"/>
  <c r="N11" i="95"/>
  <c r="N9" i="95"/>
  <c r="N12" i="95"/>
  <c r="N10" i="95"/>
  <c r="Q31" i="93"/>
  <c r="Q34" i="93"/>
  <c r="N12" i="94"/>
  <c r="N11" i="94"/>
  <c r="N10" i="94"/>
  <c r="N9" i="94"/>
  <c r="I13" i="92"/>
  <c r="Q31" i="92"/>
  <c r="F13" i="93"/>
  <c r="Q33" i="93"/>
  <c r="I13" i="93"/>
  <c r="F13" i="92"/>
  <c r="Q33" i="92"/>
  <c r="Q34" i="92"/>
  <c r="Q34" i="91"/>
  <c r="Q33" i="91"/>
  <c r="Q31" i="91"/>
  <c r="F13" i="91"/>
  <c r="I13" i="91"/>
  <c r="F13" i="90"/>
  <c r="Q31" i="90"/>
  <c r="Q33" i="90"/>
  <c r="Q34" i="90"/>
  <c r="F13" i="89"/>
  <c r="I13" i="89"/>
  <c r="Q31" i="89"/>
  <c r="Q33" i="89"/>
  <c r="Q34" i="89"/>
  <c r="F59" i="88"/>
  <c r="F58" i="88"/>
  <c r="F57" i="88"/>
  <c r="M37" i="88"/>
  <c r="M36" i="88"/>
  <c r="M35" i="88"/>
  <c r="J34" i="88"/>
  <c r="H50" i="88" s="1"/>
  <c r="H51" i="88" s="1"/>
  <c r="J33" i="88"/>
  <c r="I50" i="88" s="1"/>
  <c r="J31" i="88"/>
  <c r="F34" i="88"/>
  <c r="F33" i="88"/>
  <c r="F31" i="88"/>
  <c r="F30" i="88"/>
  <c r="I20" i="88"/>
  <c r="F24" i="88"/>
  <c r="F23" i="88"/>
  <c r="F22" i="88"/>
  <c r="F18" i="88"/>
  <c r="I12" i="88"/>
  <c r="M12" i="88" s="1"/>
  <c r="I11" i="88"/>
  <c r="M11" i="88" s="1"/>
  <c r="I10" i="88"/>
  <c r="M10" i="88" s="1"/>
  <c r="F12" i="88"/>
  <c r="F11" i="88"/>
  <c r="F10" i="88"/>
  <c r="I14" i="87"/>
  <c r="I14" i="88"/>
  <c r="M37" i="87"/>
  <c r="M36" i="87"/>
  <c r="M35" i="87"/>
  <c r="J34" i="87"/>
  <c r="H50" i="87" s="1"/>
  <c r="H51" i="87" s="1"/>
  <c r="J33" i="87"/>
  <c r="I50" i="87" s="1"/>
  <c r="J31" i="87"/>
  <c r="I20" i="87"/>
  <c r="I12" i="87"/>
  <c r="M12" i="87" s="1"/>
  <c r="I11" i="87"/>
  <c r="M11" i="87" s="1"/>
  <c r="I10" i="87"/>
  <c r="M10" i="87" s="1"/>
  <c r="F24" i="87"/>
  <c r="F23" i="87"/>
  <c r="F22" i="87"/>
  <c r="F18" i="87"/>
  <c r="F12" i="87"/>
  <c r="F11" i="87"/>
  <c r="F10" i="87"/>
  <c r="F59" i="87"/>
  <c r="F58" i="87"/>
  <c r="F57" i="87"/>
  <c r="F34" i="87"/>
  <c r="F33" i="87"/>
  <c r="F31" i="87"/>
  <c r="F30" i="87"/>
  <c r="I12" i="86"/>
  <c r="M12" i="86" s="1"/>
  <c r="I11" i="86"/>
  <c r="M11" i="86" s="1"/>
  <c r="I10" i="86"/>
  <c r="M10" i="86" s="1"/>
  <c r="I20" i="86"/>
  <c r="F24" i="86"/>
  <c r="F23" i="86"/>
  <c r="F22" i="86"/>
  <c r="F18" i="86"/>
  <c r="F12" i="86"/>
  <c r="F11" i="86"/>
  <c r="F10" i="86"/>
  <c r="M37" i="86"/>
  <c r="M36" i="86"/>
  <c r="M35" i="86"/>
  <c r="J34" i="86"/>
  <c r="J33" i="86"/>
  <c r="I50" i="86" s="1"/>
  <c r="J31" i="86"/>
  <c r="F59" i="86"/>
  <c r="F58" i="86"/>
  <c r="F57" i="86"/>
  <c r="F34" i="86"/>
  <c r="F33" i="86"/>
  <c r="F31" i="86"/>
  <c r="F30" i="86"/>
  <c r="Q9" i="3"/>
  <c r="I20" i="85"/>
  <c r="I12" i="85"/>
  <c r="M12" i="85" s="1"/>
  <c r="I11" i="85"/>
  <c r="M11" i="85" s="1"/>
  <c r="I10" i="85"/>
  <c r="M10" i="85" s="1"/>
  <c r="M37" i="85"/>
  <c r="M36" i="85"/>
  <c r="M35" i="85"/>
  <c r="J34" i="85"/>
  <c r="J33" i="85"/>
  <c r="I50" i="85" s="1"/>
  <c r="J31" i="85"/>
  <c r="F24" i="85"/>
  <c r="F23" i="85"/>
  <c r="F22" i="85"/>
  <c r="F18" i="85"/>
  <c r="F12" i="85"/>
  <c r="F11" i="85"/>
  <c r="F10" i="85"/>
  <c r="F59" i="84"/>
  <c r="F58" i="84"/>
  <c r="F57" i="84"/>
  <c r="F59" i="85"/>
  <c r="F58" i="85"/>
  <c r="F57" i="85"/>
  <c r="F34" i="85"/>
  <c r="F33" i="85"/>
  <c r="F31" i="85"/>
  <c r="F30" i="85"/>
  <c r="I14" i="84"/>
  <c r="I14" i="85"/>
  <c r="I14" i="86"/>
  <c r="I14" i="89"/>
  <c r="I14" i="90"/>
  <c r="I14" i="91"/>
  <c r="I14" i="92"/>
  <c r="I14" i="94"/>
  <c r="I16" i="94" s="1"/>
  <c r="I14" i="95"/>
  <c r="I14" i="96"/>
  <c r="I20" i="84"/>
  <c r="I12" i="84"/>
  <c r="M12" i="84" s="1"/>
  <c r="I11" i="84"/>
  <c r="M11" i="84" s="1"/>
  <c r="I10" i="84"/>
  <c r="M10" i="84" s="1"/>
  <c r="M40" i="88" l="1"/>
  <c r="M40" i="87"/>
  <c r="L52" i="87" s="1"/>
  <c r="M40" i="86"/>
  <c r="M40" i="85"/>
  <c r="L52" i="85" s="1"/>
  <c r="F50" i="88"/>
  <c r="F51" i="88" s="1"/>
  <c r="F50" i="85"/>
  <c r="F51" i="85" s="1"/>
  <c r="F50" i="87"/>
  <c r="F51" i="87" s="1"/>
  <c r="F50" i="86"/>
  <c r="F51" i="86" s="1"/>
  <c r="H50" i="86"/>
  <c r="H51" i="86" s="1"/>
  <c r="H50" i="85"/>
  <c r="H51" i="85" s="1"/>
  <c r="N13" i="95"/>
  <c r="N13" i="96"/>
  <c r="N13" i="94"/>
  <c r="L52" i="88"/>
  <c r="L52" i="86"/>
  <c r="F25" i="87"/>
  <c r="F25" i="86"/>
  <c r="F25" i="88"/>
  <c r="F25" i="85"/>
  <c r="AH9" i="3"/>
  <c r="M9" i="84"/>
  <c r="M13" i="84" s="1"/>
  <c r="M9" i="85"/>
  <c r="M9" i="86"/>
  <c r="M9" i="87"/>
  <c r="M9" i="88"/>
  <c r="AH13" i="3"/>
  <c r="I16" i="96"/>
  <c r="AH19" i="3"/>
  <c r="AX26" i="1"/>
  <c r="AT27" i="1" s="1"/>
  <c r="AS13" i="1"/>
  <c r="Q34" i="87"/>
  <c r="AC6" i="2"/>
  <c r="Z7" i="2" s="1"/>
  <c r="M13" i="96"/>
  <c r="I16" i="95"/>
  <c r="M13" i="95"/>
  <c r="M13" i="94"/>
  <c r="N11" i="92"/>
  <c r="N9" i="93"/>
  <c r="N11" i="93"/>
  <c r="N10" i="93"/>
  <c r="N12" i="93"/>
  <c r="N10" i="92"/>
  <c r="N12" i="92"/>
  <c r="N9" i="92"/>
  <c r="N11" i="91"/>
  <c r="N12" i="91"/>
  <c r="N9" i="91"/>
  <c r="N10" i="91"/>
  <c r="N9" i="90"/>
  <c r="N12" i="90"/>
  <c r="N11" i="90"/>
  <c r="N10" i="90"/>
  <c r="N11" i="89"/>
  <c r="N12" i="89"/>
  <c r="N10" i="89"/>
  <c r="N9" i="89"/>
  <c r="Q33" i="88"/>
  <c r="Q31" i="88"/>
  <c r="Q34" i="88"/>
  <c r="F13" i="88"/>
  <c r="I13" i="88"/>
  <c r="Q33" i="87"/>
  <c r="I13" i="87"/>
  <c r="F13" i="87"/>
  <c r="Q31" i="87"/>
  <c r="F13" i="86"/>
  <c r="Q33" i="86"/>
  <c r="Q31" i="86"/>
  <c r="Q34" i="86"/>
  <c r="I13" i="86"/>
  <c r="I13" i="85"/>
  <c r="Q33" i="85"/>
  <c r="Q31" i="85"/>
  <c r="F13" i="85"/>
  <c r="Q34" i="85"/>
  <c r="F24" i="84"/>
  <c r="F23" i="84"/>
  <c r="F22" i="84"/>
  <c r="F18" i="84"/>
  <c r="F12" i="84"/>
  <c r="F11" i="84"/>
  <c r="F10" i="84"/>
  <c r="M37" i="84"/>
  <c r="M36" i="84"/>
  <c r="M35" i="84"/>
  <c r="J34" i="84"/>
  <c r="J33" i="84"/>
  <c r="I50" i="84" s="1"/>
  <c r="J31" i="84"/>
  <c r="F34" i="84"/>
  <c r="F33" i="84"/>
  <c r="F31" i="84"/>
  <c r="F30" i="84"/>
  <c r="I20" i="83"/>
  <c r="I14" i="83"/>
  <c r="I12" i="83"/>
  <c r="M12" i="83" s="1"/>
  <c r="I11" i="83"/>
  <c r="M11" i="83" s="1"/>
  <c r="I10" i="83"/>
  <c r="M10" i="83" s="1"/>
  <c r="J34" i="83"/>
  <c r="J33" i="83"/>
  <c r="I50" i="83" s="1"/>
  <c r="J31" i="83"/>
  <c r="F50" i="83" s="1"/>
  <c r="M37" i="83"/>
  <c r="M36" i="83"/>
  <c r="M35" i="83"/>
  <c r="F24" i="83"/>
  <c r="F23" i="83"/>
  <c r="F22" i="83"/>
  <c r="F18" i="83"/>
  <c r="F12" i="83"/>
  <c r="F11" i="83"/>
  <c r="F10" i="83"/>
  <c r="F59" i="83"/>
  <c r="F58" i="83"/>
  <c r="F57" i="83"/>
  <c r="F34" i="83"/>
  <c r="F33" i="83"/>
  <c r="F31" i="83"/>
  <c r="F30" i="83"/>
  <c r="I20" i="82"/>
  <c r="I12" i="82"/>
  <c r="M12" i="82" s="1"/>
  <c r="I11" i="82"/>
  <c r="M11" i="82" s="1"/>
  <c r="I10" i="82"/>
  <c r="M10" i="82" s="1"/>
  <c r="M37" i="82"/>
  <c r="M36" i="82"/>
  <c r="M35" i="82"/>
  <c r="J34" i="82"/>
  <c r="J33" i="82"/>
  <c r="I50" i="82" s="1"/>
  <c r="J31" i="82"/>
  <c r="F30" i="82"/>
  <c r="F24" i="82"/>
  <c r="F23" i="82"/>
  <c r="F22" i="82"/>
  <c r="F18" i="82"/>
  <c r="F12" i="82"/>
  <c r="F11" i="82"/>
  <c r="F10" i="82"/>
  <c r="F59" i="82"/>
  <c r="F58" i="82"/>
  <c r="F57" i="82"/>
  <c r="F34" i="82"/>
  <c r="F33" i="82"/>
  <c r="F31" i="82"/>
  <c r="I20" i="81"/>
  <c r="I12" i="81"/>
  <c r="M12" i="81" s="1"/>
  <c r="I11" i="81"/>
  <c r="M11" i="81" s="1"/>
  <c r="I10" i="81"/>
  <c r="M37" i="81"/>
  <c r="M36" i="81"/>
  <c r="M35" i="81"/>
  <c r="J34" i="81"/>
  <c r="J33" i="81"/>
  <c r="J31" i="81"/>
  <c r="F50" i="81" s="1"/>
  <c r="F24" i="81"/>
  <c r="F23" i="81"/>
  <c r="F22" i="81"/>
  <c r="F18" i="81"/>
  <c r="F12" i="81"/>
  <c r="F11" i="81"/>
  <c r="F10" i="81"/>
  <c r="F59" i="81"/>
  <c r="F58" i="81"/>
  <c r="F57" i="81"/>
  <c r="F34" i="81"/>
  <c r="F33" i="81"/>
  <c r="F31" i="81"/>
  <c r="F30" i="81"/>
  <c r="I20" i="80"/>
  <c r="I20" i="79"/>
  <c r="I20" i="78"/>
  <c r="M40" i="84" l="1"/>
  <c r="M40" i="83"/>
  <c r="M40" i="82"/>
  <c r="L52" i="82" s="1"/>
  <c r="M40" i="81"/>
  <c r="L52" i="81" s="1"/>
  <c r="F51" i="83"/>
  <c r="F50" i="84"/>
  <c r="F51" i="84" s="1"/>
  <c r="F50" i="82"/>
  <c r="F51" i="82" s="1"/>
  <c r="F51" i="81"/>
  <c r="H50" i="82"/>
  <c r="H51" i="82" s="1"/>
  <c r="E51" i="82"/>
  <c r="H50" i="83"/>
  <c r="H51" i="83" s="1"/>
  <c r="E51" i="83"/>
  <c r="H50" i="84"/>
  <c r="H51" i="84" s="1"/>
  <c r="E51" i="84"/>
  <c r="I50" i="81"/>
  <c r="H50" i="81"/>
  <c r="H51" i="81" s="1"/>
  <c r="Q7" i="3"/>
  <c r="I21" i="82" s="1"/>
  <c r="L52" i="83"/>
  <c r="N13" i="90"/>
  <c r="N13" i="92"/>
  <c r="N13" i="93"/>
  <c r="N13" i="91"/>
  <c r="N13" i="89"/>
  <c r="L52" i="84"/>
  <c r="M10" i="81"/>
  <c r="I13" i="81"/>
  <c r="F25" i="81"/>
  <c r="F25" i="84"/>
  <c r="M30" i="81"/>
  <c r="F25" i="83"/>
  <c r="F25" i="82"/>
  <c r="M9" i="81"/>
  <c r="M9" i="82"/>
  <c r="AX27" i="1"/>
  <c r="AT28" i="1" s="1"/>
  <c r="AO14" i="1"/>
  <c r="AC7" i="2"/>
  <c r="Z8" i="2" s="1"/>
  <c r="M13" i="93"/>
  <c r="M13" i="92"/>
  <c r="M13" i="91"/>
  <c r="M13" i="90"/>
  <c r="M13" i="89"/>
  <c r="N9" i="88"/>
  <c r="N12" i="88"/>
  <c r="N11" i="88"/>
  <c r="N10" i="88"/>
  <c r="N10" i="87"/>
  <c r="N12" i="87"/>
  <c r="N9" i="87"/>
  <c r="N11" i="87"/>
  <c r="N12" i="86"/>
  <c r="N10" i="86"/>
  <c r="N11" i="86"/>
  <c r="N9" i="86"/>
  <c r="N11" i="85"/>
  <c r="N9" i="85"/>
  <c r="N12" i="85"/>
  <c r="N10" i="85"/>
  <c r="F13" i="84"/>
  <c r="I13" i="84"/>
  <c r="Q31" i="84"/>
  <c r="Q33" i="84"/>
  <c r="Q34" i="84"/>
  <c r="Q34" i="83"/>
  <c r="Q33" i="83"/>
  <c r="Q31" i="83"/>
  <c r="F13" i="83"/>
  <c r="I13" i="83"/>
  <c r="N9" i="83" s="1"/>
  <c r="F13" i="82"/>
  <c r="I13" i="82"/>
  <c r="Q34" i="82"/>
  <c r="Q33" i="82"/>
  <c r="Q31" i="82"/>
  <c r="I12" i="80"/>
  <c r="M12" i="80" s="1"/>
  <c r="I11" i="80"/>
  <c r="M11" i="80" s="1"/>
  <c r="I10" i="80"/>
  <c r="M10" i="80" s="1"/>
  <c r="M9" i="80"/>
  <c r="M37" i="80"/>
  <c r="M36" i="80"/>
  <c r="M35" i="80"/>
  <c r="J34" i="80"/>
  <c r="H50" i="80" s="1"/>
  <c r="J33" i="80"/>
  <c r="J31" i="80"/>
  <c r="F50" i="80" s="1"/>
  <c r="F59" i="80"/>
  <c r="F58" i="80"/>
  <c r="F57" i="80"/>
  <c r="F34" i="80"/>
  <c r="F33" i="80"/>
  <c r="F31" i="80"/>
  <c r="F30" i="80"/>
  <c r="F24" i="80"/>
  <c r="F23" i="80"/>
  <c r="F22" i="80"/>
  <c r="F18" i="80"/>
  <c r="F12" i="80"/>
  <c r="F11" i="80"/>
  <c r="F10" i="80"/>
  <c r="M37" i="79"/>
  <c r="M36" i="79"/>
  <c r="M40" i="79" s="1"/>
  <c r="M40" i="80" l="1"/>
  <c r="H51" i="80"/>
  <c r="I50" i="80"/>
  <c r="AH7" i="3"/>
  <c r="K52" i="79"/>
  <c r="N13" i="85"/>
  <c r="N13" i="86"/>
  <c r="N13" i="88"/>
  <c r="N13" i="87"/>
  <c r="L52" i="80"/>
  <c r="F25" i="80"/>
  <c r="AE34" i="1"/>
  <c r="AX28" i="1"/>
  <c r="AT29" i="1" s="1"/>
  <c r="AS14" i="1"/>
  <c r="AO15" i="1" s="1"/>
  <c r="AC8" i="2"/>
  <c r="Z9" i="2" s="1"/>
  <c r="N12" i="82"/>
  <c r="M13" i="88"/>
  <c r="M13" i="87"/>
  <c r="M13" i="86"/>
  <c r="M13" i="85"/>
  <c r="N11" i="84"/>
  <c r="N12" i="84"/>
  <c r="N10" i="84"/>
  <c r="N9" i="84"/>
  <c r="N12" i="83"/>
  <c r="N10" i="83"/>
  <c r="N11" i="83"/>
  <c r="N10" i="82"/>
  <c r="N9" i="82"/>
  <c r="N11" i="82"/>
  <c r="F13" i="80"/>
  <c r="F13" i="81"/>
  <c r="Q34" i="81"/>
  <c r="Q33" i="81"/>
  <c r="Q31" i="81"/>
  <c r="I13" i="80"/>
  <c r="Q33" i="80"/>
  <c r="Q34" i="80"/>
  <c r="Q31" i="80"/>
  <c r="E35" i="1"/>
  <c r="M35" i="1"/>
  <c r="O35" i="1"/>
  <c r="S35" i="1"/>
  <c r="Y35" i="1"/>
  <c r="AA35" i="1"/>
  <c r="AD35" i="1"/>
  <c r="AE35" i="1"/>
  <c r="AH35" i="1"/>
  <c r="Y3" i="2"/>
  <c r="V4" i="2" s="1"/>
  <c r="Y4" i="2" s="1"/>
  <c r="V5" i="2" s="1"/>
  <c r="N13" i="82" l="1"/>
  <c r="N13" i="83"/>
  <c r="N13" i="84"/>
  <c r="AX29" i="1"/>
  <c r="AT30" i="1" s="1"/>
  <c r="AS15" i="1"/>
  <c r="AO16" i="1" s="1"/>
  <c r="AC9" i="2"/>
  <c r="Z10" i="2" s="1"/>
  <c r="F51" i="80"/>
  <c r="M13" i="83"/>
  <c r="M13" i="82"/>
  <c r="Y5" i="2"/>
  <c r="V6" i="2" s="1"/>
  <c r="N12" i="81"/>
  <c r="N10" i="81"/>
  <c r="N9" i="81"/>
  <c r="N11" i="81"/>
  <c r="N11" i="80"/>
  <c r="N10" i="80"/>
  <c r="N12" i="80"/>
  <c r="N9" i="80"/>
  <c r="J34" i="79"/>
  <c r="J33" i="79"/>
  <c r="J31" i="79"/>
  <c r="F50" i="79" s="1"/>
  <c r="I12" i="79"/>
  <c r="M12" i="79" s="1"/>
  <c r="I11" i="79"/>
  <c r="M11" i="79" s="1"/>
  <c r="I10" i="79"/>
  <c r="M10" i="79" s="1"/>
  <c r="F24" i="79"/>
  <c r="F23" i="79"/>
  <c r="F22" i="79"/>
  <c r="F18" i="79"/>
  <c r="F12" i="79"/>
  <c r="F11" i="79"/>
  <c r="F10" i="79"/>
  <c r="F59" i="79"/>
  <c r="F58" i="79"/>
  <c r="F57" i="79"/>
  <c r="F34" i="79"/>
  <c r="F33" i="79"/>
  <c r="F31" i="79"/>
  <c r="F30" i="79"/>
  <c r="M37" i="78"/>
  <c r="O37" i="78" s="1"/>
  <c r="O37" i="79" s="1"/>
  <c r="O37" i="80" s="1"/>
  <c r="M36" i="78"/>
  <c r="N36" i="78" s="1"/>
  <c r="M35" i="78"/>
  <c r="J34" i="78"/>
  <c r="J33" i="78"/>
  <c r="J31" i="78"/>
  <c r="F50" i="78" s="1"/>
  <c r="I37" i="78"/>
  <c r="I36" i="78"/>
  <c r="I35" i="78"/>
  <c r="I34" i="78"/>
  <c r="I33" i="78"/>
  <c r="I31" i="78"/>
  <c r="J20" i="78"/>
  <c r="I12" i="78"/>
  <c r="I11" i="78"/>
  <c r="I10" i="78"/>
  <c r="F30" i="78"/>
  <c r="H30" i="78" s="1"/>
  <c r="F24" i="78"/>
  <c r="F23" i="78"/>
  <c r="F22" i="78"/>
  <c r="F21" i="78"/>
  <c r="F18" i="78"/>
  <c r="F12" i="78"/>
  <c r="F11" i="78"/>
  <c r="G11" i="78" s="1"/>
  <c r="F10" i="78"/>
  <c r="F59" i="78"/>
  <c r="H59" i="78" s="1"/>
  <c r="F58" i="78"/>
  <c r="F57" i="78"/>
  <c r="H57" i="78" s="1"/>
  <c r="F34" i="78"/>
  <c r="H34" i="78" s="1"/>
  <c r="F33" i="78"/>
  <c r="H33" i="78" s="1"/>
  <c r="F31" i="78"/>
  <c r="H31" i="78" s="1"/>
  <c r="E24" i="78"/>
  <c r="E23" i="78"/>
  <c r="E22" i="78"/>
  <c r="E18" i="78"/>
  <c r="E12" i="78"/>
  <c r="E11" i="78"/>
  <c r="E10" i="78"/>
  <c r="M37" i="77"/>
  <c r="M36" i="77"/>
  <c r="M35" i="77"/>
  <c r="J34" i="77"/>
  <c r="J33" i="77"/>
  <c r="J31" i="77"/>
  <c r="F50" i="77" s="1"/>
  <c r="F51" i="77" s="1"/>
  <c r="I20" i="77"/>
  <c r="I12" i="77"/>
  <c r="M12" i="77" s="1"/>
  <c r="I11" i="77"/>
  <c r="I10" i="77"/>
  <c r="M9" i="77"/>
  <c r="F24" i="77"/>
  <c r="F23" i="77"/>
  <c r="F22" i="77"/>
  <c r="F21" i="77"/>
  <c r="F18" i="77"/>
  <c r="F12" i="77"/>
  <c r="F11" i="77"/>
  <c r="F10" i="77"/>
  <c r="F59" i="77"/>
  <c r="F58" i="77"/>
  <c r="F57" i="77"/>
  <c r="F34" i="77"/>
  <c r="F33" i="77"/>
  <c r="F31" i="77"/>
  <c r="M37" i="76"/>
  <c r="M36" i="76"/>
  <c r="M35" i="76"/>
  <c r="J34" i="76"/>
  <c r="J33" i="76"/>
  <c r="I50" i="76" s="1"/>
  <c r="J31" i="76"/>
  <c r="I20" i="76"/>
  <c r="I12" i="76"/>
  <c r="M12" i="76" s="1"/>
  <c r="I11" i="76"/>
  <c r="M11" i="76" s="1"/>
  <c r="I10" i="76"/>
  <c r="M10" i="76" s="1"/>
  <c r="M9" i="76"/>
  <c r="F24" i="76"/>
  <c r="F23" i="76"/>
  <c r="F22" i="76"/>
  <c r="F21" i="76"/>
  <c r="F18" i="76"/>
  <c r="F12" i="76"/>
  <c r="F11" i="76"/>
  <c r="F10" i="76"/>
  <c r="F59" i="76"/>
  <c r="F58" i="76"/>
  <c r="F57" i="76"/>
  <c r="F34" i="76"/>
  <c r="F33" i="76"/>
  <c r="F31" i="76"/>
  <c r="F30" i="76"/>
  <c r="I20" i="75"/>
  <c r="I12" i="75"/>
  <c r="M12" i="75" s="1"/>
  <c r="I11" i="75"/>
  <c r="M11" i="75" s="1"/>
  <c r="I10" i="75"/>
  <c r="M10" i="75" s="1"/>
  <c r="M37" i="75"/>
  <c r="M36" i="75"/>
  <c r="M35" i="75"/>
  <c r="J34" i="75"/>
  <c r="H50" i="75" s="1"/>
  <c r="H51" i="75" s="1"/>
  <c r="J33" i="75"/>
  <c r="I50" i="75" s="1"/>
  <c r="J31" i="75"/>
  <c r="F50" i="75" s="1"/>
  <c r="F24" i="75"/>
  <c r="F23" i="75"/>
  <c r="F22" i="75"/>
  <c r="F18" i="75"/>
  <c r="F12" i="75"/>
  <c r="F11" i="75"/>
  <c r="F10" i="75"/>
  <c r="F59" i="75"/>
  <c r="F57" i="75"/>
  <c r="F34" i="75"/>
  <c r="F33" i="75"/>
  <c r="F31" i="75"/>
  <c r="F30" i="75"/>
  <c r="AD26" i="55"/>
  <c r="AD25" i="55"/>
  <c r="AD24" i="55"/>
  <c r="AD23" i="55"/>
  <c r="M37" i="74"/>
  <c r="M36" i="74"/>
  <c r="M35" i="74"/>
  <c r="J34" i="74"/>
  <c r="H50" i="74" s="1"/>
  <c r="H51" i="74" s="1"/>
  <c r="J33" i="74"/>
  <c r="I50" i="74" s="1"/>
  <c r="J31" i="74"/>
  <c r="F24" i="74"/>
  <c r="F23" i="74"/>
  <c r="F22" i="74"/>
  <c r="F18" i="74"/>
  <c r="F12" i="74"/>
  <c r="F11" i="74"/>
  <c r="F10" i="74"/>
  <c r="I20" i="74"/>
  <c r="I12" i="74"/>
  <c r="M12" i="74" s="1"/>
  <c r="I11" i="74"/>
  <c r="M11" i="74" s="1"/>
  <c r="I10" i="74"/>
  <c r="M10" i="74" s="1"/>
  <c r="M9" i="74"/>
  <c r="F59" i="74"/>
  <c r="F58" i="74"/>
  <c r="F57" i="74"/>
  <c r="F30" i="74"/>
  <c r="N36" i="75" l="1"/>
  <c r="O36" i="75"/>
  <c r="M40" i="75"/>
  <c r="L52" i="75"/>
  <c r="O37" i="81"/>
  <c r="O37" i="82" s="1"/>
  <c r="O37" i="83" s="1"/>
  <c r="O37" i="84" s="1"/>
  <c r="O37" i="85" s="1"/>
  <c r="O37" i="86" s="1"/>
  <c r="O37" i="87" s="1"/>
  <c r="O37" i="88" s="1"/>
  <c r="O37" i="89" s="1"/>
  <c r="O37" i="90" s="1"/>
  <c r="M40" i="78"/>
  <c r="K52" i="78" s="1"/>
  <c r="I40" i="78"/>
  <c r="M40" i="77"/>
  <c r="L52" i="74"/>
  <c r="L34" i="78"/>
  <c r="F50" i="76"/>
  <c r="F51" i="76" s="1"/>
  <c r="F51" i="75"/>
  <c r="F50" i="74"/>
  <c r="F51" i="74" s="1"/>
  <c r="H50" i="76"/>
  <c r="H51" i="76" s="1"/>
  <c r="E51" i="76"/>
  <c r="N35" i="78"/>
  <c r="AE33" i="55"/>
  <c r="N13" i="80"/>
  <c r="M10" i="78"/>
  <c r="N13" i="81"/>
  <c r="L52" i="76"/>
  <c r="P38" i="75"/>
  <c r="F25" i="77"/>
  <c r="F25" i="76"/>
  <c r="F25" i="75"/>
  <c r="M9" i="75"/>
  <c r="F25" i="74"/>
  <c r="E25" i="78"/>
  <c r="F25" i="78"/>
  <c r="K31" i="78"/>
  <c r="K31" i="79" s="1"/>
  <c r="K31" i="80" s="1"/>
  <c r="K31" i="81" s="1"/>
  <c r="F25" i="79"/>
  <c r="J30" i="78"/>
  <c r="E50" i="78" s="1"/>
  <c r="E51" i="78" s="1"/>
  <c r="G59" i="78"/>
  <c r="G59" i="79" s="1"/>
  <c r="G59" i="80" s="1"/>
  <c r="G59" i="81" s="1"/>
  <c r="G59" i="82" s="1"/>
  <c r="G59" i="83" s="1"/>
  <c r="G59" i="84" s="1"/>
  <c r="G59" i="85" s="1"/>
  <c r="G59" i="86" s="1"/>
  <c r="G59" i="87" s="1"/>
  <c r="G59" i="88" s="1"/>
  <c r="G59" i="89" s="1"/>
  <c r="G59" i="90" s="1"/>
  <c r="G59" i="91" s="1"/>
  <c r="G59" i="92" s="1"/>
  <c r="G59" i="93" s="1"/>
  <c r="G59" i="94" s="1"/>
  <c r="G59" i="95" s="1"/>
  <c r="G59" i="96" s="1"/>
  <c r="H59" i="79"/>
  <c r="H59" i="80" s="1"/>
  <c r="H59" i="81" s="1"/>
  <c r="H59" i="82" s="1"/>
  <c r="H59" i="83" s="1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H59" i="95" s="1"/>
  <c r="H59" i="96" s="1"/>
  <c r="M11" i="77"/>
  <c r="M10" i="77"/>
  <c r="AH29" i="3"/>
  <c r="G21" i="78"/>
  <c r="M9" i="79"/>
  <c r="M9" i="78"/>
  <c r="G58" i="78"/>
  <c r="G58" i="79" s="1"/>
  <c r="G58" i="80" s="1"/>
  <c r="G58" i="81" s="1"/>
  <c r="G58" i="82" s="1"/>
  <c r="G58" i="83" s="1"/>
  <c r="G58" i="84" s="1"/>
  <c r="G58" i="85" s="1"/>
  <c r="G58" i="86" s="1"/>
  <c r="G58" i="87" s="1"/>
  <c r="G58" i="88" s="1"/>
  <c r="G58" i="89" s="1"/>
  <c r="G58" i="90" s="1"/>
  <c r="G58" i="91" s="1"/>
  <c r="G58" i="92" s="1"/>
  <c r="G58" i="93" s="1"/>
  <c r="G58" i="94" s="1"/>
  <c r="AX30" i="1"/>
  <c r="AT31" i="1" s="1"/>
  <c r="J11" i="78"/>
  <c r="J11" i="79" s="1"/>
  <c r="J11" i="80" s="1"/>
  <c r="M11" i="78"/>
  <c r="J12" i="78"/>
  <c r="J12" i="79" s="1"/>
  <c r="J12" i="80" s="1"/>
  <c r="M12" i="78"/>
  <c r="AS16" i="1"/>
  <c r="AO17" i="1" s="1"/>
  <c r="G23" i="78"/>
  <c r="G23" i="79" s="1"/>
  <c r="G23" i="80" s="1"/>
  <c r="G23" i="81" s="1"/>
  <c r="G24" i="78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42" s="1"/>
  <c r="G24" i="67" s="1"/>
  <c r="G10" i="78"/>
  <c r="G10" i="79" s="1"/>
  <c r="G10" i="80" s="1"/>
  <c r="G10" i="81" s="1"/>
  <c r="G10" i="82" s="1"/>
  <c r="G10" i="83" s="1"/>
  <c r="G10" i="84" s="1"/>
  <c r="G10" i="85" s="1"/>
  <c r="G10" i="86" s="1"/>
  <c r="G10" i="87" s="1"/>
  <c r="G10" i="88" s="1"/>
  <c r="G10" i="89" s="1"/>
  <c r="G10" i="90" s="1"/>
  <c r="H18" i="78"/>
  <c r="H57" i="79"/>
  <c r="H57" i="80" s="1"/>
  <c r="H57" i="81" s="1"/>
  <c r="H57" i="82" s="1"/>
  <c r="H57" i="83" s="1"/>
  <c r="H57" i="84" s="1"/>
  <c r="H57" i="85" s="1"/>
  <c r="H57" i="86" s="1"/>
  <c r="H57" i="87" s="1"/>
  <c r="H57" i="88" s="1"/>
  <c r="H57" i="89" s="1"/>
  <c r="H57" i="90" s="1"/>
  <c r="H57" i="91" s="1"/>
  <c r="H57" i="92" s="1"/>
  <c r="H57" i="93" s="1"/>
  <c r="H57" i="94" s="1"/>
  <c r="G11" i="79"/>
  <c r="G11" i="80" s="1"/>
  <c r="G11" i="81" s="1"/>
  <c r="AC10" i="2"/>
  <c r="Z11" i="2" s="1"/>
  <c r="H30" i="79"/>
  <c r="H30" i="80" s="1"/>
  <c r="H30" i="81" s="1"/>
  <c r="H30" i="82" s="1"/>
  <c r="H30" i="83" s="1"/>
  <c r="H30" i="84" s="1"/>
  <c r="H30" i="85" s="1"/>
  <c r="H30" i="86" s="1"/>
  <c r="H30" i="87" s="1"/>
  <c r="H30" i="88" s="1"/>
  <c r="H30" i="89" s="1"/>
  <c r="H30" i="90" s="1"/>
  <c r="H30" i="91" s="1"/>
  <c r="H30" i="92" s="1"/>
  <c r="H30" i="93" s="1"/>
  <c r="H30" i="94" s="1"/>
  <c r="H30" i="95" s="1"/>
  <c r="H30" i="96" s="1"/>
  <c r="Q34" i="76"/>
  <c r="K11" i="78"/>
  <c r="K11" i="79" s="1"/>
  <c r="K11" i="80" s="1"/>
  <c r="K11" i="81" s="1"/>
  <c r="Y6" i="2"/>
  <c r="V7" i="2" s="1"/>
  <c r="G30" i="78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12" i="78"/>
  <c r="G12" i="79" s="1"/>
  <c r="G20" i="78"/>
  <c r="G20" i="79" s="1"/>
  <c r="M13" i="81"/>
  <c r="G22" i="78"/>
  <c r="M13" i="80"/>
  <c r="H34" i="79"/>
  <c r="H34" i="80" s="1"/>
  <c r="H34" i="81" s="1"/>
  <c r="H34" i="82" s="1"/>
  <c r="H11" i="78"/>
  <c r="H11" i="79" s="1"/>
  <c r="H11" i="80" s="1"/>
  <c r="H11" i="81" s="1"/>
  <c r="G18" i="78"/>
  <c r="H50" i="79"/>
  <c r="H50" i="78"/>
  <c r="N37" i="78"/>
  <c r="N37" i="79" s="1"/>
  <c r="N37" i="80" s="1"/>
  <c r="N37" i="81" s="1"/>
  <c r="N37" i="82" s="1"/>
  <c r="N37" i="83" s="1"/>
  <c r="N37" i="84" s="1"/>
  <c r="N37" i="85" s="1"/>
  <c r="N37" i="86" s="1"/>
  <c r="N37" i="87" s="1"/>
  <c r="N37" i="88" s="1"/>
  <c r="N37" i="89" s="1"/>
  <c r="N37" i="90" s="1"/>
  <c r="O35" i="78"/>
  <c r="N36" i="79"/>
  <c r="O36" i="78"/>
  <c r="O36" i="79" s="1"/>
  <c r="G34" i="78"/>
  <c r="G34" i="79" s="1"/>
  <c r="G34" i="80" s="1"/>
  <c r="G34" i="81" s="1"/>
  <c r="G34" i="82" s="1"/>
  <c r="G34" i="83" s="1"/>
  <c r="L33" i="78"/>
  <c r="L33" i="79" s="1"/>
  <c r="L33" i="80" s="1"/>
  <c r="Q33" i="75"/>
  <c r="H33" i="79"/>
  <c r="H33" i="80" s="1"/>
  <c r="G33" i="78"/>
  <c r="G33" i="79" s="1"/>
  <c r="G33" i="80" s="1"/>
  <c r="L31" i="78"/>
  <c r="L31" i="79" s="1"/>
  <c r="L31" i="80" s="1"/>
  <c r="L31" i="81" s="1"/>
  <c r="L31" i="82" s="1"/>
  <c r="L31" i="83" s="1"/>
  <c r="L31" i="84" s="1"/>
  <c r="L31" i="85" s="1"/>
  <c r="L31" i="86" s="1"/>
  <c r="L31" i="87" s="1"/>
  <c r="L31" i="88" s="1"/>
  <c r="L31" i="89" s="1"/>
  <c r="L31" i="90" s="1"/>
  <c r="L31" i="91" s="1"/>
  <c r="L31" i="92" s="1"/>
  <c r="L31" i="93" s="1"/>
  <c r="L31" i="94" s="1"/>
  <c r="L31" i="95" s="1"/>
  <c r="L31" i="96" s="1"/>
  <c r="H31" i="79"/>
  <c r="H31" i="80" s="1"/>
  <c r="H31" i="81" s="1"/>
  <c r="H31" i="82" s="1"/>
  <c r="H31" i="83" s="1"/>
  <c r="H31" i="84" s="1"/>
  <c r="H31" i="85" s="1"/>
  <c r="H31" i="86" s="1"/>
  <c r="H31" i="87" s="1"/>
  <c r="H31" i="88" s="1"/>
  <c r="H31" i="89" s="1"/>
  <c r="H31" i="90" s="1"/>
  <c r="H31" i="91" s="1"/>
  <c r="H31" i="92" s="1"/>
  <c r="H31" i="93" s="1"/>
  <c r="H31" i="94" s="1"/>
  <c r="H31" i="95" s="1"/>
  <c r="H31" i="96" s="1"/>
  <c r="G31" i="78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J20" i="79"/>
  <c r="K20" i="78"/>
  <c r="K20" i="79" s="1"/>
  <c r="L34" i="79"/>
  <c r="K34" i="78"/>
  <c r="K34" i="79" s="1"/>
  <c r="F13" i="76"/>
  <c r="I13" i="76"/>
  <c r="I13" i="75"/>
  <c r="F13" i="78"/>
  <c r="F13" i="79"/>
  <c r="L10" i="78"/>
  <c r="J10" i="78"/>
  <c r="J10" i="79" s="1"/>
  <c r="J10" i="80" s="1"/>
  <c r="I13" i="79"/>
  <c r="N9" i="79" s="1"/>
  <c r="I13" i="78"/>
  <c r="J9" i="78"/>
  <c r="G9" i="78"/>
  <c r="G9" i="79" s="1"/>
  <c r="G50" i="79"/>
  <c r="Q31" i="79"/>
  <c r="Q33" i="79"/>
  <c r="Q34" i="79"/>
  <c r="K33" i="78"/>
  <c r="K33" i="79" s="1"/>
  <c r="K33" i="80" s="1"/>
  <c r="K33" i="81" s="1"/>
  <c r="G57" i="78"/>
  <c r="G57" i="79" s="1"/>
  <c r="G57" i="80" s="1"/>
  <c r="G57" i="81" s="1"/>
  <c r="G57" i="82" s="1"/>
  <c r="G57" i="83" s="1"/>
  <c r="G57" i="84" s="1"/>
  <c r="G57" i="85" s="1"/>
  <c r="G57" i="86" s="1"/>
  <c r="G57" i="87" s="1"/>
  <c r="G57" i="88" s="1"/>
  <c r="G57" i="89" s="1"/>
  <c r="G57" i="90" s="1"/>
  <c r="G57" i="91" s="1"/>
  <c r="G57" i="92" s="1"/>
  <c r="G57" i="93" s="1"/>
  <c r="G57" i="94" s="1"/>
  <c r="L12" i="78"/>
  <c r="M53" i="78"/>
  <c r="Q34" i="78"/>
  <c r="Q33" i="78"/>
  <c r="Q31" i="78"/>
  <c r="L11" i="78"/>
  <c r="G50" i="78"/>
  <c r="E13" i="78"/>
  <c r="Q34" i="77"/>
  <c r="H50" i="77"/>
  <c r="Q33" i="77"/>
  <c r="F13" i="77"/>
  <c r="Q31" i="77"/>
  <c r="I13" i="77"/>
  <c r="Q31" i="76"/>
  <c r="Q33" i="76"/>
  <c r="Q31" i="75"/>
  <c r="F13" i="75"/>
  <c r="Q34" i="75"/>
  <c r="F13" i="74"/>
  <c r="Q34" i="74"/>
  <c r="I13" i="74"/>
  <c r="Q31" i="74"/>
  <c r="Q33" i="74"/>
  <c r="M37" i="73"/>
  <c r="M36" i="73"/>
  <c r="M35" i="73"/>
  <c r="J34" i="73"/>
  <c r="H50" i="73" s="1"/>
  <c r="H51" i="73" s="1"/>
  <c r="J33" i="73"/>
  <c r="I50" i="73" s="1"/>
  <c r="J31" i="73"/>
  <c r="I20" i="73"/>
  <c r="I12" i="73"/>
  <c r="M12" i="73" s="1"/>
  <c r="I11" i="73"/>
  <c r="M11" i="73" s="1"/>
  <c r="I10" i="73"/>
  <c r="M10" i="73" s="1"/>
  <c r="M9" i="73"/>
  <c r="F30" i="73"/>
  <c r="F24" i="73"/>
  <c r="F23" i="73"/>
  <c r="F22" i="73"/>
  <c r="F18" i="73"/>
  <c r="F12" i="73"/>
  <c r="F11" i="73"/>
  <c r="F10" i="73"/>
  <c r="F59" i="73"/>
  <c r="F58" i="73"/>
  <c r="F57" i="73"/>
  <c r="F34" i="73"/>
  <c r="F33" i="73"/>
  <c r="F31" i="73"/>
  <c r="X34" i="2"/>
  <c r="X35" i="2" s="1"/>
  <c r="F58" i="71"/>
  <c r="F57" i="71"/>
  <c r="F58" i="69"/>
  <c r="F57" i="69"/>
  <c r="F58" i="68"/>
  <c r="F57" i="68"/>
  <c r="F58" i="67"/>
  <c r="F57" i="67"/>
  <c r="F58" i="42"/>
  <c r="F57" i="42"/>
  <c r="I20" i="71"/>
  <c r="M37" i="71"/>
  <c r="M36" i="71"/>
  <c r="M35" i="71"/>
  <c r="J34" i="71"/>
  <c r="H50" i="71" s="1"/>
  <c r="H51" i="71" s="1"/>
  <c r="J33" i="71"/>
  <c r="I50" i="71" s="1"/>
  <c r="I12" i="71"/>
  <c r="M12" i="71" s="1"/>
  <c r="I11" i="71"/>
  <c r="M11" i="71" s="1"/>
  <c r="I10" i="71"/>
  <c r="M10" i="71" s="1"/>
  <c r="M9" i="71"/>
  <c r="F24" i="71"/>
  <c r="F23" i="71"/>
  <c r="F22" i="71"/>
  <c r="F21" i="71"/>
  <c r="F18" i="71"/>
  <c r="F12" i="71"/>
  <c r="F11" i="71"/>
  <c r="F10" i="71"/>
  <c r="F34" i="71"/>
  <c r="F33" i="71"/>
  <c r="F31" i="71"/>
  <c r="F30" i="71"/>
  <c r="M37" i="69"/>
  <c r="M36" i="69"/>
  <c r="M35" i="69"/>
  <c r="J34" i="69"/>
  <c r="H50" i="69" s="1"/>
  <c r="H51" i="69" s="1"/>
  <c r="J33" i="69"/>
  <c r="I50" i="69" s="1"/>
  <c r="E50" i="79"/>
  <c r="E51" i="79" s="1"/>
  <c r="J30" i="81"/>
  <c r="E50" i="81" s="1"/>
  <c r="E51" i="81" s="1"/>
  <c r="J30" i="85"/>
  <c r="E50" i="85" s="1"/>
  <c r="E51" i="85" s="1"/>
  <c r="J30" i="86"/>
  <c r="E50" i="86" s="1"/>
  <c r="E51" i="86" s="1"/>
  <c r="J30" i="87"/>
  <c r="E50" i="87" s="1"/>
  <c r="E51" i="87" s="1"/>
  <c r="J30" i="88"/>
  <c r="E50" i="88" s="1"/>
  <c r="E51" i="88" s="1"/>
  <c r="J30" i="89"/>
  <c r="E50" i="89" s="1"/>
  <c r="E51" i="89" s="1"/>
  <c r="J30" i="90"/>
  <c r="E50" i="90" s="1"/>
  <c r="E51" i="90" s="1"/>
  <c r="J30" i="91"/>
  <c r="E50" i="91" s="1"/>
  <c r="E51" i="91" s="1"/>
  <c r="J30" i="92"/>
  <c r="E50" i="92" s="1"/>
  <c r="E51" i="92" s="1"/>
  <c r="J30" i="94"/>
  <c r="E50" i="94" s="1"/>
  <c r="E51" i="94" s="1"/>
  <c r="J30" i="69"/>
  <c r="E50" i="69" s="1"/>
  <c r="J30" i="71"/>
  <c r="E50" i="71" s="1"/>
  <c r="E51" i="71" s="1"/>
  <c r="J30" i="73"/>
  <c r="E50" i="73" s="1"/>
  <c r="J30" i="74"/>
  <c r="E50" i="74" s="1"/>
  <c r="E51" i="74" s="1"/>
  <c r="J30" i="75"/>
  <c r="E50" i="75" s="1"/>
  <c r="E51" i="75" s="1"/>
  <c r="Q30" i="76"/>
  <c r="J30" i="77"/>
  <c r="E50" i="77" s="1"/>
  <c r="E51" i="77" s="1"/>
  <c r="M51" i="77" s="1"/>
  <c r="I20" i="69"/>
  <c r="I12" i="69"/>
  <c r="M12" i="69" s="1"/>
  <c r="I11" i="69"/>
  <c r="M11" i="69" s="1"/>
  <c r="I10" i="69"/>
  <c r="M10" i="69" s="1"/>
  <c r="M9" i="69"/>
  <c r="F34" i="69"/>
  <c r="F33" i="69"/>
  <c r="F31" i="69"/>
  <c r="F30" i="69"/>
  <c r="F24" i="69"/>
  <c r="F23" i="69"/>
  <c r="F22" i="69"/>
  <c r="F18" i="69"/>
  <c r="F12" i="69"/>
  <c r="F11" i="69"/>
  <c r="F10" i="69"/>
  <c r="I20" i="68"/>
  <c r="I12" i="68"/>
  <c r="M12" i="68" s="1"/>
  <c r="I11" i="68"/>
  <c r="M11" i="68" s="1"/>
  <c r="I10" i="68"/>
  <c r="M10" i="68" s="1"/>
  <c r="M9" i="68"/>
  <c r="M37" i="68"/>
  <c r="M36" i="68"/>
  <c r="M35" i="68"/>
  <c r="M40" i="68" s="1"/>
  <c r="J34" i="68"/>
  <c r="J33" i="68"/>
  <c r="I50" i="68" s="1"/>
  <c r="J31" i="68"/>
  <c r="F34" i="68"/>
  <c r="F33" i="68"/>
  <c r="F31" i="68"/>
  <c r="F30" i="68"/>
  <c r="F24" i="68"/>
  <c r="F23" i="68"/>
  <c r="F22" i="68"/>
  <c r="F21" i="68"/>
  <c r="F18" i="68"/>
  <c r="F12" i="68"/>
  <c r="F11" i="68"/>
  <c r="F10" i="68"/>
  <c r="I20" i="67"/>
  <c r="I20" i="42"/>
  <c r="F36" i="67"/>
  <c r="F35" i="67"/>
  <c r="F40" i="67" s="1"/>
  <c r="J36" i="67"/>
  <c r="J35" i="67"/>
  <c r="J40" i="67" s="1"/>
  <c r="M37" i="67"/>
  <c r="M36" i="67"/>
  <c r="M35" i="67"/>
  <c r="J34" i="67"/>
  <c r="J33" i="67"/>
  <c r="I50" i="67" s="1"/>
  <c r="J31" i="67"/>
  <c r="F50" i="67" s="1"/>
  <c r="F51" i="67" s="1"/>
  <c r="I12" i="67"/>
  <c r="M12" i="67" s="1"/>
  <c r="I11" i="67"/>
  <c r="M11" i="67" s="1"/>
  <c r="I10" i="67"/>
  <c r="M10" i="67" s="1"/>
  <c r="M9" i="67"/>
  <c r="F34" i="67"/>
  <c r="F33" i="67"/>
  <c r="F31" i="67"/>
  <c r="F30" i="67"/>
  <c r="F23" i="67"/>
  <c r="F22" i="67"/>
  <c r="F21" i="67"/>
  <c r="F18" i="67"/>
  <c r="F12" i="67"/>
  <c r="F11" i="67"/>
  <c r="F10" i="67"/>
  <c r="L24" i="67"/>
  <c r="F59" i="42"/>
  <c r="M37" i="42"/>
  <c r="M36" i="42"/>
  <c r="M35" i="42"/>
  <c r="J37" i="42"/>
  <c r="J36" i="42"/>
  <c r="J35" i="42"/>
  <c r="J34" i="42"/>
  <c r="J33" i="42"/>
  <c r="I50" i="42" s="1"/>
  <c r="J31" i="42"/>
  <c r="F36" i="42"/>
  <c r="F35" i="42"/>
  <c r="F34" i="42"/>
  <c r="F33" i="42"/>
  <c r="F31" i="42"/>
  <c r="F30" i="42"/>
  <c r="Q30" i="42" s="1"/>
  <c r="F21" i="42"/>
  <c r="F23" i="42"/>
  <c r="L24" i="42"/>
  <c r="F22" i="42"/>
  <c r="F18" i="42"/>
  <c r="I15" i="78"/>
  <c r="I15" i="81"/>
  <c r="I15" i="82"/>
  <c r="I15" i="83"/>
  <c r="I15" i="84"/>
  <c r="I16" i="84" s="1"/>
  <c r="I15" i="85"/>
  <c r="I16" i="85" s="1"/>
  <c r="I15" i="86"/>
  <c r="I15" i="87"/>
  <c r="I15" i="88"/>
  <c r="I15" i="89"/>
  <c r="I16" i="89" s="1"/>
  <c r="I15" i="90"/>
  <c r="I16" i="90" s="1"/>
  <c r="I15" i="91"/>
  <c r="I16" i="91" s="1"/>
  <c r="I15" i="92"/>
  <c r="I16" i="92" s="1"/>
  <c r="I15" i="93"/>
  <c r="I15" i="67"/>
  <c r="I15" i="68"/>
  <c r="I15" i="69"/>
  <c r="I15" i="71"/>
  <c r="I15" i="73"/>
  <c r="I15" i="74"/>
  <c r="I15" i="75"/>
  <c r="I15" i="76"/>
  <c r="I15" i="77"/>
  <c r="F15" i="77"/>
  <c r="F15" i="79"/>
  <c r="F15" i="81"/>
  <c r="F15" i="82"/>
  <c r="F15" i="83"/>
  <c r="F15" i="84"/>
  <c r="F15" i="85"/>
  <c r="F15" i="86"/>
  <c r="F15" i="87"/>
  <c r="F15" i="89"/>
  <c r="F15" i="90"/>
  <c r="F15" i="91"/>
  <c r="F15" i="92"/>
  <c r="F15" i="93"/>
  <c r="F15" i="94"/>
  <c r="F15" i="95"/>
  <c r="F15" i="96"/>
  <c r="F15" i="67"/>
  <c r="F15" i="68"/>
  <c r="F15" i="69"/>
  <c r="F15" i="70"/>
  <c r="F15" i="71"/>
  <c r="F15" i="72"/>
  <c r="F15" i="73"/>
  <c r="F15" i="74"/>
  <c r="F15" i="75"/>
  <c r="F15" i="76"/>
  <c r="F14" i="79"/>
  <c r="F14" i="81"/>
  <c r="F14" i="82"/>
  <c r="F14" i="83"/>
  <c r="F14" i="84"/>
  <c r="F14" i="85"/>
  <c r="F14" i="86"/>
  <c r="F14" i="87"/>
  <c r="F14" i="88"/>
  <c r="F14" i="89"/>
  <c r="F14" i="90"/>
  <c r="F14" i="91"/>
  <c r="F14" i="92"/>
  <c r="F14" i="93"/>
  <c r="F14" i="95"/>
  <c r="F14" i="96"/>
  <c r="F14" i="67"/>
  <c r="F14" i="68"/>
  <c r="F14" i="71"/>
  <c r="F14" i="73"/>
  <c r="F14" i="74"/>
  <c r="F14" i="75"/>
  <c r="F14" i="76"/>
  <c r="F14" i="77"/>
  <c r="I14" i="81"/>
  <c r="I14" i="82"/>
  <c r="I14" i="67"/>
  <c r="I14" i="68"/>
  <c r="I14" i="69"/>
  <c r="I14" i="71"/>
  <c r="I14" i="73"/>
  <c r="I14" i="74"/>
  <c r="I14" i="75"/>
  <c r="I14" i="76"/>
  <c r="I14" i="77"/>
  <c r="I14" i="78"/>
  <c r="K14" i="78" s="1"/>
  <c r="I12" i="42"/>
  <c r="M12" i="42" s="1"/>
  <c r="I11" i="42"/>
  <c r="M11" i="42" s="1"/>
  <c r="I10" i="42"/>
  <c r="M10" i="42" s="1"/>
  <c r="F12" i="42"/>
  <c r="F11" i="42"/>
  <c r="F10" i="42"/>
  <c r="N36" i="68" l="1"/>
  <c r="O36" i="68"/>
  <c r="J40" i="42"/>
  <c r="F40" i="42"/>
  <c r="M40" i="67"/>
  <c r="M40" i="42"/>
  <c r="N37" i="91"/>
  <c r="N37" i="92" s="1"/>
  <c r="N37" i="93" s="1"/>
  <c r="N37" i="94" s="1"/>
  <c r="N37" i="95" s="1"/>
  <c r="N37" i="96" s="1"/>
  <c r="N37" i="42" s="1"/>
  <c r="N37" i="67" s="1"/>
  <c r="N37" i="68" s="1"/>
  <c r="N37" i="69" s="1"/>
  <c r="O37" i="91"/>
  <c r="O37" i="92" s="1"/>
  <c r="O37" i="93" s="1"/>
  <c r="O37" i="94" s="1"/>
  <c r="O36" i="80"/>
  <c r="N36" i="80"/>
  <c r="N36" i="81" s="1"/>
  <c r="N35" i="79"/>
  <c r="N40" i="79" s="1"/>
  <c r="N40" i="78"/>
  <c r="O40" i="78"/>
  <c r="M40" i="73"/>
  <c r="L52" i="73" s="1"/>
  <c r="L52" i="71"/>
  <c r="F50" i="68"/>
  <c r="F51" i="68" s="1"/>
  <c r="F50" i="42"/>
  <c r="F51" i="42" s="1"/>
  <c r="F50" i="73"/>
  <c r="F51" i="73" s="1"/>
  <c r="E51" i="73"/>
  <c r="N51" i="73" s="1"/>
  <c r="F51" i="71"/>
  <c r="H33" i="81"/>
  <c r="H33" i="82" s="1"/>
  <c r="H33" i="83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H33" i="42" s="1"/>
  <c r="L33" i="81"/>
  <c r="L33" i="82" s="1"/>
  <c r="L33" i="83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L33" i="42" s="1"/>
  <c r="L33" i="67" s="1"/>
  <c r="L33" i="68" s="1"/>
  <c r="H50" i="67"/>
  <c r="H51" i="67" s="1"/>
  <c r="E51" i="67"/>
  <c r="H50" i="68"/>
  <c r="H51" i="68" s="1"/>
  <c r="E51" i="68"/>
  <c r="H50" i="42"/>
  <c r="H51" i="42" s="1"/>
  <c r="E51" i="42"/>
  <c r="E51" i="69"/>
  <c r="G33" i="81"/>
  <c r="G33" i="82" s="1"/>
  <c r="G33" i="83" s="1"/>
  <c r="G33" i="84" s="1"/>
  <c r="G33" i="85" s="1"/>
  <c r="G33" i="86" s="1"/>
  <c r="G33" i="87" s="1"/>
  <c r="G33" i="88" s="1"/>
  <c r="G33" i="89" s="1"/>
  <c r="G33" i="90" s="1"/>
  <c r="G33" i="91" s="1"/>
  <c r="G33" i="92" s="1"/>
  <c r="G33" i="93" s="1"/>
  <c r="G33" i="94" s="1"/>
  <c r="G33" i="95" s="1"/>
  <c r="G33" i="96" s="1"/>
  <c r="G33" i="42" s="1"/>
  <c r="K33" i="82"/>
  <c r="K33" i="83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42" s="1"/>
  <c r="K33" i="67" s="1"/>
  <c r="K33" i="68" s="1"/>
  <c r="H34" i="83"/>
  <c r="H34" i="84" s="1"/>
  <c r="H34" i="85" s="1"/>
  <c r="H34" i="86" s="1"/>
  <c r="H34" i="87" s="1"/>
  <c r="H34" i="88" s="1"/>
  <c r="H34" i="89" s="1"/>
  <c r="H34" i="90" s="1"/>
  <c r="H34" i="91" s="1"/>
  <c r="H34" i="92" s="1"/>
  <c r="H34" i="93" s="1"/>
  <c r="H34" i="94" s="1"/>
  <c r="H34" i="95" s="1"/>
  <c r="H34" i="96" s="1"/>
  <c r="H34" i="42" s="1"/>
  <c r="G34" i="84"/>
  <c r="G34" i="85" s="1"/>
  <c r="G34" i="86" s="1"/>
  <c r="G34" i="87" s="1"/>
  <c r="G34" i="88" s="1"/>
  <c r="G34" i="89" s="1"/>
  <c r="G34" i="90" s="1"/>
  <c r="G34" i="91" s="1"/>
  <c r="G34" i="92" s="1"/>
  <c r="G34" i="93" s="1"/>
  <c r="G34" i="94" s="1"/>
  <c r="G34" i="95" s="1"/>
  <c r="G34" i="96" s="1"/>
  <c r="G34" i="42" s="1"/>
  <c r="J12" i="81"/>
  <c r="J12" i="82" s="1"/>
  <c r="J12" i="83" s="1"/>
  <c r="J12" i="84" s="1"/>
  <c r="J10" i="81"/>
  <c r="J10" i="82" s="1"/>
  <c r="J10" i="83" s="1"/>
  <c r="J11" i="81"/>
  <c r="J11" i="82" s="1"/>
  <c r="K31" i="82"/>
  <c r="K31" i="83" s="1"/>
  <c r="K31" i="84" s="1"/>
  <c r="K31" i="85" s="1"/>
  <c r="K31" i="86" s="1"/>
  <c r="K31" i="87" s="1"/>
  <c r="K31" i="88" s="1"/>
  <c r="K31" i="89" s="1"/>
  <c r="K31" i="90" s="1"/>
  <c r="K31" i="91" s="1"/>
  <c r="K31" i="92" s="1"/>
  <c r="K31" i="93" s="1"/>
  <c r="K31" i="94" s="1"/>
  <c r="K31" i="95" s="1"/>
  <c r="K31" i="96" s="1"/>
  <c r="K31" i="42" s="1"/>
  <c r="G59" i="42"/>
  <c r="G59" i="67" s="1"/>
  <c r="G59" i="68" s="1"/>
  <c r="G59" i="69" s="1"/>
  <c r="G59" i="70" s="1"/>
  <c r="G59" i="71" s="1"/>
  <c r="G59" i="72" s="1"/>
  <c r="G59" i="73" s="1"/>
  <c r="G59" i="74" s="1"/>
  <c r="G59" i="75" s="1"/>
  <c r="G59" i="76" s="1"/>
  <c r="G59" i="77" s="1"/>
  <c r="H59" i="42"/>
  <c r="H59" i="67" s="1"/>
  <c r="H59" i="68" s="1"/>
  <c r="H59" i="69" s="1"/>
  <c r="H59" i="70" s="1"/>
  <c r="H59" i="71" s="1"/>
  <c r="H59" i="72" s="1"/>
  <c r="H59" i="73" s="1"/>
  <c r="H59" i="74" s="1"/>
  <c r="H59" i="75" s="1"/>
  <c r="H59" i="76" s="1"/>
  <c r="H59" i="77" s="1"/>
  <c r="L52" i="68"/>
  <c r="L52" i="67"/>
  <c r="L52" i="42"/>
  <c r="L52" i="69"/>
  <c r="O35" i="79"/>
  <c r="O40" i="79" s="1"/>
  <c r="L30" i="78"/>
  <c r="L30" i="79" s="1"/>
  <c r="F25" i="71"/>
  <c r="F25" i="73"/>
  <c r="F25" i="42"/>
  <c r="F25" i="68"/>
  <c r="F25" i="69"/>
  <c r="F25" i="67"/>
  <c r="G25" i="78"/>
  <c r="J9" i="79"/>
  <c r="J9" i="80" s="1"/>
  <c r="I16" i="93"/>
  <c r="G23" i="82"/>
  <c r="G23" i="83" s="1"/>
  <c r="G23" i="84" s="1"/>
  <c r="G23" i="85" s="1"/>
  <c r="G22" i="79"/>
  <c r="G22" i="80" s="1"/>
  <c r="G58" i="95"/>
  <c r="G58" i="96" s="1"/>
  <c r="G58" i="42" s="1"/>
  <c r="G58" i="67" s="1"/>
  <c r="G58" i="68" s="1"/>
  <c r="G58" i="69" s="1"/>
  <c r="G58" i="70" s="1"/>
  <c r="G58" i="71" s="1"/>
  <c r="EF34" i="1"/>
  <c r="EF35" i="1" s="1"/>
  <c r="F16" i="70"/>
  <c r="F16" i="72"/>
  <c r="F51" i="78"/>
  <c r="H18" i="79"/>
  <c r="AX31" i="1"/>
  <c r="AT32" i="1" s="1"/>
  <c r="F16" i="89"/>
  <c r="AS17" i="1"/>
  <c r="AO18" i="1" s="1"/>
  <c r="G57" i="95"/>
  <c r="G57" i="96" s="1"/>
  <c r="G57" i="42" s="1"/>
  <c r="F16" i="96"/>
  <c r="H57" i="95"/>
  <c r="H57" i="96" s="1"/>
  <c r="H57" i="42" s="1"/>
  <c r="G18" i="79"/>
  <c r="AC11" i="2"/>
  <c r="Z12" i="2" s="1"/>
  <c r="G51" i="79"/>
  <c r="G51" i="78"/>
  <c r="G51" i="77"/>
  <c r="Q33" i="73"/>
  <c r="Q30" i="71"/>
  <c r="F14" i="69"/>
  <c r="F16" i="95"/>
  <c r="L31" i="42"/>
  <c r="G30" i="42"/>
  <c r="H30" i="42"/>
  <c r="G31" i="42"/>
  <c r="H31" i="42"/>
  <c r="F14" i="94"/>
  <c r="Q30" i="94"/>
  <c r="F16" i="90"/>
  <c r="I16" i="74"/>
  <c r="F16" i="77"/>
  <c r="F16" i="74"/>
  <c r="F16" i="93"/>
  <c r="F16" i="85"/>
  <c r="F16" i="76"/>
  <c r="F16" i="91"/>
  <c r="F16" i="92"/>
  <c r="F16" i="84"/>
  <c r="I16" i="77"/>
  <c r="I16" i="76"/>
  <c r="Q30" i="91"/>
  <c r="Q30" i="92"/>
  <c r="G10" i="91"/>
  <c r="G10" i="92" s="1"/>
  <c r="G10" i="93" s="1"/>
  <c r="G10" i="94" s="1"/>
  <c r="G10" i="95" s="1"/>
  <c r="Y7" i="2"/>
  <c r="V8" i="2" s="1"/>
  <c r="Q30" i="93"/>
  <c r="Q30" i="77"/>
  <c r="Q30" i="90"/>
  <c r="Q30" i="89"/>
  <c r="Q30" i="88"/>
  <c r="F16" i="88"/>
  <c r="I16" i="88"/>
  <c r="Q30" i="87"/>
  <c r="I16" i="87"/>
  <c r="F16" i="87"/>
  <c r="F16" i="86"/>
  <c r="I16" i="86"/>
  <c r="Q30" i="86"/>
  <c r="Q30" i="85"/>
  <c r="Q30" i="84"/>
  <c r="Q30" i="83"/>
  <c r="I16" i="83"/>
  <c r="F16" i="83"/>
  <c r="F16" i="82"/>
  <c r="Q30" i="82"/>
  <c r="I16" i="82"/>
  <c r="G20" i="80"/>
  <c r="G20" i="81" s="1"/>
  <c r="I16" i="75"/>
  <c r="F16" i="75"/>
  <c r="I16" i="78"/>
  <c r="K34" i="80"/>
  <c r="K34" i="81" s="1"/>
  <c r="K34" i="82" s="1"/>
  <c r="K34" i="83" s="1"/>
  <c r="K34" i="84" s="1"/>
  <c r="K34" i="85" s="1"/>
  <c r="K34" i="86" s="1"/>
  <c r="K34" i="87" s="1"/>
  <c r="K34" i="88" s="1"/>
  <c r="K34" i="89" s="1"/>
  <c r="K34" i="90" s="1"/>
  <c r="K34" i="91" s="1"/>
  <c r="K34" i="92" s="1"/>
  <c r="K34" i="93" s="1"/>
  <c r="F15" i="80"/>
  <c r="G12" i="80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42" s="1"/>
  <c r="G12" i="67" s="1"/>
  <c r="G12" i="68" s="1"/>
  <c r="G11" i="82"/>
  <c r="J20" i="80"/>
  <c r="F16" i="81"/>
  <c r="F16" i="79"/>
  <c r="J30" i="80"/>
  <c r="E50" i="80" s="1"/>
  <c r="E51" i="80" s="1"/>
  <c r="G9" i="80"/>
  <c r="G9" i="81" s="1"/>
  <c r="G9" i="82" s="1"/>
  <c r="G9" i="83" s="1"/>
  <c r="G9" i="84" s="1"/>
  <c r="I15" i="80"/>
  <c r="I14" i="80"/>
  <c r="L34" i="80"/>
  <c r="L34" i="81" s="1"/>
  <c r="L34" i="82" s="1"/>
  <c r="L34" i="83" s="1"/>
  <c r="L34" i="84" s="1"/>
  <c r="L34" i="85" s="1"/>
  <c r="L34" i="86" s="1"/>
  <c r="L34" i="87" s="1"/>
  <c r="L34" i="88" s="1"/>
  <c r="L34" i="89" s="1"/>
  <c r="L34" i="90" s="1"/>
  <c r="L34" i="91" s="1"/>
  <c r="L34" i="92" s="1"/>
  <c r="L34" i="93" s="1"/>
  <c r="L34" i="94" s="1"/>
  <c r="L34" i="95" s="1"/>
  <c r="L34" i="96" s="1"/>
  <c r="L34" i="42" s="1"/>
  <c r="K20" i="80"/>
  <c r="H11" i="82"/>
  <c r="F15" i="78"/>
  <c r="H15" i="78" s="1"/>
  <c r="H15" i="79" s="1"/>
  <c r="F14" i="78"/>
  <c r="H14" i="78" s="1"/>
  <c r="H14" i="79" s="1"/>
  <c r="I15" i="79"/>
  <c r="I14" i="79"/>
  <c r="K15" i="78"/>
  <c r="J15" i="78"/>
  <c r="J14" i="78"/>
  <c r="Q30" i="75"/>
  <c r="Q30" i="79"/>
  <c r="Q30" i="74"/>
  <c r="K30" i="78"/>
  <c r="K30" i="79" s="1"/>
  <c r="Q30" i="78"/>
  <c r="G13" i="79"/>
  <c r="F51" i="79"/>
  <c r="N10" i="79"/>
  <c r="N12" i="79"/>
  <c r="N11" i="79"/>
  <c r="G13" i="78"/>
  <c r="L13" i="78"/>
  <c r="N11" i="78"/>
  <c r="N9" i="78"/>
  <c r="N12" i="78"/>
  <c r="N10" i="78"/>
  <c r="J13" i="78"/>
  <c r="N10" i="77"/>
  <c r="N9" i="77"/>
  <c r="N12" i="77"/>
  <c r="N11" i="77"/>
  <c r="N11" i="76"/>
  <c r="N9" i="76"/>
  <c r="N10" i="76"/>
  <c r="N12" i="76"/>
  <c r="N10" i="75"/>
  <c r="N11" i="75"/>
  <c r="N9" i="75"/>
  <c r="N12" i="75"/>
  <c r="F13" i="73"/>
  <c r="N11" i="74"/>
  <c r="N12" i="74"/>
  <c r="N9" i="74"/>
  <c r="N10" i="74"/>
  <c r="F16" i="71"/>
  <c r="I16" i="73"/>
  <c r="F16" i="73"/>
  <c r="Q31" i="73"/>
  <c r="I13" i="73"/>
  <c r="Q30" i="73"/>
  <c r="Q34" i="73"/>
  <c r="F13" i="71"/>
  <c r="G24" i="68"/>
  <c r="G24" i="69" s="1"/>
  <c r="I13" i="71"/>
  <c r="F13" i="69"/>
  <c r="I16" i="69"/>
  <c r="Q31" i="69"/>
  <c r="I16" i="71"/>
  <c r="Q34" i="69"/>
  <c r="Q30" i="68"/>
  <c r="Q36" i="42"/>
  <c r="Q34" i="71"/>
  <c r="Q31" i="71"/>
  <c r="Q33" i="71"/>
  <c r="I13" i="69"/>
  <c r="Q30" i="69"/>
  <c r="Q33" i="69"/>
  <c r="F13" i="67"/>
  <c r="I13" i="68"/>
  <c r="Q33" i="68"/>
  <c r="Q34" i="68"/>
  <c r="Q31" i="68"/>
  <c r="F16" i="68"/>
  <c r="F13" i="68"/>
  <c r="I16" i="68"/>
  <c r="Q33" i="67"/>
  <c r="I16" i="67"/>
  <c r="F16" i="67"/>
  <c r="Q35" i="67"/>
  <c r="Q37" i="67"/>
  <c r="Q31" i="67"/>
  <c r="Q34" i="67"/>
  <c r="Q36" i="67"/>
  <c r="I13" i="67"/>
  <c r="Q35" i="42"/>
  <c r="Q37" i="42"/>
  <c r="Q34" i="42"/>
  <c r="Q33" i="42"/>
  <c r="Q31" i="42"/>
  <c r="I13" i="42"/>
  <c r="F13" i="42"/>
  <c r="N37" i="70" l="1"/>
  <c r="N40" i="69"/>
  <c r="O37" i="95"/>
  <c r="O37" i="96" s="1"/>
  <c r="O37" i="42" s="1"/>
  <c r="O37" i="67" s="1"/>
  <c r="O37" i="68" s="1"/>
  <c r="O37" i="69" s="1"/>
  <c r="N35" i="80"/>
  <c r="H16" i="79"/>
  <c r="I16" i="79"/>
  <c r="N40" i="80"/>
  <c r="O36" i="81"/>
  <c r="J52" i="42"/>
  <c r="M52" i="42"/>
  <c r="K52" i="42"/>
  <c r="J52" i="67"/>
  <c r="M52" i="67"/>
  <c r="K52" i="67"/>
  <c r="K34" i="94"/>
  <c r="K34" i="95" s="1"/>
  <c r="K34" i="96" s="1"/>
  <c r="K34" i="42" s="1"/>
  <c r="J9" i="81"/>
  <c r="J9" i="82" s="1"/>
  <c r="J9" i="83" s="1"/>
  <c r="J9" i="84" s="1"/>
  <c r="J12" i="85"/>
  <c r="J12" i="86" s="1"/>
  <c r="N13" i="78"/>
  <c r="N13" i="79"/>
  <c r="N13" i="76"/>
  <c r="N13" i="74"/>
  <c r="N35" i="81"/>
  <c r="N40" i="81" s="1"/>
  <c r="O35" i="80"/>
  <c r="O40" i="80" s="1"/>
  <c r="G22" i="81"/>
  <c r="G22" i="82" s="1"/>
  <c r="G22" i="83" s="1"/>
  <c r="G22" i="84" s="1"/>
  <c r="G25" i="79"/>
  <c r="AH24" i="3"/>
  <c r="G21" i="95"/>
  <c r="G20" i="82"/>
  <c r="G20" i="83" s="1"/>
  <c r="G20" i="84" s="1"/>
  <c r="G20" i="85" s="1"/>
  <c r="J20" i="81"/>
  <c r="J20" i="82" s="1"/>
  <c r="J20" i="83" s="1"/>
  <c r="J20" i="84" s="1"/>
  <c r="J20" i="85" s="1"/>
  <c r="K20" i="81"/>
  <c r="K20" i="82" s="1"/>
  <c r="K20" i="83" s="1"/>
  <c r="K20" i="84" s="1"/>
  <c r="K20" i="85" s="1"/>
  <c r="AH25" i="3"/>
  <c r="G18" i="80"/>
  <c r="G25" i="80" s="1"/>
  <c r="G24" i="70"/>
  <c r="G24" i="71" s="1"/>
  <c r="G24" i="72" s="1"/>
  <c r="G24" i="73" s="1"/>
  <c r="G24" i="74" s="1"/>
  <c r="G24" i="75" s="1"/>
  <c r="G24" i="76" s="1"/>
  <c r="G24" i="77" s="1"/>
  <c r="N12" i="68"/>
  <c r="G10" i="96"/>
  <c r="G10" i="42" s="1"/>
  <c r="G10" i="67" s="1"/>
  <c r="G10" i="68" s="1"/>
  <c r="N9" i="69"/>
  <c r="H18" i="80"/>
  <c r="J13" i="79"/>
  <c r="F16" i="69"/>
  <c r="AX32" i="1"/>
  <c r="AT33" i="1" s="1"/>
  <c r="AS18" i="1"/>
  <c r="AO19" i="1" s="1"/>
  <c r="J10" i="84"/>
  <c r="H11" i="83"/>
  <c r="H11" i="84" s="1"/>
  <c r="H11" i="85" s="1"/>
  <c r="H11" i="86" s="1"/>
  <c r="H11" i="87" s="1"/>
  <c r="H11" i="88" s="1"/>
  <c r="G11" i="83"/>
  <c r="G11" i="84" s="1"/>
  <c r="G11" i="85" s="1"/>
  <c r="G11" i="86" s="1"/>
  <c r="G11" i="87" s="1"/>
  <c r="G11" i="88" s="1"/>
  <c r="G11" i="89" s="1"/>
  <c r="AC12" i="2"/>
  <c r="Z13" i="2" s="1"/>
  <c r="K15" i="79"/>
  <c r="K15" i="80" s="1"/>
  <c r="K15" i="81" s="1"/>
  <c r="K15" i="82" s="1"/>
  <c r="K15" i="83" s="1"/>
  <c r="K15" i="84" s="1"/>
  <c r="N36" i="82"/>
  <c r="G23" i="86"/>
  <c r="M13" i="77"/>
  <c r="N12" i="42"/>
  <c r="N10" i="42"/>
  <c r="N9" i="42"/>
  <c r="N11" i="42"/>
  <c r="M13" i="76"/>
  <c r="M13" i="75"/>
  <c r="M13" i="74"/>
  <c r="N10" i="73"/>
  <c r="N11" i="69"/>
  <c r="N12" i="67"/>
  <c r="N11" i="67"/>
  <c r="N10" i="67"/>
  <c r="N9" i="67"/>
  <c r="Q40" i="42"/>
  <c r="F16" i="94"/>
  <c r="G15" i="78"/>
  <c r="G15" i="79" s="1"/>
  <c r="F16" i="78"/>
  <c r="Y8" i="2"/>
  <c r="V9" i="2" s="1"/>
  <c r="J13" i="80"/>
  <c r="G14" i="78"/>
  <c r="G14" i="79" s="1"/>
  <c r="Q30" i="80"/>
  <c r="Q30" i="81"/>
  <c r="G13" i="80"/>
  <c r="L30" i="80"/>
  <c r="K30" i="80"/>
  <c r="K30" i="81" s="1"/>
  <c r="I16" i="81"/>
  <c r="I16" i="80"/>
  <c r="J15" i="79"/>
  <c r="J14" i="79"/>
  <c r="J16" i="78"/>
  <c r="K14" i="79"/>
  <c r="K16" i="78"/>
  <c r="Q30" i="67"/>
  <c r="M13" i="79"/>
  <c r="M13" i="78"/>
  <c r="N9" i="71"/>
  <c r="N9" i="73"/>
  <c r="N11" i="73"/>
  <c r="N12" i="73"/>
  <c r="N12" i="69"/>
  <c r="N10" i="69"/>
  <c r="N11" i="71"/>
  <c r="N12" i="71"/>
  <c r="N10" i="71"/>
  <c r="N11" i="68"/>
  <c r="N9" i="68"/>
  <c r="N10" i="68"/>
  <c r="Q40" i="67"/>
  <c r="O37" i="70" l="1"/>
  <c r="O37" i="71" s="1"/>
  <c r="O40" i="69"/>
  <c r="N37" i="71"/>
  <c r="N37" i="72" s="1"/>
  <c r="N40" i="70"/>
  <c r="J16" i="79"/>
  <c r="K14" i="80"/>
  <c r="K16" i="80" s="1"/>
  <c r="K16" i="79"/>
  <c r="O36" i="82"/>
  <c r="J10" i="85"/>
  <c r="J10" i="86" s="1"/>
  <c r="J12" i="87"/>
  <c r="J12" i="88" s="1"/>
  <c r="J12" i="89" s="1"/>
  <c r="J12" i="90" s="1"/>
  <c r="J12" i="91" s="1"/>
  <c r="N13" i="42"/>
  <c r="N13" i="73"/>
  <c r="N13" i="71"/>
  <c r="N13" i="67"/>
  <c r="N35" i="82"/>
  <c r="N35" i="83" s="1"/>
  <c r="O35" i="81"/>
  <c r="O40" i="81" s="1"/>
  <c r="L30" i="81"/>
  <c r="L30" i="82" s="1"/>
  <c r="L30" i="83" s="1"/>
  <c r="L30" i="84" s="1"/>
  <c r="L30" i="85" s="1"/>
  <c r="L30" i="86" s="1"/>
  <c r="L30" i="87" s="1"/>
  <c r="L30" i="88" s="1"/>
  <c r="L30" i="89" s="1"/>
  <c r="L30" i="90" s="1"/>
  <c r="L30" i="91" s="1"/>
  <c r="L30" i="92" s="1"/>
  <c r="L30" i="93" s="1"/>
  <c r="L30" i="94" s="1"/>
  <c r="L30" i="95" s="1"/>
  <c r="L30" i="96" s="1"/>
  <c r="L30" i="42" s="1"/>
  <c r="L30" i="67" s="1"/>
  <c r="H18" i="81"/>
  <c r="G18" i="81"/>
  <c r="G25" i="81" s="1"/>
  <c r="G21" i="96"/>
  <c r="J20" i="86"/>
  <c r="J20" i="87" s="1"/>
  <c r="J20" i="88" s="1"/>
  <c r="J20" i="89" s="1"/>
  <c r="G20" i="86"/>
  <c r="G20" i="87" s="1"/>
  <c r="G20" i="88" s="1"/>
  <c r="G20" i="89" s="1"/>
  <c r="G20" i="90" s="1"/>
  <c r="G20" i="91" s="1"/>
  <c r="G20" i="92" s="1"/>
  <c r="G20" i="93" s="1"/>
  <c r="K20" i="86"/>
  <c r="K20" i="87" s="1"/>
  <c r="K20" i="88" s="1"/>
  <c r="K20" i="89" s="1"/>
  <c r="K30" i="82"/>
  <c r="K30" i="83" s="1"/>
  <c r="K30" i="84" s="1"/>
  <c r="K30" i="85" s="1"/>
  <c r="K30" i="86" s="1"/>
  <c r="K30" i="87" s="1"/>
  <c r="K30" i="88" s="1"/>
  <c r="K30" i="89" s="1"/>
  <c r="K30" i="90" s="1"/>
  <c r="K30" i="91" s="1"/>
  <c r="K30" i="92" s="1"/>
  <c r="K30" i="93" s="1"/>
  <c r="K30" i="94" s="1"/>
  <c r="K30" i="95" s="1"/>
  <c r="K30" i="96" s="1"/>
  <c r="K30" i="42" s="1"/>
  <c r="K30" i="67" s="1"/>
  <c r="AX33" i="1"/>
  <c r="AT34" i="1"/>
  <c r="AT35" i="1" s="1"/>
  <c r="G13" i="81"/>
  <c r="H16" i="78"/>
  <c r="AS19" i="1"/>
  <c r="AO20" i="1" s="1"/>
  <c r="G13" i="83"/>
  <c r="G13" i="82"/>
  <c r="G11" i="90"/>
  <c r="G11" i="91" s="1"/>
  <c r="G11" i="92" s="1"/>
  <c r="G11" i="93" s="1"/>
  <c r="G11" i="94" s="1"/>
  <c r="G11" i="95" s="1"/>
  <c r="H11" i="89"/>
  <c r="H11" i="90" s="1"/>
  <c r="H11" i="91" s="1"/>
  <c r="H11" i="92" s="1"/>
  <c r="H11" i="93" s="1"/>
  <c r="H11" i="94" s="1"/>
  <c r="H11" i="95" s="1"/>
  <c r="AC13" i="2"/>
  <c r="Z14" i="2" s="1"/>
  <c r="N36" i="83"/>
  <c r="G23" i="87"/>
  <c r="G16" i="78"/>
  <c r="G16" i="79"/>
  <c r="Y9" i="2"/>
  <c r="V10" i="2" s="1"/>
  <c r="J13" i="81"/>
  <c r="K11" i="82"/>
  <c r="J9" i="85"/>
  <c r="J9" i="86" s="1"/>
  <c r="K15" i="85"/>
  <c r="H20" i="79"/>
  <c r="J14" i="80"/>
  <c r="G15" i="80"/>
  <c r="J15" i="80"/>
  <c r="J15" i="81" s="1"/>
  <c r="J15" i="82" s="1"/>
  <c r="H15" i="80"/>
  <c r="M13" i="73"/>
  <c r="M13" i="71"/>
  <c r="M13" i="69"/>
  <c r="M13" i="42"/>
  <c r="M13" i="67"/>
  <c r="M13" i="68"/>
  <c r="AI35" i="1"/>
  <c r="O37" i="72" l="1"/>
  <c r="O40" i="71"/>
  <c r="N40" i="83"/>
  <c r="N40" i="82"/>
  <c r="O36" i="83"/>
  <c r="N35" i="84"/>
  <c r="J12" i="92"/>
  <c r="J12" i="93" s="1"/>
  <c r="J10" i="87"/>
  <c r="J10" i="88" s="1"/>
  <c r="J10" i="89" s="1"/>
  <c r="J10" i="90" s="1"/>
  <c r="J10" i="91" s="1"/>
  <c r="O35" i="82"/>
  <c r="O40" i="82" s="1"/>
  <c r="H18" i="82"/>
  <c r="H18" i="83" s="1"/>
  <c r="H18" i="84" s="1"/>
  <c r="G18" i="82"/>
  <c r="G21" i="42"/>
  <c r="G21" i="67" s="1"/>
  <c r="G20" i="94"/>
  <c r="G20" i="95" s="1"/>
  <c r="G20" i="96" s="1"/>
  <c r="G20" i="42" s="1"/>
  <c r="G20" i="67" s="1"/>
  <c r="G20" i="68" s="1"/>
  <c r="G20" i="69" s="1"/>
  <c r="G20" i="70" s="1"/>
  <c r="J20" i="90"/>
  <c r="J20" i="91" s="1"/>
  <c r="J20" i="92" s="1"/>
  <c r="J20" i="93" s="1"/>
  <c r="K20" i="90"/>
  <c r="K20" i="91" s="1"/>
  <c r="K20" i="92" s="1"/>
  <c r="K20" i="93" s="1"/>
  <c r="AX34" i="1"/>
  <c r="AX35" i="1" s="1"/>
  <c r="G11" i="96"/>
  <c r="G11" i="42" s="1"/>
  <c r="G11" i="67" s="1"/>
  <c r="G11" i="68" s="1"/>
  <c r="H11" i="96"/>
  <c r="H11" i="42" s="1"/>
  <c r="H11" i="67" s="1"/>
  <c r="H11" i="68" s="1"/>
  <c r="AS20" i="1"/>
  <c r="AO21" i="1" s="1"/>
  <c r="AC14" i="2"/>
  <c r="Z15" i="2" s="1"/>
  <c r="N36" i="84"/>
  <c r="G23" i="88"/>
  <c r="K14" i="81"/>
  <c r="G15" i="81"/>
  <c r="H15" i="81"/>
  <c r="J16" i="80"/>
  <c r="J14" i="81"/>
  <c r="K15" i="86"/>
  <c r="J15" i="83"/>
  <c r="K11" i="83"/>
  <c r="J11" i="83"/>
  <c r="J13" i="82"/>
  <c r="J9" i="87"/>
  <c r="G9" i="85"/>
  <c r="Y10" i="2"/>
  <c r="V11" i="2" s="1"/>
  <c r="H20" i="80"/>
  <c r="AF3" i="1"/>
  <c r="M33" i="88"/>
  <c r="Q50" i="88" s="1"/>
  <c r="M33" i="89"/>
  <c r="M33" i="90"/>
  <c r="Q50" i="90" s="1"/>
  <c r="I51" i="90" s="1"/>
  <c r="Q50" i="91"/>
  <c r="Q50" i="92"/>
  <c r="I51" i="92" s="1"/>
  <c r="N51" i="92" s="1"/>
  <c r="Q50" i="93"/>
  <c r="I51" i="93" s="1"/>
  <c r="Q50" i="94"/>
  <c r="I51" i="94" s="1"/>
  <c r="N51" i="94" s="1"/>
  <c r="M33" i="96"/>
  <c r="Q50" i="96" s="1"/>
  <c r="I51" i="96" s="1"/>
  <c r="N51" i="96" s="1"/>
  <c r="M33" i="42"/>
  <c r="Q50" i="42" s="1"/>
  <c r="Q52" i="42" s="1"/>
  <c r="M33" i="67"/>
  <c r="Q50" i="67" s="1"/>
  <c r="M33" i="68"/>
  <c r="M33" i="69"/>
  <c r="M33" i="71"/>
  <c r="M33" i="73"/>
  <c r="Q50" i="73" s="1"/>
  <c r="I51" i="73" s="1"/>
  <c r="M33" i="75"/>
  <c r="Q50" i="75" s="1"/>
  <c r="I51" i="75" s="1"/>
  <c r="N51" i="75" s="1"/>
  <c r="M33" i="76"/>
  <c r="Q50" i="76" s="1"/>
  <c r="I51" i="76" s="1"/>
  <c r="N51" i="76" s="1"/>
  <c r="M33" i="77"/>
  <c r="Q50" i="77" s="1"/>
  <c r="M33" i="79"/>
  <c r="Q50" i="79" s="1"/>
  <c r="Q52" i="79" s="1"/>
  <c r="M33" i="81"/>
  <c r="Q50" i="81" s="1"/>
  <c r="I51" i="81" s="1"/>
  <c r="N51" i="81" s="1"/>
  <c r="M33" i="82"/>
  <c r="Q50" i="82" s="1"/>
  <c r="I51" i="82" s="1"/>
  <c r="N51" i="82" s="1"/>
  <c r="M33" i="83"/>
  <c r="M33" i="84"/>
  <c r="Q50" i="84" s="1"/>
  <c r="I51" i="84" s="1"/>
  <c r="N51" i="84" s="1"/>
  <c r="M33" i="85"/>
  <c r="Q50" i="85" s="1"/>
  <c r="I51" i="85" s="1"/>
  <c r="N51" i="85" s="1"/>
  <c r="M33" i="86"/>
  <c r="M33" i="87"/>
  <c r="I51" i="88" l="1"/>
  <c r="N51" i="88" s="1"/>
  <c r="Q52" i="88"/>
  <c r="N35" i="85"/>
  <c r="N40" i="84"/>
  <c r="O36" i="84"/>
  <c r="I51" i="67"/>
  <c r="N51" i="67" s="1"/>
  <c r="Q52" i="67"/>
  <c r="AE23" i="55" s="1"/>
  <c r="I51" i="42"/>
  <c r="N51" i="42" s="1"/>
  <c r="Q52" i="91"/>
  <c r="AE16" i="55" s="1"/>
  <c r="I51" i="91"/>
  <c r="Q52" i="81"/>
  <c r="J10" i="92"/>
  <c r="J10" i="93" s="1"/>
  <c r="J12" i="94"/>
  <c r="N35" i="86"/>
  <c r="O35" i="83"/>
  <c r="O40" i="83" s="1"/>
  <c r="Q52" i="73"/>
  <c r="Q50" i="74"/>
  <c r="G18" i="83"/>
  <c r="G25" i="82"/>
  <c r="AC4" i="1"/>
  <c r="G21" i="68"/>
  <c r="G21" i="71" s="1"/>
  <c r="G21" i="72" s="1"/>
  <c r="G21" i="76" s="1"/>
  <c r="G21" i="77" s="1"/>
  <c r="G20" i="75"/>
  <c r="G20" i="76" s="1"/>
  <c r="G20" i="77" s="1"/>
  <c r="J20" i="94"/>
  <c r="J20" i="95" s="1"/>
  <c r="J20" i="96" s="1"/>
  <c r="J20" i="42" s="1"/>
  <c r="K20" i="94"/>
  <c r="K20" i="95" s="1"/>
  <c r="K20" i="96" s="1"/>
  <c r="K20" i="42" s="1"/>
  <c r="H20" i="81"/>
  <c r="H20" i="82" s="1"/>
  <c r="H20" i="83" s="1"/>
  <c r="H20" i="84" s="1"/>
  <c r="H20" i="85" s="1"/>
  <c r="AS21" i="1"/>
  <c r="AO22" i="1" s="1"/>
  <c r="G13" i="84"/>
  <c r="AC15" i="2"/>
  <c r="Z16" i="2" s="1"/>
  <c r="N36" i="85"/>
  <c r="G23" i="89"/>
  <c r="G23" i="90" s="1"/>
  <c r="H18" i="85"/>
  <c r="Q52" i="96"/>
  <c r="AE21" i="55" s="1"/>
  <c r="Q50" i="95"/>
  <c r="AH22" i="55"/>
  <c r="Q52" i="94"/>
  <c r="AE19" i="55" s="1"/>
  <c r="H15" i="82"/>
  <c r="J14" i="82"/>
  <c r="J16" i="81"/>
  <c r="G15" i="82"/>
  <c r="K14" i="82"/>
  <c r="K16" i="81"/>
  <c r="Q52" i="93"/>
  <c r="AE18" i="55" s="1"/>
  <c r="K15" i="87"/>
  <c r="J15" i="84"/>
  <c r="Q52" i="92"/>
  <c r="AE17" i="55" s="1"/>
  <c r="Y11" i="2"/>
  <c r="V12" i="2" s="1"/>
  <c r="J9" i="88"/>
  <c r="J11" i="84"/>
  <c r="J13" i="83"/>
  <c r="G9" i="86"/>
  <c r="G13" i="85"/>
  <c r="K11" i="84"/>
  <c r="K11" i="85" s="1"/>
  <c r="K11" i="86" s="1"/>
  <c r="K11" i="87" s="1"/>
  <c r="Q52" i="90"/>
  <c r="AE15" i="55" s="1"/>
  <c r="Q50" i="89"/>
  <c r="I51" i="89" s="1"/>
  <c r="N51" i="89" s="1"/>
  <c r="Q50" i="87"/>
  <c r="I51" i="87" s="1"/>
  <c r="N51" i="87" s="1"/>
  <c r="Q50" i="86"/>
  <c r="I51" i="86" s="1"/>
  <c r="N51" i="86" s="1"/>
  <c r="Q52" i="85"/>
  <c r="AE10" i="55" s="1"/>
  <c r="Q52" i="84"/>
  <c r="AE9" i="55" s="1"/>
  <c r="Q50" i="83"/>
  <c r="I51" i="83" s="1"/>
  <c r="Q52" i="77"/>
  <c r="H51" i="77"/>
  <c r="M33" i="80"/>
  <c r="AE32" i="55"/>
  <c r="Q52" i="75"/>
  <c r="AE31" i="55" s="1"/>
  <c r="M33" i="78"/>
  <c r="Q50" i="78" s="1"/>
  <c r="Q50" i="71"/>
  <c r="I51" i="71" s="1"/>
  <c r="Q50" i="69"/>
  <c r="I51" i="69" s="1"/>
  <c r="Q50" i="68"/>
  <c r="I51" i="68" s="1"/>
  <c r="N51" i="68" s="1"/>
  <c r="N35" i="87" l="1"/>
  <c r="N35" i="88" s="1"/>
  <c r="N35" i="89" s="1"/>
  <c r="N35" i="90" s="1"/>
  <c r="N40" i="85"/>
  <c r="O36" i="85"/>
  <c r="O36" i="86" s="1"/>
  <c r="O36" i="87" s="1"/>
  <c r="I51" i="95"/>
  <c r="N51" i="95" s="1"/>
  <c r="Q52" i="95"/>
  <c r="AE20" i="55" s="1"/>
  <c r="Q52" i="74"/>
  <c r="AE30" i="55" s="1"/>
  <c r="I51" i="74"/>
  <c r="N51" i="74" s="1"/>
  <c r="G25" i="83"/>
  <c r="G18" i="84"/>
  <c r="G25" i="84" s="1"/>
  <c r="J12" i="95"/>
  <c r="J12" i="96" s="1"/>
  <c r="J12" i="42" s="1"/>
  <c r="J12" i="67" s="1"/>
  <c r="J10" i="94"/>
  <c r="O35" i="84"/>
  <c r="O40" i="84" s="1"/>
  <c r="AF4" i="1"/>
  <c r="AC5" i="1" s="1"/>
  <c r="AF5" i="1" s="1"/>
  <c r="AC6" i="1" s="1"/>
  <c r="AJ3" i="1"/>
  <c r="AG4" i="1" s="1"/>
  <c r="H20" i="86"/>
  <c r="H20" i="87" s="1"/>
  <c r="H20" i="88" s="1"/>
  <c r="H20" i="89" s="1"/>
  <c r="H20" i="90" s="1"/>
  <c r="H20" i="91" s="1"/>
  <c r="H20" i="92" s="1"/>
  <c r="H20" i="93" s="1"/>
  <c r="G22" i="85"/>
  <c r="AS22" i="1"/>
  <c r="AO23" i="1" s="1"/>
  <c r="AC16" i="2"/>
  <c r="Z17" i="2" s="1"/>
  <c r="N36" i="86"/>
  <c r="N40" i="86" s="1"/>
  <c r="H18" i="86"/>
  <c r="AE29" i="55"/>
  <c r="AE22" i="55"/>
  <c r="K14" i="83"/>
  <c r="K16" i="82"/>
  <c r="J14" i="83"/>
  <c r="J16" i="82"/>
  <c r="G15" i="83"/>
  <c r="H15" i="83"/>
  <c r="J15" i="85"/>
  <c r="K15" i="88"/>
  <c r="J9" i="89"/>
  <c r="G9" i="87"/>
  <c r="G13" i="86"/>
  <c r="J11" i="85"/>
  <c r="J11" i="86" s="1"/>
  <c r="J13" i="84"/>
  <c r="Y12" i="2"/>
  <c r="V13" i="2" s="1"/>
  <c r="Q52" i="89"/>
  <c r="AE14" i="55" s="1"/>
  <c r="AE13" i="55"/>
  <c r="Q52" i="87"/>
  <c r="AE12" i="55" s="1"/>
  <c r="Q52" i="86"/>
  <c r="AE11" i="55" s="1"/>
  <c r="Q52" i="83"/>
  <c r="AE8" i="55" s="1"/>
  <c r="Q52" i="82"/>
  <c r="AE7" i="55" s="1"/>
  <c r="Q50" i="80"/>
  <c r="I51" i="80" s="1"/>
  <c r="N51" i="80" s="1"/>
  <c r="O33" i="78"/>
  <c r="O33" i="79" s="1"/>
  <c r="O33" i="80" s="1"/>
  <c r="O33" i="81" s="1"/>
  <c r="O33" i="82" s="1"/>
  <c r="O33" i="83" s="1"/>
  <c r="O33" i="84" s="1"/>
  <c r="O33" i="85" s="1"/>
  <c r="O33" i="86" s="1"/>
  <c r="O33" i="87" s="1"/>
  <c r="O33" i="88" s="1"/>
  <c r="O33" i="89" s="1"/>
  <c r="O33" i="90" s="1"/>
  <c r="O33" i="91" s="1"/>
  <c r="N33" i="78"/>
  <c r="N33" i="79" s="1"/>
  <c r="N33" i="80" s="1"/>
  <c r="N33" i="81" s="1"/>
  <c r="N33" i="82" s="1"/>
  <c r="N33" i="83" s="1"/>
  <c r="N33" i="84" s="1"/>
  <c r="N33" i="85" s="1"/>
  <c r="N33" i="86" s="1"/>
  <c r="N33" i="87" s="1"/>
  <c r="N33" i="88" s="1"/>
  <c r="N33" i="89" s="1"/>
  <c r="N33" i="90" s="1"/>
  <c r="N33" i="91" s="1"/>
  <c r="P33" i="78"/>
  <c r="Q52" i="71"/>
  <c r="AE26" i="55"/>
  <c r="Q52" i="69"/>
  <c r="AE25" i="55" s="1"/>
  <c r="Q52" i="68"/>
  <c r="AE24" i="55" s="1"/>
  <c r="N33" i="92" l="1"/>
  <c r="N33" i="93" s="1"/>
  <c r="N33" i="94" s="1"/>
  <c r="N33" i="95" s="1"/>
  <c r="N33" i="96" s="1"/>
  <c r="N33" i="42" s="1"/>
  <c r="O33" i="92"/>
  <c r="O33" i="93" s="1"/>
  <c r="O33" i="94" s="1"/>
  <c r="O33" i="95" s="1"/>
  <c r="O33" i="96" s="1"/>
  <c r="O33" i="42" s="1"/>
  <c r="N35" i="91"/>
  <c r="O36" i="88"/>
  <c r="J12" i="68"/>
  <c r="J10" i="95"/>
  <c r="J10" i="96" s="1"/>
  <c r="J10" i="42" s="1"/>
  <c r="J10" i="67" s="1"/>
  <c r="J10" i="68" s="1"/>
  <c r="J10" i="69" s="1"/>
  <c r="O35" i="85"/>
  <c r="O40" i="85" s="1"/>
  <c r="G18" i="85"/>
  <c r="G18" i="86" s="1"/>
  <c r="AJ4" i="1"/>
  <c r="AG5" i="1" s="1"/>
  <c r="H20" i="94"/>
  <c r="H20" i="95" s="1"/>
  <c r="H20" i="96" s="1"/>
  <c r="H20" i="42" s="1"/>
  <c r="H20" i="67" s="1"/>
  <c r="H20" i="68" s="1"/>
  <c r="H20" i="69" s="1"/>
  <c r="G22" i="86"/>
  <c r="G22" i="87" s="1"/>
  <c r="AS23" i="1"/>
  <c r="AO24" i="1" s="1"/>
  <c r="AC17" i="2"/>
  <c r="Z18" i="2" s="1"/>
  <c r="N36" i="87"/>
  <c r="N40" i="87" s="1"/>
  <c r="G23" i="91"/>
  <c r="H18" i="87"/>
  <c r="AE28" i="55"/>
  <c r="AE27" i="55"/>
  <c r="H15" i="84"/>
  <c r="G15" i="84"/>
  <c r="J14" i="84"/>
  <c r="J16" i="83"/>
  <c r="K14" i="84"/>
  <c r="K16" i="83"/>
  <c r="K15" i="89"/>
  <c r="J15" i="86"/>
  <c r="J13" i="85"/>
  <c r="J9" i="90"/>
  <c r="Y13" i="2"/>
  <c r="V14" i="2" s="1"/>
  <c r="G13" i="87"/>
  <c r="G9" i="88"/>
  <c r="AE6" i="55"/>
  <c r="Q52" i="80"/>
  <c r="AE5" i="55" s="1"/>
  <c r="Q52" i="78"/>
  <c r="AE3" i="55" s="1"/>
  <c r="H51" i="78"/>
  <c r="M51" i="78" s="1"/>
  <c r="AE4" i="55"/>
  <c r="H51" i="79"/>
  <c r="M51" i="79" s="1"/>
  <c r="AF6" i="1"/>
  <c r="AC7" i="1" s="1"/>
  <c r="N35" i="92" l="1"/>
  <c r="N35" i="93" s="1"/>
  <c r="O36" i="89"/>
  <c r="AJ5" i="1"/>
  <c r="AG6" i="1" s="1"/>
  <c r="J10" i="70"/>
  <c r="O35" i="86"/>
  <c r="O40" i="86" s="1"/>
  <c r="G25" i="85"/>
  <c r="G18" i="87"/>
  <c r="G25" i="86"/>
  <c r="L15" i="78"/>
  <c r="E16" i="78"/>
  <c r="H20" i="70"/>
  <c r="H20" i="71" s="1"/>
  <c r="H20" i="72" s="1"/>
  <c r="H20" i="73" s="1"/>
  <c r="H20" i="75" s="1"/>
  <c r="H20" i="76" s="1"/>
  <c r="H20" i="77" s="1"/>
  <c r="G22" i="88"/>
  <c r="G22" i="89" s="1"/>
  <c r="AS24" i="1"/>
  <c r="AO25" i="1" s="1"/>
  <c r="AC18" i="2"/>
  <c r="Z19" i="2" s="1"/>
  <c r="N36" i="88"/>
  <c r="N40" i="88" s="1"/>
  <c r="G23" i="92"/>
  <c r="H18" i="88"/>
  <c r="K14" i="85"/>
  <c r="K16" i="84"/>
  <c r="G15" i="85"/>
  <c r="J14" i="85"/>
  <c r="J16" i="84"/>
  <c r="H15" i="85"/>
  <c r="K15" i="90"/>
  <c r="J15" i="87"/>
  <c r="Y14" i="2"/>
  <c r="V15" i="2" s="1"/>
  <c r="J9" i="91"/>
  <c r="G9" i="89"/>
  <c r="G13" i="88"/>
  <c r="J11" i="87"/>
  <c r="J13" i="86"/>
  <c r="AF7" i="1"/>
  <c r="AC8" i="1" s="1"/>
  <c r="N35" i="94" l="1"/>
  <c r="N35" i="95" s="1"/>
  <c r="O36" i="90"/>
  <c r="J10" i="71"/>
  <c r="AC24" i="3"/>
  <c r="N35" i="96"/>
  <c r="O35" i="87"/>
  <c r="O40" i="87" s="1"/>
  <c r="G18" i="88"/>
  <c r="G25" i="87"/>
  <c r="G22" i="90"/>
  <c r="AJ6" i="1"/>
  <c r="AS25" i="1"/>
  <c r="AO26" i="1" s="1"/>
  <c r="AC19" i="2"/>
  <c r="Z20" i="2" s="1"/>
  <c r="N36" i="89"/>
  <c r="N40" i="89" s="1"/>
  <c r="G23" i="93"/>
  <c r="H18" i="89"/>
  <c r="H15" i="86"/>
  <c r="H15" i="87" s="1"/>
  <c r="H15" i="88" s="1"/>
  <c r="J14" i="86"/>
  <c r="J16" i="85"/>
  <c r="G15" i="86"/>
  <c r="G15" i="87" s="1"/>
  <c r="K14" i="86"/>
  <c r="K16" i="85"/>
  <c r="J15" i="88"/>
  <c r="K15" i="91"/>
  <c r="J11" i="88"/>
  <c r="J11" i="89" s="1"/>
  <c r="J11" i="90" s="1"/>
  <c r="J13" i="87"/>
  <c r="J9" i="92"/>
  <c r="K11" i="88"/>
  <c r="K11" i="89" s="1"/>
  <c r="K11" i="90" s="1"/>
  <c r="G9" i="90"/>
  <c r="G13" i="89"/>
  <c r="Y15" i="2"/>
  <c r="V16" i="2" s="1"/>
  <c r="AF8" i="1"/>
  <c r="AC9" i="1" s="1"/>
  <c r="N35" i="42" l="1"/>
  <c r="O36" i="91"/>
  <c r="O36" i="92" s="1"/>
  <c r="J10" i="72"/>
  <c r="J10" i="73" s="1"/>
  <c r="O35" i="88"/>
  <c r="O40" i="88" s="1"/>
  <c r="G18" i="89"/>
  <c r="G25" i="88"/>
  <c r="G22" i="91"/>
  <c r="I21" i="72"/>
  <c r="M30" i="72" s="1"/>
  <c r="AG7" i="1"/>
  <c r="AS26" i="1"/>
  <c r="AO27" i="1" s="1"/>
  <c r="AC20" i="2"/>
  <c r="Z21" i="2" s="1"/>
  <c r="N36" i="90"/>
  <c r="G23" i="94"/>
  <c r="H18" i="90"/>
  <c r="K14" i="87"/>
  <c r="K16" i="86"/>
  <c r="J14" i="87"/>
  <c r="J16" i="86"/>
  <c r="K15" i="92"/>
  <c r="J15" i="89"/>
  <c r="G9" i="91"/>
  <c r="G13" i="90"/>
  <c r="J9" i="93"/>
  <c r="Y16" i="2"/>
  <c r="V17" i="2" s="1"/>
  <c r="J13" i="88"/>
  <c r="AF9" i="1"/>
  <c r="O36" i="93" l="1"/>
  <c r="O36" i="94" s="1"/>
  <c r="O36" i="95" s="1"/>
  <c r="N36" i="91"/>
  <c r="N40" i="91" s="1"/>
  <c r="N40" i="90"/>
  <c r="J9" i="94"/>
  <c r="O35" i="89"/>
  <c r="O40" i="89" s="1"/>
  <c r="G18" i="90"/>
  <c r="G25" i="89"/>
  <c r="AH28" i="3"/>
  <c r="AC10" i="1"/>
  <c r="AJ7" i="1"/>
  <c r="AG8" i="1" s="1"/>
  <c r="AS27" i="1"/>
  <c r="AO28" i="1" s="1"/>
  <c r="AC21" i="2"/>
  <c r="Z22" i="2" s="1"/>
  <c r="G23" i="95"/>
  <c r="G23" i="96" s="1"/>
  <c r="H18" i="91"/>
  <c r="J14" i="88"/>
  <c r="J16" i="87"/>
  <c r="K14" i="88"/>
  <c r="K16" i="87"/>
  <c r="G15" i="88"/>
  <c r="J15" i="90"/>
  <c r="K15" i="93"/>
  <c r="K15" i="94" s="1"/>
  <c r="K15" i="95" s="1"/>
  <c r="K15" i="96" s="1"/>
  <c r="K15" i="42" s="1"/>
  <c r="Y17" i="2"/>
  <c r="V18" i="2" s="1"/>
  <c r="J13" i="89"/>
  <c r="G9" i="92"/>
  <c r="G13" i="91"/>
  <c r="J9" i="95" l="1"/>
  <c r="J9" i="96" s="1"/>
  <c r="J9" i="42" s="1"/>
  <c r="O35" i="90"/>
  <c r="O40" i="90" s="1"/>
  <c r="O36" i="96"/>
  <c r="O36" i="42" s="1"/>
  <c r="O36" i="67" s="1"/>
  <c r="G18" i="91"/>
  <c r="G25" i="90"/>
  <c r="AF10" i="1"/>
  <c r="AC11" i="1" s="1"/>
  <c r="AF11" i="1" s="1"/>
  <c r="AC12" i="1" s="1"/>
  <c r="AJ8" i="1"/>
  <c r="AG9" i="1" s="1"/>
  <c r="G22" i="92"/>
  <c r="G22" i="93" s="1"/>
  <c r="G22" i="94" s="1"/>
  <c r="AS28" i="1"/>
  <c r="AO29" i="1" s="1"/>
  <c r="AC22" i="2"/>
  <c r="Z23" i="2" s="1"/>
  <c r="N36" i="92"/>
  <c r="N40" i="92" s="1"/>
  <c r="H18" i="92"/>
  <c r="G15" i="89"/>
  <c r="H15" i="89"/>
  <c r="K14" i="89"/>
  <c r="K16" i="89" s="1"/>
  <c r="K16" i="88"/>
  <c r="J14" i="89"/>
  <c r="J16" i="89" s="1"/>
  <c r="J16" i="88"/>
  <c r="J15" i="91"/>
  <c r="J11" i="91"/>
  <c r="J13" i="90"/>
  <c r="K11" i="91"/>
  <c r="Y18" i="2"/>
  <c r="V19" i="2" s="1"/>
  <c r="G9" i="93"/>
  <c r="G13" i="92"/>
  <c r="O35" i="91" l="1"/>
  <c r="O40" i="91" s="1"/>
  <c r="G18" i="92"/>
  <c r="G25" i="91"/>
  <c r="G22" i="95"/>
  <c r="G22" i="96" s="1"/>
  <c r="AJ9" i="1"/>
  <c r="AG10" i="1" s="1"/>
  <c r="AS29" i="1"/>
  <c r="AO30" i="1" s="1"/>
  <c r="AC23" i="2"/>
  <c r="Z24" i="2" s="1"/>
  <c r="N36" i="93"/>
  <c r="N40" i="93" s="1"/>
  <c r="G23" i="42"/>
  <c r="Y19" i="2"/>
  <c r="V20" i="2" s="1"/>
  <c r="H18" i="93"/>
  <c r="G13" i="93"/>
  <c r="G9" i="94"/>
  <c r="J14" i="90"/>
  <c r="H15" i="90"/>
  <c r="K14" i="90"/>
  <c r="G15" i="90"/>
  <c r="J15" i="92"/>
  <c r="J15" i="93" s="1"/>
  <c r="K11" i="92"/>
  <c r="J11" i="92"/>
  <c r="J13" i="91"/>
  <c r="AF12" i="1"/>
  <c r="AC13" i="1" s="1"/>
  <c r="X4" i="6"/>
  <c r="O35" i="92" l="1"/>
  <c r="O40" i="92" s="1"/>
  <c r="G18" i="93"/>
  <c r="G25" i="92"/>
  <c r="G22" i="42"/>
  <c r="G22" i="67" s="1"/>
  <c r="AJ10" i="1"/>
  <c r="AG11" i="1" s="1"/>
  <c r="AS30" i="1"/>
  <c r="AO31" i="1" s="1"/>
  <c r="AC24" i="2"/>
  <c r="Z25" i="2" s="1"/>
  <c r="N36" i="94"/>
  <c r="N40" i="94" s="1"/>
  <c r="G13" i="94"/>
  <c r="G9" i="95"/>
  <c r="Y20" i="2"/>
  <c r="V21" i="2" s="1"/>
  <c r="H18" i="94"/>
  <c r="H15" i="91"/>
  <c r="K14" i="91"/>
  <c r="K16" i="90"/>
  <c r="G15" i="91"/>
  <c r="J14" i="91"/>
  <c r="J16" i="90"/>
  <c r="J15" i="94"/>
  <c r="J15" i="95" s="1"/>
  <c r="J15" i="96" s="1"/>
  <c r="J15" i="42" s="1"/>
  <c r="J11" i="93"/>
  <c r="J13" i="92"/>
  <c r="K11" i="93"/>
  <c r="AF13" i="1"/>
  <c r="O35" i="93" l="1"/>
  <c r="O40" i="93" s="1"/>
  <c r="G25" i="93"/>
  <c r="G18" i="94"/>
  <c r="G22" i="68"/>
  <c r="G22" i="69" s="1"/>
  <c r="G22" i="70" s="1"/>
  <c r="AJ11" i="1"/>
  <c r="AG12" i="1" s="1"/>
  <c r="AC14" i="1"/>
  <c r="AS31" i="1"/>
  <c r="AO32" i="1" s="1"/>
  <c r="AC25" i="2"/>
  <c r="Z26" i="2" s="1"/>
  <c r="N36" i="95"/>
  <c r="N40" i="95" s="1"/>
  <c r="G9" i="96"/>
  <c r="G13" i="95"/>
  <c r="Y21" i="2"/>
  <c r="V22" i="2" s="1"/>
  <c r="H18" i="95"/>
  <c r="J13" i="93"/>
  <c r="J11" i="94"/>
  <c r="K11" i="94"/>
  <c r="K11" i="95" s="1"/>
  <c r="J14" i="92"/>
  <c r="J16" i="91"/>
  <c r="K14" i="92"/>
  <c r="K16" i="91"/>
  <c r="G15" i="92"/>
  <c r="H15" i="92"/>
  <c r="AC14" i="3"/>
  <c r="O35" i="94" l="1"/>
  <c r="O40" i="94" s="1"/>
  <c r="G25" i="94"/>
  <c r="G18" i="95"/>
  <c r="G25" i="95" s="1"/>
  <c r="AF14" i="1"/>
  <c r="AC15" i="1" s="1"/>
  <c r="AF15" i="1" s="1"/>
  <c r="AC16" i="1" s="1"/>
  <c r="G22" i="71"/>
  <c r="AJ12" i="1"/>
  <c r="AG13" i="1" s="1"/>
  <c r="K11" i="96"/>
  <c r="K11" i="42" s="1"/>
  <c r="K11" i="67" s="1"/>
  <c r="K11" i="68" s="1"/>
  <c r="AS32" i="1"/>
  <c r="AO33" i="1" s="1"/>
  <c r="AO34" i="1" s="1"/>
  <c r="AC26" i="2"/>
  <c r="Z27" i="2" s="1"/>
  <c r="N36" i="96"/>
  <c r="N40" i="96" s="1"/>
  <c r="J13" i="94"/>
  <c r="J11" i="95"/>
  <c r="J11" i="96" s="1"/>
  <c r="G9" i="42"/>
  <c r="G13" i="96"/>
  <c r="Y22" i="2"/>
  <c r="V23" i="2" s="1"/>
  <c r="H18" i="96"/>
  <c r="K14" i="93"/>
  <c r="K16" i="92"/>
  <c r="G15" i="93"/>
  <c r="H15" i="93"/>
  <c r="J14" i="93"/>
  <c r="J16" i="92"/>
  <c r="N3" i="1"/>
  <c r="ED3" i="1" s="1"/>
  <c r="AC29" i="3" l="1"/>
  <c r="O35" i="95"/>
  <c r="O40" i="95" s="1"/>
  <c r="E5" i="3"/>
  <c r="Q5" i="3"/>
  <c r="I21" i="80" s="1"/>
  <c r="M30" i="80" s="1"/>
  <c r="G22" i="72"/>
  <c r="G18" i="96"/>
  <c r="L14" i="78"/>
  <c r="AJ13" i="1"/>
  <c r="AG14" i="1" s="1"/>
  <c r="AS33" i="1"/>
  <c r="AO35" i="1"/>
  <c r="Q3" i="1"/>
  <c r="AC27" i="2"/>
  <c r="Z28" i="2" s="1"/>
  <c r="N36" i="42"/>
  <c r="J13" i="95"/>
  <c r="G15" i="94"/>
  <c r="Y23" i="2"/>
  <c r="V24" i="2" s="1"/>
  <c r="H18" i="42"/>
  <c r="H15" i="94"/>
  <c r="J16" i="93"/>
  <c r="J14" i="94"/>
  <c r="K16" i="93"/>
  <c r="K14" i="94"/>
  <c r="P3" i="1"/>
  <c r="AF16" i="1"/>
  <c r="AC17" i="1" s="1"/>
  <c r="AC16" i="3"/>
  <c r="N36" i="67" l="1"/>
  <c r="N40" i="42"/>
  <c r="Q16" i="3"/>
  <c r="AH16" i="3" s="1"/>
  <c r="O35" i="96"/>
  <c r="O40" i="96" s="1"/>
  <c r="AH5" i="3"/>
  <c r="G22" i="73"/>
  <c r="G22" i="74" s="1"/>
  <c r="G22" i="75" s="1"/>
  <c r="G25" i="96"/>
  <c r="G18" i="42"/>
  <c r="G25" i="42" s="1"/>
  <c r="V5" i="3"/>
  <c r="S6" i="3" s="1"/>
  <c r="V6" i="3" s="1"/>
  <c r="S7" i="3" s="1"/>
  <c r="V7" i="3" s="1"/>
  <c r="Z5" i="3"/>
  <c r="AJ14" i="1"/>
  <c r="AG15" i="1" s="1"/>
  <c r="AS34" i="1"/>
  <c r="AC28" i="2"/>
  <c r="J11" i="42"/>
  <c r="J11" i="67" s="1"/>
  <c r="J13" i="96"/>
  <c r="G15" i="95"/>
  <c r="Y24" i="2"/>
  <c r="V25" i="2" s="1"/>
  <c r="H15" i="95"/>
  <c r="K16" i="94"/>
  <c r="K14" i="95"/>
  <c r="J16" i="94"/>
  <c r="J14" i="95"/>
  <c r="AF17" i="1"/>
  <c r="AC18" i="1" s="1"/>
  <c r="O35" i="42" l="1"/>
  <c r="O40" i="42" s="1"/>
  <c r="G22" i="76"/>
  <c r="E21" i="81"/>
  <c r="W6" i="3"/>
  <c r="Z6" i="3" s="1"/>
  <c r="AJ15" i="1"/>
  <c r="AG16" i="1" s="1"/>
  <c r="J11" i="68"/>
  <c r="S8" i="3"/>
  <c r="V8" i="3" s="1"/>
  <c r="Z29" i="2"/>
  <c r="G15" i="96"/>
  <c r="G15" i="42" s="1"/>
  <c r="Y25" i="2"/>
  <c r="H15" i="96"/>
  <c r="H15" i="42" s="1"/>
  <c r="J16" i="95"/>
  <c r="J14" i="96"/>
  <c r="J14" i="42" s="1"/>
  <c r="J16" i="42" s="1"/>
  <c r="K14" i="96"/>
  <c r="K14" i="42" s="1"/>
  <c r="K16" i="42" s="1"/>
  <c r="K16" i="95"/>
  <c r="AF18" i="1"/>
  <c r="AC19" i="1" s="1"/>
  <c r="G22" i="77" l="1"/>
  <c r="AF19" i="1"/>
  <c r="AC20" i="1" s="1"/>
  <c r="W7" i="3"/>
  <c r="Z7" i="3" s="1"/>
  <c r="V26" i="2"/>
  <c r="AJ16" i="1"/>
  <c r="AG17" i="1" s="1"/>
  <c r="S9" i="3"/>
  <c r="V9" i="3" s="1"/>
  <c r="AC29" i="2"/>
  <c r="J16" i="96"/>
  <c r="K16" i="96"/>
  <c r="AF20" i="1" l="1"/>
  <c r="AC21" i="1" s="1"/>
  <c r="W8" i="3"/>
  <c r="Z8" i="3" s="1"/>
  <c r="Y26" i="2"/>
  <c r="V27" i="2" s="1"/>
  <c r="AJ17" i="1"/>
  <c r="AG18" i="1" s="1"/>
  <c r="S10" i="3"/>
  <c r="V10" i="3" s="1"/>
  <c r="Z30" i="2"/>
  <c r="AF21" i="1" l="1"/>
  <c r="AC22" i="1" s="1"/>
  <c r="W9" i="3"/>
  <c r="Z9" i="3" s="1"/>
  <c r="Y27" i="2"/>
  <c r="V28" i="2" s="1"/>
  <c r="AJ18" i="1"/>
  <c r="AG19" i="1" s="1"/>
  <c r="S11" i="3"/>
  <c r="V11" i="3" s="1"/>
  <c r="AC30" i="2"/>
  <c r="AF22" i="1" l="1"/>
  <c r="AC23" i="1" s="1"/>
  <c r="W10" i="3"/>
  <c r="Z10" i="3" s="1"/>
  <c r="Y28" i="2"/>
  <c r="V29" i="2" s="1"/>
  <c r="Y29" i="2" s="1"/>
  <c r="V30" i="2" s="1"/>
  <c r="AJ19" i="1"/>
  <c r="AG20" i="1" s="1"/>
  <c r="S12" i="3"/>
  <c r="V12" i="3" s="1"/>
  <c r="Z31" i="2"/>
  <c r="AF23" i="1" l="1"/>
  <c r="AC24" i="1" s="1"/>
  <c r="AF24" i="1" s="1"/>
  <c r="AC25" i="1" s="1"/>
  <c r="W11" i="3"/>
  <c r="Z11" i="3" s="1"/>
  <c r="AJ20" i="1"/>
  <c r="AG21" i="1" s="1"/>
  <c r="S13" i="3"/>
  <c r="V13" i="3" s="1"/>
  <c r="AC31" i="2"/>
  <c r="Y30" i="2"/>
  <c r="W12" i="3" l="1"/>
  <c r="Z12" i="3" s="1"/>
  <c r="V31" i="2"/>
  <c r="AJ21" i="1"/>
  <c r="AG22" i="1" s="1"/>
  <c r="S14" i="3"/>
  <c r="V14" i="3" s="1"/>
  <c r="Z32" i="2"/>
  <c r="AF25" i="1"/>
  <c r="AC26" i="1" s="1"/>
  <c r="W13" i="3" l="1"/>
  <c r="Z13" i="3" s="1"/>
  <c r="Y31" i="2"/>
  <c r="V32" i="2" s="1"/>
  <c r="Y32" i="2" s="1"/>
  <c r="AJ22" i="1"/>
  <c r="AG23" i="1" s="1"/>
  <c r="S15" i="3"/>
  <c r="V15" i="3" s="1"/>
  <c r="AC32" i="2"/>
  <c r="AF26" i="1"/>
  <c r="AC27" i="1" s="1"/>
  <c r="AJ23" i="1" l="1"/>
  <c r="AG24" i="1" s="1"/>
  <c r="S16" i="3"/>
  <c r="V16" i="3" s="1"/>
  <c r="Z33" i="2"/>
  <c r="V33" i="2"/>
  <c r="Y33" i="2" s="1"/>
  <c r="Y34" i="2" s="1"/>
  <c r="AF27" i="1"/>
  <c r="AC28" i="1" s="1"/>
  <c r="AC20" i="3"/>
  <c r="W14" i="3" l="1"/>
  <c r="Z14" i="3" s="1"/>
  <c r="AJ24" i="1"/>
  <c r="AG25" i="1" s="1"/>
  <c r="S17" i="3"/>
  <c r="AC33" i="2"/>
  <c r="AC34" i="2" s="1"/>
  <c r="Z34" i="2"/>
  <c r="V34" i="2"/>
  <c r="AF28" i="1"/>
  <c r="AC29" i="1" s="1"/>
  <c r="AJ25" i="1" l="1"/>
  <c r="AG26" i="1" s="1"/>
  <c r="AF29" i="1"/>
  <c r="AC30" i="1" s="1"/>
  <c r="AH17" i="3" l="1"/>
  <c r="W15" i="3"/>
  <c r="Z15" i="3" s="1"/>
  <c r="AJ26" i="1"/>
  <c r="AG27" i="1" s="1"/>
  <c r="AF30" i="1"/>
  <c r="AC31" i="1" s="1"/>
  <c r="AC11" i="3" l="1"/>
  <c r="W16" i="3"/>
  <c r="Z16" i="3" s="1"/>
  <c r="AJ27" i="1"/>
  <c r="AG28" i="1" s="1"/>
  <c r="V17" i="3"/>
  <c r="S18" i="3" s="1"/>
  <c r="V18" i="3" s="1"/>
  <c r="S19" i="3" s="1"/>
  <c r="V19" i="3" s="1"/>
  <c r="S20" i="3" s="1"/>
  <c r="V20" i="3" s="1"/>
  <c r="AF31" i="1"/>
  <c r="AC32" i="1" s="1"/>
  <c r="W17" i="3" l="1"/>
  <c r="Z17" i="3" s="1"/>
  <c r="AJ28" i="1"/>
  <c r="AG29" i="1" s="1"/>
  <c r="S21" i="3"/>
  <c r="V21" i="3" s="1"/>
  <c r="AF32" i="1"/>
  <c r="AC33" i="1" s="1"/>
  <c r="AC34" i="1" l="1"/>
  <c r="W18" i="3"/>
  <c r="Z18" i="3" s="1"/>
  <c r="AJ29" i="1"/>
  <c r="AG30" i="1" s="1"/>
  <c r="S22" i="3"/>
  <c r="V22" i="3" s="1"/>
  <c r="AF33" i="1"/>
  <c r="AF34" i="1" s="1"/>
  <c r="W19" i="3" l="1"/>
  <c r="Z19" i="3" s="1"/>
  <c r="S23" i="3"/>
  <c r="AV5" i="12"/>
  <c r="O10" i="12"/>
  <c r="O11" i="12"/>
  <c r="O12" i="12"/>
  <c r="O15" i="12"/>
  <c r="O16" i="12"/>
  <c r="O17" i="12"/>
  <c r="O18" i="12"/>
  <c r="O20" i="12"/>
  <c r="O21" i="12"/>
  <c r="O22" i="12"/>
  <c r="O23" i="12"/>
  <c r="O24" i="12"/>
  <c r="O25" i="12"/>
  <c r="O27" i="12"/>
  <c r="O30" i="12"/>
  <c r="O31" i="12"/>
  <c r="O32" i="12"/>
  <c r="O33" i="12"/>
  <c r="W20" i="3" l="1"/>
  <c r="Z20" i="3" s="1"/>
  <c r="AG31" i="1"/>
  <c r="AJ31" i="1" s="1"/>
  <c r="V23" i="3"/>
  <c r="S24" i="3" s="1"/>
  <c r="AV9" i="12"/>
  <c r="AV8" i="12"/>
  <c r="AV7" i="12"/>
  <c r="AV40" i="12" l="1"/>
  <c r="AU42" i="97" s="1"/>
  <c r="W21" i="3"/>
  <c r="Z21" i="3" s="1"/>
  <c r="V24" i="3"/>
  <c r="S25" i="3" s="1"/>
  <c r="K20" i="67"/>
  <c r="K20" i="68" s="1"/>
  <c r="K20" i="69" s="1"/>
  <c r="K20" i="70" s="1"/>
  <c r="J20" i="67"/>
  <c r="J20" i="68" s="1"/>
  <c r="J20" i="69" s="1"/>
  <c r="J20" i="70" s="1"/>
  <c r="W22" i="3" l="1"/>
  <c r="Z22" i="3" s="1"/>
  <c r="AG32" i="1"/>
  <c r="AJ32" i="1" s="1"/>
  <c r="J20" i="71"/>
  <c r="J20" i="72" s="1"/>
  <c r="J20" i="73" s="1"/>
  <c r="J20" i="74" s="1"/>
  <c r="J20" i="75" s="1"/>
  <c r="J20" i="76" s="1"/>
  <c r="J20" i="77" s="1"/>
  <c r="K20" i="71"/>
  <c r="K20" i="72" s="1"/>
  <c r="K20" i="73" s="1"/>
  <c r="K20" i="74" s="1"/>
  <c r="K20" i="75" s="1"/>
  <c r="K20" i="76" s="1"/>
  <c r="K20" i="77" s="1"/>
  <c r="V25" i="3"/>
  <c r="S26" i="3" s="1"/>
  <c r="AC31" i="3"/>
  <c r="Q31" i="3" l="1"/>
  <c r="AH31" i="3" s="1"/>
  <c r="W23" i="3"/>
  <c r="Z23" i="3" s="1"/>
  <c r="V26" i="3"/>
  <c r="S27" i="3" s="1"/>
  <c r="W24" i="3" l="1"/>
  <c r="Z24" i="3" s="1"/>
  <c r="AG33" i="1"/>
  <c r="V27" i="3"/>
  <c r="S28" i="3" s="1"/>
  <c r="AV12" i="12"/>
  <c r="AV15" i="12"/>
  <c r="W25" i="3" l="1"/>
  <c r="Z25" i="3" s="1"/>
  <c r="AJ33" i="1"/>
  <c r="V28" i="3"/>
  <c r="S29" i="3" s="1"/>
  <c r="AV16" i="12"/>
  <c r="AV11" i="12"/>
  <c r="AV13" i="12"/>
  <c r="W26" i="3" l="1"/>
  <c r="Z26" i="3" s="1"/>
  <c r="V29" i="3"/>
  <c r="S30" i="3" s="1"/>
  <c r="W27" i="3" l="1"/>
  <c r="Z27" i="3" s="1"/>
  <c r="V30" i="3"/>
  <c r="S31" i="3" s="1"/>
  <c r="Y34" i="64"/>
  <c r="V31" i="3" l="1"/>
  <c r="S32" i="3" s="1"/>
  <c r="W28" i="3"/>
  <c r="Z28" i="3" s="1"/>
  <c r="W29" i="3" l="1"/>
  <c r="Z29" i="3" s="1"/>
  <c r="V32" i="3"/>
  <c r="W30" i="3" l="1"/>
  <c r="Z30" i="3" s="1"/>
  <c r="W31" i="3" l="1"/>
  <c r="Z31" i="3" s="1"/>
  <c r="AV23" i="12"/>
  <c r="AV22" i="12"/>
  <c r="AV20" i="12"/>
  <c r="AV21" i="12"/>
  <c r="W32" i="3" l="1"/>
  <c r="Z32" i="3" s="1"/>
  <c r="AB34" i="64"/>
  <c r="AC33" i="64"/>
  <c r="AC30" i="64"/>
  <c r="X31" i="64" s="1"/>
  <c r="AC31" i="64" s="1"/>
  <c r="X32" i="64" s="1"/>
  <c r="AC32" i="64" s="1"/>
  <c r="AC27" i="64"/>
  <c r="X28" i="64" s="1"/>
  <c r="AC28" i="64" s="1"/>
  <c r="X29" i="64" s="1"/>
  <c r="AC29" i="64" s="1"/>
  <c r="AC24" i="64"/>
  <c r="X25" i="64" s="1"/>
  <c r="AC25" i="64" s="1"/>
  <c r="X26" i="64" s="1"/>
  <c r="AC26" i="64" s="1"/>
  <c r="AC21" i="64"/>
  <c r="X22" i="64" s="1"/>
  <c r="AC22" i="64" s="1"/>
  <c r="X23" i="64" s="1"/>
  <c r="AC23" i="64" s="1"/>
  <c r="AC18" i="64"/>
  <c r="X19" i="64" s="1"/>
  <c r="AC19" i="64" s="1"/>
  <c r="X20" i="64" s="1"/>
  <c r="AC20" i="64" s="1"/>
  <c r="AC15" i="64"/>
  <c r="X16" i="64" s="1"/>
  <c r="AC16" i="64" s="1"/>
  <c r="X17" i="64" s="1"/>
  <c r="AC17" i="64" s="1"/>
  <c r="AC12" i="64"/>
  <c r="X13" i="64" s="1"/>
  <c r="AC13" i="64" s="1"/>
  <c r="X14" i="64" s="1"/>
  <c r="AC14" i="64" s="1"/>
  <c r="AC9" i="64"/>
  <c r="X10" i="64" s="1"/>
  <c r="AC10" i="64" s="1"/>
  <c r="X11" i="64" s="1"/>
  <c r="AC11" i="64" s="1"/>
  <c r="AC6" i="64"/>
  <c r="X7" i="64" s="1"/>
  <c r="AC7" i="64" s="1"/>
  <c r="X8" i="64" s="1"/>
  <c r="AC8" i="64" s="1"/>
  <c r="AC3" i="64"/>
  <c r="X4" i="64" s="1"/>
  <c r="AC4" i="64" s="1"/>
  <c r="X5" i="64" s="1"/>
  <c r="AC5" i="64" s="1"/>
  <c r="W33" i="3" l="1"/>
  <c r="Q34" i="64"/>
  <c r="N34" i="64"/>
  <c r="R33" i="64"/>
  <c r="R30" i="64"/>
  <c r="M31" i="64" s="1"/>
  <c r="R31" i="64" s="1"/>
  <c r="M32" i="64" s="1"/>
  <c r="R32" i="64" s="1"/>
  <c r="R27" i="64"/>
  <c r="M28" i="64" s="1"/>
  <c r="R28" i="64" s="1"/>
  <c r="M29" i="64" s="1"/>
  <c r="R29" i="64" s="1"/>
  <c r="R24" i="64"/>
  <c r="M25" i="64" s="1"/>
  <c r="R25" i="64" s="1"/>
  <c r="M26" i="64" s="1"/>
  <c r="R26" i="64" s="1"/>
  <c r="R21" i="64"/>
  <c r="M22" i="64" s="1"/>
  <c r="R22" i="64" s="1"/>
  <c r="M23" i="64" s="1"/>
  <c r="R23" i="64" s="1"/>
  <c r="R18" i="64"/>
  <c r="M19" i="64" s="1"/>
  <c r="R15" i="64"/>
  <c r="M16" i="64" s="1"/>
  <c r="R16" i="64" s="1"/>
  <c r="M17" i="64" s="1"/>
  <c r="R17" i="64" s="1"/>
  <c r="R12" i="64"/>
  <c r="M13" i="64" s="1"/>
  <c r="R13" i="64" s="1"/>
  <c r="M14" i="64" s="1"/>
  <c r="R14" i="64" s="1"/>
  <c r="R9" i="64"/>
  <c r="M10" i="64" s="1"/>
  <c r="R10" i="64" s="1"/>
  <c r="M11" i="64" s="1"/>
  <c r="R11" i="64" s="1"/>
  <c r="R6" i="64"/>
  <c r="M7" i="64" s="1"/>
  <c r="R7" i="64" s="1"/>
  <c r="M8" i="64" s="1"/>
  <c r="R8" i="64" s="1"/>
  <c r="R3" i="64"/>
  <c r="M4" i="64" s="1"/>
  <c r="R4" i="64" s="1"/>
  <c r="M5" i="64" s="1"/>
  <c r="R5" i="64" s="1"/>
  <c r="R19" i="64" l="1"/>
  <c r="M20" i="64" s="1"/>
  <c r="R20" i="64" s="1"/>
  <c r="G58" i="72" l="1"/>
  <c r="G58" i="73" s="1"/>
  <c r="G58" i="74" s="1"/>
  <c r="G58" i="75" s="1"/>
  <c r="G58" i="76" s="1"/>
  <c r="G58" i="77" s="1"/>
  <c r="AP40" i="12" l="1"/>
  <c r="AO42" i="97" s="1"/>
  <c r="AT10" i="12"/>
  <c r="AU10" i="12"/>
  <c r="AV10" i="12"/>
  <c r="AG10" i="12" l="1"/>
  <c r="AM10" i="12" s="1"/>
  <c r="EK9" i="1" l="1"/>
  <c r="EU9" i="1" s="1"/>
  <c r="AL10" i="12"/>
  <c r="ET9" i="1" l="1"/>
  <c r="I19" i="84"/>
  <c r="EQ9" i="1"/>
  <c r="EN10" i="1" s="1"/>
  <c r="EQ10" i="1" s="1"/>
  <c r="EN11" i="1" s="1"/>
  <c r="EQ11" i="1" s="1"/>
  <c r="M34" i="84"/>
  <c r="I18" i="84" l="1"/>
  <c r="E19" i="85"/>
  <c r="K19" i="84"/>
  <c r="J19" i="84"/>
  <c r="L19" i="84"/>
  <c r="AH4" i="6" l="1"/>
  <c r="F37" i="79" s="1"/>
  <c r="AH5" i="6"/>
  <c r="F37" i="80" s="1"/>
  <c r="AH6" i="6"/>
  <c r="F37" i="81" s="1"/>
  <c r="AH7" i="6"/>
  <c r="F37" i="82" s="1"/>
  <c r="AH8" i="6"/>
  <c r="F37" i="83" s="1"/>
  <c r="AH9" i="6"/>
  <c r="F37" i="84" s="1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F37" i="69"/>
  <c r="AH3" i="6"/>
  <c r="F37" i="93" l="1"/>
  <c r="F37" i="89"/>
  <c r="F37" i="85"/>
  <c r="F37" i="90"/>
  <c r="F37" i="96"/>
  <c r="F37" i="92"/>
  <c r="F37" i="88"/>
  <c r="F37" i="94"/>
  <c r="F37" i="86"/>
  <c r="F37" i="95"/>
  <c r="F37" i="91"/>
  <c r="F37" i="87"/>
  <c r="F37" i="78"/>
  <c r="AC17" i="3"/>
  <c r="H37" i="78" l="1"/>
  <c r="H37" i="79" s="1"/>
  <c r="H37" i="80" s="1"/>
  <c r="H37" i="81" s="1"/>
  <c r="H37" i="82" s="1"/>
  <c r="H37" i="83" s="1"/>
  <c r="H37" i="84" s="1"/>
  <c r="H37" i="85" s="1"/>
  <c r="H37" i="86" s="1"/>
  <c r="H37" i="87" s="1"/>
  <c r="G37" i="78"/>
  <c r="G37" i="79" s="1"/>
  <c r="G37" i="80" s="1"/>
  <c r="G37" i="81" s="1"/>
  <c r="G37" i="82" s="1"/>
  <c r="G37" i="83" s="1"/>
  <c r="G37" i="84" s="1"/>
  <c r="G37" i="85" s="1"/>
  <c r="G37" i="86" s="1"/>
  <c r="G37" i="87" s="1"/>
  <c r="G37" i="88" l="1"/>
  <c r="G37" i="89" s="1"/>
  <c r="G37" i="90" s="1"/>
  <c r="G37" i="91" s="1"/>
  <c r="G37" i="92" s="1"/>
  <c r="G37" i="93" s="1"/>
  <c r="G37" i="94" s="1"/>
  <c r="G37" i="95" s="1"/>
  <c r="H37" i="88"/>
  <c r="H37" i="89" s="1"/>
  <c r="H37" i="90" s="1"/>
  <c r="H37" i="91" s="1"/>
  <c r="H37" i="92" s="1"/>
  <c r="H37" i="93" s="1"/>
  <c r="H37" i="94" s="1"/>
  <c r="H37" i="95" s="1"/>
  <c r="T33" i="1"/>
  <c r="V33" i="1" s="1"/>
  <c r="H37" i="96" l="1"/>
  <c r="H37" i="42" s="1"/>
  <c r="H37" i="67" s="1"/>
  <c r="G37" i="96"/>
  <c r="G37" i="42" s="1"/>
  <c r="G37" i="67" s="1"/>
  <c r="BH34" i="6"/>
  <c r="AV24" i="12" l="1"/>
  <c r="G3" i="64" l="1"/>
  <c r="B4" i="64" s="1"/>
  <c r="G57" i="67" l="1"/>
  <c r="G57" i="68" s="1"/>
  <c r="G4" i="64"/>
  <c r="G57" i="69" l="1"/>
  <c r="B5" i="64"/>
  <c r="G5" i="64" s="1"/>
  <c r="G6" i="64" s="1"/>
  <c r="B7" i="64" s="1"/>
  <c r="G7" i="64" s="1"/>
  <c r="B8" i="64" s="1"/>
  <c r="H57" i="67"/>
  <c r="H57" i="68" s="1"/>
  <c r="H57" i="69" s="1"/>
  <c r="G57" i="70" l="1"/>
  <c r="G57" i="71" s="1"/>
  <c r="G57" i="72" s="1"/>
  <c r="G57" i="73" s="1"/>
  <c r="G57" i="74" s="1"/>
  <c r="G57" i="75" s="1"/>
  <c r="G57" i="76" s="1"/>
  <c r="G57" i="77" s="1"/>
  <c r="H57" i="70"/>
  <c r="H57" i="71" s="1"/>
  <c r="H57" i="72" s="1"/>
  <c r="H57" i="73" s="1"/>
  <c r="H57" i="74" s="1"/>
  <c r="H57" i="75" s="1"/>
  <c r="H57" i="76" s="1"/>
  <c r="H57" i="77" s="1"/>
  <c r="G8" i="64"/>
  <c r="G9" i="64" l="1"/>
  <c r="B10" i="64" s="1"/>
  <c r="G10" i="64" l="1"/>
  <c r="B11" i="64" s="1"/>
  <c r="G11" i="64" l="1"/>
  <c r="G12" i="64" l="1"/>
  <c r="B13" i="64" s="1"/>
  <c r="G13" i="64" l="1"/>
  <c r="B14" i="64" s="1"/>
  <c r="G14" i="64" l="1"/>
  <c r="G15" i="64" l="1"/>
  <c r="B16" i="64" s="1"/>
  <c r="G16" i="64" l="1"/>
  <c r="B17" i="64" s="1"/>
  <c r="G17" i="64" l="1"/>
  <c r="G18" i="64" l="1"/>
  <c r="B19" i="64" s="1"/>
  <c r="G19" i="64" l="1"/>
  <c r="B20" i="64" s="1"/>
  <c r="G20" i="64" l="1"/>
  <c r="G21" i="64" l="1"/>
  <c r="B22" i="64" s="1"/>
  <c r="G22" i="64" l="1"/>
  <c r="B23" i="64" l="1"/>
  <c r="G23" i="64" s="1"/>
  <c r="B25" i="64"/>
  <c r="G25" i="64" l="1"/>
  <c r="B26" i="64" s="1"/>
  <c r="G26" i="64" l="1"/>
  <c r="G27" i="64" l="1"/>
  <c r="B28" i="64" s="1"/>
  <c r="G28" i="64" l="1"/>
  <c r="B29" i="64" s="1"/>
  <c r="G29" i="64" l="1"/>
  <c r="AI4" i="6"/>
  <c r="BO4" i="6" s="1"/>
  <c r="AI5" i="6"/>
  <c r="BO5" i="6" s="1"/>
  <c r="AI6" i="6"/>
  <c r="BO6" i="6" s="1"/>
  <c r="AI7" i="6"/>
  <c r="AI8" i="6"/>
  <c r="BO8" i="6" s="1"/>
  <c r="AI9" i="6"/>
  <c r="BO9" i="6" s="1"/>
  <c r="AI10" i="6"/>
  <c r="BO10" i="6" s="1"/>
  <c r="AI11" i="6"/>
  <c r="BO11" i="6" s="1"/>
  <c r="AI12" i="6"/>
  <c r="BO12" i="6" s="1"/>
  <c r="AI13" i="6"/>
  <c r="BO13" i="6" s="1"/>
  <c r="AI14" i="6"/>
  <c r="AI15" i="6"/>
  <c r="BO15" i="6" s="1"/>
  <c r="AI16" i="6"/>
  <c r="AI17" i="6"/>
  <c r="BO17" i="6" s="1"/>
  <c r="AI18" i="6"/>
  <c r="BO18" i="6" s="1"/>
  <c r="AI19" i="6"/>
  <c r="BO19" i="6" s="1"/>
  <c r="AI20" i="6"/>
  <c r="BO20" i="6" s="1"/>
  <c r="AI21" i="6"/>
  <c r="BO21" i="6" s="1"/>
  <c r="AI22" i="6"/>
  <c r="BO22" i="6" s="1"/>
  <c r="AI23" i="6"/>
  <c r="BO23" i="6" s="1"/>
  <c r="AI3" i="6"/>
  <c r="BO3" i="6" s="1"/>
  <c r="BQ3" i="6" s="1"/>
  <c r="BO16" i="6" l="1"/>
  <c r="BO14" i="6"/>
  <c r="BO7" i="6"/>
  <c r="J37" i="82"/>
  <c r="Q43" i="78"/>
  <c r="J37" i="78"/>
  <c r="P37" i="78" s="1"/>
  <c r="J37" i="89"/>
  <c r="J37" i="96"/>
  <c r="Q37" i="96" s="1"/>
  <c r="J37" i="92"/>
  <c r="Q37" i="92" s="1"/>
  <c r="J37" i="88"/>
  <c r="J37" i="80"/>
  <c r="J37" i="93"/>
  <c r="J37" i="91"/>
  <c r="J37" i="94"/>
  <c r="J37" i="95"/>
  <c r="J37" i="90"/>
  <c r="J37" i="87"/>
  <c r="J37" i="86"/>
  <c r="J37" i="85"/>
  <c r="Q37" i="85" s="1"/>
  <c r="J37" i="84"/>
  <c r="Q37" i="84" s="1"/>
  <c r="J37" i="83"/>
  <c r="Q37" i="83" s="1"/>
  <c r="J37" i="81"/>
  <c r="J37" i="79"/>
  <c r="G30" i="64"/>
  <c r="B31" i="64" s="1"/>
  <c r="Q37" i="93" l="1"/>
  <c r="Q37" i="91"/>
  <c r="L37" i="78"/>
  <c r="L37" i="79" s="1"/>
  <c r="L37" i="80" s="1"/>
  <c r="K37" i="78"/>
  <c r="K37" i="79" s="1"/>
  <c r="K37" i="80" s="1"/>
  <c r="Q37" i="78"/>
  <c r="Q37" i="88"/>
  <c r="Q37" i="82"/>
  <c r="Q37" i="80"/>
  <c r="Q37" i="89"/>
  <c r="Q37" i="94"/>
  <c r="Q37" i="95"/>
  <c r="Q37" i="90"/>
  <c r="Q37" i="87"/>
  <c r="Q37" i="86"/>
  <c r="Q37" i="81"/>
  <c r="Q37" i="79"/>
  <c r="G31" i="64"/>
  <c r="B32" i="64" s="1"/>
  <c r="L37" i="81" l="1"/>
  <c r="L37" i="82" s="1"/>
  <c r="L37" i="83" s="1"/>
  <c r="L37" i="84" s="1"/>
  <c r="L37" i="85" s="1"/>
  <c r="L37" i="86" s="1"/>
  <c r="L37" i="87" s="1"/>
  <c r="L37" i="88" s="1"/>
  <c r="L37" i="89" s="1"/>
  <c r="L37" i="90" s="1"/>
  <c r="K37" i="81"/>
  <c r="K37" i="82" s="1"/>
  <c r="K37" i="83" s="1"/>
  <c r="K37" i="84" s="1"/>
  <c r="K37" i="85" s="1"/>
  <c r="K37" i="86" s="1"/>
  <c r="K37" i="87" s="1"/>
  <c r="K37" i="88" s="1"/>
  <c r="K37" i="89" s="1"/>
  <c r="K37" i="90" s="1"/>
  <c r="G32" i="64"/>
  <c r="K37" i="91" l="1"/>
  <c r="K37" i="92" s="1"/>
  <c r="L37" i="91"/>
  <c r="L37" i="92" s="1"/>
  <c r="G33" i="64"/>
  <c r="L37" i="93" l="1"/>
  <c r="L37" i="94" s="1"/>
  <c r="L37" i="95" s="1"/>
  <c r="L37" i="96" s="1"/>
  <c r="L37" i="42" s="1"/>
  <c r="K37" i="93"/>
  <c r="K37" i="94" s="1"/>
  <c r="K37" i="95" s="1"/>
  <c r="K37" i="96" s="1"/>
  <c r="K37" i="42" s="1"/>
  <c r="AJ4" i="2"/>
  <c r="AJ5" i="2"/>
  <c r="AJ6" i="2"/>
  <c r="AJ7" i="2"/>
  <c r="AJ8" i="2"/>
  <c r="AJ3" i="2"/>
  <c r="T7" i="1" l="1"/>
  <c r="K15" i="67" l="1"/>
  <c r="K15" i="68" s="1"/>
  <c r="K15" i="69" s="1"/>
  <c r="K15" i="70" l="1"/>
  <c r="K15" i="71" s="1"/>
  <c r="K15" i="72" s="1"/>
  <c r="K15" i="73" s="1"/>
  <c r="K15" i="74" s="1"/>
  <c r="K15" i="75" s="1"/>
  <c r="K15" i="76" s="1"/>
  <c r="K15" i="77" s="1"/>
  <c r="J15" i="67"/>
  <c r="G37" i="68" l="1"/>
  <c r="G37" i="69" s="1"/>
  <c r="H37" i="68"/>
  <c r="H37" i="69" s="1"/>
  <c r="J15" i="68"/>
  <c r="J15" i="69" l="1"/>
  <c r="J15" i="70" s="1"/>
  <c r="J15" i="71" l="1"/>
  <c r="J15" i="72" s="1"/>
  <c r="J15" i="73" l="1"/>
  <c r="K37" i="67"/>
  <c r="J15" i="74" l="1"/>
  <c r="L37" i="67"/>
  <c r="BN4" i="6"/>
  <c r="BQ4" i="6" s="1"/>
  <c r="I37" i="79" l="1"/>
  <c r="P37" i="79" s="1"/>
  <c r="BN5" i="6"/>
  <c r="BQ5" i="6" s="1"/>
  <c r="J15" i="75"/>
  <c r="BN6" i="6" l="1"/>
  <c r="BQ6" i="6" s="1"/>
  <c r="I37" i="80"/>
  <c r="P37" i="80" s="1"/>
  <c r="J15" i="76"/>
  <c r="O37" i="73" l="1"/>
  <c r="N37" i="73"/>
  <c r="N37" i="74" s="1"/>
  <c r="N40" i="74" s="1"/>
  <c r="I37" i="81"/>
  <c r="P37" i="81" s="1"/>
  <c r="BN7" i="6"/>
  <c r="BQ7" i="6" s="1"/>
  <c r="J15" i="77"/>
  <c r="AH33" i="55"/>
  <c r="AV30" i="12"/>
  <c r="O37" i="74" l="1"/>
  <c r="O40" i="74" s="1"/>
  <c r="AV32" i="12"/>
  <c r="AU32" i="12"/>
  <c r="AU31" i="12"/>
  <c r="AV31" i="12"/>
  <c r="AU30" i="12"/>
  <c r="I37" i="82"/>
  <c r="P37" i="82" s="1"/>
  <c r="BN8" i="6"/>
  <c r="BQ8" i="6" s="1"/>
  <c r="O37" i="77" l="1"/>
  <c r="AV33" i="12"/>
  <c r="AU33" i="12"/>
  <c r="I37" i="83"/>
  <c r="P37" i="83" s="1"/>
  <c r="BN9" i="6"/>
  <c r="BQ9" i="6" s="1"/>
  <c r="N37" i="77" l="1"/>
  <c r="I37" i="84"/>
  <c r="P37" i="84" s="1"/>
  <c r="BN10" i="6"/>
  <c r="BQ10" i="6" s="1"/>
  <c r="I37" i="85" l="1"/>
  <c r="P37" i="85" s="1"/>
  <c r="BN11" i="6"/>
  <c r="BQ11" i="6" s="1"/>
  <c r="S33" i="3"/>
  <c r="I37" i="86" l="1"/>
  <c r="P37" i="86" s="1"/>
  <c r="BN12" i="6"/>
  <c r="BQ12" i="6" s="1"/>
  <c r="I37" i="87" l="1"/>
  <c r="P37" i="87" s="1"/>
  <c r="BN13" i="6"/>
  <c r="BQ13" i="6" s="1"/>
  <c r="I37" i="88" l="1"/>
  <c r="P37" i="88" s="1"/>
  <c r="BN14" i="6"/>
  <c r="BQ14" i="6" s="1"/>
  <c r="F37" i="70"/>
  <c r="F37" i="76"/>
  <c r="J37" i="69"/>
  <c r="Q37" i="69" s="1"/>
  <c r="J37" i="70"/>
  <c r="Q37" i="70" s="1"/>
  <c r="BO27" i="6"/>
  <c r="BO29" i="6"/>
  <c r="BO30" i="6"/>
  <c r="BO31" i="6"/>
  <c r="BO32" i="6"/>
  <c r="BO33" i="6"/>
  <c r="J37" i="72" l="1"/>
  <c r="BO28" i="6"/>
  <c r="F37" i="74"/>
  <c r="F37" i="75"/>
  <c r="F37" i="73"/>
  <c r="F37" i="71"/>
  <c r="F37" i="72"/>
  <c r="Q37" i="72" s="1"/>
  <c r="H37" i="70"/>
  <c r="G37" i="70"/>
  <c r="I37" i="89"/>
  <c r="P37" i="89" s="1"/>
  <c r="BN15" i="6"/>
  <c r="BQ15" i="6" s="1"/>
  <c r="AH35" i="6"/>
  <c r="F37" i="77"/>
  <c r="J37" i="77"/>
  <c r="J37" i="76"/>
  <c r="Q37" i="76" s="1"/>
  <c r="J37" i="75"/>
  <c r="J37" i="73"/>
  <c r="J37" i="74"/>
  <c r="J37" i="71"/>
  <c r="AV27" i="12"/>
  <c r="AJ27" i="6"/>
  <c r="AJ31" i="6"/>
  <c r="AJ30" i="6"/>
  <c r="AJ29" i="6"/>
  <c r="AJ32" i="6"/>
  <c r="AJ28" i="6"/>
  <c r="AJ33" i="6"/>
  <c r="Q37" i="74" l="1"/>
  <c r="H37" i="71"/>
  <c r="Q37" i="71"/>
  <c r="Q37" i="73"/>
  <c r="G37" i="71"/>
  <c r="Q37" i="75"/>
  <c r="Q37" i="77"/>
  <c r="I37" i="90"/>
  <c r="P37" i="90" s="1"/>
  <c r="BN16" i="6"/>
  <c r="BQ16" i="6" s="1"/>
  <c r="G37" i="72" l="1"/>
  <c r="G37" i="73" s="1"/>
  <c r="G37" i="74" s="1"/>
  <c r="G37" i="77" s="1"/>
  <c r="H37" i="72"/>
  <c r="H37" i="73" s="1"/>
  <c r="H37" i="74" s="1"/>
  <c r="H37" i="75" s="1"/>
  <c r="H37" i="77" s="1"/>
  <c r="I37" i="91"/>
  <c r="P37" i="91" s="1"/>
  <c r="BN17" i="6"/>
  <c r="BQ17" i="6" s="1"/>
  <c r="I37" i="92" l="1"/>
  <c r="P37" i="92" s="1"/>
  <c r="BN18" i="6"/>
  <c r="BQ18" i="6" s="1"/>
  <c r="I37" i="93" l="1"/>
  <c r="P37" i="93" s="1"/>
  <c r="BN19" i="6"/>
  <c r="BQ19" i="6" s="1"/>
  <c r="BP34" i="6"/>
  <c r="I37" i="94" l="1"/>
  <c r="P37" i="94" s="1"/>
  <c r="BN20" i="6"/>
  <c r="BQ20" i="6" s="1"/>
  <c r="I37" i="95" l="1"/>
  <c r="P37" i="95" s="1"/>
  <c r="BN21" i="6"/>
  <c r="BQ21" i="6" s="1"/>
  <c r="I37" i="96" l="1"/>
  <c r="P37" i="96" s="1"/>
  <c r="BN22" i="6"/>
  <c r="BQ22" i="6" s="1"/>
  <c r="J37" i="68"/>
  <c r="AI35" i="6"/>
  <c r="AI34" i="6"/>
  <c r="AH34" i="6"/>
  <c r="BO35" i="6"/>
  <c r="L37" i="68" l="1"/>
  <c r="K37" i="68"/>
  <c r="K37" i="69" s="1"/>
  <c r="K37" i="70" s="1"/>
  <c r="K37" i="71" s="1"/>
  <c r="AV25" i="12"/>
  <c r="AC42" i="97"/>
  <c r="Q37" i="68"/>
  <c r="I37" i="42"/>
  <c r="P37" i="42" s="1"/>
  <c r="BN23" i="6"/>
  <c r="BQ23" i="6" s="1"/>
  <c r="BO34" i="6"/>
  <c r="AJ34" i="6"/>
  <c r="K37" i="72" l="1"/>
  <c r="K37" i="73" s="1"/>
  <c r="K37" i="77" s="1"/>
  <c r="L37" i="70"/>
  <c r="L37" i="71" s="1"/>
  <c r="I37" i="67"/>
  <c r="P37" i="67" s="1"/>
  <c r="BN24" i="6"/>
  <c r="BQ24" i="6" s="1"/>
  <c r="L37" i="72" l="1"/>
  <c r="L37" i="77" s="1"/>
  <c r="BN25" i="6"/>
  <c r="BQ25" i="6" s="1"/>
  <c r="I37" i="68"/>
  <c r="P37" i="68" s="1"/>
  <c r="BN26" i="6" l="1"/>
  <c r="BQ26" i="6" s="1"/>
  <c r="I37" i="69"/>
  <c r="P37" i="69" s="1"/>
  <c r="BN27" i="6" l="1"/>
  <c r="BQ27" i="6" s="1"/>
  <c r="I37" i="70"/>
  <c r="P37" i="70" s="1"/>
  <c r="BN28" i="6" l="1"/>
  <c r="BQ28" i="6" s="1"/>
  <c r="I37" i="71"/>
  <c r="P37" i="71" s="1"/>
  <c r="BN29" i="6" l="1"/>
  <c r="BQ29" i="6" s="1"/>
  <c r="I37" i="72"/>
  <c r="P37" i="72" s="1"/>
  <c r="I37" i="73" l="1"/>
  <c r="P37" i="73" s="1"/>
  <c r="BN30" i="6"/>
  <c r="BQ30" i="6" s="1"/>
  <c r="I37" i="74" l="1"/>
  <c r="P37" i="74" s="1"/>
  <c r="BN31" i="6"/>
  <c r="BQ31" i="6" s="1"/>
  <c r="I37" i="75" l="1"/>
  <c r="I40" i="75" s="1"/>
  <c r="BN32" i="6"/>
  <c r="BQ32" i="6" s="1"/>
  <c r="P37" i="75" l="1"/>
  <c r="I37" i="76"/>
  <c r="P37" i="76" s="1"/>
  <c r="BN33" i="6"/>
  <c r="BQ33" i="6" s="1"/>
  <c r="I37" i="77" l="1"/>
  <c r="P37" i="77" s="1"/>
  <c r="AT25" i="12" l="1"/>
  <c r="AQ4" i="2"/>
  <c r="AQ5" i="2"/>
  <c r="AQ6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3" i="2"/>
  <c r="AU8" i="12" l="1"/>
  <c r="AG8" i="12" l="1"/>
  <c r="AM8" i="12" s="1"/>
  <c r="AT8" i="12"/>
  <c r="EK7" i="1" l="1"/>
  <c r="ET7" i="1" s="1"/>
  <c r="AL8" i="12"/>
  <c r="I18" i="82" l="1"/>
  <c r="EU7" i="1"/>
  <c r="M34" i="82"/>
  <c r="Q32" i="3" l="1"/>
  <c r="AH32" i="3" s="1"/>
  <c r="AH40" i="12"/>
  <c r="AG42" i="97" s="1"/>
  <c r="G34" i="6"/>
  <c r="N34" i="6"/>
  <c r="S34" i="6"/>
  <c r="U38" i="6" s="1"/>
  <c r="P34" i="55" l="1"/>
  <c r="U34" i="3"/>
  <c r="V33" i="3"/>
  <c r="S34" i="3" s="1"/>
  <c r="Z33" i="3"/>
  <c r="W34" i="3" s="1"/>
  <c r="Y34" i="3"/>
  <c r="AH33" i="3"/>
  <c r="O34" i="6"/>
  <c r="Z34" i="3" l="1"/>
  <c r="V34" i="3"/>
  <c r="I33" i="1"/>
  <c r="Z33" i="6" l="1"/>
  <c r="W33" i="55" s="1"/>
  <c r="CN33" i="6" l="1"/>
  <c r="BG33" i="6"/>
  <c r="J35" i="77"/>
  <c r="BK33" i="6"/>
  <c r="J36" i="77"/>
  <c r="F35" i="77"/>
  <c r="F36" i="77"/>
  <c r="K33" i="6"/>
  <c r="M31" i="77" s="1"/>
  <c r="N33" i="1"/>
  <c r="F40" i="77" l="1"/>
  <c r="J40" i="77"/>
  <c r="Q35" i="77"/>
  <c r="Q36" i="77"/>
  <c r="J33" i="1"/>
  <c r="I52" i="77" l="1"/>
  <c r="Q40" i="77"/>
  <c r="J52" i="77"/>
  <c r="L52" i="77"/>
  <c r="L34" i="6" l="1"/>
  <c r="K33" i="55" l="1"/>
  <c r="C34" i="55"/>
  <c r="C36" i="55" s="1"/>
  <c r="F34" i="55"/>
  <c r="F36" i="55" s="1"/>
  <c r="G34" i="55"/>
  <c r="H34" i="55"/>
  <c r="I34" i="55"/>
  <c r="J34" i="55"/>
  <c r="F33" i="6"/>
  <c r="O33" i="6"/>
  <c r="X33" i="6"/>
  <c r="AA33" i="6"/>
  <c r="AD33" i="6"/>
  <c r="AG33" i="6"/>
  <c r="BZ34" i="6"/>
  <c r="BL34" i="6"/>
  <c r="CA34" i="6"/>
  <c r="M53" i="77" l="1"/>
  <c r="K52" i="77"/>
  <c r="V3" i="55"/>
  <c r="P33" i="1"/>
  <c r="I3" i="1"/>
  <c r="D34" i="1"/>
  <c r="S34" i="2"/>
  <c r="R34" i="2"/>
  <c r="N34" i="2"/>
  <c r="M34" i="2"/>
  <c r="J34" i="2"/>
  <c r="J35" i="2" s="1"/>
  <c r="I34" i="2"/>
  <c r="I35" i="2" s="1"/>
  <c r="E34" i="2"/>
  <c r="D34" i="2"/>
  <c r="H9" i="80" l="1"/>
  <c r="H9" i="81" s="1"/>
  <c r="H9" i="82" s="1"/>
  <c r="H9" i="83" s="1"/>
  <c r="H9" i="84" s="1"/>
  <c r="H9" i="85" s="1"/>
  <c r="H9" i="86" s="1"/>
  <c r="H9" i="87" s="1"/>
  <c r="H9" i="88" s="1"/>
  <c r="H9" i="89" s="1"/>
  <c r="H9" i="90" s="1"/>
  <c r="H9" i="91" s="1"/>
  <c r="H9" i="92" s="1"/>
  <c r="H9" i="93" s="1"/>
  <c r="H9" i="94" s="1"/>
  <c r="H9" i="95" s="1"/>
  <c r="H9" i="96" s="1"/>
  <c r="H9" i="42" s="1"/>
  <c r="E35" i="2"/>
  <c r="K9" i="79"/>
  <c r="K9" i="80" s="1"/>
  <c r="K9" i="81" s="1"/>
  <c r="K9" i="82" s="1"/>
  <c r="K9" i="83" s="1"/>
  <c r="K9" i="84" s="1"/>
  <c r="K9" i="85" s="1"/>
  <c r="K9" i="86" s="1"/>
  <c r="K9" i="87" s="1"/>
  <c r="K9" i="88" s="1"/>
  <c r="K9" i="89" s="1"/>
  <c r="K9" i="90" s="1"/>
  <c r="K9" i="91" s="1"/>
  <c r="K9" i="92" s="1"/>
  <c r="K9" i="93" s="1"/>
  <c r="K9" i="94" s="1"/>
  <c r="K9" i="95" s="1"/>
  <c r="K9" i="96" s="1"/>
  <c r="K9" i="42" s="1"/>
  <c r="M35" i="2"/>
  <c r="H10" i="78"/>
  <c r="H10" i="79" s="1"/>
  <c r="H10" i="80" s="1"/>
  <c r="H10" i="81" s="1"/>
  <c r="H10" i="82" s="1"/>
  <c r="H10" i="83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42" s="1"/>
  <c r="H10" i="67" s="1"/>
  <c r="H10" i="68" s="1"/>
  <c r="N35" i="2"/>
  <c r="K10" i="78"/>
  <c r="K10" i="79" s="1"/>
  <c r="K10" i="80" s="1"/>
  <c r="K10" i="81" s="1"/>
  <c r="K10" i="82" s="1"/>
  <c r="K10" i="83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42" s="1"/>
  <c r="K10" i="67" s="1"/>
  <c r="K10" i="68" s="1"/>
  <c r="S35" i="2"/>
  <c r="K12" i="78"/>
  <c r="K12" i="79" s="1"/>
  <c r="K12" i="80" s="1"/>
  <c r="K12" i="81" s="1"/>
  <c r="K12" i="82" s="1"/>
  <c r="K12" i="83" s="1"/>
  <c r="K12" i="84" s="1"/>
  <c r="K12" i="85" s="1"/>
  <c r="K12" i="86" s="1"/>
  <c r="K12" i="87" s="1"/>
  <c r="K12" i="88" s="1"/>
  <c r="K12" i="89" s="1"/>
  <c r="K12" i="90" s="1"/>
  <c r="K12" i="91" s="1"/>
  <c r="K12" i="92" s="1"/>
  <c r="K12" i="93" s="1"/>
  <c r="K12" i="94" s="1"/>
  <c r="K12" i="95" s="1"/>
  <c r="K12" i="96" s="1"/>
  <c r="K12" i="42" s="1"/>
  <c r="K12" i="67" s="1"/>
  <c r="K12" i="68" s="1"/>
  <c r="R35" i="2"/>
  <c r="H12" i="78"/>
  <c r="H12" i="79" s="1"/>
  <c r="H12" i="80" s="1"/>
  <c r="H12" i="81" s="1"/>
  <c r="H12" i="82" s="1"/>
  <c r="H12" i="83" s="1"/>
  <c r="H12" i="84" s="1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42" s="1"/>
  <c r="H12" i="67" s="1"/>
  <c r="H12" i="68" s="1"/>
  <c r="AH32" i="55"/>
  <c r="AH31" i="55"/>
  <c r="AH30" i="55"/>
  <c r="AH29" i="55"/>
  <c r="AH28" i="55"/>
  <c r="AH27" i="55"/>
  <c r="AH26" i="55"/>
  <c r="AH25" i="55"/>
  <c r="AH24" i="55"/>
  <c r="AH23" i="55"/>
  <c r="AU25" i="12" l="1"/>
  <c r="AG25" i="12"/>
  <c r="AM25" i="12" s="1"/>
  <c r="EK24" i="1" l="1"/>
  <c r="I18" i="68" s="1"/>
  <c r="AL25" i="12"/>
  <c r="AO40" i="12"/>
  <c r="AN42" i="97" s="1"/>
  <c r="ET24" i="1" l="1"/>
  <c r="M34" i="68"/>
  <c r="AJ9" i="2"/>
  <c r="AJ10" i="2"/>
  <c r="AJ11" i="2"/>
  <c r="AJ12" i="2"/>
  <c r="AJ13" i="2"/>
  <c r="AJ14" i="2"/>
  <c r="AJ15" i="2"/>
  <c r="K12" i="55" l="1"/>
  <c r="K13" i="55"/>
  <c r="K14" i="55"/>
  <c r="K15" i="55"/>
  <c r="K16" i="55"/>
  <c r="K17" i="55"/>
  <c r="K18" i="55"/>
  <c r="K19" i="55"/>
  <c r="K21" i="55"/>
  <c r="K22" i="55"/>
  <c r="K23" i="55"/>
  <c r="K31" i="55"/>
  <c r="K32" i="55"/>
  <c r="K34" i="55" l="1"/>
  <c r="AN41" i="12" l="1"/>
  <c r="K22" i="6" l="1"/>
  <c r="M31" i="42" l="1"/>
  <c r="J22" i="1"/>
  <c r="J19" i="1" l="1"/>
  <c r="K21" i="6"/>
  <c r="K23" i="6"/>
  <c r="M31" i="68"/>
  <c r="M31" i="69"/>
  <c r="M31" i="70"/>
  <c r="K27" i="6"/>
  <c r="M31" i="71" s="1"/>
  <c r="K28" i="6"/>
  <c r="M31" i="72" s="1"/>
  <c r="K29" i="6"/>
  <c r="M31" i="73" s="1"/>
  <c r="K30" i="6"/>
  <c r="M31" i="74" s="1"/>
  <c r="K31" i="6"/>
  <c r="M31" i="75" s="1"/>
  <c r="K32" i="6"/>
  <c r="M31" i="76" s="1"/>
  <c r="M31" i="96" l="1"/>
  <c r="J21" i="1"/>
  <c r="M31" i="67"/>
  <c r="J23" i="1"/>
  <c r="K20" i="6"/>
  <c r="K18" i="6"/>
  <c r="M31" i="93" s="1"/>
  <c r="M31" i="95" l="1"/>
  <c r="J20" i="1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17" i="2"/>
  <c r="AO32" i="2" l="1"/>
  <c r="AP32" i="2"/>
  <c r="AM32" i="2"/>
  <c r="AN32" i="2"/>
  <c r="AO31" i="2"/>
  <c r="AP31" i="2"/>
  <c r="AM31" i="2"/>
  <c r="AN31" i="2"/>
  <c r="AN30" i="2"/>
  <c r="AO30" i="2"/>
  <c r="AP30" i="2"/>
  <c r="AM30" i="2"/>
  <c r="AP29" i="2"/>
  <c r="AM29" i="2"/>
  <c r="AN29" i="2"/>
  <c r="AO29" i="2"/>
  <c r="AO28" i="2"/>
  <c r="AN28" i="2"/>
  <c r="AP28" i="2"/>
  <c r="AM28" i="2"/>
  <c r="AO27" i="2"/>
  <c r="AP27" i="2"/>
  <c r="AN27" i="2"/>
  <c r="AM27" i="2"/>
  <c r="AO26" i="2"/>
  <c r="AP26" i="2"/>
  <c r="AN26" i="2"/>
  <c r="AM26" i="2"/>
  <c r="AO25" i="2"/>
  <c r="AP25" i="2"/>
  <c r="AN25" i="2"/>
  <c r="AM25" i="2"/>
  <c r="AM24" i="2"/>
  <c r="AN24" i="2"/>
  <c r="AO24" i="2"/>
  <c r="AP24" i="2"/>
  <c r="AM23" i="2"/>
  <c r="AP23" i="2"/>
  <c r="AN23" i="2"/>
  <c r="AO23" i="2"/>
  <c r="AM22" i="2"/>
  <c r="AN22" i="2"/>
  <c r="AP22" i="2"/>
  <c r="AO22" i="2"/>
  <c r="AM21" i="2"/>
  <c r="AN21" i="2"/>
  <c r="AO21" i="2"/>
  <c r="AP21" i="2"/>
  <c r="AM20" i="2"/>
  <c r="AN20" i="2"/>
  <c r="AO20" i="2"/>
  <c r="AP20" i="2"/>
  <c r="AP19" i="2"/>
  <c r="AM19" i="2"/>
  <c r="AN19" i="2"/>
  <c r="AO19" i="2"/>
  <c r="AM18" i="2"/>
  <c r="AN18" i="2"/>
  <c r="AO18" i="2"/>
  <c r="AP18" i="2"/>
  <c r="AP17" i="2"/>
  <c r="AO17" i="2"/>
  <c r="AN17" i="2"/>
  <c r="AM17" i="2"/>
  <c r="AJ16" i="2" l="1"/>
  <c r="Z4" i="6" l="1"/>
  <c r="Z5" i="6"/>
  <c r="Z6" i="6"/>
  <c r="W6" i="55" s="1"/>
  <c r="Z7" i="6"/>
  <c r="Z8" i="6"/>
  <c r="Z9" i="6"/>
  <c r="Z10" i="6"/>
  <c r="Z11" i="6"/>
  <c r="Z13" i="6"/>
  <c r="Z14" i="6"/>
  <c r="Z15" i="6"/>
  <c r="Z16" i="6"/>
  <c r="Z17" i="6"/>
  <c r="Z18" i="6"/>
  <c r="Z19" i="6"/>
  <c r="Z20" i="6"/>
  <c r="Z21" i="6"/>
  <c r="Z22" i="6"/>
  <c r="W22" i="55" s="1"/>
  <c r="Z23" i="6"/>
  <c r="W23" i="55" s="1"/>
  <c r="Z27" i="6"/>
  <c r="W27" i="55" s="1"/>
  <c r="Z28" i="6"/>
  <c r="W28" i="55" s="1"/>
  <c r="Z29" i="6"/>
  <c r="W29" i="55" s="1"/>
  <c r="Z30" i="6"/>
  <c r="W30" i="55" s="1"/>
  <c r="Z31" i="6"/>
  <c r="W31" i="55" s="1"/>
  <c r="Z32" i="6"/>
  <c r="W32" i="55" s="1"/>
  <c r="Z3" i="6"/>
  <c r="AK26" i="2"/>
  <c r="AK27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24" i="1"/>
  <c r="I25" i="1"/>
  <c r="I26" i="1"/>
  <c r="I27" i="1"/>
  <c r="I28" i="1"/>
  <c r="I29" i="1"/>
  <c r="I30" i="1"/>
  <c r="I31" i="1"/>
  <c r="I32" i="1"/>
  <c r="K4" i="6"/>
  <c r="K5" i="6"/>
  <c r="M31" i="81"/>
  <c r="K7" i="6"/>
  <c r="M31" i="82" s="1"/>
  <c r="K8" i="6"/>
  <c r="M31" i="83" s="1"/>
  <c r="K9" i="6"/>
  <c r="M31" i="84" s="1"/>
  <c r="K10" i="6"/>
  <c r="M31" i="85" s="1"/>
  <c r="K11" i="6"/>
  <c r="M31" i="86" s="1"/>
  <c r="K12" i="6"/>
  <c r="M31" i="87" s="1"/>
  <c r="K13" i="6"/>
  <c r="M31" i="88" s="1"/>
  <c r="K14" i="6"/>
  <c r="M31" i="89" s="1"/>
  <c r="M31" i="90"/>
  <c r="K16" i="6"/>
  <c r="M31" i="91" s="1"/>
  <c r="M31" i="92"/>
  <c r="AH21" i="55" l="1"/>
  <c r="W21" i="55"/>
  <c r="AH15" i="55"/>
  <c r="W15" i="55"/>
  <c r="AH9" i="55"/>
  <c r="W9" i="55"/>
  <c r="AH20" i="55"/>
  <c r="W20" i="55"/>
  <c r="AH14" i="55"/>
  <c r="W14" i="55"/>
  <c r="AH8" i="55"/>
  <c r="W8" i="55"/>
  <c r="AH19" i="55"/>
  <c r="W19" i="55"/>
  <c r="AH13" i="55"/>
  <c r="W13" i="55"/>
  <c r="AH3" i="55"/>
  <c r="W3" i="55"/>
  <c r="AH18" i="55"/>
  <c r="W18" i="55"/>
  <c r="AH12" i="55"/>
  <c r="W12" i="55"/>
  <c r="AH17" i="55"/>
  <c r="W17" i="55"/>
  <c r="AH11" i="55"/>
  <c r="W11" i="55"/>
  <c r="AH16" i="55"/>
  <c r="W16" i="55"/>
  <c r="AH10" i="55"/>
  <c r="W10" i="55"/>
  <c r="AH4" i="55"/>
  <c r="W4" i="55"/>
  <c r="AH7" i="55"/>
  <c r="W7" i="55"/>
  <c r="AH6" i="55"/>
  <c r="AH5" i="55"/>
  <c r="W5" i="55"/>
  <c r="Z35" i="6"/>
  <c r="M31" i="79"/>
  <c r="AL35" i="1"/>
  <c r="M31" i="80"/>
  <c r="AI34" i="2"/>
  <c r="AK17" i="2"/>
  <c r="AK12" i="2"/>
  <c r="AK8" i="2"/>
  <c r="AK32" i="2"/>
  <c r="AK24" i="2"/>
  <c r="AK20" i="2"/>
  <c r="AK15" i="2"/>
  <c r="AK11" i="2"/>
  <c r="AK7" i="2"/>
  <c r="AK31" i="2"/>
  <c r="AK23" i="2"/>
  <c r="AK6" i="2"/>
  <c r="AK19" i="2"/>
  <c r="AK14" i="2"/>
  <c r="AK10" i="2"/>
  <c r="AK30" i="2"/>
  <c r="AK22" i="2"/>
  <c r="AK18" i="2"/>
  <c r="AK13" i="2"/>
  <c r="AK9" i="2"/>
  <c r="AK5" i="2"/>
  <c r="AK16" i="2"/>
  <c r="AK21" i="2"/>
  <c r="AK4" i="2"/>
  <c r="AK29" i="2"/>
  <c r="AK28" i="2"/>
  <c r="AK25" i="2"/>
  <c r="Z34" i="6"/>
  <c r="K3" i="6"/>
  <c r="I34" i="1"/>
  <c r="I35" i="1" s="1"/>
  <c r="D34" i="6"/>
  <c r="B36" i="55" s="1"/>
  <c r="I3" i="6" l="1"/>
  <c r="H4" i="6" s="1"/>
  <c r="I4" i="6" s="1"/>
  <c r="E36" i="55"/>
  <c r="Z39" i="6"/>
  <c r="K35" i="6"/>
  <c r="AH34" i="55"/>
  <c r="C37" i="55"/>
  <c r="F34" i="6"/>
  <c r="F14" i="80"/>
  <c r="K34" i="6"/>
  <c r="M31" i="78"/>
  <c r="P31" i="78" s="1"/>
  <c r="AA34" i="6"/>
  <c r="X34" i="6"/>
  <c r="V34" i="6"/>
  <c r="J3" i="1"/>
  <c r="K3" i="1" s="1"/>
  <c r="H4" i="1" s="1"/>
  <c r="E37" i="55" l="1"/>
  <c r="F37" i="55"/>
  <c r="F16" i="80"/>
  <c r="H14" i="80"/>
  <c r="G14" i="80"/>
  <c r="O31" i="78"/>
  <c r="O31" i="79" s="1"/>
  <c r="N31" i="78"/>
  <c r="N31" i="79" s="1"/>
  <c r="H14" i="81" l="1"/>
  <c r="H16" i="80"/>
  <c r="G14" i="81"/>
  <c r="G16" i="80"/>
  <c r="N31" i="80"/>
  <c r="N31" i="81" s="1"/>
  <c r="N31" i="82" s="1"/>
  <c r="N31" i="83" s="1"/>
  <c r="N31" i="84" s="1"/>
  <c r="N31" i="85" s="1"/>
  <c r="N31" i="86" s="1"/>
  <c r="N31" i="87" s="1"/>
  <c r="N31" i="88" s="1"/>
  <c r="N31" i="89" s="1"/>
  <c r="N31" i="90" s="1"/>
  <c r="N31" i="91" s="1"/>
  <c r="N31" i="92" s="1"/>
  <c r="N31" i="93" s="1"/>
  <c r="N31" i="94" s="1"/>
  <c r="N31" i="95" s="1"/>
  <c r="N31" i="96" s="1"/>
  <c r="N31" i="42" s="1"/>
  <c r="O31" i="80"/>
  <c r="O31" i="81" s="1"/>
  <c r="O31" i="82" s="1"/>
  <c r="O31" i="83" s="1"/>
  <c r="O31" i="84" s="1"/>
  <c r="O31" i="85" s="1"/>
  <c r="O31" i="86" s="1"/>
  <c r="O31" i="87" s="1"/>
  <c r="O31" i="88" s="1"/>
  <c r="O31" i="89" s="1"/>
  <c r="O31" i="90" s="1"/>
  <c r="O31" i="91" s="1"/>
  <c r="O31" i="92" s="1"/>
  <c r="O31" i="93" s="1"/>
  <c r="O31" i="94" s="1"/>
  <c r="O31" i="95" s="1"/>
  <c r="O31" i="96" s="1"/>
  <c r="O31" i="42" s="1"/>
  <c r="G14" i="82" l="1"/>
  <c r="G16" i="81"/>
  <c r="H14" i="82"/>
  <c r="H16" i="81"/>
  <c r="H14" i="83" l="1"/>
  <c r="H16" i="82"/>
  <c r="G14" i="83"/>
  <c r="G16" i="82"/>
  <c r="T35" i="12"/>
  <c r="T36" i="12"/>
  <c r="T37" i="12"/>
  <c r="T38" i="12"/>
  <c r="T39" i="12"/>
  <c r="G14" i="84" l="1"/>
  <c r="G16" i="83"/>
  <c r="H14" i="84"/>
  <c r="H16" i="83"/>
  <c r="H14" i="85" l="1"/>
  <c r="H16" i="84"/>
  <c r="G14" i="85"/>
  <c r="G16" i="84"/>
  <c r="G14" i="86" l="1"/>
  <c r="G16" i="85"/>
  <c r="H14" i="86"/>
  <c r="H14" i="87" s="1"/>
  <c r="H14" i="88" s="1"/>
  <c r="H16" i="88" s="1"/>
  <c r="H16" i="85"/>
  <c r="H16" i="86" l="1"/>
  <c r="G14" i="87"/>
  <c r="G16" i="86"/>
  <c r="T4" i="1"/>
  <c r="T5" i="1"/>
  <c r="T6" i="1"/>
  <c r="V6" i="1" s="1"/>
  <c r="T8" i="1"/>
  <c r="V8" i="1" s="1"/>
  <c r="T9" i="1"/>
  <c r="V9" i="1" s="1"/>
  <c r="T10" i="1"/>
  <c r="T11" i="1"/>
  <c r="T12" i="1"/>
  <c r="T13" i="1"/>
  <c r="T14" i="1"/>
  <c r="T15" i="1"/>
  <c r="T16" i="1"/>
  <c r="T17" i="1"/>
  <c r="T18" i="1"/>
  <c r="T24" i="1"/>
  <c r="T25" i="1"/>
  <c r="T26" i="1"/>
  <c r="T27" i="1"/>
  <c r="T28" i="1"/>
  <c r="T29" i="1"/>
  <c r="T30" i="1"/>
  <c r="T31" i="1"/>
  <c r="T32" i="1"/>
  <c r="T3" i="1"/>
  <c r="V7" i="1"/>
  <c r="V5" i="1" l="1"/>
  <c r="T34" i="1"/>
  <c r="T35" i="1" s="1"/>
  <c r="L16" i="78"/>
  <c r="G14" i="88"/>
  <c r="G16" i="87"/>
  <c r="H16" i="87"/>
  <c r="V3" i="1"/>
  <c r="V4" i="1"/>
  <c r="V28" i="1"/>
  <c r="V11" i="1"/>
  <c r="V32" i="1"/>
  <c r="V31" i="1"/>
  <c r="V29" i="1"/>
  <c r="V24" i="1"/>
  <c r="V25" i="1"/>
  <c r="V27" i="1"/>
  <c r="V17" i="1"/>
  <c r="V10" i="1"/>
  <c r="V30" i="1"/>
  <c r="V26" i="1"/>
  <c r="V18" i="1"/>
  <c r="V15" i="1"/>
  <c r="V14" i="1"/>
  <c r="V16" i="1"/>
  <c r="V13" i="1"/>
  <c r="V12" i="1"/>
  <c r="W3" i="1" l="1"/>
  <c r="V34" i="1"/>
  <c r="V35" i="1" s="1"/>
  <c r="H14" i="89"/>
  <c r="H16" i="89" s="1"/>
  <c r="G14" i="89"/>
  <c r="G16" i="89" s="1"/>
  <c r="G16" i="88"/>
  <c r="M10" i="12"/>
  <c r="N10" i="12"/>
  <c r="M11" i="12"/>
  <c r="N11" i="12"/>
  <c r="N12" i="12"/>
  <c r="M13" i="12"/>
  <c r="N13" i="12"/>
  <c r="M15" i="12"/>
  <c r="N15" i="12"/>
  <c r="M16" i="12"/>
  <c r="N16" i="12"/>
  <c r="M17" i="12"/>
  <c r="N17" i="12"/>
  <c r="M18" i="12"/>
  <c r="N18" i="12"/>
  <c r="N20" i="12"/>
  <c r="N22" i="12"/>
  <c r="N23" i="12"/>
  <c r="M24" i="12"/>
  <c r="N24" i="12"/>
  <c r="M25" i="12"/>
  <c r="N25" i="12"/>
  <c r="M27" i="12"/>
  <c r="N27" i="12"/>
  <c r="M30" i="12"/>
  <c r="N30" i="12"/>
  <c r="M31" i="12"/>
  <c r="N31" i="12"/>
  <c r="M32" i="12"/>
  <c r="N32" i="12"/>
  <c r="M33" i="12"/>
  <c r="N33" i="12"/>
  <c r="M40" i="12" l="1"/>
  <c r="M42" i="97" s="1"/>
  <c r="G14" i="90"/>
  <c r="H14" i="90"/>
  <c r="H14" i="91" l="1"/>
  <c r="H16" i="90"/>
  <c r="G14" i="91"/>
  <c r="G16" i="90"/>
  <c r="G14" i="92" l="1"/>
  <c r="G16" i="91"/>
  <c r="H14" i="92"/>
  <c r="H16" i="91"/>
  <c r="H14" i="93" l="1"/>
  <c r="H16" i="92"/>
  <c r="G14" i="93"/>
  <c r="G16" i="92"/>
  <c r="G14" i="94" l="1"/>
  <c r="G16" i="93"/>
  <c r="H14" i="94"/>
  <c r="H16" i="93"/>
  <c r="H14" i="95" l="1"/>
  <c r="H16" i="94"/>
  <c r="G14" i="95"/>
  <c r="G16" i="94"/>
  <c r="G14" i="96" l="1"/>
  <c r="G14" i="42" s="1"/>
  <c r="G16" i="42" s="1"/>
  <c r="G16" i="95"/>
  <c r="H14" i="96"/>
  <c r="H14" i="42" s="1"/>
  <c r="H16" i="42" s="1"/>
  <c r="H16" i="95"/>
  <c r="H16" i="96" l="1"/>
  <c r="G16" i="96"/>
  <c r="F3" i="6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P16" i="1" s="1"/>
  <c r="N17" i="1"/>
  <c r="P17" i="1" s="1"/>
  <c r="N18" i="1"/>
  <c r="P18" i="1" s="1"/>
  <c r="N24" i="1"/>
  <c r="N25" i="1"/>
  <c r="N26" i="1"/>
  <c r="N27" i="1"/>
  <c r="N28" i="1"/>
  <c r="N29" i="1"/>
  <c r="N30" i="1"/>
  <c r="N31" i="1"/>
  <c r="N32" i="1"/>
  <c r="AE4" i="6"/>
  <c r="F35" i="79" s="1"/>
  <c r="AF4" i="6"/>
  <c r="AE5" i="6"/>
  <c r="F35" i="80" s="1"/>
  <c r="AF5" i="6"/>
  <c r="AE6" i="6"/>
  <c r="F35" i="81" s="1"/>
  <c r="AF6" i="6"/>
  <c r="AE7" i="6"/>
  <c r="F35" i="82" s="1"/>
  <c r="AF7" i="6"/>
  <c r="BK7" i="6" s="1"/>
  <c r="AE8" i="6"/>
  <c r="F35" i="83" s="1"/>
  <c r="AF8" i="6"/>
  <c r="BK8" i="6" s="1"/>
  <c r="AE9" i="6"/>
  <c r="F35" i="84" s="1"/>
  <c r="AF9" i="6"/>
  <c r="BK9" i="6" s="1"/>
  <c r="AE10" i="6"/>
  <c r="AF10" i="6"/>
  <c r="BK10" i="6" s="1"/>
  <c r="AE11" i="6"/>
  <c r="AF11" i="6"/>
  <c r="BK11" i="6" s="1"/>
  <c r="AE12" i="6"/>
  <c r="AF12" i="6"/>
  <c r="BK12" i="6" s="1"/>
  <c r="AE13" i="6"/>
  <c r="AF13" i="6"/>
  <c r="BK13" i="6" s="1"/>
  <c r="AE14" i="6"/>
  <c r="AF14" i="6"/>
  <c r="BK14" i="6" s="1"/>
  <c r="AE15" i="6"/>
  <c r="AF15" i="6"/>
  <c r="BK15" i="6" s="1"/>
  <c r="AE16" i="6"/>
  <c r="AF16" i="6"/>
  <c r="BK16" i="6" s="1"/>
  <c r="AE17" i="6"/>
  <c r="AF17" i="6"/>
  <c r="BK17" i="6" s="1"/>
  <c r="AE18" i="6"/>
  <c r="AF18" i="6"/>
  <c r="BK18" i="6" s="1"/>
  <c r="AE19" i="6"/>
  <c r="AF19" i="6"/>
  <c r="BK19" i="6" s="1"/>
  <c r="AE20" i="6"/>
  <c r="AF20" i="6"/>
  <c r="BK20" i="6" s="1"/>
  <c r="AE21" i="6"/>
  <c r="AF21" i="6"/>
  <c r="AE22" i="6"/>
  <c r="AF22" i="6"/>
  <c r="BK22" i="6" s="1"/>
  <c r="AE23" i="6"/>
  <c r="AF23" i="6"/>
  <c r="BK23" i="6" s="1"/>
  <c r="F35" i="68"/>
  <c r="F40" i="68" s="1"/>
  <c r="F35" i="69"/>
  <c r="F35" i="70"/>
  <c r="F40" i="70" s="1"/>
  <c r="J35" i="70"/>
  <c r="AE27" i="6"/>
  <c r="BK27" i="6"/>
  <c r="BK28" i="6"/>
  <c r="BK29" i="6"/>
  <c r="BK30" i="6"/>
  <c r="BK31" i="6"/>
  <c r="AF3" i="6"/>
  <c r="AE3" i="6"/>
  <c r="AC4" i="6"/>
  <c r="CG4" i="6" s="1"/>
  <c r="AC5" i="6"/>
  <c r="AC6" i="6"/>
  <c r="AC7" i="6"/>
  <c r="CG7" i="6" s="1"/>
  <c r="AC8" i="6"/>
  <c r="AC9" i="6"/>
  <c r="CG9" i="6" s="1"/>
  <c r="AC10" i="6"/>
  <c r="CG10" i="6" s="1"/>
  <c r="AC11" i="6"/>
  <c r="AC12" i="6"/>
  <c r="CG12" i="6" s="1"/>
  <c r="AC13" i="6"/>
  <c r="CG13" i="6" s="1"/>
  <c r="AC14" i="6"/>
  <c r="AC15" i="6"/>
  <c r="CG15" i="6" s="1"/>
  <c r="AC16" i="6"/>
  <c r="CG16" i="6" s="1"/>
  <c r="AC17" i="6"/>
  <c r="AC18" i="6"/>
  <c r="CG18" i="6" s="1"/>
  <c r="AC19" i="6"/>
  <c r="CG19" i="6" s="1"/>
  <c r="AC20" i="6"/>
  <c r="AC21" i="6"/>
  <c r="CG21" i="6" s="1"/>
  <c r="AC22" i="6"/>
  <c r="CG22" i="6" s="1"/>
  <c r="AC23" i="6"/>
  <c r="J36" i="68"/>
  <c r="J36" i="69"/>
  <c r="J36" i="70"/>
  <c r="AC27" i="6"/>
  <c r="CG27" i="6" s="1"/>
  <c r="AC3" i="6"/>
  <c r="AB4" i="6"/>
  <c r="AB5" i="6"/>
  <c r="AB6" i="6"/>
  <c r="AB7" i="6"/>
  <c r="AB8" i="6"/>
  <c r="AB9" i="6"/>
  <c r="F36" i="88"/>
  <c r="F36" i="90"/>
  <c r="F36" i="92"/>
  <c r="F36" i="94"/>
  <c r="F36" i="95"/>
  <c r="F36" i="69"/>
  <c r="F36" i="73"/>
  <c r="F36" i="74"/>
  <c r="F36" i="75"/>
  <c r="AB3" i="6"/>
  <c r="M4" i="3"/>
  <c r="I24" i="79" s="1"/>
  <c r="M5" i="3"/>
  <c r="I24" i="80" s="1"/>
  <c r="M6" i="3"/>
  <c r="I24" i="81" s="1"/>
  <c r="M7" i="3"/>
  <c r="I24" i="82" s="1"/>
  <c r="M8" i="3"/>
  <c r="I24" i="83" s="1"/>
  <c r="M9" i="3"/>
  <c r="I24" i="84" s="1"/>
  <c r="M10" i="3"/>
  <c r="I24" i="85" s="1"/>
  <c r="M11" i="3"/>
  <c r="I24" i="86" s="1"/>
  <c r="M12" i="3"/>
  <c r="I24" i="87" s="1"/>
  <c r="M13" i="3"/>
  <c r="I24" i="88" s="1"/>
  <c r="M14" i="3"/>
  <c r="I24" i="89" s="1"/>
  <c r="M15" i="3"/>
  <c r="I24" i="90" s="1"/>
  <c r="M16" i="3"/>
  <c r="I24" i="91" s="1"/>
  <c r="M17" i="3"/>
  <c r="I24" i="92" s="1"/>
  <c r="M18" i="3"/>
  <c r="I24" i="93" s="1"/>
  <c r="I24" i="94"/>
  <c r="I24" i="95"/>
  <c r="I24" i="96"/>
  <c r="I24" i="68"/>
  <c r="I24" i="69"/>
  <c r="I24" i="70"/>
  <c r="I24" i="71"/>
  <c r="I24" i="72"/>
  <c r="I24" i="73"/>
  <c r="I24" i="74"/>
  <c r="I24" i="75"/>
  <c r="I24" i="76"/>
  <c r="I24" i="77"/>
  <c r="M3" i="3"/>
  <c r="I24" i="78" s="1"/>
  <c r="I4" i="3"/>
  <c r="I23" i="79" s="1"/>
  <c r="I5" i="3"/>
  <c r="I23" i="80" s="1"/>
  <c r="I6" i="3"/>
  <c r="I23" i="81" s="1"/>
  <c r="I7" i="3"/>
  <c r="I23" i="82" s="1"/>
  <c r="I8" i="3"/>
  <c r="I23" i="83" s="1"/>
  <c r="I9" i="3"/>
  <c r="I23" i="84" s="1"/>
  <c r="I10" i="3"/>
  <c r="I23" i="85" s="1"/>
  <c r="I11" i="3"/>
  <c r="I23" i="86" s="1"/>
  <c r="I12" i="3"/>
  <c r="I23" i="87" s="1"/>
  <c r="I13" i="3"/>
  <c r="I23" i="88" s="1"/>
  <c r="I14" i="3"/>
  <c r="I23" i="89" s="1"/>
  <c r="I15" i="3"/>
  <c r="I23" i="90" s="1"/>
  <c r="I16" i="3"/>
  <c r="I23" i="91" s="1"/>
  <c r="I17" i="3"/>
  <c r="I23" i="92" s="1"/>
  <c r="I23" i="93"/>
  <c r="I23" i="94"/>
  <c r="I23" i="95"/>
  <c r="I23" i="96"/>
  <c r="I23" i="42"/>
  <c r="I23" i="67"/>
  <c r="I23" i="68"/>
  <c r="I23" i="69"/>
  <c r="I23" i="70"/>
  <c r="I23" i="71"/>
  <c r="I23" i="72"/>
  <c r="I23" i="73"/>
  <c r="I23" i="74"/>
  <c r="I23" i="75"/>
  <c r="I23" i="76"/>
  <c r="I33" i="3"/>
  <c r="I23" i="77" s="1"/>
  <c r="I3" i="3"/>
  <c r="I23" i="78" s="1"/>
  <c r="C4" i="1"/>
  <c r="G4" i="1" s="1"/>
  <c r="CG6" i="6" l="1"/>
  <c r="CG3" i="6"/>
  <c r="CG20" i="6"/>
  <c r="CG14" i="6"/>
  <c r="CG8" i="6"/>
  <c r="CG23" i="6"/>
  <c r="CG17" i="6"/>
  <c r="CG11" i="6"/>
  <c r="CG5" i="6"/>
  <c r="EV5" i="1" s="1"/>
  <c r="J40" i="70"/>
  <c r="Q40" i="70" s="1"/>
  <c r="BK21" i="6"/>
  <c r="E11" i="79"/>
  <c r="L11" i="79" s="1"/>
  <c r="C5" i="1"/>
  <c r="G5" i="1" s="1"/>
  <c r="EV9" i="1"/>
  <c r="J36" i="84"/>
  <c r="EV3" i="1"/>
  <c r="EV13" i="1"/>
  <c r="EV7" i="1"/>
  <c r="BK32" i="6"/>
  <c r="J36" i="92"/>
  <c r="AG3" i="6"/>
  <c r="AD7" i="6"/>
  <c r="BG27" i="6"/>
  <c r="BG32" i="6"/>
  <c r="BG20" i="6"/>
  <c r="BG14" i="6"/>
  <c r="BG8" i="6"/>
  <c r="BG21" i="6"/>
  <c r="BG31" i="6"/>
  <c r="BG19" i="6"/>
  <c r="BG13" i="6"/>
  <c r="BG7" i="6"/>
  <c r="BG15" i="6"/>
  <c r="BG30" i="6"/>
  <c r="BG18" i="6"/>
  <c r="BG12" i="6"/>
  <c r="BG6" i="6"/>
  <c r="BG29" i="6"/>
  <c r="BG17" i="6"/>
  <c r="BG11" i="6"/>
  <c r="BG5" i="6"/>
  <c r="BG3" i="6"/>
  <c r="BI3" i="6" s="1"/>
  <c r="BG9" i="6"/>
  <c r="BG28" i="6"/>
  <c r="BG22" i="6"/>
  <c r="BG16" i="6"/>
  <c r="BG10" i="6"/>
  <c r="BG4" i="6"/>
  <c r="BG23" i="6"/>
  <c r="J35" i="78"/>
  <c r="P35" i="78" s="1"/>
  <c r="BK3" i="6"/>
  <c r="J35" i="79"/>
  <c r="BK4" i="6"/>
  <c r="J35" i="80"/>
  <c r="BK5" i="6"/>
  <c r="J35" i="81"/>
  <c r="BK6" i="6"/>
  <c r="Q36" i="70"/>
  <c r="CJ31" i="6"/>
  <c r="CJ29" i="6"/>
  <c r="CJ27" i="6"/>
  <c r="CJ20" i="6"/>
  <c r="CJ18" i="6"/>
  <c r="CJ16" i="6"/>
  <c r="CJ14" i="6"/>
  <c r="CJ12" i="6"/>
  <c r="CJ10" i="6"/>
  <c r="CJ30" i="6"/>
  <c r="CJ28" i="6"/>
  <c r="CJ21" i="6"/>
  <c r="CJ19" i="6"/>
  <c r="CJ17" i="6"/>
  <c r="CJ15" i="6"/>
  <c r="CJ13" i="6"/>
  <c r="CJ11" i="6"/>
  <c r="J36" i="71"/>
  <c r="J36" i="90"/>
  <c r="J36" i="74"/>
  <c r="Q36" i="74" s="1"/>
  <c r="J36" i="93"/>
  <c r="J36" i="89"/>
  <c r="J36" i="85"/>
  <c r="J36" i="81"/>
  <c r="J36" i="75"/>
  <c r="Q36" i="75" s="1"/>
  <c r="J36" i="94"/>
  <c r="J36" i="86"/>
  <c r="J36" i="73"/>
  <c r="J36" i="96"/>
  <c r="J40" i="96" s="1"/>
  <c r="J36" i="88"/>
  <c r="Q36" i="88" s="1"/>
  <c r="J36" i="76"/>
  <c r="J36" i="72"/>
  <c r="Q36" i="72" s="1"/>
  <c r="J36" i="95"/>
  <c r="J36" i="91"/>
  <c r="J36" i="87"/>
  <c r="J36" i="83"/>
  <c r="J36" i="79"/>
  <c r="J40" i="79" s="1"/>
  <c r="J36" i="82"/>
  <c r="Q41" i="78"/>
  <c r="Q46" i="78"/>
  <c r="CJ6" i="6"/>
  <c r="CJ5" i="6"/>
  <c r="CJ8" i="6"/>
  <c r="CJ4" i="6"/>
  <c r="CJ22" i="6"/>
  <c r="CJ7" i="6"/>
  <c r="CJ9" i="6"/>
  <c r="CJ23" i="6"/>
  <c r="CJ3" i="6"/>
  <c r="F35" i="73"/>
  <c r="F35" i="71"/>
  <c r="F35" i="95"/>
  <c r="F40" i="95" s="1"/>
  <c r="F35" i="93"/>
  <c r="F40" i="93" s="1"/>
  <c r="F35" i="91"/>
  <c r="F35" i="89"/>
  <c r="F35" i="87"/>
  <c r="F35" i="85"/>
  <c r="F35" i="74"/>
  <c r="F35" i="72"/>
  <c r="F35" i="96"/>
  <c r="F35" i="94"/>
  <c r="F40" i="94" s="1"/>
  <c r="F35" i="92"/>
  <c r="F40" i="92" s="1"/>
  <c r="F35" i="90"/>
  <c r="F40" i="90" s="1"/>
  <c r="F35" i="88"/>
  <c r="F40" i="88" s="1"/>
  <c r="F35" i="86"/>
  <c r="F35" i="76"/>
  <c r="F35" i="75"/>
  <c r="J35" i="72"/>
  <c r="Q35" i="70"/>
  <c r="J24" i="78"/>
  <c r="J24" i="79" s="1"/>
  <c r="J24" i="80" s="1"/>
  <c r="J24" i="81" s="1"/>
  <c r="J24" i="82" s="1"/>
  <c r="J24" i="83" s="1"/>
  <c r="J24" i="84" s="1"/>
  <c r="J24" i="85" s="1"/>
  <c r="J24" i="86" s="1"/>
  <c r="J24" i="87" s="1"/>
  <c r="J24" i="88" s="1"/>
  <c r="J24" i="89" s="1"/>
  <c r="J24" i="90" s="1"/>
  <c r="J24" i="91" s="1"/>
  <c r="J24" i="92" s="1"/>
  <c r="J24" i="93" s="1"/>
  <c r="J24" i="94" s="1"/>
  <c r="J24" i="95" s="1"/>
  <c r="J24" i="96" s="1"/>
  <c r="J24" i="42" s="1"/>
  <c r="J24" i="67" s="1"/>
  <c r="J24" i="68" s="1"/>
  <c r="J24" i="69" s="1"/>
  <c r="L24" i="78"/>
  <c r="AF35" i="6"/>
  <c r="AB35" i="6"/>
  <c r="AE35" i="6"/>
  <c r="F35" i="78"/>
  <c r="J36" i="78"/>
  <c r="P36" i="78" s="1"/>
  <c r="AC35" i="6"/>
  <c r="J35" i="90"/>
  <c r="J35" i="86"/>
  <c r="J40" i="86" s="1"/>
  <c r="J35" i="84"/>
  <c r="J35" i="76"/>
  <c r="J35" i="95"/>
  <c r="J35" i="93"/>
  <c r="J35" i="91"/>
  <c r="J40" i="91" s="1"/>
  <c r="J35" i="89"/>
  <c r="J40" i="89" s="1"/>
  <c r="J35" i="87"/>
  <c r="J35" i="85"/>
  <c r="J35" i="83"/>
  <c r="F36" i="76"/>
  <c r="J35" i="75"/>
  <c r="F36" i="96"/>
  <c r="F40" i="96" s="1"/>
  <c r="J35" i="96"/>
  <c r="J35" i="94"/>
  <c r="F36" i="93"/>
  <c r="J35" i="92"/>
  <c r="F36" i="91"/>
  <c r="F36" i="89"/>
  <c r="J35" i="88"/>
  <c r="F36" i="87"/>
  <c r="F36" i="86"/>
  <c r="F36" i="85"/>
  <c r="F40" i="85" s="1"/>
  <c r="F36" i="84"/>
  <c r="F40" i="84" s="1"/>
  <c r="F36" i="83"/>
  <c r="F40" i="83" s="1"/>
  <c r="F36" i="82"/>
  <c r="F40" i="82" s="1"/>
  <c r="J35" i="82"/>
  <c r="F36" i="81"/>
  <c r="F40" i="81" s="1"/>
  <c r="N35" i="1"/>
  <c r="F36" i="80"/>
  <c r="F40" i="80" s="1"/>
  <c r="J36" i="80"/>
  <c r="L23" i="78"/>
  <c r="J23" i="78"/>
  <c r="J23" i="79" s="1"/>
  <c r="J23" i="80" s="1"/>
  <c r="F36" i="79"/>
  <c r="F40" i="79" s="1"/>
  <c r="F36" i="78"/>
  <c r="J35" i="71"/>
  <c r="J35" i="74"/>
  <c r="J35" i="73"/>
  <c r="F36" i="71"/>
  <c r="J35" i="69"/>
  <c r="Q36" i="69"/>
  <c r="J35" i="68"/>
  <c r="Q36" i="68"/>
  <c r="L31" i="67"/>
  <c r="L31" i="68" s="1"/>
  <c r="L31" i="69" s="1"/>
  <c r="H12" i="69"/>
  <c r="H33" i="67"/>
  <c r="H33" i="68" s="1"/>
  <c r="H33" i="69" s="1"/>
  <c r="H33" i="70" s="1"/>
  <c r="H33" i="71" s="1"/>
  <c r="H33" i="72" s="1"/>
  <c r="L33" i="69"/>
  <c r="L33" i="70" s="1"/>
  <c r="L33" i="71" s="1"/>
  <c r="G30" i="67"/>
  <c r="G30" i="68" s="1"/>
  <c r="G30" i="69" s="1"/>
  <c r="H30" i="67"/>
  <c r="H30" i="68" s="1"/>
  <c r="H30" i="69" s="1"/>
  <c r="G31" i="67"/>
  <c r="G31" i="68" s="1"/>
  <c r="G31" i="69" s="1"/>
  <c r="H31" i="67"/>
  <c r="H31" i="68" s="1"/>
  <c r="H31" i="69" s="1"/>
  <c r="K31" i="67"/>
  <c r="K31" i="68" s="1"/>
  <c r="K31" i="69" s="1"/>
  <c r="G33" i="67"/>
  <c r="G33" i="68" s="1"/>
  <c r="G33" i="69" s="1"/>
  <c r="G33" i="70" s="1"/>
  <c r="G34" i="67"/>
  <c r="H34" i="67"/>
  <c r="H34" i="68" s="1"/>
  <c r="H34" i="69" s="1"/>
  <c r="K33" i="69"/>
  <c r="K33" i="70" s="1"/>
  <c r="AC34" i="6"/>
  <c r="AF34" i="6"/>
  <c r="AB34" i="6"/>
  <c r="AE34" i="6"/>
  <c r="N34" i="1"/>
  <c r="I22" i="81"/>
  <c r="M30" i="82"/>
  <c r="I21" i="86"/>
  <c r="M30" i="86" s="1"/>
  <c r="I21" i="89"/>
  <c r="M30" i="89" s="1"/>
  <c r="I21" i="90"/>
  <c r="M30" i="90" s="1"/>
  <c r="I21" i="91"/>
  <c r="I21" i="92"/>
  <c r="I21" i="93"/>
  <c r="M30" i="93" s="1"/>
  <c r="I21" i="94"/>
  <c r="M30" i="94" s="1"/>
  <c r="I21" i="95"/>
  <c r="M30" i="95" s="1"/>
  <c r="AU21" i="12"/>
  <c r="I21" i="96"/>
  <c r="M30" i="96" s="1"/>
  <c r="I21" i="67"/>
  <c r="M30" i="67" s="1"/>
  <c r="I21" i="68"/>
  <c r="M30" i="68" s="1"/>
  <c r="I22" i="68"/>
  <c r="I21" i="69"/>
  <c r="M30" i="69" s="1"/>
  <c r="J40" i="68" l="1"/>
  <c r="M18" i="68" s="1"/>
  <c r="Q36" i="95"/>
  <c r="J40" i="95"/>
  <c r="Q36" i="94"/>
  <c r="J40" i="94"/>
  <c r="J40" i="88"/>
  <c r="J40" i="87"/>
  <c r="J40" i="90"/>
  <c r="Q40" i="75"/>
  <c r="J40" i="93"/>
  <c r="F40" i="87"/>
  <c r="Q36" i="92"/>
  <c r="J40" i="92"/>
  <c r="F40" i="89"/>
  <c r="F40" i="91"/>
  <c r="F40" i="86"/>
  <c r="J40" i="85"/>
  <c r="J40" i="81"/>
  <c r="J40" i="82"/>
  <c r="J40" i="83"/>
  <c r="J40" i="84"/>
  <c r="J52" i="84" s="1"/>
  <c r="J40" i="80"/>
  <c r="J40" i="78"/>
  <c r="F40" i="78"/>
  <c r="Q36" i="73"/>
  <c r="Q40" i="73"/>
  <c r="Q40" i="79"/>
  <c r="J52" i="72"/>
  <c r="M52" i="72"/>
  <c r="K52" i="72"/>
  <c r="J52" i="68"/>
  <c r="M52" i="68"/>
  <c r="K52" i="68"/>
  <c r="J52" i="70"/>
  <c r="M52" i="70"/>
  <c r="K52" i="70"/>
  <c r="G34" i="68"/>
  <c r="G34" i="69" s="1"/>
  <c r="G34" i="70" s="1"/>
  <c r="G34" i="71" s="1"/>
  <c r="G34" i="72" s="1"/>
  <c r="G34" i="73" s="1"/>
  <c r="G34" i="74" s="1"/>
  <c r="M21" i="96"/>
  <c r="BM3" i="6"/>
  <c r="CD3" i="6" s="1"/>
  <c r="BK35" i="6"/>
  <c r="I25" i="68"/>
  <c r="AT7" i="12"/>
  <c r="AT9" i="12"/>
  <c r="L35" i="78"/>
  <c r="K35" i="78"/>
  <c r="Q35" i="80"/>
  <c r="Q35" i="81"/>
  <c r="Q35" i="69"/>
  <c r="Q36" i="90"/>
  <c r="Q36" i="83"/>
  <c r="Q36" i="89"/>
  <c r="Q40" i="72"/>
  <c r="M22" i="68"/>
  <c r="M30" i="91"/>
  <c r="M30" i="92"/>
  <c r="M21" i="68"/>
  <c r="Q36" i="86"/>
  <c r="M21" i="70"/>
  <c r="M21" i="67"/>
  <c r="Q36" i="87"/>
  <c r="Q42" i="78"/>
  <c r="Q35" i="75"/>
  <c r="Q35" i="71"/>
  <c r="Q35" i="93"/>
  <c r="Q35" i="76"/>
  <c r="Q35" i="72"/>
  <c r="Q35" i="79"/>
  <c r="J23" i="81"/>
  <c r="J23" i="82" s="1"/>
  <c r="J24" i="70"/>
  <c r="J24" i="71" s="1"/>
  <c r="J24" i="72" s="1"/>
  <c r="J24" i="73" s="1"/>
  <c r="J24" i="74" s="1"/>
  <c r="J24" i="75" s="1"/>
  <c r="J24" i="76" s="1"/>
  <c r="J24" i="77" s="1"/>
  <c r="G31" i="70"/>
  <c r="G31" i="71" s="1"/>
  <c r="G31" i="72" s="1"/>
  <c r="G31" i="73" s="1"/>
  <c r="G31" i="74" s="1"/>
  <c r="K31" i="70"/>
  <c r="K31" i="71" s="1"/>
  <c r="K31" i="72" s="1"/>
  <c r="K31" i="73" s="1"/>
  <c r="K31" i="74" s="1"/>
  <c r="K31" i="75" s="1"/>
  <c r="G33" i="71"/>
  <c r="K33" i="71"/>
  <c r="H34" i="70"/>
  <c r="H34" i="71" s="1"/>
  <c r="H34" i="72" s="1"/>
  <c r="H34" i="73" s="1"/>
  <c r="H34" i="74" s="1"/>
  <c r="H34" i="75" s="1"/>
  <c r="H34" i="76" s="1"/>
  <c r="H34" i="77" s="1"/>
  <c r="H31" i="70"/>
  <c r="H31" i="71" s="1"/>
  <c r="H31" i="72" s="1"/>
  <c r="H31" i="73" s="1"/>
  <c r="H31" i="74" s="1"/>
  <c r="H33" i="73"/>
  <c r="H33" i="74" s="1"/>
  <c r="H33" i="75" s="1"/>
  <c r="H33" i="76" s="1"/>
  <c r="H33" i="77" s="1"/>
  <c r="L31" i="70"/>
  <c r="L31" i="71" s="1"/>
  <c r="L31" i="72" s="1"/>
  <c r="L31" i="73" s="1"/>
  <c r="L31" i="74" s="1"/>
  <c r="L31" i="75" s="1"/>
  <c r="L31" i="76" s="1"/>
  <c r="L31" i="77" s="1"/>
  <c r="L33" i="72"/>
  <c r="L33" i="73" s="1"/>
  <c r="L33" i="74" s="1"/>
  <c r="L33" i="75" s="1"/>
  <c r="L33" i="76" s="1"/>
  <c r="L33" i="77" s="1"/>
  <c r="H12" i="70"/>
  <c r="H12" i="71" s="1"/>
  <c r="H12" i="72" s="1"/>
  <c r="H12" i="73" s="1"/>
  <c r="H12" i="74" s="1"/>
  <c r="H12" i="75" s="1"/>
  <c r="H12" i="76" s="1"/>
  <c r="H12" i="77" s="1"/>
  <c r="H30" i="70"/>
  <c r="H30" i="71" s="1"/>
  <c r="H30" i="72" s="1"/>
  <c r="H30" i="73" s="1"/>
  <c r="H30" i="74" s="1"/>
  <c r="H30" i="75" s="1"/>
  <c r="H30" i="76" s="1"/>
  <c r="H30" i="77" s="1"/>
  <c r="G30" i="70"/>
  <c r="G30" i="71" s="1"/>
  <c r="G30" i="72" s="1"/>
  <c r="G30" i="73" s="1"/>
  <c r="G30" i="74" s="1"/>
  <c r="G30" i="75" s="1"/>
  <c r="G30" i="76" s="1"/>
  <c r="G30" i="77" s="1"/>
  <c r="L36" i="78"/>
  <c r="K36" i="78"/>
  <c r="Q36" i="78"/>
  <c r="H35" i="78"/>
  <c r="G35" i="78"/>
  <c r="Q35" i="78"/>
  <c r="Q36" i="96"/>
  <c r="Q36" i="91"/>
  <c r="Q35" i="85"/>
  <c r="Q35" i="89"/>
  <c r="Q36" i="84"/>
  <c r="Q36" i="85"/>
  <c r="Q35" i="86"/>
  <c r="Q36" i="79"/>
  <c r="Q35" i="83"/>
  <c r="Q35" i="87"/>
  <c r="Q35" i="91"/>
  <c r="Q35" i="95"/>
  <c r="Q35" i="84"/>
  <c r="Q35" i="90"/>
  <c r="Q36" i="76"/>
  <c r="Q35" i="96"/>
  <c r="Q35" i="94"/>
  <c r="Q36" i="93"/>
  <c r="Q35" i="92"/>
  <c r="Q35" i="88"/>
  <c r="Q36" i="82"/>
  <c r="Q35" i="82"/>
  <c r="I22" i="80"/>
  <c r="Q36" i="81"/>
  <c r="Q36" i="80"/>
  <c r="E11" i="80"/>
  <c r="H36" i="78"/>
  <c r="G36" i="78"/>
  <c r="Q35" i="74"/>
  <c r="I21" i="42"/>
  <c r="N33" i="67"/>
  <c r="N33" i="68" s="1"/>
  <c r="N33" i="69" s="1"/>
  <c r="N35" i="67"/>
  <c r="N40" i="67" s="1"/>
  <c r="O35" i="67"/>
  <c r="O40" i="67" s="1"/>
  <c r="O33" i="67"/>
  <c r="O33" i="68" s="1"/>
  <c r="O33" i="69" s="1"/>
  <c r="Q35" i="73"/>
  <c r="Q36" i="71"/>
  <c r="J9" i="67"/>
  <c r="K12" i="69"/>
  <c r="H10" i="69"/>
  <c r="G12" i="69"/>
  <c r="G9" i="67"/>
  <c r="J12" i="69"/>
  <c r="G10" i="69"/>
  <c r="G10" i="70" s="1"/>
  <c r="Q35" i="68"/>
  <c r="Q40" i="68"/>
  <c r="AR24" i="2"/>
  <c r="AR7" i="2"/>
  <c r="AR17" i="2"/>
  <c r="AR23" i="2"/>
  <c r="AR14" i="2"/>
  <c r="AR21" i="2"/>
  <c r="AR15" i="2"/>
  <c r="AR13" i="2"/>
  <c r="AR19" i="2"/>
  <c r="AR5" i="2"/>
  <c r="AR22" i="2"/>
  <c r="AR20" i="2"/>
  <c r="AR18" i="2"/>
  <c r="AR16" i="2"/>
  <c r="AR11" i="2"/>
  <c r="AR26" i="2"/>
  <c r="AR25" i="2"/>
  <c r="AD34" i="6"/>
  <c r="AG34" i="6"/>
  <c r="CC34" i="6"/>
  <c r="AU7" i="12"/>
  <c r="I21" i="74"/>
  <c r="M30" i="74" s="1"/>
  <c r="I21" i="73"/>
  <c r="M30" i="73" s="1"/>
  <c r="I22" i="73"/>
  <c r="I21" i="71"/>
  <c r="M30" i="71" s="1"/>
  <c r="I22" i="71"/>
  <c r="I22" i="70"/>
  <c r="M22" i="70" s="1"/>
  <c r="I22" i="67"/>
  <c r="M22" i="67" s="1"/>
  <c r="AB22" i="3"/>
  <c r="AU22" i="12"/>
  <c r="AB30" i="3"/>
  <c r="AB27" i="3"/>
  <c r="AU27" i="12"/>
  <c r="I22" i="42"/>
  <c r="M22" i="42" s="1"/>
  <c r="AU11" i="12"/>
  <c r="I22" i="82"/>
  <c r="AU23" i="12"/>
  <c r="AU9" i="12"/>
  <c r="I22" i="79"/>
  <c r="AB26" i="3"/>
  <c r="AB23" i="3"/>
  <c r="AB20" i="3"/>
  <c r="I22" i="86"/>
  <c r="AU20" i="12"/>
  <c r="AB19" i="3"/>
  <c r="AB18" i="3"/>
  <c r="AB17" i="3"/>
  <c r="I22" i="92"/>
  <c r="AG17" i="12"/>
  <c r="AM17" i="12" s="1"/>
  <c r="AB16" i="3"/>
  <c r="AU16" i="12"/>
  <c r="I22" i="89"/>
  <c r="AU15" i="12"/>
  <c r="AB14" i="3"/>
  <c r="C6" i="1"/>
  <c r="G6" i="1" s="1"/>
  <c r="AU13" i="12"/>
  <c r="I21" i="87"/>
  <c r="M30" i="87" s="1"/>
  <c r="AB12" i="3"/>
  <c r="AB11" i="3"/>
  <c r="I22" i="85"/>
  <c r="AG11" i="12"/>
  <c r="AM11" i="12" s="1"/>
  <c r="I21" i="85"/>
  <c r="M30" i="85" s="1"/>
  <c r="I22" i="84"/>
  <c r="I21" i="84"/>
  <c r="I22" i="83"/>
  <c r="AC8" i="3"/>
  <c r="AB8" i="3" s="1"/>
  <c r="AC7" i="3"/>
  <c r="AB7" i="3" s="1"/>
  <c r="AC5" i="3"/>
  <c r="AC4" i="3"/>
  <c r="AB4" i="3" s="1"/>
  <c r="AC3" i="3"/>
  <c r="I22" i="74"/>
  <c r="I22" i="72"/>
  <c r="I22" i="69"/>
  <c r="AU24" i="12"/>
  <c r="I22" i="96"/>
  <c r="I22" i="95"/>
  <c r="I22" i="94"/>
  <c r="I22" i="93"/>
  <c r="I22" i="91"/>
  <c r="I22" i="90"/>
  <c r="I22" i="88"/>
  <c r="I22" i="87"/>
  <c r="AU12" i="12"/>
  <c r="AG30" i="12"/>
  <c r="AG27" i="12"/>
  <c r="AM27" i="12" s="1"/>
  <c r="AG24" i="12"/>
  <c r="AM24" i="12" s="1"/>
  <c r="AG23" i="12"/>
  <c r="AM23" i="12" s="1"/>
  <c r="AG21" i="12"/>
  <c r="AM21" i="12" s="1"/>
  <c r="AG20" i="12"/>
  <c r="AM20" i="12" s="1"/>
  <c r="AT18" i="12"/>
  <c r="AT17" i="12"/>
  <c r="AG16" i="12"/>
  <c r="AM16" i="12" s="1"/>
  <c r="AG15" i="12"/>
  <c r="AM15" i="12" s="1"/>
  <c r="AG13" i="12"/>
  <c r="AM13" i="12" s="1"/>
  <c r="AG12" i="12"/>
  <c r="AM12" i="12" s="1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D3" i="6"/>
  <c r="AD4" i="6"/>
  <c r="AD5" i="6"/>
  <c r="AD6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W3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7" i="6"/>
  <c r="O28" i="6"/>
  <c r="O29" i="6"/>
  <c r="O30" i="6"/>
  <c r="O32" i="6"/>
  <c r="J26" i="1"/>
  <c r="J27" i="1"/>
  <c r="F8" i="6"/>
  <c r="F11" i="6"/>
  <c r="F12" i="6"/>
  <c r="F14" i="6"/>
  <c r="F17" i="6"/>
  <c r="F18" i="6"/>
  <c r="F19" i="6"/>
  <c r="F20" i="6"/>
  <c r="F21" i="6"/>
  <c r="F22" i="6"/>
  <c r="F23" i="6"/>
  <c r="F4" i="6"/>
  <c r="F5" i="6"/>
  <c r="F6" i="6"/>
  <c r="F7" i="6"/>
  <c r="F9" i="6"/>
  <c r="F10" i="6"/>
  <c r="F13" i="6"/>
  <c r="F15" i="6"/>
  <c r="F16" i="6"/>
  <c r="EK29" i="1" l="1"/>
  <c r="AM30" i="12"/>
  <c r="K40" i="78"/>
  <c r="P40" i="78"/>
  <c r="L35" i="79"/>
  <c r="L35" i="80" s="1"/>
  <c r="L40" i="78"/>
  <c r="G35" i="79"/>
  <c r="G40" i="78"/>
  <c r="H35" i="79"/>
  <c r="H40" i="78"/>
  <c r="AG22" i="12"/>
  <c r="AM22" i="12" s="1"/>
  <c r="AG5" i="12"/>
  <c r="AG9" i="12"/>
  <c r="AM9" i="12" s="1"/>
  <c r="AG7" i="12"/>
  <c r="AM7" i="12" s="1"/>
  <c r="CE3" i="6"/>
  <c r="K52" i="84"/>
  <c r="M52" i="84"/>
  <c r="AB5" i="3"/>
  <c r="J52" i="87"/>
  <c r="M52" i="87"/>
  <c r="K52" i="87"/>
  <c r="J52" i="88"/>
  <c r="M52" i="88"/>
  <c r="K52" i="88"/>
  <c r="J52" i="92"/>
  <c r="K52" i="92"/>
  <c r="M52" i="92"/>
  <c r="J52" i="90"/>
  <c r="K52" i="90"/>
  <c r="M52" i="90"/>
  <c r="J52" i="93"/>
  <c r="M52" i="93"/>
  <c r="K52" i="93"/>
  <c r="G52" i="68"/>
  <c r="F52" i="68"/>
  <c r="E52" i="68"/>
  <c r="H52" i="68"/>
  <c r="I52" i="68"/>
  <c r="J52" i="91"/>
  <c r="M52" i="91"/>
  <c r="K52" i="91"/>
  <c r="J52" i="74"/>
  <c r="M52" i="74"/>
  <c r="K52" i="74"/>
  <c r="J52" i="73"/>
  <c r="K52" i="73"/>
  <c r="M52" i="73"/>
  <c r="J52" i="71"/>
  <c r="K52" i="71"/>
  <c r="M52" i="71"/>
  <c r="M21" i="89"/>
  <c r="J52" i="89"/>
  <c r="M52" i="89"/>
  <c r="K52" i="89"/>
  <c r="M52" i="80"/>
  <c r="K52" i="80"/>
  <c r="J52" i="76"/>
  <c r="M52" i="76"/>
  <c r="K52" i="76"/>
  <c r="J52" i="95"/>
  <c r="K52" i="95"/>
  <c r="M52" i="95"/>
  <c r="M21" i="69"/>
  <c r="J52" i="69"/>
  <c r="M52" i="69"/>
  <c r="K52" i="69"/>
  <c r="J52" i="75"/>
  <c r="K52" i="75"/>
  <c r="M52" i="75"/>
  <c r="M21" i="94"/>
  <c r="J52" i="94"/>
  <c r="M52" i="94"/>
  <c r="K52" i="94"/>
  <c r="J52" i="96"/>
  <c r="M52" i="96"/>
  <c r="K52" i="96"/>
  <c r="M21" i="86"/>
  <c r="K52" i="86"/>
  <c r="J52" i="86"/>
  <c r="M52" i="86"/>
  <c r="K52" i="85"/>
  <c r="J52" i="85"/>
  <c r="M52" i="85"/>
  <c r="M52" i="83"/>
  <c r="J52" i="83"/>
  <c r="K52" i="83"/>
  <c r="M18" i="82"/>
  <c r="M52" i="82"/>
  <c r="J52" i="82"/>
  <c r="K52" i="82"/>
  <c r="J52" i="81"/>
  <c r="K52" i="81"/>
  <c r="M52" i="81"/>
  <c r="G34" i="75"/>
  <c r="G34" i="76" s="1"/>
  <c r="G34" i="77" s="1"/>
  <c r="H31" i="75"/>
  <c r="H31" i="76" s="1"/>
  <c r="H31" i="77" s="1"/>
  <c r="G31" i="75"/>
  <c r="G31" i="77" s="1"/>
  <c r="K33" i="72"/>
  <c r="K33" i="73" s="1"/>
  <c r="K33" i="74" s="1"/>
  <c r="K33" i="75" s="1"/>
  <c r="G33" i="72"/>
  <c r="G33" i="73" s="1"/>
  <c r="G33" i="74" s="1"/>
  <c r="G33" i="75" s="1"/>
  <c r="G33" i="76" s="1"/>
  <c r="G33" i="77" s="1"/>
  <c r="AB3" i="3"/>
  <c r="CH3" i="6"/>
  <c r="E11" i="81"/>
  <c r="L11" i="81" s="1"/>
  <c r="C7" i="1"/>
  <c r="G7" i="1" s="1"/>
  <c r="AU5" i="12"/>
  <c r="AU40" i="12" s="1"/>
  <c r="AT42" i="97" s="1"/>
  <c r="AU17" i="12"/>
  <c r="EK12" i="1"/>
  <c r="ET12" i="1" s="1"/>
  <c r="K35" i="79"/>
  <c r="G35" i="80"/>
  <c r="G35" i="81" s="1"/>
  <c r="G35" i="82" s="1"/>
  <c r="G35" i="83" s="1"/>
  <c r="G35" i="84" s="1"/>
  <c r="G35" i="85" s="1"/>
  <c r="G35" i="86" s="1"/>
  <c r="H35" i="80"/>
  <c r="H35" i="81" s="1"/>
  <c r="H35" i="82" s="1"/>
  <c r="H35" i="83" s="1"/>
  <c r="H35" i="84" s="1"/>
  <c r="H35" i="85" s="1"/>
  <c r="H35" i="86" s="1"/>
  <c r="Q40" i="83"/>
  <c r="J13" i="67"/>
  <c r="AT22" i="12"/>
  <c r="AT20" i="12"/>
  <c r="AT13" i="12"/>
  <c r="AT30" i="12"/>
  <c r="AT11" i="12"/>
  <c r="AT15" i="12"/>
  <c r="AT16" i="12"/>
  <c r="M22" i="88"/>
  <c r="AT27" i="12"/>
  <c r="AT24" i="12"/>
  <c r="AT23" i="12"/>
  <c r="AT21" i="12"/>
  <c r="I25" i="84"/>
  <c r="M18" i="84" s="1"/>
  <c r="K36" i="79"/>
  <c r="L36" i="79"/>
  <c r="AT5" i="12"/>
  <c r="M22" i="73"/>
  <c r="AP42" i="97"/>
  <c r="AT12" i="12"/>
  <c r="Q40" i="96"/>
  <c r="Q40" i="82"/>
  <c r="Q40" i="86"/>
  <c r="Q40" i="84"/>
  <c r="M22" i="83"/>
  <c r="M22" i="96"/>
  <c r="Q40" i="88"/>
  <c r="M21" i="82"/>
  <c r="M21" i="91"/>
  <c r="M22" i="86"/>
  <c r="Q40" i="91"/>
  <c r="M21" i="72"/>
  <c r="M21" i="90"/>
  <c r="Q40" i="92"/>
  <c r="M22" i="72"/>
  <c r="M22" i="92"/>
  <c r="M21" i="92"/>
  <c r="M21" i="88"/>
  <c r="M21" i="42"/>
  <c r="M30" i="42"/>
  <c r="M22" i="95"/>
  <c r="M21" i="84"/>
  <c r="M30" i="84"/>
  <c r="M22" i="90"/>
  <c r="M22" i="82"/>
  <c r="I25" i="82"/>
  <c r="M22" i="87"/>
  <c r="M22" i="89"/>
  <c r="M22" i="74"/>
  <c r="M22" i="71"/>
  <c r="M21" i="74"/>
  <c r="M21" i="71"/>
  <c r="M21" i="73"/>
  <c r="M22" i="94"/>
  <c r="M22" i="69"/>
  <c r="M22" i="85"/>
  <c r="M21" i="95"/>
  <c r="Q40" i="95"/>
  <c r="M22" i="93"/>
  <c r="M21" i="93"/>
  <c r="M22" i="91"/>
  <c r="M21" i="87"/>
  <c r="Q40" i="87"/>
  <c r="M21" i="85"/>
  <c r="M22" i="84"/>
  <c r="M22" i="81"/>
  <c r="M21" i="79"/>
  <c r="N21" i="79" s="1"/>
  <c r="Q40" i="90"/>
  <c r="M22" i="80"/>
  <c r="J52" i="80"/>
  <c r="M21" i="80"/>
  <c r="M22" i="79"/>
  <c r="N22" i="79" s="1"/>
  <c r="M22" i="78"/>
  <c r="N22" i="78" s="1"/>
  <c r="L52" i="78"/>
  <c r="J52" i="78"/>
  <c r="I52" i="78"/>
  <c r="J52" i="79"/>
  <c r="L52" i="79"/>
  <c r="I52" i="79"/>
  <c r="Q40" i="76"/>
  <c r="J23" i="83"/>
  <c r="J23" i="84" s="1"/>
  <c r="J23" i="85" s="1"/>
  <c r="J23" i="86" s="1"/>
  <c r="J23" i="87" s="1"/>
  <c r="J23" i="88" s="1"/>
  <c r="J23" i="89" s="1"/>
  <c r="J23" i="90" s="1"/>
  <c r="J23" i="91" s="1"/>
  <c r="J23" i="92" s="1"/>
  <c r="K31" i="76"/>
  <c r="K31" i="77" s="1"/>
  <c r="H10" i="70"/>
  <c r="H10" i="71" s="1"/>
  <c r="H10" i="72" s="1"/>
  <c r="H10" i="73" s="1"/>
  <c r="H10" i="74" s="1"/>
  <c r="H10" i="75" s="1"/>
  <c r="H10" i="76" s="1"/>
  <c r="H10" i="77" s="1"/>
  <c r="G12" i="70"/>
  <c r="G12" i="71" s="1"/>
  <c r="G12" i="72" s="1"/>
  <c r="G12" i="73" s="1"/>
  <c r="G12" i="74" s="1"/>
  <c r="G12" i="75" s="1"/>
  <c r="G12" i="76" s="1"/>
  <c r="G12" i="77" s="1"/>
  <c r="J12" i="70"/>
  <c r="K12" i="70"/>
  <c r="K12" i="71" s="1"/>
  <c r="K12" i="72" s="1"/>
  <c r="K12" i="73" s="1"/>
  <c r="K12" i="74" s="1"/>
  <c r="K12" i="75" s="1"/>
  <c r="K12" i="76" s="1"/>
  <c r="K12" i="77" s="1"/>
  <c r="N33" i="70"/>
  <c r="N33" i="71" s="1"/>
  <c r="N33" i="72" s="1"/>
  <c r="N33" i="73" s="1"/>
  <c r="N33" i="74" s="1"/>
  <c r="N33" i="75" s="1"/>
  <c r="N33" i="76" s="1"/>
  <c r="N33" i="77" s="1"/>
  <c r="O33" i="70"/>
  <c r="O33" i="71" s="1"/>
  <c r="O33" i="72" s="1"/>
  <c r="O33" i="73" s="1"/>
  <c r="O33" i="74" s="1"/>
  <c r="O33" i="75" s="1"/>
  <c r="O33" i="76" s="1"/>
  <c r="O33" i="77" s="1"/>
  <c r="Q40" i="93"/>
  <c r="G9" i="68"/>
  <c r="G9" i="69" s="1"/>
  <c r="G9" i="70" s="1"/>
  <c r="G13" i="67"/>
  <c r="Q40" i="78"/>
  <c r="Q40" i="85"/>
  <c r="Q40" i="71"/>
  <c r="Q40" i="89"/>
  <c r="Q40" i="69"/>
  <c r="J10" i="74"/>
  <c r="J10" i="75" s="1"/>
  <c r="J10" i="76" s="1"/>
  <c r="G10" i="71"/>
  <c r="Q40" i="94"/>
  <c r="AR8" i="2"/>
  <c r="Q40" i="80"/>
  <c r="Q40" i="81"/>
  <c r="L11" i="80"/>
  <c r="G36" i="79"/>
  <c r="G40" i="79" s="1"/>
  <c r="H36" i="79"/>
  <c r="H40" i="79" s="1"/>
  <c r="Q40" i="74"/>
  <c r="J22" i="78"/>
  <c r="J22" i="79" s="1"/>
  <c r="L22" i="78"/>
  <c r="M18" i="78"/>
  <c r="M34" i="78"/>
  <c r="I21" i="78"/>
  <c r="G18" i="67"/>
  <c r="N35" i="68"/>
  <c r="K14" i="67"/>
  <c r="J14" i="67"/>
  <c r="O35" i="68"/>
  <c r="O40" i="68" s="1"/>
  <c r="K30" i="68"/>
  <c r="K30" i="69" s="1"/>
  <c r="K10" i="69"/>
  <c r="K10" i="70" s="1"/>
  <c r="H9" i="67"/>
  <c r="K9" i="67"/>
  <c r="J9" i="68"/>
  <c r="J9" i="69" s="1"/>
  <c r="H18" i="67"/>
  <c r="EK17" i="1"/>
  <c r="ET17" i="1" s="1"/>
  <c r="BF4" i="6"/>
  <c r="BI4" i="6" s="1"/>
  <c r="AR6" i="2"/>
  <c r="AR9" i="2"/>
  <c r="AR10" i="2"/>
  <c r="AR12" i="2"/>
  <c r="AR4" i="2"/>
  <c r="AR3" i="2"/>
  <c r="AR30" i="2"/>
  <c r="AR29" i="2"/>
  <c r="AR28" i="2"/>
  <c r="AR27" i="2"/>
  <c r="AB29" i="3"/>
  <c r="AB13" i="3"/>
  <c r="BK34" i="6"/>
  <c r="T4" i="6"/>
  <c r="AB28" i="3"/>
  <c r="AC9" i="3"/>
  <c r="AB9" i="3" s="1"/>
  <c r="AC10" i="3"/>
  <c r="AB10" i="3" s="1"/>
  <c r="J24" i="1"/>
  <c r="AB15" i="3"/>
  <c r="AB21" i="3"/>
  <c r="J25" i="1"/>
  <c r="J18" i="1"/>
  <c r="J17" i="1"/>
  <c r="J16" i="1"/>
  <c r="J6" i="1"/>
  <c r="J8" i="1"/>
  <c r="J12" i="1"/>
  <c r="J13" i="1"/>
  <c r="J15" i="1"/>
  <c r="J9" i="1"/>
  <c r="J14" i="1"/>
  <c r="J11" i="1"/>
  <c r="J10" i="1"/>
  <c r="J7" i="1"/>
  <c r="AC6" i="3"/>
  <c r="AB6" i="3" s="1"/>
  <c r="J4" i="1"/>
  <c r="K4" i="1" s="1"/>
  <c r="N3" i="3"/>
  <c r="K4" i="3" s="1"/>
  <c r="E24" i="79" s="1"/>
  <c r="L24" i="79" s="1"/>
  <c r="X4" i="1"/>
  <c r="R4" i="1"/>
  <c r="EE4" i="1" s="1"/>
  <c r="P4" i="1"/>
  <c r="P5" i="1"/>
  <c r="P6" i="1"/>
  <c r="P7" i="1"/>
  <c r="P8" i="1"/>
  <c r="P9" i="1"/>
  <c r="P10" i="1"/>
  <c r="P11" i="1"/>
  <c r="P12" i="1"/>
  <c r="P13" i="1"/>
  <c r="P14" i="1"/>
  <c r="P15" i="1"/>
  <c r="P24" i="1"/>
  <c r="P25" i="1"/>
  <c r="P26" i="1"/>
  <c r="Q4" i="2"/>
  <c r="U4" i="2" s="1"/>
  <c r="L4" i="2"/>
  <c r="P4" i="2" s="1"/>
  <c r="N35" i="69" l="1"/>
  <c r="N40" i="68"/>
  <c r="L40" i="79"/>
  <c r="K40" i="79"/>
  <c r="H35" i="87"/>
  <c r="G35" i="87"/>
  <c r="EK8" i="1"/>
  <c r="ET8" i="1" s="1"/>
  <c r="I33" i="79"/>
  <c r="P33" i="79" s="1"/>
  <c r="W4" i="6"/>
  <c r="AM5" i="12"/>
  <c r="EK4" i="1"/>
  <c r="EU4" i="1" s="1"/>
  <c r="EV4" i="1" s="1"/>
  <c r="N52" i="68"/>
  <c r="EU12" i="1"/>
  <c r="EV12" i="1" s="1"/>
  <c r="K35" i="80"/>
  <c r="H52" i="84"/>
  <c r="I52" i="84"/>
  <c r="F52" i="84"/>
  <c r="E52" i="84"/>
  <c r="G52" i="84"/>
  <c r="H52" i="82"/>
  <c r="I52" i="82"/>
  <c r="G52" i="82"/>
  <c r="E52" i="82"/>
  <c r="F52" i="82"/>
  <c r="K33" i="76"/>
  <c r="K33" i="77" s="1"/>
  <c r="E11" i="82"/>
  <c r="E10" i="79"/>
  <c r="L10" i="79" s="1"/>
  <c r="L5" i="2"/>
  <c r="P5" i="2" s="1"/>
  <c r="E12" i="79"/>
  <c r="L12" i="79" s="1"/>
  <c r="EK11" i="1"/>
  <c r="ET11" i="1" s="1"/>
  <c r="M34" i="83"/>
  <c r="J10" i="77"/>
  <c r="EK15" i="1"/>
  <c r="ET15" i="1" s="1"/>
  <c r="EK10" i="1"/>
  <c r="ET10" i="1" s="1"/>
  <c r="AL9" i="12"/>
  <c r="EK22" i="1"/>
  <c r="J12" i="71"/>
  <c r="EK23" i="1"/>
  <c r="EK21" i="1"/>
  <c r="J9" i="70"/>
  <c r="EK26" i="1"/>
  <c r="ET26" i="1" s="1"/>
  <c r="EK20" i="1"/>
  <c r="ET20" i="1" s="1"/>
  <c r="EK19" i="1"/>
  <c r="EK14" i="1"/>
  <c r="ET14" i="1" s="1"/>
  <c r="EK16" i="1"/>
  <c r="EK6" i="1"/>
  <c r="L36" i="80"/>
  <c r="K36" i="80"/>
  <c r="K35" i="81"/>
  <c r="L35" i="81"/>
  <c r="M30" i="78"/>
  <c r="O30" i="78" s="1"/>
  <c r="L9" i="78"/>
  <c r="E9" i="79" s="1"/>
  <c r="L9" i="79" s="1"/>
  <c r="E9" i="80" s="1"/>
  <c r="AB25" i="3"/>
  <c r="I25" i="78"/>
  <c r="M21" i="78"/>
  <c r="N21" i="78" s="1"/>
  <c r="M21" i="83"/>
  <c r="I36" i="79"/>
  <c r="P36" i="79" s="1"/>
  <c r="EH4" i="1"/>
  <c r="I19" i="87"/>
  <c r="I19" i="86"/>
  <c r="I19" i="89"/>
  <c r="AB24" i="3"/>
  <c r="J22" i="80"/>
  <c r="J22" i="81" s="1"/>
  <c r="J22" i="82" s="1"/>
  <c r="H18" i="68"/>
  <c r="AB4" i="1"/>
  <c r="X5" i="1" s="1"/>
  <c r="K30" i="70"/>
  <c r="K30" i="71" s="1"/>
  <c r="K30" i="72" s="1"/>
  <c r="K30" i="73" s="1"/>
  <c r="K30" i="74" s="1"/>
  <c r="K30" i="75" s="1"/>
  <c r="K30" i="76" s="1"/>
  <c r="K30" i="77" s="1"/>
  <c r="I18" i="72"/>
  <c r="M34" i="72"/>
  <c r="G10" i="72"/>
  <c r="G10" i="73" s="1"/>
  <c r="G10" i="74" s="1"/>
  <c r="G10" i="75" s="1"/>
  <c r="G10" i="76" s="1"/>
  <c r="G10" i="77" s="1"/>
  <c r="H9" i="68"/>
  <c r="H9" i="69" s="1"/>
  <c r="H9" i="70" s="1"/>
  <c r="AK5" i="1"/>
  <c r="G36" i="80"/>
  <c r="G40" i="80" s="1"/>
  <c r="H36" i="80"/>
  <c r="H40" i="80" s="1"/>
  <c r="K10" i="71"/>
  <c r="J23" i="93"/>
  <c r="I18" i="93"/>
  <c r="M34" i="93"/>
  <c r="M34" i="92"/>
  <c r="I18" i="92"/>
  <c r="M34" i="88"/>
  <c r="I18" i="88"/>
  <c r="M18" i="88" s="1"/>
  <c r="L11" i="82"/>
  <c r="M34" i="80"/>
  <c r="I18" i="80"/>
  <c r="J18" i="78"/>
  <c r="L18" i="78"/>
  <c r="J21" i="78"/>
  <c r="J21" i="79" s="1"/>
  <c r="J21" i="80" s="1"/>
  <c r="J21" i="81" s="1"/>
  <c r="J21" i="82" s="1"/>
  <c r="J21" i="83" s="1"/>
  <c r="N34" i="78"/>
  <c r="P34" i="78"/>
  <c r="W4" i="1"/>
  <c r="K14" i="68"/>
  <c r="K16" i="67"/>
  <c r="N35" i="70"/>
  <c r="J14" i="68"/>
  <c r="J16" i="67"/>
  <c r="O35" i="69"/>
  <c r="O35" i="70" s="1"/>
  <c r="G18" i="68"/>
  <c r="I18" i="71"/>
  <c r="M18" i="71" s="1"/>
  <c r="M34" i="71"/>
  <c r="M34" i="69"/>
  <c r="I18" i="69"/>
  <c r="L30" i="68"/>
  <c r="L30" i="69" s="1"/>
  <c r="G9" i="71"/>
  <c r="G9" i="72" s="1"/>
  <c r="K9" i="68"/>
  <c r="K9" i="69" s="1"/>
  <c r="K9" i="70" s="1"/>
  <c r="AL27" i="12"/>
  <c r="K34" i="67"/>
  <c r="K34" i="68" s="1"/>
  <c r="K34" i="69" s="1"/>
  <c r="L34" i="67"/>
  <c r="L34" i="68" s="1"/>
  <c r="L34" i="69" s="1"/>
  <c r="AL7" i="12"/>
  <c r="AL22" i="12"/>
  <c r="AL21" i="12"/>
  <c r="AD3" i="3"/>
  <c r="AA4" i="3" s="1"/>
  <c r="AL16" i="12"/>
  <c r="C4" i="2"/>
  <c r="G4" i="2" s="1"/>
  <c r="AL15" i="12"/>
  <c r="AL18" i="12"/>
  <c r="AL17" i="12"/>
  <c r="AL13" i="12"/>
  <c r="AL5" i="12"/>
  <c r="AL12" i="12"/>
  <c r="AL30" i="12"/>
  <c r="L4" i="1"/>
  <c r="EA4" i="1" s="1"/>
  <c r="ED4" i="1" s="1"/>
  <c r="AL11" i="12"/>
  <c r="AL23" i="12"/>
  <c r="AF25" i="3"/>
  <c r="AF28" i="3"/>
  <c r="AL24" i="12"/>
  <c r="N4" i="3"/>
  <c r="K5" i="3" s="1"/>
  <c r="E24" i="80" s="1"/>
  <c r="L24" i="80" s="1"/>
  <c r="AL20" i="12"/>
  <c r="J5" i="1"/>
  <c r="C8" i="1"/>
  <c r="G8" i="1" s="1"/>
  <c r="EI4" i="1"/>
  <c r="BJ4" i="6"/>
  <c r="BM4" i="6" s="1"/>
  <c r="CD4" i="6" s="1"/>
  <c r="F3" i="3"/>
  <c r="AF5" i="3"/>
  <c r="AF7" i="3"/>
  <c r="AF3" i="3"/>
  <c r="J28" i="1"/>
  <c r="J29" i="1"/>
  <c r="J30" i="1"/>
  <c r="G35" i="88" l="1"/>
  <c r="H35" i="88"/>
  <c r="EU8" i="1"/>
  <c r="EV8" i="1" s="1"/>
  <c r="I18" i="83"/>
  <c r="M18" i="83" s="1"/>
  <c r="G52" i="83" s="1"/>
  <c r="ET4" i="1"/>
  <c r="M34" i="79"/>
  <c r="K40" i="80"/>
  <c r="L40" i="80"/>
  <c r="L36" i="81"/>
  <c r="L40" i="81" s="1"/>
  <c r="CH4" i="6"/>
  <c r="H5" i="6"/>
  <c r="I5" i="6" s="1"/>
  <c r="O40" i="70"/>
  <c r="CE4" i="6"/>
  <c r="AB5" i="1"/>
  <c r="X6" i="1" s="1"/>
  <c r="G52" i="88"/>
  <c r="F52" i="88"/>
  <c r="H52" i="88"/>
  <c r="E52" i="88"/>
  <c r="I52" i="88"/>
  <c r="G52" i="71"/>
  <c r="F52" i="71"/>
  <c r="E52" i="71"/>
  <c r="H52" i="71"/>
  <c r="I52" i="71"/>
  <c r="N52" i="84"/>
  <c r="N52" i="82"/>
  <c r="F52" i="83"/>
  <c r="E11" i="83"/>
  <c r="L11" i="83" s="1"/>
  <c r="I18" i="67"/>
  <c r="M18" i="67" s="1"/>
  <c r="ET23" i="1"/>
  <c r="M34" i="94"/>
  <c r="ET19" i="1"/>
  <c r="M34" i="42"/>
  <c r="ET22" i="1"/>
  <c r="EU6" i="1"/>
  <c r="EV6" i="1" s="1"/>
  <c r="ET6" i="1"/>
  <c r="I18" i="96"/>
  <c r="M18" i="96" s="1"/>
  <c r="ET21" i="1"/>
  <c r="EU11" i="1"/>
  <c r="EV11" i="1" s="1"/>
  <c r="I18" i="91"/>
  <c r="M18" i="91" s="1"/>
  <c r="ET16" i="1"/>
  <c r="M34" i="73"/>
  <c r="ET29" i="1"/>
  <c r="M34" i="85"/>
  <c r="EU10" i="1"/>
  <c r="EV10" i="1" s="1"/>
  <c r="I18" i="90"/>
  <c r="M18" i="90" s="1"/>
  <c r="EU15" i="1"/>
  <c r="EV15" i="1" s="1"/>
  <c r="I18" i="89"/>
  <c r="EU14" i="1"/>
  <c r="EV14" i="1" s="1"/>
  <c r="M34" i="90"/>
  <c r="M34" i="67"/>
  <c r="J12" i="72"/>
  <c r="J12" i="73" s="1"/>
  <c r="J12" i="74" s="1"/>
  <c r="J12" i="75" s="1"/>
  <c r="J12" i="76" s="1"/>
  <c r="I18" i="42"/>
  <c r="M18" i="42" s="1"/>
  <c r="AF19" i="3"/>
  <c r="M34" i="91"/>
  <c r="I18" i="94"/>
  <c r="M18" i="94" s="1"/>
  <c r="AF21" i="3"/>
  <c r="M34" i="96"/>
  <c r="I18" i="73"/>
  <c r="I25" i="73" s="1"/>
  <c r="I25" i="80"/>
  <c r="M18" i="80" s="1"/>
  <c r="I52" i="80" s="1"/>
  <c r="P30" i="78"/>
  <c r="L25" i="78"/>
  <c r="K36" i="81"/>
  <c r="K40" i="81" s="1"/>
  <c r="I25" i="92"/>
  <c r="M18" i="92"/>
  <c r="K35" i="82"/>
  <c r="L35" i="82"/>
  <c r="N36" i="71"/>
  <c r="N40" i="71" s="1"/>
  <c r="I25" i="93"/>
  <c r="M18" i="93"/>
  <c r="M18" i="69"/>
  <c r="E14" i="79"/>
  <c r="L14" i="79" s="1"/>
  <c r="M18" i="72"/>
  <c r="I25" i="72"/>
  <c r="I25" i="71"/>
  <c r="I25" i="69"/>
  <c r="I25" i="88"/>
  <c r="O30" i="79"/>
  <c r="J25" i="78"/>
  <c r="E15" i="79"/>
  <c r="L15" i="79" s="1"/>
  <c r="BJ5" i="6"/>
  <c r="BM5" i="6" s="1"/>
  <c r="I35" i="79"/>
  <c r="I40" i="79" s="1"/>
  <c r="I19" i="85"/>
  <c r="I18" i="79"/>
  <c r="N34" i="79"/>
  <c r="N34" i="80" s="1"/>
  <c r="H18" i="69"/>
  <c r="J22" i="83"/>
  <c r="J22" i="84" s="1"/>
  <c r="J22" i="85" s="1"/>
  <c r="J22" i="86" s="1"/>
  <c r="J22" i="87" s="1"/>
  <c r="J22" i="88" s="1"/>
  <c r="J22" i="89" s="1"/>
  <c r="R5" i="1"/>
  <c r="AN5" i="1"/>
  <c r="I34" i="79"/>
  <c r="P34" i="79" s="1"/>
  <c r="K34" i="70"/>
  <c r="K34" i="71" s="1"/>
  <c r="K34" i="72" s="1"/>
  <c r="K34" i="73" s="1"/>
  <c r="K34" i="74" s="1"/>
  <c r="K34" i="75" s="1"/>
  <c r="K34" i="76" s="1"/>
  <c r="I18" i="70"/>
  <c r="M34" i="70"/>
  <c r="L34" i="70"/>
  <c r="L34" i="71" s="1"/>
  <c r="L34" i="72" s="1"/>
  <c r="L34" i="73" s="1"/>
  <c r="L34" i="74" s="1"/>
  <c r="L34" i="75" s="1"/>
  <c r="L34" i="76" s="1"/>
  <c r="L34" i="77" s="1"/>
  <c r="L30" i="70"/>
  <c r="L30" i="71" s="1"/>
  <c r="L30" i="72" s="1"/>
  <c r="L30" i="73" s="1"/>
  <c r="L30" i="74" s="1"/>
  <c r="L30" i="75" s="1"/>
  <c r="L30" i="76" s="1"/>
  <c r="L30" i="77" s="1"/>
  <c r="K10" i="72"/>
  <c r="K10" i="73" s="1"/>
  <c r="K10" i="74" s="1"/>
  <c r="K10" i="75" s="1"/>
  <c r="K10" i="76" s="1"/>
  <c r="K10" i="77" s="1"/>
  <c r="G36" i="81"/>
  <c r="G40" i="81" s="1"/>
  <c r="Q4" i="1"/>
  <c r="H36" i="81"/>
  <c r="H40" i="81" s="1"/>
  <c r="J23" i="94"/>
  <c r="I18" i="95"/>
  <c r="M34" i="95"/>
  <c r="M34" i="81"/>
  <c r="I18" i="81"/>
  <c r="I31" i="79"/>
  <c r="P31" i="79" s="1"/>
  <c r="E10" i="80"/>
  <c r="L10" i="80" s="1"/>
  <c r="F52" i="78"/>
  <c r="G52" i="78"/>
  <c r="E52" i="78"/>
  <c r="H52" i="78"/>
  <c r="N30" i="78"/>
  <c r="EL4" i="1"/>
  <c r="E18" i="79"/>
  <c r="Q5" i="2"/>
  <c r="U5" i="2" s="1"/>
  <c r="C5" i="2"/>
  <c r="G5" i="2" s="1"/>
  <c r="J14" i="69"/>
  <c r="J14" i="70" s="1"/>
  <c r="J16" i="70" s="1"/>
  <c r="J16" i="68"/>
  <c r="G18" i="69"/>
  <c r="K14" i="69"/>
  <c r="K14" i="70" s="1"/>
  <c r="K16" i="70" s="1"/>
  <c r="K16" i="68"/>
  <c r="G9" i="73"/>
  <c r="G9" i="74" s="1"/>
  <c r="G9" i="75" s="1"/>
  <c r="H9" i="71"/>
  <c r="H9" i="72" s="1"/>
  <c r="J9" i="71"/>
  <c r="AF20" i="3"/>
  <c r="AF8" i="3"/>
  <c r="AF6" i="3"/>
  <c r="AD4" i="3"/>
  <c r="AA5" i="3" s="1"/>
  <c r="AF23" i="3"/>
  <c r="C4" i="3"/>
  <c r="H4" i="2"/>
  <c r="K4" i="2" s="1"/>
  <c r="AF18" i="3"/>
  <c r="AF16" i="3"/>
  <c r="AF17" i="3"/>
  <c r="AF15" i="3"/>
  <c r="AF14" i="3"/>
  <c r="AF11" i="3"/>
  <c r="AF4" i="3"/>
  <c r="AF26" i="3"/>
  <c r="AF9" i="3"/>
  <c r="T5" i="6"/>
  <c r="AF13" i="3"/>
  <c r="AF27" i="3"/>
  <c r="AF22" i="3"/>
  <c r="AF29" i="3"/>
  <c r="AF24" i="3"/>
  <c r="N5" i="3"/>
  <c r="K6" i="3" s="1"/>
  <c r="E24" i="81" s="1"/>
  <c r="L24" i="81" s="1"/>
  <c r="L6" i="2"/>
  <c r="P6" i="2" s="1"/>
  <c r="C9" i="1"/>
  <c r="G9" i="1" s="1"/>
  <c r="BF5" i="6"/>
  <c r="I25" i="83" l="1"/>
  <c r="H35" i="89"/>
  <c r="G35" i="89"/>
  <c r="I52" i="83"/>
  <c r="H5" i="1"/>
  <c r="E52" i="83"/>
  <c r="N52" i="83" s="1"/>
  <c r="H52" i="83"/>
  <c r="I25" i="91"/>
  <c r="L16" i="79"/>
  <c r="CH5" i="6"/>
  <c r="H6" i="6"/>
  <c r="I6" i="6" s="1"/>
  <c r="BI5" i="6"/>
  <c r="CD5" i="6" s="1"/>
  <c r="I25" i="67"/>
  <c r="EE5" i="1"/>
  <c r="EH5" i="1" s="1"/>
  <c r="AB6" i="1"/>
  <c r="X7" i="1" s="1"/>
  <c r="N52" i="71"/>
  <c r="N52" i="88"/>
  <c r="G52" i="69"/>
  <c r="F52" i="69"/>
  <c r="H52" i="69"/>
  <c r="E52" i="69"/>
  <c r="I52" i="69"/>
  <c r="G52" i="42"/>
  <c r="F52" i="42"/>
  <c r="H52" i="42"/>
  <c r="E52" i="42"/>
  <c r="I52" i="42"/>
  <c r="G52" i="93"/>
  <c r="F52" i="93"/>
  <c r="E52" i="93"/>
  <c r="H52" i="93"/>
  <c r="I52" i="93"/>
  <c r="G52" i="92"/>
  <c r="H52" i="92"/>
  <c r="F52" i="92"/>
  <c r="E52" i="92"/>
  <c r="I52" i="92"/>
  <c r="G52" i="96"/>
  <c r="F52" i="96"/>
  <c r="E52" i="96"/>
  <c r="H52" i="96"/>
  <c r="I52" i="96"/>
  <c r="G52" i="72"/>
  <c r="E52" i="72"/>
  <c r="F52" i="72"/>
  <c r="H52" i="72"/>
  <c r="I52" i="72"/>
  <c r="G52" i="94"/>
  <c r="H52" i="94"/>
  <c r="F52" i="94"/>
  <c r="E52" i="94"/>
  <c r="I52" i="94"/>
  <c r="G52" i="90"/>
  <c r="F52" i="90"/>
  <c r="H52" i="90"/>
  <c r="E52" i="90"/>
  <c r="I52" i="90"/>
  <c r="G52" i="67"/>
  <c r="F52" i="67"/>
  <c r="E52" i="67"/>
  <c r="H52" i="67"/>
  <c r="I52" i="67"/>
  <c r="G52" i="91"/>
  <c r="H52" i="91"/>
  <c r="F52" i="91"/>
  <c r="E52" i="91"/>
  <c r="I52" i="91"/>
  <c r="I25" i="96"/>
  <c r="H52" i="80"/>
  <c r="G52" i="80"/>
  <c r="F52" i="80"/>
  <c r="E11" i="84"/>
  <c r="L11" i="84" s="1"/>
  <c r="C10" i="1"/>
  <c r="G10" i="1" s="1"/>
  <c r="Q6" i="2"/>
  <c r="U6" i="2" s="1"/>
  <c r="I25" i="90"/>
  <c r="K34" i="77"/>
  <c r="J12" i="77"/>
  <c r="P35" i="79"/>
  <c r="P40" i="79" s="1"/>
  <c r="K36" i="82"/>
  <c r="K40" i="82" s="1"/>
  <c r="J22" i="90"/>
  <c r="J22" i="91" s="1"/>
  <c r="J22" i="92" s="1"/>
  <c r="J22" i="93" s="1"/>
  <c r="J22" i="94" s="1"/>
  <c r="J22" i="95" s="1"/>
  <c r="J22" i="96" s="1"/>
  <c r="J22" i="42" s="1"/>
  <c r="J22" i="67" s="1"/>
  <c r="J22" i="68" s="1"/>
  <c r="J22" i="69" s="1"/>
  <c r="J22" i="70" s="1"/>
  <c r="M18" i="81"/>
  <c r="I25" i="81"/>
  <c r="M21" i="81" s="1"/>
  <c r="I25" i="42"/>
  <c r="L36" i="82"/>
  <c r="I25" i="95"/>
  <c r="M18" i="95"/>
  <c r="I25" i="94"/>
  <c r="M18" i="73"/>
  <c r="E52" i="80"/>
  <c r="K35" i="83"/>
  <c r="L35" i="83"/>
  <c r="O40" i="72"/>
  <c r="N36" i="72"/>
  <c r="N40" i="72" s="1"/>
  <c r="I25" i="79"/>
  <c r="M18" i="79"/>
  <c r="F52" i="79" s="1"/>
  <c r="M18" i="70"/>
  <c r="I25" i="70"/>
  <c r="H18" i="70"/>
  <c r="C6" i="2"/>
  <c r="G6" i="2" s="1"/>
  <c r="N30" i="79"/>
  <c r="N30" i="80" s="1"/>
  <c r="I30" i="79"/>
  <c r="P30" i="79" s="1"/>
  <c r="I36" i="80"/>
  <c r="M34" i="87"/>
  <c r="I18" i="87"/>
  <c r="M18" i="87" s="1"/>
  <c r="AF12" i="3"/>
  <c r="M34" i="86"/>
  <c r="I18" i="86"/>
  <c r="M18" i="86" s="1"/>
  <c r="I18" i="85"/>
  <c r="AF10" i="3"/>
  <c r="M18" i="89"/>
  <c r="M34" i="89"/>
  <c r="E19" i="86"/>
  <c r="L19" i="86" s="1"/>
  <c r="EN12" i="1"/>
  <c r="K19" i="85"/>
  <c r="K19" i="86" s="1"/>
  <c r="K19" i="87" s="1"/>
  <c r="K19" i="88" s="1"/>
  <c r="K19" i="89" s="1"/>
  <c r="K19" i="90" s="1"/>
  <c r="K19" i="91" s="1"/>
  <c r="K19" i="92" s="1"/>
  <c r="K19" i="93" s="1"/>
  <c r="K19" i="94" s="1"/>
  <c r="K19" i="95" s="1"/>
  <c r="K19" i="96" s="1"/>
  <c r="K19" i="42" s="1"/>
  <c r="K19" i="67" s="1"/>
  <c r="K19" i="68" s="1"/>
  <c r="K19" i="69" s="1"/>
  <c r="K19" i="70" s="1"/>
  <c r="K19" i="71" s="1"/>
  <c r="K19" i="72" s="1"/>
  <c r="K19" i="73" s="1"/>
  <c r="K19" i="74" s="1"/>
  <c r="J19" i="85"/>
  <c r="J19" i="86" s="1"/>
  <c r="J19" i="87" s="1"/>
  <c r="L19" i="85"/>
  <c r="I35" i="80"/>
  <c r="P35" i="80" s="1"/>
  <c r="BJ6" i="6"/>
  <c r="BM6" i="6" s="1"/>
  <c r="J18" i="79"/>
  <c r="J25" i="79" s="1"/>
  <c r="J21" i="84"/>
  <c r="W5" i="1"/>
  <c r="R6" i="1" s="1"/>
  <c r="G18" i="70"/>
  <c r="EI5" i="1"/>
  <c r="EL5" i="1" s="1"/>
  <c r="EI6" i="1" s="1"/>
  <c r="L5" i="1"/>
  <c r="J9" i="72"/>
  <c r="J9" i="73" s="1"/>
  <c r="J9" i="74" s="1"/>
  <c r="AK6" i="1"/>
  <c r="G36" i="82"/>
  <c r="G40" i="82" s="1"/>
  <c r="H36" i="82"/>
  <c r="H40" i="82" s="1"/>
  <c r="J23" i="95"/>
  <c r="L7" i="2"/>
  <c r="P7" i="2" s="1"/>
  <c r="E10" i="81"/>
  <c r="L10" i="81" s="1"/>
  <c r="N34" i="81"/>
  <c r="N34" i="82" s="1"/>
  <c r="N34" i="83" s="1"/>
  <c r="N34" i="84" s="1"/>
  <c r="M52" i="78"/>
  <c r="I33" i="80"/>
  <c r="P33" i="80" s="1"/>
  <c r="I31" i="80"/>
  <c r="P31" i="80" s="1"/>
  <c r="E12" i="80"/>
  <c r="L12" i="80" s="1"/>
  <c r="L9" i="80"/>
  <c r="E9" i="81" s="1"/>
  <c r="L9" i="81" s="1"/>
  <c r="E9" i="82" s="1"/>
  <c r="F4" i="3"/>
  <c r="C5" i="3" s="1"/>
  <c r="F5" i="3" s="1"/>
  <c r="C6" i="3" s="1"/>
  <c r="E22" i="81" s="1"/>
  <c r="E22" i="79"/>
  <c r="L18" i="79"/>
  <c r="E13" i="79"/>
  <c r="L13" i="79" s="1"/>
  <c r="G9" i="76"/>
  <c r="G9" i="77" s="1"/>
  <c r="K16" i="69"/>
  <c r="O35" i="71"/>
  <c r="N35" i="71"/>
  <c r="J16" i="69"/>
  <c r="K9" i="71"/>
  <c r="K9" i="72" s="1"/>
  <c r="H9" i="73"/>
  <c r="H9" i="74" s="1"/>
  <c r="H9" i="75" s="1"/>
  <c r="N31" i="67"/>
  <c r="N31" i="68" s="1"/>
  <c r="N31" i="69" s="1"/>
  <c r="O31" i="67"/>
  <c r="O31" i="68" s="1"/>
  <c r="O31" i="69" s="1"/>
  <c r="AD5" i="3"/>
  <c r="AA6" i="3" s="1"/>
  <c r="J3" i="3"/>
  <c r="G4" i="3" s="1"/>
  <c r="E23" i="79" s="1"/>
  <c r="L23" i="79" s="1"/>
  <c r="H5" i="2"/>
  <c r="K5" i="2" s="1"/>
  <c r="W5" i="6"/>
  <c r="N6" i="3"/>
  <c r="K7" i="3" s="1"/>
  <c r="G35" i="90" l="1"/>
  <c r="H35" i="90"/>
  <c r="K5" i="1"/>
  <c r="H6" i="1" s="1"/>
  <c r="K36" i="83"/>
  <c r="K40" i="83" s="1"/>
  <c r="L36" i="83"/>
  <c r="L40" i="83" s="1"/>
  <c r="L40" i="82"/>
  <c r="P36" i="80"/>
  <c r="P40" i="80" s="1"/>
  <c r="I40" i="80"/>
  <c r="N52" i="72"/>
  <c r="N52" i="96"/>
  <c r="N52" i="42"/>
  <c r="EA5" i="1"/>
  <c r="ED5" i="1" s="1"/>
  <c r="EE6" i="1"/>
  <c r="EH6" i="1" s="1"/>
  <c r="AB7" i="1"/>
  <c r="X8" i="1" s="1"/>
  <c r="N52" i="92"/>
  <c r="K35" i="84"/>
  <c r="K35" i="85" s="1"/>
  <c r="N52" i="94"/>
  <c r="N52" i="69"/>
  <c r="N52" i="67"/>
  <c r="N52" i="93"/>
  <c r="N52" i="91"/>
  <c r="N52" i="90"/>
  <c r="G52" i="73"/>
  <c r="H52" i="73"/>
  <c r="E52" i="73"/>
  <c r="F52" i="73"/>
  <c r="I52" i="73"/>
  <c r="G52" i="89"/>
  <c r="F52" i="89"/>
  <c r="H52" i="89"/>
  <c r="E52" i="89"/>
  <c r="I52" i="89"/>
  <c r="G52" i="87"/>
  <c r="H52" i="87"/>
  <c r="F52" i="87"/>
  <c r="E52" i="87"/>
  <c r="I52" i="87"/>
  <c r="G52" i="95"/>
  <c r="E52" i="95"/>
  <c r="F52" i="95"/>
  <c r="H52" i="95"/>
  <c r="I52" i="95"/>
  <c r="G52" i="70"/>
  <c r="F52" i="70"/>
  <c r="H52" i="70"/>
  <c r="I52" i="70"/>
  <c r="E52" i="70"/>
  <c r="G52" i="86"/>
  <c r="F52" i="86"/>
  <c r="E52" i="86"/>
  <c r="H52" i="86"/>
  <c r="I52" i="86"/>
  <c r="G52" i="81"/>
  <c r="F52" i="81"/>
  <c r="H52" i="81"/>
  <c r="E52" i="81"/>
  <c r="I52" i="81"/>
  <c r="E11" i="85"/>
  <c r="L11" i="85" s="1"/>
  <c r="C11" i="1"/>
  <c r="G11" i="1" s="1"/>
  <c r="E12" i="81"/>
  <c r="L12" i="81" s="1"/>
  <c r="Q7" i="2"/>
  <c r="L35" i="84"/>
  <c r="L35" i="85" s="1"/>
  <c r="L35" i="86" s="1"/>
  <c r="N36" i="73"/>
  <c r="O36" i="73"/>
  <c r="N35" i="72"/>
  <c r="O35" i="72"/>
  <c r="J19" i="88"/>
  <c r="J19" i="89" s="1"/>
  <c r="J19" i="90" s="1"/>
  <c r="J19" i="91" s="1"/>
  <c r="J19" i="92" s="1"/>
  <c r="J19" i="93" s="1"/>
  <c r="J19" i="94" s="1"/>
  <c r="J19" i="95" s="1"/>
  <c r="J19" i="96" s="1"/>
  <c r="J19" i="42" s="1"/>
  <c r="J19" i="67" s="1"/>
  <c r="J19" i="68" s="1"/>
  <c r="J19" i="69" s="1"/>
  <c r="J19" i="70" s="1"/>
  <c r="J19" i="71" s="1"/>
  <c r="J19" i="72" s="1"/>
  <c r="J19" i="73" s="1"/>
  <c r="J19" i="74" s="1"/>
  <c r="C7" i="2"/>
  <c r="G7" i="2" s="1"/>
  <c r="M18" i="85"/>
  <c r="I25" i="85"/>
  <c r="H18" i="71"/>
  <c r="I25" i="89"/>
  <c r="I25" i="86"/>
  <c r="I25" i="87"/>
  <c r="E25" i="79"/>
  <c r="L9" i="82"/>
  <c r="E9" i="83" s="1"/>
  <c r="L9" i="83" s="1"/>
  <c r="J21" i="85"/>
  <c r="J21" i="86" s="1"/>
  <c r="J21" i="87" s="1"/>
  <c r="J21" i="88" s="1"/>
  <c r="J21" i="89" s="1"/>
  <c r="J21" i="90" s="1"/>
  <c r="J21" i="91" s="1"/>
  <c r="J21" i="92" s="1"/>
  <c r="J21" i="93" s="1"/>
  <c r="J21" i="94" s="1"/>
  <c r="J21" i="95" s="1"/>
  <c r="J21" i="96" s="1"/>
  <c r="J21" i="42" s="1"/>
  <c r="J21" i="67" s="1"/>
  <c r="J21" i="68" s="1"/>
  <c r="J21" i="69" s="1"/>
  <c r="J21" i="70" s="1"/>
  <c r="J21" i="71" s="1"/>
  <c r="J21" i="72" s="1"/>
  <c r="I30" i="80"/>
  <c r="P30" i="80" s="1"/>
  <c r="N30" i="81"/>
  <c r="N30" i="82" s="1"/>
  <c r="N30" i="83" s="1"/>
  <c r="N30" i="84" s="1"/>
  <c r="N30" i="85" s="1"/>
  <c r="N30" i="86" s="1"/>
  <c r="N30" i="87" s="1"/>
  <c r="N30" i="88" s="1"/>
  <c r="N30" i="89" s="1"/>
  <c r="N34" i="85"/>
  <c r="N34" i="86" s="1"/>
  <c r="N34" i="87" s="1"/>
  <c r="N34" i="88" s="1"/>
  <c r="N34" i="89" s="1"/>
  <c r="N34" i="90" s="1"/>
  <c r="N34" i="91" s="1"/>
  <c r="N34" i="92" s="1"/>
  <c r="N34" i="93" s="1"/>
  <c r="N34" i="94" s="1"/>
  <c r="N34" i="95" s="1"/>
  <c r="N34" i="96" s="1"/>
  <c r="N34" i="42" s="1"/>
  <c r="EQ12" i="1"/>
  <c r="EN13" i="1" s="1"/>
  <c r="E19" i="87"/>
  <c r="L19" i="87" s="1"/>
  <c r="H52" i="79"/>
  <c r="G52" i="79"/>
  <c r="J18" i="80"/>
  <c r="J25" i="80" s="1"/>
  <c r="I35" i="81"/>
  <c r="P35" i="81" s="1"/>
  <c r="BJ7" i="6"/>
  <c r="BM7" i="6" s="1"/>
  <c r="E52" i="79"/>
  <c r="W6" i="1"/>
  <c r="R7" i="1" s="1"/>
  <c r="Q5" i="1"/>
  <c r="L6" i="1" s="1"/>
  <c r="I34" i="80"/>
  <c r="P34" i="80" s="1"/>
  <c r="E18" i="80"/>
  <c r="L18" i="80" s="1"/>
  <c r="E15" i="80"/>
  <c r="L15" i="80" s="1"/>
  <c r="AN6" i="1"/>
  <c r="O31" i="70"/>
  <c r="O31" i="71" s="1"/>
  <c r="O31" i="72" s="1"/>
  <c r="O31" i="73" s="1"/>
  <c r="O31" i="74" s="1"/>
  <c r="O31" i="75" s="1"/>
  <c r="O31" i="76" s="1"/>
  <c r="O31" i="77" s="1"/>
  <c r="N31" i="70"/>
  <c r="N31" i="71" s="1"/>
  <c r="N31" i="72" s="1"/>
  <c r="N31" i="73" s="1"/>
  <c r="N31" i="74" s="1"/>
  <c r="N31" i="75" s="1"/>
  <c r="N31" i="76" s="1"/>
  <c r="N31" i="77" s="1"/>
  <c r="N7" i="3"/>
  <c r="K8" i="3" s="1"/>
  <c r="E24" i="83" s="1"/>
  <c r="L24" i="83" s="1"/>
  <c r="E24" i="82"/>
  <c r="L24" i="82" s="1"/>
  <c r="G36" i="83"/>
  <c r="G40" i="83" s="1"/>
  <c r="K36" i="84"/>
  <c r="K40" i="84" s="1"/>
  <c r="L22" i="79"/>
  <c r="L25" i="79" s="1"/>
  <c r="H36" i="83"/>
  <c r="H40" i="83" s="1"/>
  <c r="J23" i="96"/>
  <c r="EL6" i="1"/>
  <c r="EI7" i="1" s="1"/>
  <c r="E18" i="81"/>
  <c r="L18" i="81" s="1"/>
  <c r="I34" i="81"/>
  <c r="P34" i="81" s="1"/>
  <c r="L8" i="2"/>
  <c r="P8" i="2" s="1"/>
  <c r="E10" i="82"/>
  <c r="L10" i="82" s="1"/>
  <c r="N52" i="80"/>
  <c r="E13" i="80"/>
  <c r="L13" i="80" s="1"/>
  <c r="E22" i="80"/>
  <c r="E16" i="79"/>
  <c r="H9" i="76"/>
  <c r="K14" i="71"/>
  <c r="K14" i="72" s="1"/>
  <c r="K16" i="72" s="1"/>
  <c r="J9" i="75"/>
  <c r="G18" i="71"/>
  <c r="J14" i="71"/>
  <c r="J14" i="72" s="1"/>
  <c r="J16" i="72" s="1"/>
  <c r="K9" i="73"/>
  <c r="K9" i="74" s="1"/>
  <c r="AD6" i="3"/>
  <c r="AA7" i="3" s="1"/>
  <c r="J4" i="3"/>
  <c r="G5" i="3" s="1"/>
  <c r="E23" i="80" s="1"/>
  <c r="L23" i="80" s="1"/>
  <c r="H6" i="2"/>
  <c r="K6" i="2" s="1"/>
  <c r="T6" i="6"/>
  <c r="I33" i="81" s="1"/>
  <c r="P33" i="81" s="1"/>
  <c r="F6" i="3"/>
  <c r="C7" i="3" s="1"/>
  <c r="E22" i="82" s="1"/>
  <c r="BF6" i="6"/>
  <c r="CE5" i="6"/>
  <c r="N52" i="73" l="1"/>
  <c r="H35" i="91"/>
  <c r="G35" i="91"/>
  <c r="L35" i="87"/>
  <c r="K6" i="1"/>
  <c r="H7" i="1" s="1"/>
  <c r="K7" i="1" s="1"/>
  <c r="H8" i="1" s="1"/>
  <c r="K8" i="1" s="1"/>
  <c r="H9" i="1" s="1"/>
  <c r="K9" i="1" s="1"/>
  <c r="L36" i="84"/>
  <c r="L40" i="84" s="1"/>
  <c r="CH6" i="6"/>
  <c r="H7" i="6"/>
  <c r="I7" i="6" s="1"/>
  <c r="BI6" i="6"/>
  <c r="CD6" i="6" s="1"/>
  <c r="E15" i="81"/>
  <c r="L15" i="81" s="1"/>
  <c r="EA6" i="1"/>
  <c r="ED6" i="1" s="1"/>
  <c r="AB8" i="1"/>
  <c r="X9" i="1" s="1"/>
  <c r="N52" i="70"/>
  <c r="K35" i="86"/>
  <c r="N52" i="87"/>
  <c r="N52" i="95"/>
  <c r="N52" i="89"/>
  <c r="N52" i="86"/>
  <c r="G52" i="85"/>
  <c r="F52" i="85"/>
  <c r="E52" i="85"/>
  <c r="H52" i="85"/>
  <c r="I52" i="85"/>
  <c r="N52" i="81"/>
  <c r="U7" i="2"/>
  <c r="Q8" i="2" s="1"/>
  <c r="E12" i="82"/>
  <c r="L12" i="82" s="1"/>
  <c r="E11" i="86"/>
  <c r="L11" i="86" s="1"/>
  <c r="C12" i="1"/>
  <c r="G12" i="1" s="1"/>
  <c r="C8" i="2"/>
  <c r="N36" i="74"/>
  <c r="E25" i="80"/>
  <c r="I30" i="81"/>
  <c r="P30" i="81" s="1"/>
  <c r="H7" i="2"/>
  <c r="K7" i="2" s="1"/>
  <c r="H18" i="72"/>
  <c r="N30" i="90"/>
  <c r="N30" i="91" s="1"/>
  <c r="N30" i="92" s="1"/>
  <c r="N30" i="93" s="1"/>
  <c r="N30" i="94" s="1"/>
  <c r="N30" i="95" s="1"/>
  <c r="N30" i="96" s="1"/>
  <c r="N30" i="42" s="1"/>
  <c r="N30" i="67" s="1"/>
  <c r="N30" i="68" s="1"/>
  <c r="N30" i="69" s="1"/>
  <c r="N30" i="70" s="1"/>
  <c r="N30" i="71" s="1"/>
  <c r="N30" i="72" s="1"/>
  <c r="N30" i="73" s="1"/>
  <c r="N30" i="74" s="1"/>
  <c r="E9" i="84"/>
  <c r="L9" i="84" s="1"/>
  <c r="E9" i="85" s="1"/>
  <c r="L9" i="85" s="1"/>
  <c r="E9" i="86" s="1"/>
  <c r="L9" i="86" s="1"/>
  <c r="E9" i="87" s="1"/>
  <c r="L9" i="87" s="1"/>
  <c r="I36" i="81"/>
  <c r="M52" i="79"/>
  <c r="EQ13" i="1"/>
  <c r="EN14" i="1" s="1"/>
  <c r="E19" i="88"/>
  <c r="L19" i="88" s="1"/>
  <c r="J18" i="81"/>
  <c r="J25" i="81" s="1"/>
  <c r="I35" i="82"/>
  <c r="P35" i="82" s="1"/>
  <c r="BJ8" i="6"/>
  <c r="BM8" i="6" s="1"/>
  <c r="W7" i="1"/>
  <c r="R8" i="1" s="1"/>
  <c r="Q6" i="1"/>
  <c r="L7" i="1" s="1"/>
  <c r="EA7" i="1" s="1"/>
  <c r="ED7" i="1" s="1"/>
  <c r="E14" i="80"/>
  <c r="L14" i="80" s="1"/>
  <c r="N8" i="3"/>
  <c r="K9" i="3" s="1"/>
  <c r="E24" i="84" s="1"/>
  <c r="L24" i="84" s="1"/>
  <c r="G18" i="72"/>
  <c r="AK7" i="1"/>
  <c r="EE7" i="1" s="1"/>
  <c r="G36" i="84"/>
  <c r="G40" i="84" s="1"/>
  <c r="AD7" i="3"/>
  <c r="AA8" i="3" s="1"/>
  <c r="K36" i="85"/>
  <c r="K40" i="85" s="1"/>
  <c r="E13" i="81"/>
  <c r="L13" i="81" s="1"/>
  <c r="H36" i="84"/>
  <c r="H40" i="84" s="1"/>
  <c r="J23" i="42"/>
  <c r="EL7" i="1"/>
  <c r="EI8" i="1" s="1"/>
  <c r="I34" i="82"/>
  <c r="P34" i="82" s="1"/>
  <c r="E18" i="82"/>
  <c r="I31" i="81"/>
  <c r="P31" i="81" s="1"/>
  <c r="L9" i="2"/>
  <c r="P9" i="2" s="1"/>
  <c r="E10" i="83"/>
  <c r="L10" i="83" s="1"/>
  <c r="L22" i="82"/>
  <c r="L22" i="81"/>
  <c r="L22" i="80"/>
  <c r="K9" i="75"/>
  <c r="J16" i="71"/>
  <c r="O35" i="73"/>
  <c r="J9" i="76"/>
  <c r="K16" i="71"/>
  <c r="H9" i="77"/>
  <c r="N35" i="73"/>
  <c r="N40" i="73" s="1"/>
  <c r="J5" i="3"/>
  <c r="G6" i="3" s="1"/>
  <c r="E23" i="81" s="1"/>
  <c r="E25" i="81" s="1"/>
  <c r="W6" i="6"/>
  <c r="T7" i="6" s="1"/>
  <c r="F7" i="3"/>
  <c r="C8" i="3" s="1"/>
  <c r="E22" i="83" s="1"/>
  <c r="P28" i="1"/>
  <c r="P30" i="1"/>
  <c r="P31" i="1"/>
  <c r="P32" i="1"/>
  <c r="R35" i="12"/>
  <c r="S35" i="12"/>
  <c r="U35" i="12"/>
  <c r="AC35" i="12" s="1"/>
  <c r="R36" i="12"/>
  <c r="S36" i="12"/>
  <c r="U36" i="12"/>
  <c r="AC36" i="12" s="1"/>
  <c r="R37" i="12"/>
  <c r="S37" i="12"/>
  <c r="U37" i="12"/>
  <c r="AC37" i="12" s="1"/>
  <c r="R38" i="12"/>
  <c r="S38" i="12"/>
  <c r="U38" i="12"/>
  <c r="AC38" i="12" s="1"/>
  <c r="R39" i="12"/>
  <c r="S39" i="12"/>
  <c r="U39" i="12"/>
  <c r="AC39" i="12" s="1"/>
  <c r="L36" i="85" l="1"/>
  <c r="L40" i="85" s="1"/>
  <c r="AB35" i="12"/>
  <c r="L35" i="88"/>
  <c r="AB37" i="12"/>
  <c r="AB39" i="12"/>
  <c r="G35" i="92"/>
  <c r="G35" i="93" s="1"/>
  <c r="H35" i="92"/>
  <c r="H35" i="93" s="1"/>
  <c r="AB38" i="12"/>
  <c r="AB36" i="12"/>
  <c r="P36" i="81"/>
  <c r="P40" i="81" s="1"/>
  <c r="I40" i="81"/>
  <c r="AI35" i="12"/>
  <c r="O40" i="73"/>
  <c r="O35" i="74"/>
  <c r="E15" i="82"/>
  <c r="L15" i="82" s="1"/>
  <c r="EH7" i="1"/>
  <c r="AB9" i="1"/>
  <c r="X10" i="1" s="1"/>
  <c r="AI37" i="12"/>
  <c r="K35" i="87"/>
  <c r="N52" i="85"/>
  <c r="U8" i="2"/>
  <c r="Q9" i="2" s="1"/>
  <c r="U9" i="2" s="1"/>
  <c r="E12" i="83"/>
  <c r="L12" i="83" s="1"/>
  <c r="G8" i="2"/>
  <c r="C9" i="2" s="1"/>
  <c r="E11" i="87"/>
  <c r="L11" i="87" s="1"/>
  <c r="E10" i="84"/>
  <c r="L10" i="84" s="1"/>
  <c r="AI38" i="12"/>
  <c r="AI36" i="12"/>
  <c r="AI39" i="12"/>
  <c r="J9" i="77"/>
  <c r="E33" i="3"/>
  <c r="I22" i="77" s="1"/>
  <c r="M22" i="77" s="1"/>
  <c r="N35" i="74"/>
  <c r="L25" i="80"/>
  <c r="H18" i="73"/>
  <c r="H18" i="74" s="1"/>
  <c r="H18" i="75" s="1"/>
  <c r="I30" i="82"/>
  <c r="P30" i="82" s="1"/>
  <c r="H8" i="2"/>
  <c r="K8" i="2" s="1"/>
  <c r="W8" i="1"/>
  <c r="R9" i="1" s="1"/>
  <c r="J18" i="82"/>
  <c r="J25" i="82" s="1"/>
  <c r="E14" i="81"/>
  <c r="L14" i="81" s="1"/>
  <c r="Q7" i="1"/>
  <c r="L8" i="1" s="1"/>
  <c r="EA8" i="1" s="1"/>
  <c r="ED8" i="1" s="1"/>
  <c r="EQ14" i="1"/>
  <c r="EN15" i="1" s="1"/>
  <c r="E19" i="89"/>
  <c r="L19" i="89" s="1"/>
  <c r="I35" i="83"/>
  <c r="P35" i="83" s="1"/>
  <c r="BJ9" i="6"/>
  <c r="BM9" i="6" s="1"/>
  <c r="L16" i="80"/>
  <c r="E16" i="80"/>
  <c r="N9" i="3"/>
  <c r="K10" i="3" s="1"/>
  <c r="E24" i="85" s="1"/>
  <c r="L24" i="85" s="1"/>
  <c r="L18" i="82"/>
  <c r="AN7" i="1"/>
  <c r="AD8" i="3"/>
  <c r="AA9" i="3" s="1"/>
  <c r="G36" i="85"/>
  <c r="G40" i="85" s="1"/>
  <c r="K36" i="86"/>
  <c r="K40" i="86" s="1"/>
  <c r="L23" i="81"/>
  <c r="L25" i="81" s="1"/>
  <c r="H36" i="85"/>
  <c r="H40" i="85" s="1"/>
  <c r="L36" i="86"/>
  <c r="L40" i="86" s="1"/>
  <c r="EL8" i="1"/>
  <c r="EI9" i="1" s="1"/>
  <c r="I34" i="83"/>
  <c r="P34" i="83" s="1"/>
  <c r="E18" i="83"/>
  <c r="L10" i="2"/>
  <c r="P10" i="2" s="1"/>
  <c r="L22" i="83"/>
  <c r="E13" i="82"/>
  <c r="L13" i="82" s="1"/>
  <c r="J14" i="73"/>
  <c r="K14" i="73"/>
  <c r="G18" i="73"/>
  <c r="K9" i="76"/>
  <c r="K9" i="77" s="1"/>
  <c r="H10" i="1"/>
  <c r="K10" i="1" s="1"/>
  <c r="J6" i="3"/>
  <c r="G7" i="3" s="1"/>
  <c r="E23" i="82" s="1"/>
  <c r="E25" i="82" s="1"/>
  <c r="AH39" i="12"/>
  <c r="AN39" i="12"/>
  <c r="AN38" i="12"/>
  <c r="AN37" i="12"/>
  <c r="AH36" i="12"/>
  <c r="AN36" i="12"/>
  <c r="AH35" i="12"/>
  <c r="AN35" i="12"/>
  <c r="I33" i="82"/>
  <c r="P33" i="82" s="1"/>
  <c r="I22" i="76"/>
  <c r="M22" i="76" s="1"/>
  <c r="I21" i="75"/>
  <c r="AN40" i="12"/>
  <c r="AM42" i="97" s="1"/>
  <c r="AC33" i="3"/>
  <c r="AB33" i="3" s="1"/>
  <c r="F8" i="3"/>
  <c r="C9" i="3" s="1"/>
  <c r="E22" i="84" s="1"/>
  <c r="J32" i="1"/>
  <c r="AC32" i="3"/>
  <c r="AB32" i="3" s="1"/>
  <c r="C13" i="1"/>
  <c r="G13" i="1" s="1"/>
  <c r="BF7" i="6"/>
  <c r="BI7" i="6" s="1"/>
  <c r="CE6" i="6"/>
  <c r="I21" i="76"/>
  <c r="M30" i="76" s="1"/>
  <c r="AH38" i="12"/>
  <c r="AH37" i="12"/>
  <c r="I21" i="77"/>
  <c r="P29" i="1"/>
  <c r="P27" i="1"/>
  <c r="G35" i="94" l="1"/>
  <c r="G35" i="95" s="1"/>
  <c r="G35" i="96" s="1"/>
  <c r="G35" i="42" s="1"/>
  <c r="G35" i="67" s="1"/>
  <c r="H35" i="94"/>
  <c r="H35" i="95" s="1"/>
  <c r="H35" i="96" s="1"/>
  <c r="H35" i="42" s="1"/>
  <c r="H35" i="67" s="1"/>
  <c r="L35" i="89"/>
  <c r="CH7" i="6"/>
  <c r="H8" i="6"/>
  <c r="I8" i="6" s="1"/>
  <c r="AG36" i="12"/>
  <c r="AM36" i="12" s="1"/>
  <c r="AG35" i="12"/>
  <c r="AM35" i="12" s="1"/>
  <c r="AG33" i="12"/>
  <c r="AM33" i="12" s="1"/>
  <c r="AG34" i="12"/>
  <c r="AG32" i="12"/>
  <c r="AM32" i="12" s="1"/>
  <c r="W9" i="1"/>
  <c r="R10" i="1" s="1"/>
  <c r="AB10" i="1"/>
  <c r="X11" i="1" s="1"/>
  <c r="K35" i="88"/>
  <c r="G9" i="2"/>
  <c r="C10" i="2" s="1"/>
  <c r="G10" i="2" s="1"/>
  <c r="C11" i="2" s="1"/>
  <c r="G11" i="2" s="1"/>
  <c r="E11" i="88"/>
  <c r="L11" i="88" s="1"/>
  <c r="C14" i="1"/>
  <c r="G14" i="1" s="1"/>
  <c r="I31" i="82"/>
  <c r="P31" i="82" s="1"/>
  <c r="E12" i="84"/>
  <c r="L12" i="84" s="1"/>
  <c r="Q10" i="2"/>
  <c r="U10" i="2" s="1"/>
  <c r="AT35" i="12"/>
  <c r="AT34" i="12"/>
  <c r="AT32" i="12"/>
  <c r="AT33" i="12"/>
  <c r="O36" i="76"/>
  <c r="N36" i="76"/>
  <c r="N35" i="75"/>
  <c r="N40" i="75" s="1"/>
  <c r="CD7" i="6"/>
  <c r="O35" i="75"/>
  <c r="O40" i="75" s="1"/>
  <c r="AG38" i="12"/>
  <c r="AL36" i="12"/>
  <c r="M21" i="77"/>
  <c r="M30" i="77"/>
  <c r="Q8" i="1"/>
  <c r="L9" i="1" s="1"/>
  <c r="I30" i="83"/>
  <c r="P30" i="83" s="1"/>
  <c r="H9" i="2"/>
  <c r="K9" i="2" s="1"/>
  <c r="M21" i="75"/>
  <c r="M30" i="75"/>
  <c r="M21" i="76"/>
  <c r="I36" i="82"/>
  <c r="I40" i="82" s="1"/>
  <c r="J18" i="83"/>
  <c r="J25" i="83" s="1"/>
  <c r="AG39" i="12"/>
  <c r="E16" i="81"/>
  <c r="L16" i="81" s="1"/>
  <c r="EQ15" i="1"/>
  <c r="EN16" i="1" s="1"/>
  <c r="E19" i="90"/>
  <c r="L19" i="90" s="1"/>
  <c r="E14" i="82"/>
  <c r="L14" i="82" s="1"/>
  <c r="I35" i="84"/>
  <c r="P35" i="84" s="1"/>
  <c r="BJ10" i="6"/>
  <c r="BM10" i="6" s="1"/>
  <c r="AG37" i="12"/>
  <c r="N10" i="3"/>
  <c r="K11" i="3" s="1"/>
  <c r="E24" i="86" s="1"/>
  <c r="L24" i="86" s="1"/>
  <c r="L18" i="83"/>
  <c r="H18" i="76"/>
  <c r="AD9" i="3"/>
  <c r="AA10" i="3" s="1"/>
  <c r="AK8" i="1"/>
  <c r="G36" i="86"/>
  <c r="G40" i="86" s="1"/>
  <c r="K36" i="87"/>
  <c r="K40" i="87" s="1"/>
  <c r="L23" i="82"/>
  <c r="L25" i="82" s="1"/>
  <c r="L36" i="87"/>
  <c r="L40" i="87" s="1"/>
  <c r="H36" i="86"/>
  <c r="H40" i="86" s="1"/>
  <c r="L11" i="2"/>
  <c r="P11" i="2" s="1"/>
  <c r="E10" i="85"/>
  <c r="EL9" i="1"/>
  <c r="EI10" i="1" s="1"/>
  <c r="I34" i="84"/>
  <c r="P34" i="84" s="1"/>
  <c r="E18" i="84"/>
  <c r="L22" i="84"/>
  <c r="W10" i="1"/>
  <c r="R11" i="1" s="1"/>
  <c r="G18" i="74"/>
  <c r="K14" i="74"/>
  <c r="K16" i="73"/>
  <c r="J14" i="74"/>
  <c r="J16" i="73"/>
  <c r="J7" i="3"/>
  <c r="G8" i="3" s="1"/>
  <c r="E23" i="83" s="1"/>
  <c r="E25" i="83" s="1"/>
  <c r="AR32" i="2"/>
  <c r="AR31" i="2"/>
  <c r="W7" i="6"/>
  <c r="P34" i="1"/>
  <c r="F9" i="3"/>
  <c r="C10" i="3" s="1"/>
  <c r="E22" i="85" s="1"/>
  <c r="M34" i="6"/>
  <c r="AB31" i="3"/>
  <c r="H35" i="68" l="1"/>
  <c r="G35" i="68"/>
  <c r="L35" i="90"/>
  <c r="K35" i="89"/>
  <c r="H11" i="1"/>
  <c r="AL39" i="12"/>
  <c r="AM39" i="12"/>
  <c r="AL38" i="12"/>
  <c r="AM38" i="12"/>
  <c r="EK33" i="1"/>
  <c r="AM34" i="12"/>
  <c r="AL37" i="12"/>
  <c r="AM37" i="12"/>
  <c r="CH8" i="6"/>
  <c r="H9" i="6"/>
  <c r="I9" i="6" s="1"/>
  <c r="Q9" i="1"/>
  <c r="L10" i="1" s="1"/>
  <c r="EA10" i="1" s="1"/>
  <c r="ED10" i="1" s="1"/>
  <c r="EA9" i="1"/>
  <c r="ED9" i="1" s="1"/>
  <c r="EE8" i="1"/>
  <c r="AB11" i="1"/>
  <c r="X12" i="1" s="1"/>
  <c r="E11" i="89"/>
  <c r="L11" i="89" s="1"/>
  <c r="E12" i="85"/>
  <c r="L12" i="85" s="1"/>
  <c r="Q11" i="2"/>
  <c r="U11" i="2" s="1"/>
  <c r="EK32" i="1"/>
  <c r="ET32" i="1" s="1"/>
  <c r="EK31" i="1"/>
  <c r="ET31" i="1" s="1"/>
  <c r="BF8" i="6"/>
  <c r="N36" i="77"/>
  <c r="O36" i="77"/>
  <c r="N35" i="76"/>
  <c r="O35" i="76"/>
  <c r="I30" i="84"/>
  <c r="P30" i="84" s="1"/>
  <c r="H10" i="2"/>
  <c r="K10" i="2" s="1"/>
  <c r="L10" i="85"/>
  <c r="P36" i="82"/>
  <c r="P40" i="82" s="1"/>
  <c r="E13" i="83"/>
  <c r="L13" i="83" s="1"/>
  <c r="AL35" i="12"/>
  <c r="J18" i="84"/>
  <c r="J25" i="84" s="1"/>
  <c r="EQ16" i="1"/>
  <c r="EN17" i="1" s="1"/>
  <c r="EQ17" i="1" s="1"/>
  <c r="EN18" i="1" s="1"/>
  <c r="E19" i="91"/>
  <c r="L19" i="91" s="1"/>
  <c r="I19" i="76"/>
  <c r="N11" i="3"/>
  <c r="K12" i="3" s="1"/>
  <c r="E24" i="87" s="1"/>
  <c r="L24" i="87" s="1"/>
  <c r="I35" i="85"/>
  <c r="BJ11" i="6"/>
  <c r="BM11" i="6" s="1"/>
  <c r="E14" i="83"/>
  <c r="L14" i="83" s="1"/>
  <c r="AL34" i="12"/>
  <c r="L18" i="84"/>
  <c r="H18" i="77"/>
  <c r="J21" i="73"/>
  <c r="J21" i="74" s="1"/>
  <c r="J21" i="75" s="1"/>
  <c r="AD10" i="3"/>
  <c r="AA11" i="3" s="1"/>
  <c r="AN8" i="1"/>
  <c r="E16" i="82"/>
  <c r="L16" i="82" s="1"/>
  <c r="G36" i="87"/>
  <c r="G40" i="87" s="1"/>
  <c r="K36" i="88"/>
  <c r="K40" i="88" s="1"/>
  <c r="L23" i="83"/>
  <c r="L25" i="83" s="1"/>
  <c r="L22" i="85"/>
  <c r="Q10" i="1"/>
  <c r="L11" i="1" s="1"/>
  <c r="EA11" i="1" s="1"/>
  <c r="ED11" i="1" s="1"/>
  <c r="H36" i="87"/>
  <c r="H40" i="87" s="1"/>
  <c r="L36" i="88"/>
  <c r="L40" i="88" s="1"/>
  <c r="N30" i="75"/>
  <c r="N30" i="76" s="1"/>
  <c r="N30" i="77" s="1"/>
  <c r="I31" i="83"/>
  <c r="P31" i="83" s="1"/>
  <c r="L12" i="2"/>
  <c r="P12" i="2" s="1"/>
  <c r="E10" i="86"/>
  <c r="EL10" i="1"/>
  <c r="EI11" i="1" s="1"/>
  <c r="I34" i="85"/>
  <c r="P34" i="85" s="1"/>
  <c r="E18" i="85"/>
  <c r="L18" i="85" s="1"/>
  <c r="M34" i="77"/>
  <c r="I18" i="77"/>
  <c r="I25" i="77" s="1"/>
  <c r="W11" i="1"/>
  <c r="R12" i="1" s="1"/>
  <c r="G18" i="75"/>
  <c r="J14" i="75"/>
  <c r="J16" i="74"/>
  <c r="K14" i="75"/>
  <c r="K16" i="74"/>
  <c r="J8" i="3"/>
  <c r="G9" i="3" s="1"/>
  <c r="E23" i="84" s="1"/>
  <c r="E25" i="84" s="1"/>
  <c r="AL32" i="12"/>
  <c r="T8" i="6"/>
  <c r="I33" i="83" s="1"/>
  <c r="P33" i="83" s="1"/>
  <c r="AF33" i="3"/>
  <c r="AL33" i="12"/>
  <c r="F10" i="3"/>
  <c r="C11" i="3" s="1"/>
  <c r="E22" i="86" s="1"/>
  <c r="AC34" i="3"/>
  <c r="C15" i="1"/>
  <c r="G15" i="1" s="1"/>
  <c r="C12" i="2"/>
  <c r="G12" i="2" s="1"/>
  <c r="CE7" i="6"/>
  <c r="G35" i="69" l="1"/>
  <c r="G35" i="70" s="1"/>
  <c r="G35" i="71" s="1"/>
  <c r="G35" i="72" s="1"/>
  <c r="G35" i="73" s="1"/>
  <c r="G35" i="74" s="1"/>
  <c r="G35" i="75" s="1"/>
  <c r="H35" i="69"/>
  <c r="H35" i="70" s="1"/>
  <c r="H35" i="71" s="1"/>
  <c r="H35" i="72" s="1"/>
  <c r="H35" i="73" s="1"/>
  <c r="H35" i="74" s="1"/>
  <c r="H35" i="75" s="1"/>
  <c r="K35" i="90"/>
  <c r="L35" i="91"/>
  <c r="P35" i="85"/>
  <c r="K11" i="1"/>
  <c r="H12" i="1" s="1"/>
  <c r="K12" i="1" s="1"/>
  <c r="H13" i="1" s="1"/>
  <c r="K13" i="1" s="1"/>
  <c r="CH9" i="6"/>
  <c r="H10" i="6"/>
  <c r="I10" i="6" s="1"/>
  <c r="BI8" i="6"/>
  <c r="CD8" i="6" s="1"/>
  <c r="EH8" i="1"/>
  <c r="E15" i="83"/>
  <c r="L15" i="83" s="1"/>
  <c r="AB12" i="1"/>
  <c r="X13" i="1" s="1"/>
  <c r="EQ18" i="1"/>
  <c r="E19" i="93"/>
  <c r="L19" i="93" s="1"/>
  <c r="E13" i="85"/>
  <c r="E11" i="90"/>
  <c r="L11" i="90" s="1"/>
  <c r="C16" i="1"/>
  <c r="G16" i="1" s="1"/>
  <c r="E12" i="86"/>
  <c r="L12" i="86" s="1"/>
  <c r="Q12" i="2"/>
  <c r="U12" i="2" s="1"/>
  <c r="I36" i="83"/>
  <c r="N12" i="3"/>
  <c r="K13" i="3" s="1"/>
  <c r="E24" i="88" s="1"/>
  <c r="L24" i="88" s="1"/>
  <c r="M18" i="77"/>
  <c r="I30" i="85"/>
  <c r="P30" i="85" s="1"/>
  <c r="H11" i="2"/>
  <c r="K11" i="2" s="1"/>
  <c r="E13" i="84"/>
  <c r="L13" i="84" s="1"/>
  <c r="J18" i="85"/>
  <c r="J25" i="85" s="1"/>
  <c r="E19" i="92"/>
  <c r="L19" i="92" s="1"/>
  <c r="AF32" i="3"/>
  <c r="I35" i="86"/>
  <c r="BJ12" i="6"/>
  <c r="BM12" i="6" s="1"/>
  <c r="J21" i="76"/>
  <c r="AD11" i="3"/>
  <c r="AA12" i="3" s="1"/>
  <c r="AK9" i="1"/>
  <c r="G36" i="88"/>
  <c r="G40" i="88" s="1"/>
  <c r="K36" i="89"/>
  <c r="K40" i="89" s="1"/>
  <c r="L22" i="86"/>
  <c r="Q11" i="1"/>
  <c r="L12" i="1" s="1"/>
  <c r="EA12" i="1" s="1"/>
  <c r="ED12" i="1" s="1"/>
  <c r="L36" i="89"/>
  <c r="L40" i="89" s="1"/>
  <c r="H36" i="88"/>
  <c r="H40" i="88" s="1"/>
  <c r="EL11" i="1"/>
  <c r="EI12" i="1" s="1"/>
  <c r="E18" i="86"/>
  <c r="I34" i="86"/>
  <c r="P34" i="86" s="1"/>
  <c r="E9" i="88"/>
  <c r="L9" i="88" s="1"/>
  <c r="E9" i="89" s="1"/>
  <c r="L9" i="89" s="1"/>
  <c r="L13" i="2"/>
  <c r="P13" i="2" s="1"/>
  <c r="E10" i="87"/>
  <c r="L10" i="87" s="1"/>
  <c r="L10" i="86"/>
  <c r="L23" i="84"/>
  <c r="L25" i="84" s="1"/>
  <c r="I31" i="84"/>
  <c r="P31" i="84" s="1"/>
  <c r="W12" i="1"/>
  <c r="R13" i="1" s="1"/>
  <c r="J14" i="76"/>
  <c r="J16" i="75"/>
  <c r="N35" i="77"/>
  <c r="N40" i="77" s="1"/>
  <c r="K14" i="76"/>
  <c r="K16" i="75"/>
  <c r="O35" i="77"/>
  <c r="O40" i="77" s="1"/>
  <c r="H35" i="76"/>
  <c r="G35" i="76"/>
  <c r="G18" i="76"/>
  <c r="B37" i="55" s="1"/>
  <c r="J37" i="55" s="1"/>
  <c r="J9" i="3"/>
  <c r="G10" i="3" s="1"/>
  <c r="E23" i="85" s="1"/>
  <c r="E25" i="85" s="1"/>
  <c r="W8" i="6"/>
  <c r="T9" i="6" s="1"/>
  <c r="I33" i="84" s="1"/>
  <c r="P33" i="84" s="1"/>
  <c r="AB34" i="3"/>
  <c r="J31" i="1"/>
  <c r="F11" i="3"/>
  <c r="C12" i="3" s="1"/>
  <c r="E22" i="87" s="1"/>
  <c r="L22" i="87" s="1"/>
  <c r="C13" i="2"/>
  <c r="G13" i="2" s="1"/>
  <c r="BF9" i="6"/>
  <c r="BI9" i="6" s="1"/>
  <c r="N39" i="12"/>
  <c r="N34" i="12"/>
  <c r="N35" i="12"/>
  <c r="N36" i="12"/>
  <c r="N37" i="12"/>
  <c r="N38" i="12"/>
  <c r="M34" i="12"/>
  <c r="M35" i="12"/>
  <c r="M36" i="12"/>
  <c r="M37" i="12"/>
  <c r="M38" i="12"/>
  <c r="M39" i="12"/>
  <c r="L35" i="92" l="1"/>
  <c r="L35" i="93" s="1"/>
  <c r="L35" i="94" s="1"/>
  <c r="L35" i="95" s="1"/>
  <c r="L35" i="96" s="1"/>
  <c r="K35" i="91"/>
  <c r="P35" i="86"/>
  <c r="P36" i="83"/>
  <c r="P40" i="83" s="1"/>
  <c r="I40" i="83"/>
  <c r="EE9" i="1"/>
  <c r="AB13" i="1"/>
  <c r="X14" i="1" s="1"/>
  <c r="E11" i="91"/>
  <c r="L11" i="91" s="1"/>
  <c r="E12" i="87"/>
  <c r="L12" i="87" s="1"/>
  <c r="Q13" i="2"/>
  <c r="U13" i="2" s="1"/>
  <c r="N13" i="3"/>
  <c r="K14" i="3" s="1"/>
  <c r="E24" i="89" s="1"/>
  <c r="L24" i="89" s="1"/>
  <c r="CD9" i="6"/>
  <c r="I30" i="86"/>
  <c r="P30" i="86" s="1"/>
  <c r="H12" i="2"/>
  <c r="K12" i="2" s="1"/>
  <c r="L13" i="85"/>
  <c r="J18" i="86"/>
  <c r="J25" i="86" s="1"/>
  <c r="EN19" i="1"/>
  <c r="M34" i="76"/>
  <c r="I18" i="76"/>
  <c r="I35" i="87"/>
  <c r="BJ13" i="6"/>
  <c r="BM13" i="6" s="1"/>
  <c r="J21" i="77"/>
  <c r="E14" i="84"/>
  <c r="L14" i="84" s="1"/>
  <c r="AD12" i="3"/>
  <c r="AA13" i="3" s="1"/>
  <c r="AN9" i="1"/>
  <c r="AK10" i="1" s="1"/>
  <c r="E16" i="83"/>
  <c r="L16" i="83" s="1"/>
  <c r="G36" i="89"/>
  <c r="G40" i="89" s="1"/>
  <c r="K36" i="90"/>
  <c r="K40" i="90" s="1"/>
  <c r="L23" i="85"/>
  <c r="L25" i="85" s="1"/>
  <c r="Q12" i="1"/>
  <c r="L13" i="1" s="1"/>
  <c r="EA13" i="1" s="1"/>
  <c r="ED13" i="1" s="1"/>
  <c r="H36" i="89"/>
  <c r="H40" i="89" s="1"/>
  <c r="L35" i="42"/>
  <c r="L36" i="90"/>
  <c r="L40" i="90" s="1"/>
  <c r="L18" i="86"/>
  <c r="EL12" i="1"/>
  <c r="EI13" i="1" s="1"/>
  <c r="I34" i="87"/>
  <c r="P34" i="87" s="1"/>
  <c r="E18" i="87"/>
  <c r="L14" i="2"/>
  <c r="P14" i="2" s="1"/>
  <c r="E10" i="88"/>
  <c r="L10" i="88" s="1"/>
  <c r="I36" i="84"/>
  <c r="I40" i="84" s="1"/>
  <c r="E52" i="77"/>
  <c r="M52" i="77" s="1"/>
  <c r="G52" i="77"/>
  <c r="F52" i="77"/>
  <c r="H52" i="77"/>
  <c r="W13" i="1"/>
  <c r="R14" i="1" s="1"/>
  <c r="G35" i="77"/>
  <c r="K14" i="77"/>
  <c r="K16" i="77" s="1"/>
  <c r="K16" i="76"/>
  <c r="G18" i="77"/>
  <c r="H35" i="77"/>
  <c r="J14" i="77"/>
  <c r="J16" i="76"/>
  <c r="H14" i="1"/>
  <c r="K14" i="1" s="1"/>
  <c r="J10" i="3"/>
  <c r="G11" i="3" s="1"/>
  <c r="E23" i="86" s="1"/>
  <c r="E25" i="86" s="1"/>
  <c r="W9" i="6"/>
  <c r="T10" i="6" s="1"/>
  <c r="I33" i="85" s="1"/>
  <c r="P33" i="85" s="1"/>
  <c r="J34" i="1"/>
  <c r="J35" i="1" s="1"/>
  <c r="C17" i="1"/>
  <c r="G17" i="1" s="1"/>
  <c r="F12" i="3"/>
  <c r="C13" i="3" s="1"/>
  <c r="E22" i="88" s="1"/>
  <c r="C14" i="2"/>
  <c r="G14" i="2" s="1"/>
  <c r="CE8" i="6"/>
  <c r="AG31" i="12"/>
  <c r="AM31" i="12" s="1"/>
  <c r="M22" i="75"/>
  <c r="P35" i="87" l="1"/>
  <c r="K35" i="92"/>
  <c r="K35" i="93" s="1"/>
  <c r="K35" i="94" s="1"/>
  <c r="K35" i="95" s="1"/>
  <c r="K35" i="96" s="1"/>
  <c r="K35" i="42" s="1"/>
  <c r="CH10" i="6"/>
  <c r="H11" i="6"/>
  <c r="I11" i="6" s="1"/>
  <c r="EH9" i="1"/>
  <c r="E15" i="84"/>
  <c r="L15" i="84" s="1"/>
  <c r="EE10" i="1"/>
  <c r="AB14" i="1"/>
  <c r="X15" i="1" s="1"/>
  <c r="E11" i="92"/>
  <c r="L11" i="92" s="1"/>
  <c r="C18" i="1"/>
  <c r="G18" i="1" s="1"/>
  <c r="E12" i="88"/>
  <c r="L12" i="88" s="1"/>
  <c r="Q14" i="2"/>
  <c r="U14" i="2" s="1"/>
  <c r="AG40" i="12"/>
  <c r="AF42" i="97" s="1"/>
  <c r="N14" i="3"/>
  <c r="K15" i="3" s="1"/>
  <c r="E24" i="90" s="1"/>
  <c r="L24" i="90" s="1"/>
  <c r="J16" i="77"/>
  <c r="CE9" i="6"/>
  <c r="P36" i="84"/>
  <c r="P40" i="84" s="1"/>
  <c r="AT31" i="12"/>
  <c r="AT40" i="12" s="1"/>
  <c r="AS42" i="97" s="1"/>
  <c r="I30" i="87"/>
  <c r="P30" i="87" s="1"/>
  <c r="H13" i="2"/>
  <c r="K13" i="2" s="1"/>
  <c r="M18" i="76"/>
  <c r="I25" i="76"/>
  <c r="J18" i="87"/>
  <c r="J25" i="87" s="1"/>
  <c r="E13" i="86"/>
  <c r="L13" i="86" s="1"/>
  <c r="EQ19" i="1"/>
  <c r="EN20" i="1" s="1"/>
  <c r="E19" i="94"/>
  <c r="L19" i="94" s="1"/>
  <c r="I35" i="88"/>
  <c r="BJ14" i="6"/>
  <c r="BM14" i="6" s="1"/>
  <c r="E14" i="85"/>
  <c r="L14" i="85" s="1"/>
  <c r="L18" i="87"/>
  <c r="AD13" i="3"/>
  <c r="AA14" i="3" s="1"/>
  <c r="AN10" i="1"/>
  <c r="AK11" i="1" s="1"/>
  <c r="G36" i="90"/>
  <c r="G40" i="90" s="1"/>
  <c r="K36" i="91"/>
  <c r="K40" i="91" s="1"/>
  <c r="L23" i="86"/>
  <c r="L25" i="86" s="1"/>
  <c r="Q13" i="1"/>
  <c r="L14" i="1" s="1"/>
  <c r="EA14" i="1" s="1"/>
  <c r="ED14" i="1" s="1"/>
  <c r="L35" i="67"/>
  <c r="H36" i="90"/>
  <c r="H40" i="90" s="1"/>
  <c r="L36" i="91"/>
  <c r="L40" i="91" s="1"/>
  <c r="EL13" i="1"/>
  <c r="EI14" i="1" s="1"/>
  <c r="I34" i="88"/>
  <c r="P34" i="88" s="1"/>
  <c r="E18" i="88"/>
  <c r="E9" i="90"/>
  <c r="L9" i="90" s="1"/>
  <c r="L15" i="2"/>
  <c r="P15" i="2" s="1"/>
  <c r="E10" i="89"/>
  <c r="L10" i="89" s="1"/>
  <c r="L22" i="88"/>
  <c r="I31" i="85"/>
  <c r="P31" i="85" s="1"/>
  <c r="W14" i="1"/>
  <c r="R15" i="1" s="1"/>
  <c r="N34" i="67"/>
  <c r="N34" i="68" s="1"/>
  <c r="N34" i="69" s="1"/>
  <c r="H15" i="1"/>
  <c r="K15" i="1" s="1"/>
  <c r="J11" i="3"/>
  <c r="G12" i="3" s="1"/>
  <c r="E23" i="87" s="1"/>
  <c r="E25" i="87" s="1"/>
  <c r="W10" i="6"/>
  <c r="T11" i="6" s="1"/>
  <c r="I33" i="86" s="1"/>
  <c r="P33" i="86" s="1"/>
  <c r="E34" i="3"/>
  <c r="F13" i="3"/>
  <c r="C14" i="3" s="1"/>
  <c r="E22" i="89" s="1"/>
  <c r="C15" i="2"/>
  <c r="G15" i="2" s="1"/>
  <c r="K35" i="67" l="1"/>
  <c r="CH11" i="6"/>
  <c r="H12" i="6"/>
  <c r="I12" i="6" s="1"/>
  <c r="N15" i="3"/>
  <c r="K16" i="3" s="1"/>
  <c r="E24" i="91" s="1"/>
  <c r="L24" i="91" s="1"/>
  <c r="EH10" i="1"/>
  <c r="E15" i="85"/>
  <c r="L15" i="85" s="1"/>
  <c r="EE11" i="1"/>
  <c r="AB15" i="1"/>
  <c r="X16" i="1" s="1"/>
  <c r="G52" i="76"/>
  <c r="F52" i="76"/>
  <c r="H52" i="76"/>
  <c r="E52" i="76"/>
  <c r="I52" i="76"/>
  <c r="E11" i="93"/>
  <c r="L11" i="93" s="1"/>
  <c r="E12" i="89"/>
  <c r="L12" i="89" s="1"/>
  <c r="Q15" i="2"/>
  <c r="U15" i="2" s="1"/>
  <c r="EK30" i="1"/>
  <c r="ET30" i="1" s="1"/>
  <c r="AM40" i="12"/>
  <c r="AL42" i="97" s="1"/>
  <c r="P35" i="88"/>
  <c r="AL31" i="12"/>
  <c r="AL40" i="12" s="1"/>
  <c r="AK42" i="97" s="1"/>
  <c r="I30" i="88"/>
  <c r="P30" i="88" s="1"/>
  <c r="H14" i="2"/>
  <c r="K14" i="2" s="1"/>
  <c r="E13" i="87"/>
  <c r="L13" i="87" s="1"/>
  <c r="J18" i="88"/>
  <c r="J25" i="88" s="1"/>
  <c r="EQ20" i="1"/>
  <c r="EN21" i="1" s="1"/>
  <c r="E19" i="95"/>
  <c r="L19" i="95" s="1"/>
  <c r="EP35" i="1"/>
  <c r="I19" i="75"/>
  <c r="I35" i="89"/>
  <c r="P35" i="89" s="1"/>
  <c r="BJ15" i="6"/>
  <c r="BM15" i="6" s="1"/>
  <c r="E14" i="86"/>
  <c r="L14" i="86" s="1"/>
  <c r="N34" i="70"/>
  <c r="N34" i="71" s="1"/>
  <c r="N34" i="72" s="1"/>
  <c r="N34" i="73" s="1"/>
  <c r="L18" i="88"/>
  <c r="AD14" i="3"/>
  <c r="AA15" i="3" s="1"/>
  <c r="AN11" i="1"/>
  <c r="AK12" i="1" s="1"/>
  <c r="E16" i="84"/>
  <c r="L16" i="84" s="1"/>
  <c r="G36" i="91"/>
  <c r="G40" i="91" s="1"/>
  <c r="K36" i="92"/>
  <c r="K40" i="92" s="1"/>
  <c r="L23" i="87"/>
  <c r="L25" i="87" s="1"/>
  <c r="Q14" i="1"/>
  <c r="L15" i="1" s="1"/>
  <c r="EA15" i="1" s="1"/>
  <c r="ED15" i="1" s="1"/>
  <c r="E9" i="91"/>
  <c r="L9" i="91" s="1"/>
  <c r="E9" i="92" s="1"/>
  <c r="L9" i="92" s="1"/>
  <c r="H36" i="91"/>
  <c r="H40" i="91" s="1"/>
  <c r="L36" i="92"/>
  <c r="L40" i="92" s="1"/>
  <c r="L35" i="68"/>
  <c r="I31" i="86"/>
  <c r="P31" i="86" s="1"/>
  <c r="EL14" i="1"/>
  <c r="EI15" i="1" s="1"/>
  <c r="E18" i="89"/>
  <c r="L18" i="89" s="1"/>
  <c r="I34" i="89"/>
  <c r="P34" i="89" s="1"/>
  <c r="L16" i="2"/>
  <c r="P16" i="2" s="1"/>
  <c r="E10" i="90"/>
  <c r="L10" i="90" s="1"/>
  <c r="L22" i="89"/>
  <c r="W15" i="1"/>
  <c r="R16" i="1" s="1"/>
  <c r="H16" i="1"/>
  <c r="K16" i="1" s="1"/>
  <c r="J12" i="3"/>
  <c r="G13" i="3" s="1"/>
  <c r="E23" i="88" s="1"/>
  <c r="E25" i="88" s="1"/>
  <c r="W11" i="6"/>
  <c r="BF10" i="6"/>
  <c r="BI10" i="6" s="1"/>
  <c r="F14" i="3"/>
  <c r="C15" i="3" s="1"/>
  <c r="E22" i="90" s="1"/>
  <c r="C16" i="2"/>
  <c r="G16" i="2" s="1"/>
  <c r="N52" i="76" l="1"/>
  <c r="K35" i="68"/>
  <c r="CH12" i="6"/>
  <c r="H13" i="6"/>
  <c r="I13" i="6" s="1"/>
  <c r="N16" i="3"/>
  <c r="K17" i="3" s="1"/>
  <c r="E24" i="92" s="1"/>
  <c r="L24" i="92" s="1"/>
  <c r="EH11" i="1"/>
  <c r="E15" i="86"/>
  <c r="L15" i="86" s="1"/>
  <c r="EE12" i="1"/>
  <c r="I18" i="74"/>
  <c r="I25" i="74" s="1"/>
  <c r="M34" i="74"/>
  <c r="N34" i="74" s="1"/>
  <c r="EK34" i="1"/>
  <c r="E12" i="90"/>
  <c r="L12" i="90" s="1"/>
  <c r="Q16" i="2"/>
  <c r="U16" i="2" s="1"/>
  <c r="T12" i="6"/>
  <c r="I33" i="87" s="1"/>
  <c r="P33" i="87" s="1"/>
  <c r="CD10" i="6"/>
  <c r="CE10" i="6" s="1"/>
  <c r="I30" i="89"/>
  <c r="P30" i="89" s="1"/>
  <c r="H15" i="2"/>
  <c r="K15" i="2" s="1"/>
  <c r="J18" i="89"/>
  <c r="J25" i="89" s="1"/>
  <c r="E13" i="88"/>
  <c r="L13" i="88" s="1"/>
  <c r="EQ21" i="1"/>
  <c r="EN22" i="1" s="1"/>
  <c r="E19" i="96"/>
  <c r="L19" i="96" s="1"/>
  <c r="J19" i="75"/>
  <c r="J19" i="76" s="1"/>
  <c r="J19" i="77" s="1"/>
  <c r="K19" i="75"/>
  <c r="K19" i="76" s="1"/>
  <c r="K19" i="77" s="1"/>
  <c r="I18" i="75"/>
  <c r="I25" i="75" s="1"/>
  <c r="M34" i="75"/>
  <c r="E14" i="87"/>
  <c r="L14" i="87" s="1"/>
  <c r="AD15" i="3"/>
  <c r="AA16" i="3" s="1"/>
  <c r="AN12" i="1"/>
  <c r="AK13" i="1" s="1"/>
  <c r="C19" i="1"/>
  <c r="G19" i="1" s="1"/>
  <c r="E16" i="85"/>
  <c r="L16" i="85" s="1"/>
  <c r="G36" i="92"/>
  <c r="G40" i="92" s="1"/>
  <c r="K36" i="93"/>
  <c r="K40" i="93" s="1"/>
  <c r="I35" i="90"/>
  <c r="BJ16" i="6"/>
  <c r="BM16" i="6" s="1"/>
  <c r="L23" i="88"/>
  <c r="L25" i="88" s="1"/>
  <c r="Q15" i="1"/>
  <c r="L16" i="1" s="1"/>
  <c r="EA16" i="1" s="1"/>
  <c r="ED16" i="1" s="1"/>
  <c r="L36" i="93"/>
  <c r="L40" i="93" s="1"/>
  <c r="L35" i="69"/>
  <c r="L35" i="70" s="1"/>
  <c r="H36" i="92"/>
  <c r="H40" i="92" s="1"/>
  <c r="AB16" i="1"/>
  <c r="X17" i="1" s="1"/>
  <c r="I31" i="87"/>
  <c r="P31" i="87" s="1"/>
  <c r="L17" i="2"/>
  <c r="P17" i="2" s="1"/>
  <c r="E10" i="91"/>
  <c r="L10" i="91" s="1"/>
  <c r="EL15" i="1"/>
  <c r="EI16" i="1" s="1"/>
  <c r="I34" i="90"/>
  <c r="P34" i="90" s="1"/>
  <c r="E18" i="90"/>
  <c r="L18" i="90" s="1"/>
  <c r="L22" i="90"/>
  <c r="I36" i="85"/>
  <c r="W16" i="1"/>
  <c r="R17" i="1" s="1"/>
  <c r="AF31" i="3"/>
  <c r="J13" i="3"/>
  <c r="G14" i="3" s="1"/>
  <c r="E23" i="89" s="1"/>
  <c r="E25" i="89" s="1"/>
  <c r="C17" i="2"/>
  <c r="G17" i="2" s="1"/>
  <c r="F15" i="3"/>
  <c r="C16" i="3" s="1"/>
  <c r="E22" i="91" s="1"/>
  <c r="L22" i="91" s="1"/>
  <c r="K35" i="69" l="1"/>
  <c r="K35" i="70" s="1"/>
  <c r="K35" i="71" s="1"/>
  <c r="K35" i="72" s="1"/>
  <c r="K35" i="73" s="1"/>
  <c r="K35" i="74" s="1"/>
  <c r="K35" i="75" s="1"/>
  <c r="K35" i="76" s="1"/>
  <c r="K35" i="77" s="1"/>
  <c r="P35" i="90"/>
  <c r="P36" i="85"/>
  <c r="P40" i="85" s="1"/>
  <c r="I40" i="85"/>
  <c r="H17" i="1"/>
  <c r="CH13" i="6"/>
  <c r="H14" i="6"/>
  <c r="I14" i="6" s="1"/>
  <c r="N17" i="3"/>
  <c r="K18" i="3" s="1"/>
  <c r="E24" i="93" s="1"/>
  <c r="L24" i="93" s="1"/>
  <c r="M18" i="74"/>
  <c r="F52" i="74" s="1"/>
  <c r="EE13" i="1"/>
  <c r="EH12" i="1"/>
  <c r="E15" i="87"/>
  <c r="L15" i="87" s="1"/>
  <c r="AB17" i="1"/>
  <c r="X18" i="1" s="1"/>
  <c r="C20" i="1"/>
  <c r="G20" i="1" s="1"/>
  <c r="E12" i="91"/>
  <c r="L12" i="91" s="1"/>
  <c r="W12" i="6"/>
  <c r="T13" i="6" s="1"/>
  <c r="I33" i="88" s="1"/>
  <c r="P33" i="88" s="1"/>
  <c r="BF11" i="6"/>
  <c r="I30" i="90"/>
  <c r="P30" i="90" s="1"/>
  <c r="H16" i="2"/>
  <c r="K16" i="2" s="1"/>
  <c r="M18" i="75"/>
  <c r="K18" i="78"/>
  <c r="K18" i="79" s="1"/>
  <c r="K18" i="80" s="1"/>
  <c r="O34" i="78"/>
  <c r="O34" i="79" s="1"/>
  <c r="O34" i="80" s="1"/>
  <c r="O34" i="81" s="1"/>
  <c r="O34" i="82" s="1"/>
  <c r="O34" i="83" s="1"/>
  <c r="O34" i="84" s="1"/>
  <c r="O34" i="85" s="1"/>
  <c r="O34" i="86" s="1"/>
  <c r="O34" i="87" s="1"/>
  <c r="O34" i="88" s="1"/>
  <c r="O34" i="89" s="1"/>
  <c r="O34" i="90" s="1"/>
  <c r="O34" i="91" s="1"/>
  <c r="O34" i="92" s="1"/>
  <c r="O34" i="93" s="1"/>
  <c r="O34" i="94" s="1"/>
  <c r="O34" i="95" s="1"/>
  <c r="O34" i="96" s="1"/>
  <c r="O34" i="42" s="1"/>
  <c r="O34" i="67" s="1"/>
  <c r="O34" i="68" s="1"/>
  <c r="O34" i="69" s="1"/>
  <c r="O34" i="70" s="1"/>
  <c r="O34" i="71" s="1"/>
  <c r="O34" i="72" s="1"/>
  <c r="O34" i="73" s="1"/>
  <c r="O34" i="74" s="1"/>
  <c r="O34" i="75" s="1"/>
  <c r="O34" i="76" s="1"/>
  <c r="O34" i="77" s="1"/>
  <c r="EK35" i="1"/>
  <c r="E13" i="89"/>
  <c r="L13" i="89" s="1"/>
  <c r="J18" i="90"/>
  <c r="J25" i="90" s="1"/>
  <c r="EQ22" i="1"/>
  <c r="EN23" i="1" s="1"/>
  <c r="E19" i="42"/>
  <c r="L19" i="42" s="1"/>
  <c r="N34" i="75"/>
  <c r="N34" i="76" s="1"/>
  <c r="N34" i="77" s="1"/>
  <c r="I35" i="91"/>
  <c r="BJ17" i="6"/>
  <c r="BM17" i="6" s="1"/>
  <c r="E14" i="88"/>
  <c r="L14" i="88" s="1"/>
  <c r="Q17" i="2"/>
  <c r="U17" i="2" s="1"/>
  <c r="AD16" i="3"/>
  <c r="AA17" i="3" s="1"/>
  <c r="AN13" i="1"/>
  <c r="AK14" i="1" s="1"/>
  <c r="E11" i="94"/>
  <c r="L11" i="94" s="1"/>
  <c r="E16" i="86"/>
  <c r="L16" i="86" s="1"/>
  <c r="G36" i="93"/>
  <c r="G40" i="93" s="1"/>
  <c r="K36" i="94"/>
  <c r="K40" i="94" s="1"/>
  <c r="L23" i="89"/>
  <c r="L25" i="89" s="1"/>
  <c r="Q16" i="1"/>
  <c r="L17" i="1" s="1"/>
  <c r="EA17" i="1" s="1"/>
  <c r="ED17" i="1" s="1"/>
  <c r="H36" i="93"/>
  <c r="H40" i="93" s="1"/>
  <c r="L36" i="94"/>
  <c r="L40" i="94" s="1"/>
  <c r="I31" i="88"/>
  <c r="P31" i="88" s="1"/>
  <c r="E9" i="93"/>
  <c r="L9" i="93" s="1"/>
  <c r="L18" i="2"/>
  <c r="P18" i="2" s="1"/>
  <c r="E10" i="92"/>
  <c r="L10" i="92" s="1"/>
  <c r="EL16" i="1"/>
  <c r="EI17" i="1" s="1"/>
  <c r="I34" i="91"/>
  <c r="P34" i="91" s="1"/>
  <c r="E18" i="91"/>
  <c r="L18" i="91" s="1"/>
  <c r="W17" i="1"/>
  <c r="R18" i="1" s="1"/>
  <c r="J14" i="3"/>
  <c r="G15" i="3" s="1"/>
  <c r="E23" i="90" s="1"/>
  <c r="E25" i="90" s="1"/>
  <c r="F16" i="3"/>
  <c r="C17" i="3" s="1"/>
  <c r="E22" i="92" s="1"/>
  <c r="N18" i="3"/>
  <c r="K19" i="3" s="1"/>
  <c r="C18" i="2"/>
  <c r="G18" i="2" s="1"/>
  <c r="P35" i="91" l="1"/>
  <c r="K17" i="1"/>
  <c r="H18" i="1" s="1"/>
  <c r="K18" i="1" s="1"/>
  <c r="CH14" i="6"/>
  <c r="H15" i="6"/>
  <c r="I15" i="6" s="1"/>
  <c r="BI11" i="6"/>
  <c r="CD11" i="6" s="1"/>
  <c r="CE11" i="6" s="1"/>
  <c r="G52" i="74"/>
  <c r="I52" i="74"/>
  <c r="E52" i="74"/>
  <c r="H52" i="74"/>
  <c r="EH13" i="1"/>
  <c r="E15" i="88"/>
  <c r="L15" i="88" s="1"/>
  <c r="EE14" i="1"/>
  <c r="AB18" i="1"/>
  <c r="X19" i="1" s="1"/>
  <c r="G52" i="75"/>
  <c r="H52" i="75"/>
  <c r="F52" i="75"/>
  <c r="E52" i="75"/>
  <c r="I52" i="75"/>
  <c r="C21" i="1"/>
  <c r="G21" i="1" s="1"/>
  <c r="E11" i="95"/>
  <c r="L11" i="95" s="1"/>
  <c r="E12" i="92"/>
  <c r="L12" i="92" s="1"/>
  <c r="Q18" i="2"/>
  <c r="U18" i="2" s="1"/>
  <c r="W13" i="6"/>
  <c r="T14" i="6" s="1"/>
  <c r="I33" i="89" s="1"/>
  <c r="P33" i="89" s="1"/>
  <c r="E24" i="94"/>
  <c r="L24" i="94" s="1"/>
  <c r="N19" i="3"/>
  <c r="K20" i="3" s="1"/>
  <c r="I36" i="86"/>
  <c r="I40" i="86" s="1"/>
  <c r="K18" i="81"/>
  <c r="K18" i="82" s="1"/>
  <c r="K18" i="83" s="1"/>
  <c r="K18" i="84" s="1"/>
  <c r="K18" i="85" s="1"/>
  <c r="K18" i="86" s="1"/>
  <c r="K18" i="87" s="1"/>
  <c r="K18" i="88" s="1"/>
  <c r="K18" i="89" s="1"/>
  <c r="K18" i="90" s="1"/>
  <c r="K18" i="91" s="1"/>
  <c r="K18" i="92" s="1"/>
  <c r="I30" i="91"/>
  <c r="P30" i="91" s="1"/>
  <c r="H17" i="2"/>
  <c r="K17" i="2" s="1"/>
  <c r="E13" i="90"/>
  <c r="L13" i="90" s="1"/>
  <c r="J18" i="91"/>
  <c r="J25" i="91" s="1"/>
  <c r="EQ23" i="1"/>
  <c r="EN24" i="1" s="1"/>
  <c r="E19" i="67"/>
  <c r="L19" i="67" s="1"/>
  <c r="I35" i="92"/>
  <c r="BJ18" i="6"/>
  <c r="BM18" i="6" s="1"/>
  <c r="E14" i="89"/>
  <c r="L14" i="89" s="1"/>
  <c r="AD17" i="3"/>
  <c r="AA18" i="3" s="1"/>
  <c r="L22" i="92"/>
  <c r="AN14" i="1"/>
  <c r="AK15" i="1" s="1"/>
  <c r="E16" i="87"/>
  <c r="L16" i="87" s="1"/>
  <c r="G36" i="94"/>
  <c r="G40" i="94" s="1"/>
  <c r="K36" i="95"/>
  <c r="K40" i="95" s="1"/>
  <c r="L23" i="90"/>
  <c r="L25" i="90" s="1"/>
  <c r="Q17" i="1"/>
  <c r="L18" i="1" s="1"/>
  <c r="EA18" i="1" s="1"/>
  <c r="ED18" i="1" s="1"/>
  <c r="H36" i="94"/>
  <c r="H40" i="94" s="1"/>
  <c r="L35" i="71"/>
  <c r="L35" i="72" s="1"/>
  <c r="L36" i="95"/>
  <c r="L40" i="95" s="1"/>
  <c r="I31" i="89"/>
  <c r="P31" i="89" s="1"/>
  <c r="EL17" i="1"/>
  <c r="EI18" i="1" s="1"/>
  <c r="I34" i="92"/>
  <c r="P34" i="92" s="1"/>
  <c r="E18" i="92"/>
  <c r="L18" i="92" s="1"/>
  <c r="E9" i="94"/>
  <c r="L9" i="94" s="1"/>
  <c r="E9" i="95" s="1"/>
  <c r="L9" i="95" s="1"/>
  <c r="E9" i="96" s="1"/>
  <c r="L9" i="96" s="1"/>
  <c r="E9" i="42" s="1"/>
  <c r="L9" i="42" s="1"/>
  <c r="L19" i="2"/>
  <c r="P19" i="2" s="1"/>
  <c r="E10" i="93"/>
  <c r="L10" i="93" s="1"/>
  <c r="W18" i="1"/>
  <c r="R19" i="1" s="1"/>
  <c r="G14" i="67"/>
  <c r="J15" i="3"/>
  <c r="G16" i="3" s="1"/>
  <c r="E23" i="91" s="1"/>
  <c r="E25" i="91" s="1"/>
  <c r="F17" i="3"/>
  <c r="C18" i="3" s="1"/>
  <c r="E22" i="93" s="1"/>
  <c r="C19" i="2"/>
  <c r="G19" i="2" s="1"/>
  <c r="H19" i="1" l="1"/>
  <c r="K19" i="1" s="1"/>
  <c r="BF12" i="6"/>
  <c r="BI12" i="6" s="1"/>
  <c r="CD12" i="6" s="1"/>
  <c r="CE12" i="6" s="1"/>
  <c r="CH15" i="6"/>
  <c r="H16" i="6"/>
  <c r="I16" i="6" s="1"/>
  <c r="N52" i="74"/>
  <c r="N52" i="75"/>
  <c r="EE15" i="1"/>
  <c r="EH14" i="1"/>
  <c r="E15" i="89"/>
  <c r="L15" i="89" s="1"/>
  <c r="AB19" i="1"/>
  <c r="X20" i="1" s="1"/>
  <c r="P36" i="86"/>
  <c r="P40" i="86" s="1"/>
  <c r="C22" i="1"/>
  <c r="G22" i="1" s="1"/>
  <c r="E11" i="96"/>
  <c r="L11" i="96" s="1"/>
  <c r="E12" i="93"/>
  <c r="L12" i="93" s="1"/>
  <c r="Q19" i="2"/>
  <c r="U19" i="2" s="1"/>
  <c r="W14" i="6"/>
  <c r="E24" i="95"/>
  <c r="L24" i="95" s="1"/>
  <c r="N20" i="3"/>
  <c r="P35" i="92"/>
  <c r="J18" i="92"/>
  <c r="J25" i="92" s="1"/>
  <c r="I30" i="92"/>
  <c r="P30" i="92" s="1"/>
  <c r="H18" i="2"/>
  <c r="K18" i="2" s="1"/>
  <c r="E13" i="91"/>
  <c r="L13" i="91" s="1"/>
  <c r="EQ24" i="1"/>
  <c r="EN25" i="1" s="1"/>
  <c r="E19" i="68"/>
  <c r="L19" i="68" s="1"/>
  <c r="I35" i="93"/>
  <c r="BJ19" i="6"/>
  <c r="BM19" i="6" s="1"/>
  <c r="E14" i="90"/>
  <c r="L14" i="90" s="1"/>
  <c r="AD18" i="3"/>
  <c r="AA19" i="3" s="1"/>
  <c r="L22" i="93"/>
  <c r="AN15" i="1"/>
  <c r="AK16" i="1" s="1"/>
  <c r="W19" i="1"/>
  <c r="R20" i="1" s="1"/>
  <c r="E16" i="88"/>
  <c r="L16" i="88" s="1"/>
  <c r="I36" i="87"/>
  <c r="I40" i="87" s="1"/>
  <c r="G36" i="95"/>
  <c r="G40" i="95" s="1"/>
  <c r="K36" i="96"/>
  <c r="K40" i="96" s="1"/>
  <c r="Q18" i="1"/>
  <c r="L19" i="1" s="1"/>
  <c r="EA19" i="1" s="1"/>
  <c r="ED19" i="1" s="1"/>
  <c r="L36" i="96"/>
  <c r="L40" i="96" s="1"/>
  <c r="H36" i="95"/>
  <c r="H40" i="95" s="1"/>
  <c r="L23" i="91"/>
  <c r="L25" i="91" s="1"/>
  <c r="L20" i="2"/>
  <c r="P20" i="2" s="1"/>
  <c r="E10" i="94"/>
  <c r="L10" i="94" s="1"/>
  <c r="K18" i="93"/>
  <c r="EL18" i="1"/>
  <c r="EI19" i="1" s="1"/>
  <c r="EL19" i="1" s="1"/>
  <c r="EI20" i="1" s="1"/>
  <c r="EL20" i="1" s="1"/>
  <c r="EI21" i="1" s="1"/>
  <c r="I34" i="93"/>
  <c r="P34" i="93" s="1"/>
  <c r="E18" i="93"/>
  <c r="L18" i="93" s="1"/>
  <c r="I31" i="90"/>
  <c r="P31" i="90" s="1"/>
  <c r="G14" i="68"/>
  <c r="J16" i="3"/>
  <c r="G17" i="3" s="1"/>
  <c r="E23" i="92" s="1"/>
  <c r="E25" i="92" s="1"/>
  <c r="K21" i="3"/>
  <c r="C20" i="2"/>
  <c r="G20" i="2" s="1"/>
  <c r="F18" i="3"/>
  <c r="C19" i="3" s="1"/>
  <c r="E22" i="94" s="1"/>
  <c r="F28" i="6"/>
  <c r="F29" i="6"/>
  <c r="F30" i="6"/>
  <c r="F31" i="6"/>
  <c r="F32" i="6"/>
  <c r="F27" i="6"/>
  <c r="AG32" i="6"/>
  <c r="AG31" i="6"/>
  <c r="AG30" i="6"/>
  <c r="AG29" i="6"/>
  <c r="AG28" i="6"/>
  <c r="AG27" i="6"/>
  <c r="AD28" i="6"/>
  <c r="AD27" i="6"/>
  <c r="AA32" i="6"/>
  <c r="AA31" i="6"/>
  <c r="AA30" i="6"/>
  <c r="AA29" i="6"/>
  <c r="AA28" i="6"/>
  <c r="AA27" i="6"/>
  <c r="X32" i="6"/>
  <c r="X31" i="6"/>
  <c r="X30" i="6"/>
  <c r="X29" i="6"/>
  <c r="X28" i="6"/>
  <c r="X27" i="6"/>
  <c r="Q34" i="3"/>
  <c r="M34" i="3"/>
  <c r="L34" i="3"/>
  <c r="I34" i="3"/>
  <c r="H34" i="3"/>
  <c r="H20" i="1" l="1"/>
  <c r="K20" i="1" s="1"/>
  <c r="CH16" i="6"/>
  <c r="H17" i="6"/>
  <c r="I17" i="6" s="1"/>
  <c r="T15" i="6"/>
  <c r="I33" i="90" s="1"/>
  <c r="P33" i="90" s="1"/>
  <c r="EE16" i="1"/>
  <c r="EH15" i="1"/>
  <c r="E15" i="90"/>
  <c r="L15" i="90" s="1"/>
  <c r="AB20" i="1"/>
  <c r="X21" i="1" s="1"/>
  <c r="C23" i="1"/>
  <c r="G23" i="1" s="1"/>
  <c r="E11" i="42"/>
  <c r="L11" i="42" s="1"/>
  <c r="E12" i="94"/>
  <c r="L12" i="94" s="1"/>
  <c r="Q20" i="2"/>
  <c r="U20" i="2" s="1"/>
  <c r="EL21" i="1"/>
  <c r="EI22" i="1" s="1"/>
  <c r="EL22" i="1" s="1"/>
  <c r="EI23" i="1" s="1"/>
  <c r="EL23" i="1" s="1"/>
  <c r="E24" i="96"/>
  <c r="L24" i="96" s="1"/>
  <c r="N21" i="3"/>
  <c r="P35" i="93"/>
  <c r="P36" i="87"/>
  <c r="P40" i="87" s="1"/>
  <c r="J18" i="93"/>
  <c r="J25" i="93" s="1"/>
  <c r="I30" i="93"/>
  <c r="P30" i="93" s="1"/>
  <c r="H19" i="2"/>
  <c r="K19" i="2" s="1"/>
  <c r="E13" i="92"/>
  <c r="L13" i="92" s="1"/>
  <c r="BF13" i="6"/>
  <c r="BI13" i="6" s="1"/>
  <c r="CD13" i="6" s="1"/>
  <c r="CE13" i="6" s="1"/>
  <c r="EQ25" i="1"/>
  <c r="EN26" i="1" s="1"/>
  <c r="E19" i="69"/>
  <c r="L19" i="69" s="1"/>
  <c r="I35" i="94"/>
  <c r="BJ20" i="6"/>
  <c r="BM20" i="6" s="1"/>
  <c r="E14" i="91"/>
  <c r="L14" i="91" s="1"/>
  <c r="L22" i="94"/>
  <c r="AA20" i="3"/>
  <c r="E21" i="95"/>
  <c r="L16" i="89"/>
  <c r="E16" i="89"/>
  <c r="AN16" i="1"/>
  <c r="AK17" i="1" s="1"/>
  <c r="W20" i="1"/>
  <c r="R21" i="1" s="1"/>
  <c r="Q19" i="1"/>
  <c r="L20" i="1" s="1"/>
  <c r="EA20" i="1" s="1"/>
  <c r="ED20" i="1" s="1"/>
  <c r="G36" i="96"/>
  <c r="G40" i="96" s="1"/>
  <c r="K36" i="42"/>
  <c r="K40" i="42" s="1"/>
  <c r="L21" i="2"/>
  <c r="P21" i="2" s="1"/>
  <c r="E10" i="95"/>
  <c r="L10" i="95" s="1"/>
  <c r="L36" i="42"/>
  <c r="L40" i="42" s="1"/>
  <c r="H36" i="96"/>
  <c r="H40" i="96" s="1"/>
  <c r="L35" i="73"/>
  <c r="L23" i="92"/>
  <c r="L25" i="92" s="1"/>
  <c r="K18" i="94"/>
  <c r="I34" i="94"/>
  <c r="P34" i="94" s="1"/>
  <c r="E18" i="94"/>
  <c r="I31" i="91"/>
  <c r="P31" i="91" s="1"/>
  <c r="G23" i="67"/>
  <c r="G14" i="69"/>
  <c r="G14" i="70" s="1"/>
  <c r="H14" i="67"/>
  <c r="J23" i="67"/>
  <c r="CI30" i="6"/>
  <c r="CI31" i="6"/>
  <c r="J17" i="3"/>
  <c r="G18" i="3" s="1"/>
  <c r="E23" i="93" s="1"/>
  <c r="E25" i="93" s="1"/>
  <c r="CF34" i="6"/>
  <c r="I38" i="55" s="1"/>
  <c r="K22" i="3"/>
  <c r="N22" i="3" s="1"/>
  <c r="F19" i="3"/>
  <c r="C20" i="3" s="1"/>
  <c r="E22" i="95" s="1"/>
  <c r="C21" i="2"/>
  <c r="G21" i="2" s="1"/>
  <c r="P35" i="94" l="1"/>
  <c r="H21" i="1"/>
  <c r="K21" i="1" s="1"/>
  <c r="W15" i="6"/>
  <c r="T16" i="6" s="1"/>
  <c r="I33" i="91" s="1"/>
  <c r="P33" i="91" s="1"/>
  <c r="I33" i="92" s="1"/>
  <c r="P33" i="92" s="1"/>
  <c r="CH17" i="6"/>
  <c r="H18" i="6"/>
  <c r="I18" i="6" s="1"/>
  <c r="EE17" i="1"/>
  <c r="EH16" i="1"/>
  <c r="E15" i="91"/>
  <c r="L15" i="91" s="1"/>
  <c r="AB21" i="1"/>
  <c r="X22" i="1" s="1"/>
  <c r="C24" i="1"/>
  <c r="G24" i="1" s="1"/>
  <c r="E11" i="67"/>
  <c r="L11" i="67" s="1"/>
  <c r="E12" i="95"/>
  <c r="L12" i="95" s="1"/>
  <c r="Q21" i="2"/>
  <c r="U21" i="2" s="1"/>
  <c r="I36" i="88"/>
  <c r="I40" i="88" s="1"/>
  <c r="J18" i="94"/>
  <c r="J25" i="94" s="1"/>
  <c r="I30" i="94"/>
  <c r="P30" i="94" s="1"/>
  <c r="H20" i="2"/>
  <c r="K20" i="2" s="1"/>
  <c r="G23" i="68"/>
  <c r="G25" i="67"/>
  <c r="E13" i="93"/>
  <c r="L13" i="93" s="1"/>
  <c r="EQ26" i="1"/>
  <c r="EN27" i="1" s="1"/>
  <c r="E19" i="70"/>
  <c r="L19" i="70" s="1"/>
  <c r="I35" i="95"/>
  <c r="BJ21" i="6"/>
  <c r="BM21" i="6" s="1"/>
  <c r="E14" i="92"/>
  <c r="L14" i="92" s="1"/>
  <c r="AD20" i="3"/>
  <c r="AA21" i="3" s="1"/>
  <c r="L22" i="95"/>
  <c r="AN17" i="1"/>
  <c r="AK18" i="1" s="1"/>
  <c r="W21" i="1"/>
  <c r="R22" i="1" s="1"/>
  <c r="Q20" i="1"/>
  <c r="L21" i="1" s="1"/>
  <c r="EA21" i="1" s="1"/>
  <c r="ED21" i="1" s="1"/>
  <c r="E16" i="90"/>
  <c r="L16" i="90" s="1"/>
  <c r="G36" i="42"/>
  <c r="G40" i="42" s="1"/>
  <c r="I34" i="95"/>
  <c r="P34" i="95" s="1"/>
  <c r="E18" i="95"/>
  <c r="K36" i="67"/>
  <c r="K40" i="67" s="1"/>
  <c r="L35" i="74"/>
  <c r="H36" i="42"/>
  <c r="H40" i="42" s="1"/>
  <c r="L36" i="67"/>
  <c r="L40" i="67" s="1"/>
  <c r="K18" i="95"/>
  <c r="L23" i="93"/>
  <c r="L25" i="93" s="1"/>
  <c r="L22" i="2"/>
  <c r="P22" i="2" s="1"/>
  <c r="E10" i="96"/>
  <c r="L10" i="96" s="1"/>
  <c r="E21" i="96"/>
  <c r="L18" i="94"/>
  <c r="I31" i="92"/>
  <c r="P31" i="92" s="1"/>
  <c r="H14" i="68"/>
  <c r="J23" i="68"/>
  <c r="J23" i="69" s="1"/>
  <c r="J13" i="42"/>
  <c r="G13" i="42"/>
  <c r="J18" i="3"/>
  <c r="G19" i="3" s="1"/>
  <c r="E23" i="94" s="1"/>
  <c r="E25" i="94" s="1"/>
  <c r="K23" i="3"/>
  <c r="N23" i="3" s="1"/>
  <c r="F20" i="3"/>
  <c r="C21" i="3" s="1"/>
  <c r="E22" i="96" s="1"/>
  <c r="C22" i="2"/>
  <c r="G22" i="2" s="1"/>
  <c r="CI32" i="6"/>
  <c r="H22" i="1" l="1"/>
  <c r="K22" i="1" s="1"/>
  <c r="W16" i="6"/>
  <c r="T17" i="6" s="1"/>
  <c r="W17" i="6" s="1"/>
  <c r="T18" i="6" s="1"/>
  <c r="I33" i="93" s="1"/>
  <c r="P33" i="93" s="1"/>
  <c r="CH18" i="6"/>
  <c r="H19" i="6"/>
  <c r="I19" i="6" s="1"/>
  <c r="EE18" i="1"/>
  <c r="EH17" i="1"/>
  <c r="E15" i="92"/>
  <c r="L15" i="92" s="1"/>
  <c r="AB22" i="1"/>
  <c r="X23" i="1" s="1"/>
  <c r="E11" i="68"/>
  <c r="L11" i="68" s="1"/>
  <c r="C25" i="1"/>
  <c r="G25" i="1" s="1"/>
  <c r="E12" i="96"/>
  <c r="L12" i="96" s="1"/>
  <c r="Q22" i="2"/>
  <c r="U22" i="2" s="1"/>
  <c r="P35" i="95"/>
  <c r="P36" i="88"/>
  <c r="P40" i="88" s="1"/>
  <c r="BF14" i="6"/>
  <c r="BI14" i="6" s="1"/>
  <c r="J18" i="95"/>
  <c r="J25" i="95" s="1"/>
  <c r="I30" i="95"/>
  <c r="P30" i="95" s="1"/>
  <c r="H21" i="2"/>
  <c r="K21" i="2" s="1"/>
  <c r="G23" i="69"/>
  <c r="G25" i="68"/>
  <c r="E13" i="94"/>
  <c r="L13" i="94" s="1"/>
  <c r="EQ27" i="1"/>
  <c r="EN28" i="1" s="1"/>
  <c r="EQ28" i="1" s="1"/>
  <c r="E19" i="71"/>
  <c r="L19" i="71" s="1"/>
  <c r="I35" i="96"/>
  <c r="BJ22" i="6"/>
  <c r="BM22" i="6" s="1"/>
  <c r="E14" i="93"/>
  <c r="L18" i="95"/>
  <c r="AD21" i="3"/>
  <c r="AA22" i="3" s="1"/>
  <c r="AN18" i="1"/>
  <c r="AK19" i="1" s="1"/>
  <c r="EE19" i="1" s="1"/>
  <c r="W22" i="1"/>
  <c r="R23" i="1" s="1"/>
  <c r="Q21" i="1"/>
  <c r="L22" i="1" s="1"/>
  <c r="EA22" i="1" s="1"/>
  <c r="ED22" i="1" s="1"/>
  <c r="E16" i="91"/>
  <c r="L16" i="91" s="1"/>
  <c r="G36" i="67"/>
  <c r="K36" i="68"/>
  <c r="K40" i="68" s="1"/>
  <c r="E9" i="67"/>
  <c r="L9" i="67" s="1"/>
  <c r="H36" i="67"/>
  <c r="L36" i="68"/>
  <c r="L40" i="68" s="1"/>
  <c r="L35" i="75"/>
  <c r="K18" i="96"/>
  <c r="L23" i="94"/>
  <c r="L25" i="94" s="1"/>
  <c r="J23" i="70"/>
  <c r="I34" i="96"/>
  <c r="P34" i="96" s="1"/>
  <c r="E18" i="96"/>
  <c r="L22" i="96"/>
  <c r="I31" i="93"/>
  <c r="P31" i="93" s="1"/>
  <c r="E21" i="42"/>
  <c r="G14" i="71"/>
  <c r="G14" i="72" s="1"/>
  <c r="H14" i="69"/>
  <c r="H14" i="70" s="1"/>
  <c r="L23" i="2"/>
  <c r="P23" i="2" s="1"/>
  <c r="E10" i="42"/>
  <c r="L10" i="42" s="1"/>
  <c r="J19" i="3"/>
  <c r="G20" i="3" s="1"/>
  <c r="E23" i="95" s="1"/>
  <c r="E25" i="95" s="1"/>
  <c r="K24" i="3"/>
  <c r="F21" i="3"/>
  <c r="C22" i="3" s="1"/>
  <c r="E22" i="42" s="1"/>
  <c r="C23" i="2"/>
  <c r="G23" i="2" s="1"/>
  <c r="H36" i="68" l="1"/>
  <c r="H40" i="68" s="1"/>
  <c r="H40" i="67"/>
  <c r="P35" i="96"/>
  <c r="G36" i="68"/>
  <c r="G40" i="68" s="1"/>
  <c r="G40" i="67"/>
  <c r="H23" i="1"/>
  <c r="W18" i="6"/>
  <c r="T19" i="6" s="1"/>
  <c r="I33" i="94" s="1"/>
  <c r="P33" i="94" s="1"/>
  <c r="CH19" i="6"/>
  <c r="H20" i="6"/>
  <c r="I20" i="6" s="1"/>
  <c r="EH19" i="1"/>
  <c r="E15" i="94"/>
  <c r="L15" i="94" s="1"/>
  <c r="EH18" i="1"/>
  <c r="E15" i="93"/>
  <c r="L15" i="93" s="1"/>
  <c r="AB23" i="1"/>
  <c r="X24" i="1" s="1"/>
  <c r="L14" i="93"/>
  <c r="E14" i="94"/>
  <c r="E11" i="69"/>
  <c r="L11" i="69" s="1"/>
  <c r="C26" i="1"/>
  <c r="G26" i="1" s="1"/>
  <c r="E12" i="42"/>
  <c r="L12" i="42" s="1"/>
  <c r="Q23" i="2"/>
  <c r="U23" i="2" s="1"/>
  <c r="E24" i="68"/>
  <c r="L24" i="68" s="1"/>
  <c r="N24" i="3"/>
  <c r="K25" i="3" s="1"/>
  <c r="I36" i="89"/>
  <c r="I40" i="89" s="1"/>
  <c r="CD14" i="6"/>
  <c r="J18" i="96"/>
  <c r="J25" i="96" s="1"/>
  <c r="I30" i="96"/>
  <c r="P30" i="96" s="1"/>
  <c r="H22" i="2"/>
  <c r="K22" i="2" s="1"/>
  <c r="G23" i="70"/>
  <c r="G25" i="69"/>
  <c r="E13" i="95"/>
  <c r="L13" i="95" s="1"/>
  <c r="EN29" i="1"/>
  <c r="E19" i="72"/>
  <c r="L19" i="72" s="1"/>
  <c r="I35" i="42"/>
  <c r="BJ23" i="6"/>
  <c r="BM23" i="6" s="1"/>
  <c r="L18" i="96"/>
  <c r="AD22" i="3"/>
  <c r="AA23" i="3" s="1"/>
  <c r="W23" i="1"/>
  <c r="R24" i="1" s="1"/>
  <c r="L22" i="42"/>
  <c r="AN19" i="1"/>
  <c r="AK20" i="1" s="1"/>
  <c r="Q22" i="1"/>
  <c r="L23" i="1" s="1"/>
  <c r="EA23" i="1" s="1"/>
  <c r="ED23" i="1" s="1"/>
  <c r="E16" i="92"/>
  <c r="L16" i="92" s="1"/>
  <c r="K36" i="69"/>
  <c r="K40" i="69" s="1"/>
  <c r="L36" i="69"/>
  <c r="L40" i="69" s="1"/>
  <c r="L35" i="76"/>
  <c r="K18" i="42"/>
  <c r="L23" i="95"/>
  <c r="L25" i="95" s="1"/>
  <c r="I31" i="94"/>
  <c r="P31" i="94" s="1"/>
  <c r="I34" i="42"/>
  <c r="P34" i="42" s="1"/>
  <c r="E18" i="42"/>
  <c r="J13" i="68"/>
  <c r="J11" i="69"/>
  <c r="K11" i="69"/>
  <c r="K11" i="70" s="1"/>
  <c r="H11" i="69"/>
  <c r="H11" i="70" s="1"/>
  <c r="G13" i="68"/>
  <c r="G11" i="69"/>
  <c r="G11" i="70" s="1"/>
  <c r="G13" i="70" s="1"/>
  <c r="L24" i="2"/>
  <c r="P24" i="2" s="1"/>
  <c r="E10" i="67"/>
  <c r="L10" i="67" s="1"/>
  <c r="E21" i="67"/>
  <c r="J20" i="3"/>
  <c r="G21" i="3" s="1"/>
  <c r="E23" i="96" s="1"/>
  <c r="E25" i="96" s="1"/>
  <c r="F22" i="3"/>
  <c r="C23" i="3" s="1"/>
  <c r="E22" i="67" s="1"/>
  <c r="C24" i="2"/>
  <c r="G24" i="2" s="1"/>
  <c r="P35" i="42" l="1"/>
  <c r="K23" i="1"/>
  <c r="H24" i="1" s="1"/>
  <c r="K24" i="1" s="1"/>
  <c r="W19" i="6"/>
  <c r="T20" i="6" s="1"/>
  <c r="I33" i="95" s="1"/>
  <c r="P33" i="95" s="1"/>
  <c r="CH20" i="6"/>
  <c r="H21" i="6"/>
  <c r="I21" i="6" s="1"/>
  <c r="CE14" i="6"/>
  <c r="E16" i="94"/>
  <c r="E13" i="42"/>
  <c r="E16" i="93"/>
  <c r="L16" i="93" s="1"/>
  <c r="EE20" i="1"/>
  <c r="L14" i="94"/>
  <c r="E11" i="70"/>
  <c r="L11" i="70" s="1"/>
  <c r="C27" i="1"/>
  <c r="G27" i="1" s="1"/>
  <c r="J11" i="70"/>
  <c r="E24" i="69"/>
  <c r="L24" i="69" s="1"/>
  <c r="N25" i="3"/>
  <c r="K26" i="3" s="1"/>
  <c r="Q24" i="2"/>
  <c r="U24" i="2" s="1"/>
  <c r="K36" i="70"/>
  <c r="K40" i="70" s="1"/>
  <c r="L36" i="70"/>
  <c r="L40" i="70" s="1"/>
  <c r="P36" i="89"/>
  <c r="P40" i="89" s="1"/>
  <c r="BF15" i="6"/>
  <c r="BI15" i="6" s="1"/>
  <c r="J18" i="42"/>
  <c r="J25" i="42" s="1"/>
  <c r="G23" i="71"/>
  <c r="G25" i="70"/>
  <c r="H23" i="2"/>
  <c r="K23" i="2" s="1"/>
  <c r="I30" i="42"/>
  <c r="P30" i="42" s="1"/>
  <c r="E13" i="96"/>
  <c r="L13" i="96" s="1"/>
  <c r="E19" i="73"/>
  <c r="L19" i="73" s="1"/>
  <c r="EQ29" i="1"/>
  <c r="EN30" i="1" s="1"/>
  <c r="I35" i="67"/>
  <c r="BJ24" i="6"/>
  <c r="BM24" i="6" s="1"/>
  <c r="E12" i="67"/>
  <c r="L12" i="67" s="1"/>
  <c r="E14" i="95"/>
  <c r="L14" i="95" s="1"/>
  <c r="AD23" i="3"/>
  <c r="AA24" i="3" s="1"/>
  <c r="AB24" i="1"/>
  <c r="X25" i="1" s="1"/>
  <c r="W24" i="1"/>
  <c r="R25" i="1" s="1"/>
  <c r="AN20" i="1"/>
  <c r="AK21" i="1" s="1"/>
  <c r="Q23" i="1"/>
  <c r="L24" i="1" s="1"/>
  <c r="EA24" i="1" s="1"/>
  <c r="ED24" i="1" s="1"/>
  <c r="G36" i="69"/>
  <c r="G36" i="70" s="1"/>
  <c r="I31" i="95"/>
  <c r="P31" i="95" s="1"/>
  <c r="L35" i="77"/>
  <c r="H36" i="69"/>
  <c r="H36" i="70" s="1"/>
  <c r="H40" i="70" s="1"/>
  <c r="K18" i="67"/>
  <c r="J23" i="71"/>
  <c r="J23" i="72" s="1"/>
  <c r="L23" i="96"/>
  <c r="L25" i="96" s="1"/>
  <c r="L18" i="42"/>
  <c r="G14" i="73"/>
  <c r="H14" i="71"/>
  <c r="H14" i="72" s="1"/>
  <c r="EI24" i="1"/>
  <c r="E18" i="67"/>
  <c r="I34" i="67"/>
  <c r="P34" i="67" s="1"/>
  <c r="G13" i="69"/>
  <c r="J13" i="69"/>
  <c r="L25" i="2"/>
  <c r="P25" i="2" s="1"/>
  <c r="E10" i="68"/>
  <c r="L10" i="68" s="1"/>
  <c r="E21" i="68"/>
  <c r="E9" i="68"/>
  <c r="L9" i="68" s="1"/>
  <c r="L22" i="67"/>
  <c r="J21" i="3"/>
  <c r="G22" i="3" s="1"/>
  <c r="E23" i="42" s="1"/>
  <c r="L23" i="42" s="1"/>
  <c r="F23" i="3"/>
  <c r="C24" i="3" s="1"/>
  <c r="E22" i="68" s="1"/>
  <c r="C25" i="2"/>
  <c r="G25" i="2" s="1"/>
  <c r="P35" i="67" l="1"/>
  <c r="W20" i="6"/>
  <c r="T21" i="6" s="1"/>
  <c r="I33" i="96" s="1"/>
  <c r="P33" i="96" s="1"/>
  <c r="CH21" i="6"/>
  <c r="H22" i="6"/>
  <c r="I22" i="6" s="1"/>
  <c r="EH20" i="1"/>
  <c r="E15" i="95"/>
  <c r="L15" i="95" s="1"/>
  <c r="EE21" i="1"/>
  <c r="E11" i="71"/>
  <c r="L11" i="71" s="1"/>
  <c r="C28" i="1"/>
  <c r="G28" i="1" s="1"/>
  <c r="J13" i="70"/>
  <c r="E24" i="70"/>
  <c r="L24" i="70" s="1"/>
  <c r="N26" i="3"/>
  <c r="K27" i="3" s="1"/>
  <c r="Q25" i="2"/>
  <c r="U25" i="2" s="1"/>
  <c r="E12" i="68"/>
  <c r="L12" i="68" s="1"/>
  <c r="I36" i="90"/>
  <c r="I40" i="90" s="1"/>
  <c r="CD15" i="6"/>
  <c r="J18" i="67"/>
  <c r="J25" i="67" s="1"/>
  <c r="G23" i="72"/>
  <c r="G25" i="71"/>
  <c r="H24" i="2"/>
  <c r="K24" i="2" s="1"/>
  <c r="I30" i="67"/>
  <c r="P30" i="67" s="1"/>
  <c r="E13" i="67"/>
  <c r="E25" i="42"/>
  <c r="L25" i="42"/>
  <c r="E19" i="74"/>
  <c r="L19" i="74" s="1"/>
  <c r="EQ30" i="1"/>
  <c r="EN31" i="1" s="1"/>
  <c r="BJ25" i="6"/>
  <c r="BM25" i="6" s="1"/>
  <c r="E14" i="96"/>
  <c r="L14" i="96" s="1"/>
  <c r="AD24" i="3"/>
  <c r="AA25" i="3" s="1"/>
  <c r="L18" i="67"/>
  <c r="W25" i="1"/>
  <c r="R26" i="1" s="1"/>
  <c r="AN21" i="1"/>
  <c r="AK22" i="1" s="1"/>
  <c r="EE22" i="1" s="1"/>
  <c r="L16" i="94"/>
  <c r="K36" i="71"/>
  <c r="Q24" i="1"/>
  <c r="L25" i="1" s="1"/>
  <c r="EA25" i="1" s="1"/>
  <c r="ED25" i="1" s="1"/>
  <c r="L36" i="71"/>
  <c r="K18" i="68"/>
  <c r="AB25" i="1"/>
  <c r="X26" i="1" s="1"/>
  <c r="L22" i="68"/>
  <c r="I31" i="96"/>
  <c r="P31" i="96" s="1"/>
  <c r="L26" i="2"/>
  <c r="P26" i="2" s="1"/>
  <c r="E10" i="69"/>
  <c r="L10" i="69" s="1"/>
  <c r="G14" i="74"/>
  <c r="G14" i="75" s="1"/>
  <c r="EL24" i="1"/>
  <c r="EI25" i="1" s="1"/>
  <c r="I34" i="69" s="1"/>
  <c r="P34" i="69" s="1"/>
  <c r="I34" i="68"/>
  <c r="P34" i="68" s="1"/>
  <c r="E18" i="68"/>
  <c r="H11" i="71"/>
  <c r="H11" i="72" s="1"/>
  <c r="J11" i="71"/>
  <c r="G11" i="71"/>
  <c r="G11" i="72" s="1"/>
  <c r="K11" i="71"/>
  <c r="K11" i="72" s="1"/>
  <c r="K11" i="73" s="1"/>
  <c r="I35" i="68"/>
  <c r="L13" i="42"/>
  <c r="E9" i="69"/>
  <c r="L9" i="69" s="1"/>
  <c r="H25" i="1"/>
  <c r="K25" i="1" s="1"/>
  <c r="J22" i="3"/>
  <c r="G23" i="3" s="1"/>
  <c r="E23" i="67" s="1"/>
  <c r="E25" i="67" s="1"/>
  <c r="F24" i="3"/>
  <c r="C25" i="3" s="1"/>
  <c r="E22" i="69" s="1"/>
  <c r="C26" i="2"/>
  <c r="G26" i="2" s="1"/>
  <c r="P35" i="68" l="1"/>
  <c r="W21" i="6"/>
  <c r="T22" i="6" s="1"/>
  <c r="I33" i="42" s="1"/>
  <c r="P33" i="42" s="1"/>
  <c r="CH22" i="6"/>
  <c r="H23" i="6"/>
  <c r="I23" i="6" s="1"/>
  <c r="CE15" i="6"/>
  <c r="EH21" i="1"/>
  <c r="E15" i="96"/>
  <c r="L15" i="96" s="1"/>
  <c r="E15" i="42"/>
  <c r="L15" i="42" s="1"/>
  <c r="EH22" i="1"/>
  <c r="E11" i="72"/>
  <c r="L11" i="72" s="1"/>
  <c r="C29" i="1"/>
  <c r="G29" i="1" s="1"/>
  <c r="C30" i="1" s="1"/>
  <c r="G30" i="1" s="1"/>
  <c r="Q26" i="2"/>
  <c r="E10" i="70"/>
  <c r="L10" i="70" s="1"/>
  <c r="L27" i="2"/>
  <c r="P27" i="2" s="1"/>
  <c r="E12" i="69"/>
  <c r="L12" i="69" s="1"/>
  <c r="E24" i="71"/>
  <c r="L24" i="71" s="1"/>
  <c r="N27" i="3"/>
  <c r="K28" i="3" s="1"/>
  <c r="K36" i="72"/>
  <c r="L36" i="72"/>
  <c r="P36" i="90"/>
  <c r="P40" i="90" s="1"/>
  <c r="BF16" i="6"/>
  <c r="J18" i="68"/>
  <c r="J25" i="68" s="1"/>
  <c r="E14" i="42"/>
  <c r="G23" i="73"/>
  <c r="G25" i="72"/>
  <c r="I30" i="68"/>
  <c r="P30" i="68" s="1"/>
  <c r="E9" i="70"/>
  <c r="L9" i="70" s="1"/>
  <c r="E9" i="71" s="1"/>
  <c r="L9" i="71" s="1"/>
  <c r="E9" i="72" s="1"/>
  <c r="E19" i="75"/>
  <c r="L19" i="75" s="1"/>
  <c r="EN32" i="1"/>
  <c r="EQ32" i="1" s="1"/>
  <c r="BJ26" i="6"/>
  <c r="BM26" i="6" s="1"/>
  <c r="I35" i="69"/>
  <c r="P35" i="69" s="1"/>
  <c r="G13" i="72"/>
  <c r="J11" i="72"/>
  <c r="J13" i="72" s="1"/>
  <c r="J13" i="71"/>
  <c r="J22" i="71"/>
  <c r="J22" i="72" s="1"/>
  <c r="J22" i="73" s="1"/>
  <c r="J22" i="74" s="1"/>
  <c r="J22" i="75" s="1"/>
  <c r="J22" i="76" s="1"/>
  <c r="J22" i="77" s="1"/>
  <c r="AD25" i="3"/>
  <c r="AA26" i="3" s="1"/>
  <c r="L22" i="69"/>
  <c r="L18" i="68"/>
  <c r="W26" i="1"/>
  <c r="R27" i="1" s="1"/>
  <c r="AN22" i="1"/>
  <c r="AK23" i="1" s="1"/>
  <c r="EE23" i="1" s="1"/>
  <c r="E16" i="95"/>
  <c r="L16" i="95" s="1"/>
  <c r="G36" i="71"/>
  <c r="Q25" i="1"/>
  <c r="L26" i="1" s="1"/>
  <c r="EA26" i="1" s="1"/>
  <c r="ED26" i="1" s="1"/>
  <c r="H36" i="71"/>
  <c r="K18" i="69"/>
  <c r="L23" i="67"/>
  <c r="L25" i="67" s="1"/>
  <c r="J23" i="73"/>
  <c r="AB26" i="1"/>
  <c r="X27" i="1" s="1"/>
  <c r="I31" i="42"/>
  <c r="P31" i="42" s="1"/>
  <c r="G14" i="76"/>
  <c r="H14" i="73"/>
  <c r="EL25" i="1"/>
  <c r="EI26" i="1" s="1"/>
  <c r="E18" i="69"/>
  <c r="G13" i="71"/>
  <c r="L13" i="67"/>
  <c r="J23" i="3"/>
  <c r="G24" i="3" s="1"/>
  <c r="E23" i="68" s="1"/>
  <c r="E25" i="68" s="1"/>
  <c r="H25" i="2"/>
  <c r="K25" i="2" s="1"/>
  <c r="F25" i="3"/>
  <c r="C26" i="3" s="1"/>
  <c r="E22" i="70" s="1"/>
  <c r="C27" i="2"/>
  <c r="G27" i="2" s="1"/>
  <c r="W22" i="6" l="1"/>
  <c r="T23" i="6" s="1"/>
  <c r="I33" i="67" s="1"/>
  <c r="P33" i="67" s="1"/>
  <c r="CH23" i="6"/>
  <c r="H24" i="6"/>
  <c r="I24" i="6" s="1"/>
  <c r="E16" i="42"/>
  <c r="L16" i="42" s="1"/>
  <c r="BI16" i="6"/>
  <c r="CD16" i="6" s="1"/>
  <c r="CE16" i="6" s="1"/>
  <c r="G36" i="72"/>
  <c r="G40" i="72" s="1"/>
  <c r="E11" i="73"/>
  <c r="L11" i="73" s="1"/>
  <c r="EH23" i="1"/>
  <c r="E15" i="67"/>
  <c r="L15" i="67" s="1"/>
  <c r="U26" i="2"/>
  <c r="Q27" i="2" s="1"/>
  <c r="E11" i="74"/>
  <c r="L11" i="74" s="1"/>
  <c r="E12" i="70"/>
  <c r="L12" i="70" s="1"/>
  <c r="H36" i="72"/>
  <c r="H40" i="72" s="1"/>
  <c r="E13" i="69"/>
  <c r="E24" i="72"/>
  <c r="L24" i="72" s="1"/>
  <c r="N28" i="3"/>
  <c r="K29" i="3" s="1"/>
  <c r="I36" i="91"/>
  <c r="J18" i="69"/>
  <c r="J25" i="69" s="1"/>
  <c r="L9" i="72"/>
  <c r="E9" i="73" s="1"/>
  <c r="L9" i="73" s="1"/>
  <c r="E9" i="74" s="1"/>
  <c r="L9" i="74" s="1"/>
  <c r="E9" i="75" s="1"/>
  <c r="L9" i="75" s="1"/>
  <c r="E9" i="76" s="1"/>
  <c r="L9" i="76" s="1"/>
  <c r="E9" i="77" s="1"/>
  <c r="G25" i="73"/>
  <c r="G23" i="74"/>
  <c r="L14" i="42"/>
  <c r="I30" i="69"/>
  <c r="P30" i="69" s="1"/>
  <c r="H26" i="2"/>
  <c r="K26" i="2" s="1"/>
  <c r="EN33" i="1"/>
  <c r="E19" i="76"/>
  <c r="L19" i="76" s="1"/>
  <c r="L22" i="70"/>
  <c r="E14" i="67"/>
  <c r="L14" i="67" s="1"/>
  <c r="BJ27" i="6"/>
  <c r="BM27" i="6" s="1"/>
  <c r="K18" i="70"/>
  <c r="I34" i="70"/>
  <c r="P34" i="70" s="1"/>
  <c r="E18" i="70"/>
  <c r="AD26" i="3"/>
  <c r="AA27" i="3" s="1"/>
  <c r="W27" i="1"/>
  <c r="R28" i="1" s="1"/>
  <c r="AN23" i="1"/>
  <c r="AK24" i="1" s="1"/>
  <c r="E16" i="96"/>
  <c r="Q26" i="1"/>
  <c r="L27" i="1" s="1"/>
  <c r="EA27" i="1" s="1"/>
  <c r="ED27" i="1" s="1"/>
  <c r="K36" i="73"/>
  <c r="L36" i="73"/>
  <c r="L40" i="73" s="1"/>
  <c r="J23" i="74"/>
  <c r="J23" i="75" s="1"/>
  <c r="J23" i="76" s="1"/>
  <c r="J23" i="77" s="1"/>
  <c r="AB27" i="1"/>
  <c r="X28" i="1" s="1"/>
  <c r="L23" i="68"/>
  <c r="L25" i="68" s="1"/>
  <c r="I31" i="67"/>
  <c r="P31" i="67" s="1"/>
  <c r="H14" i="74"/>
  <c r="G14" i="77"/>
  <c r="H11" i="73"/>
  <c r="G11" i="73"/>
  <c r="J11" i="73"/>
  <c r="J11" i="74" s="1"/>
  <c r="K11" i="74"/>
  <c r="L28" i="2"/>
  <c r="P28" i="2" s="1"/>
  <c r="E10" i="71"/>
  <c r="E21" i="71"/>
  <c r="L18" i="69"/>
  <c r="EL26" i="1"/>
  <c r="EI27" i="1" s="1"/>
  <c r="I34" i="71" s="1"/>
  <c r="P34" i="71" s="1"/>
  <c r="E13" i="68"/>
  <c r="L13" i="68" s="1"/>
  <c r="H26" i="1"/>
  <c r="K26" i="1" s="1"/>
  <c r="J24" i="3"/>
  <c r="G25" i="3" s="1"/>
  <c r="E23" i="69" s="1"/>
  <c r="E25" i="69" s="1"/>
  <c r="F26" i="3"/>
  <c r="C27" i="3" s="1"/>
  <c r="E22" i="71" s="1"/>
  <c r="C28" i="2"/>
  <c r="G28" i="2" s="1"/>
  <c r="C31" i="1"/>
  <c r="G31" i="1" s="1"/>
  <c r="W23" i="6" l="1"/>
  <c r="P36" i="91"/>
  <c r="P40" i="91" s="1"/>
  <c r="I40" i="91"/>
  <c r="CH24" i="6"/>
  <c r="H25" i="6"/>
  <c r="I25" i="6" s="1"/>
  <c r="BF17" i="6"/>
  <c r="BI17" i="6" s="1"/>
  <c r="CD17" i="6" s="1"/>
  <c r="CE17" i="6" s="1"/>
  <c r="EE24" i="1"/>
  <c r="U27" i="2"/>
  <c r="Q28" i="2" s="1"/>
  <c r="U28" i="2" s="1"/>
  <c r="Q29" i="2" s="1"/>
  <c r="U29" i="2" s="1"/>
  <c r="E12" i="71"/>
  <c r="L12" i="71" s="1"/>
  <c r="E11" i="75"/>
  <c r="L11" i="75" s="1"/>
  <c r="E10" i="72"/>
  <c r="L10" i="72" s="1"/>
  <c r="E24" i="73"/>
  <c r="L24" i="73" s="1"/>
  <c r="N29" i="3"/>
  <c r="J18" i="70"/>
  <c r="J25" i="70" s="1"/>
  <c r="G25" i="74"/>
  <c r="G23" i="75"/>
  <c r="I30" i="70"/>
  <c r="P30" i="70" s="1"/>
  <c r="H27" i="2"/>
  <c r="K27" i="2" s="1"/>
  <c r="L13" i="69"/>
  <c r="EQ33" i="1"/>
  <c r="E19" i="77"/>
  <c r="L19" i="77" s="1"/>
  <c r="I35" i="71"/>
  <c r="BJ28" i="6"/>
  <c r="BM28" i="6" s="1"/>
  <c r="L16" i="96"/>
  <c r="E14" i="68"/>
  <c r="L14" i="68" s="1"/>
  <c r="T24" i="6"/>
  <c r="W24" i="6" s="1"/>
  <c r="T25" i="6" s="1"/>
  <c r="W25" i="6" s="1"/>
  <c r="T26" i="6" s="1"/>
  <c r="W26" i="6" s="1"/>
  <c r="I35" i="70"/>
  <c r="P35" i="70" s="1"/>
  <c r="L18" i="70"/>
  <c r="W28" i="1"/>
  <c r="R29" i="1" s="1"/>
  <c r="E21" i="72"/>
  <c r="AD27" i="3"/>
  <c r="AA28" i="3" s="1"/>
  <c r="L22" i="71"/>
  <c r="AN24" i="1"/>
  <c r="AK25" i="1" s="1"/>
  <c r="Q27" i="1"/>
  <c r="L28" i="1" s="1"/>
  <c r="EA28" i="1" s="1"/>
  <c r="ED28" i="1" s="1"/>
  <c r="G36" i="73"/>
  <c r="G40" i="73" s="1"/>
  <c r="K36" i="74"/>
  <c r="L36" i="74"/>
  <c r="H36" i="73"/>
  <c r="K18" i="71"/>
  <c r="L23" i="69"/>
  <c r="L25" i="69" s="1"/>
  <c r="AB28" i="1"/>
  <c r="X29" i="1" s="1"/>
  <c r="I31" i="68"/>
  <c r="P31" i="68" s="1"/>
  <c r="J13" i="73"/>
  <c r="H14" i="75"/>
  <c r="H11" i="74"/>
  <c r="G13" i="73"/>
  <c r="G11" i="74"/>
  <c r="L10" i="71"/>
  <c r="L29" i="2"/>
  <c r="P29" i="2" s="1"/>
  <c r="EL27" i="1"/>
  <c r="EI28" i="1" s="1"/>
  <c r="E18" i="71"/>
  <c r="J25" i="3"/>
  <c r="G26" i="3" s="1"/>
  <c r="E23" i="70" s="1"/>
  <c r="L23" i="70" s="1"/>
  <c r="K30" i="3"/>
  <c r="F27" i="3"/>
  <c r="C28" i="3" s="1"/>
  <c r="E22" i="72" s="1"/>
  <c r="C29" i="2"/>
  <c r="G29" i="2" s="1"/>
  <c r="C32" i="1"/>
  <c r="G32" i="1" s="1"/>
  <c r="P35" i="71" l="1"/>
  <c r="H27" i="1"/>
  <c r="K27" i="1" s="1"/>
  <c r="E12" i="72"/>
  <c r="L12" i="72" s="1"/>
  <c r="I36" i="92"/>
  <c r="I40" i="92" s="1"/>
  <c r="CH25" i="6"/>
  <c r="H26" i="6"/>
  <c r="I26" i="6" s="1"/>
  <c r="EH24" i="1"/>
  <c r="E15" i="68"/>
  <c r="L15" i="68" s="1"/>
  <c r="EE25" i="1"/>
  <c r="AB29" i="1"/>
  <c r="X30" i="1" s="1"/>
  <c r="E11" i="76"/>
  <c r="L11" i="76" s="1"/>
  <c r="I31" i="69"/>
  <c r="P31" i="69" s="1"/>
  <c r="E24" i="74"/>
  <c r="L24" i="74" s="1"/>
  <c r="N30" i="3"/>
  <c r="K31" i="3" s="1"/>
  <c r="J18" i="71"/>
  <c r="J25" i="71" s="1"/>
  <c r="L25" i="70"/>
  <c r="G23" i="76"/>
  <c r="G25" i="75"/>
  <c r="I30" i="71"/>
  <c r="P30" i="71" s="1"/>
  <c r="H28" i="2"/>
  <c r="K28" i="2" s="1"/>
  <c r="L22" i="72"/>
  <c r="E25" i="70"/>
  <c r="E13" i="70"/>
  <c r="L13" i="70" s="1"/>
  <c r="BF18" i="6"/>
  <c r="I35" i="72"/>
  <c r="BJ29" i="6"/>
  <c r="BM29" i="6" s="1"/>
  <c r="E14" i="69"/>
  <c r="L14" i="69" s="1"/>
  <c r="I33" i="69"/>
  <c r="P33" i="69" s="1"/>
  <c r="I33" i="68"/>
  <c r="P33" i="68" s="1"/>
  <c r="W29" i="1"/>
  <c r="R30" i="1" s="1"/>
  <c r="E18" i="72"/>
  <c r="I34" i="72"/>
  <c r="P34" i="72" s="1"/>
  <c r="K18" i="72"/>
  <c r="AD28" i="3"/>
  <c r="AA29" i="3" s="1"/>
  <c r="Q28" i="1"/>
  <c r="L29" i="1" s="1"/>
  <c r="EA29" i="1" s="1"/>
  <c r="ED29" i="1" s="1"/>
  <c r="AN25" i="1"/>
  <c r="AK26" i="1" s="1"/>
  <c r="E16" i="67"/>
  <c r="L16" i="67" s="1"/>
  <c r="G36" i="74"/>
  <c r="K36" i="75"/>
  <c r="H36" i="74"/>
  <c r="L36" i="75"/>
  <c r="K11" i="75"/>
  <c r="K11" i="76" s="1"/>
  <c r="K11" i="77" s="1"/>
  <c r="J11" i="75"/>
  <c r="J13" i="74"/>
  <c r="Q30" i="2"/>
  <c r="U30" i="2" s="1"/>
  <c r="E12" i="73"/>
  <c r="L12" i="73" s="1"/>
  <c r="G13" i="74"/>
  <c r="G11" i="75"/>
  <c r="H14" i="76"/>
  <c r="H11" i="75"/>
  <c r="H11" i="76" s="1"/>
  <c r="H11" i="77" s="1"/>
  <c r="L30" i="2"/>
  <c r="P30" i="2" s="1"/>
  <c r="E10" i="73"/>
  <c r="L10" i="73" s="1"/>
  <c r="L18" i="71"/>
  <c r="EL28" i="1"/>
  <c r="EI29" i="1" s="1"/>
  <c r="J26" i="3"/>
  <c r="G27" i="3" s="1"/>
  <c r="E23" i="71" s="1"/>
  <c r="E25" i="71" s="1"/>
  <c r="F28" i="3"/>
  <c r="C29" i="3" s="1"/>
  <c r="E22" i="73" s="1"/>
  <c r="C30" i="2"/>
  <c r="G30" i="2" s="1"/>
  <c r="H28" i="1" l="1"/>
  <c r="P36" i="92"/>
  <c r="P40" i="92" s="1"/>
  <c r="CH26" i="6"/>
  <c r="H27" i="6"/>
  <c r="I27" i="6" s="1"/>
  <c r="BI18" i="6"/>
  <c r="CD18" i="6" s="1"/>
  <c r="CE18" i="6" s="1"/>
  <c r="P35" i="72"/>
  <c r="EH25" i="1"/>
  <c r="E15" i="69"/>
  <c r="L15" i="69" s="1"/>
  <c r="EE26" i="1"/>
  <c r="AB30" i="1"/>
  <c r="X31" i="1" s="1"/>
  <c r="E24" i="75"/>
  <c r="L24" i="75" s="1"/>
  <c r="N31" i="3"/>
  <c r="K32" i="3" s="1"/>
  <c r="J18" i="72"/>
  <c r="J25" i="72" s="1"/>
  <c r="G23" i="77"/>
  <c r="G25" i="77" s="1"/>
  <c r="G25" i="76"/>
  <c r="I30" i="72"/>
  <c r="P30" i="72" s="1"/>
  <c r="H29" i="2"/>
  <c r="K29" i="2" s="1"/>
  <c r="E13" i="71"/>
  <c r="L13" i="71" s="1"/>
  <c r="I36" i="93"/>
  <c r="I40" i="93" s="1"/>
  <c r="I35" i="73"/>
  <c r="BJ30" i="6"/>
  <c r="BM30" i="6" s="1"/>
  <c r="E14" i="70"/>
  <c r="L14" i="70" s="1"/>
  <c r="W30" i="1"/>
  <c r="R31" i="1" s="1"/>
  <c r="L18" i="72"/>
  <c r="AD29" i="3"/>
  <c r="AA30" i="3" s="1"/>
  <c r="L22" i="73"/>
  <c r="Q29" i="1"/>
  <c r="L30" i="1" s="1"/>
  <c r="EA30" i="1" s="1"/>
  <c r="ED30" i="1" s="1"/>
  <c r="AN26" i="1"/>
  <c r="AK27" i="1" s="1"/>
  <c r="E16" i="68"/>
  <c r="L16" i="68" s="1"/>
  <c r="G36" i="75"/>
  <c r="K36" i="76"/>
  <c r="H36" i="75"/>
  <c r="K18" i="73"/>
  <c r="L23" i="71"/>
  <c r="L25" i="71" s="1"/>
  <c r="J11" i="76"/>
  <c r="J13" i="75"/>
  <c r="G11" i="76"/>
  <c r="G11" i="77" s="1"/>
  <c r="G13" i="75"/>
  <c r="Q31" i="2"/>
  <c r="U31" i="2" s="1"/>
  <c r="E12" i="74"/>
  <c r="L12" i="74" s="1"/>
  <c r="H14" i="77"/>
  <c r="L31" i="2"/>
  <c r="P31" i="2" s="1"/>
  <c r="E10" i="74"/>
  <c r="L10" i="74" s="1"/>
  <c r="I34" i="73"/>
  <c r="P34" i="73" s="1"/>
  <c r="E18" i="73"/>
  <c r="EL29" i="1"/>
  <c r="J27" i="3"/>
  <c r="G28" i="3" s="1"/>
  <c r="E23" i="72" s="1"/>
  <c r="L23" i="72" s="1"/>
  <c r="C33" i="1"/>
  <c r="G33" i="1" s="1"/>
  <c r="T27" i="6"/>
  <c r="I33" i="71" s="1"/>
  <c r="P33" i="71" s="1"/>
  <c r="C31" i="2"/>
  <c r="G31" i="2" s="1"/>
  <c r="K28" i="1" l="1"/>
  <c r="H29" i="1" s="1"/>
  <c r="CH27" i="6"/>
  <c r="H28" i="6"/>
  <c r="I28" i="6" s="1"/>
  <c r="P35" i="73"/>
  <c r="EE27" i="1"/>
  <c r="EH26" i="1"/>
  <c r="E15" i="70"/>
  <c r="L15" i="70" s="1"/>
  <c r="AB31" i="1"/>
  <c r="X32" i="1" s="1"/>
  <c r="E11" i="77"/>
  <c r="L11" i="77" s="1"/>
  <c r="J11" i="77"/>
  <c r="E24" i="76"/>
  <c r="L24" i="76" s="1"/>
  <c r="N32" i="3"/>
  <c r="K33" i="3" s="1"/>
  <c r="L25" i="72"/>
  <c r="P36" i="93"/>
  <c r="P40" i="93" s="1"/>
  <c r="J18" i="73"/>
  <c r="J25" i="73" s="1"/>
  <c r="E25" i="72"/>
  <c r="I30" i="73"/>
  <c r="P30" i="73" s="1"/>
  <c r="H30" i="2"/>
  <c r="K30" i="2" s="1"/>
  <c r="E13" i="72"/>
  <c r="L13" i="72" s="1"/>
  <c r="BF19" i="6"/>
  <c r="I35" i="74"/>
  <c r="BJ31" i="6"/>
  <c r="BM31" i="6" s="1"/>
  <c r="E14" i="71"/>
  <c r="L14" i="71" s="1"/>
  <c r="W31" i="1"/>
  <c r="R32" i="1" s="1"/>
  <c r="I33" i="70"/>
  <c r="P33" i="70" s="1"/>
  <c r="I31" i="70"/>
  <c r="P31" i="70" s="1"/>
  <c r="AD30" i="3"/>
  <c r="AA31" i="3" s="1"/>
  <c r="Q30" i="1"/>
  <c r="L31" i="1" s="1"/>
  <c r="EA31" i="1" s="1"/>
  <c r="ED31" i="1" s="1"/>
  <c r="AN27" i="1"/>
  <c r="AK28" i="1" s="1"/>
  <c r="E16" i="69"/>
  <c r="L16" i="69" s="1"/>
  <c r="K36" i="77"/>
  <c r="K40" i="77" s="1"/>
  <c r="L36" i="77"/>
  <c r="L40" i="77" s="1"/>
  <c r="K18" i="74"/>
  <c r="J13" i="76"/>
  <c r="G13" i="77"/>
  <c r="G13" i="76"/>
  <c r="I31" i="71"/>
  <c r="P31" i="71" s="1"/>
  <c r="Q32" i="2"/>
  <c r="U32" i="2" s="1"/>
  <c r="E12" i="75"/>
  <c r="L12" i="75" s="1"/>
  <c r="L32" i="2"/>
  <c r="P32" i="2" s="1"/>
  <c r="E10" i="75"/>
  <c r="L10" i="75" s="1"/>
  <c r="L18" i="73"/>
  <c r="J28" i="3"/>
  <c r="G29" i="3" s="1"/>
  <c r="E23" i="73" s="1"/>
  <c r="E25" i="73" s="1"/>
  <c r="W27" i="6"/>
  <c r="T28" i="6" s="1"/>
  <c r="I33" i="72" s="1"/>
  <c r="P33" i="72" s="1"/>
  <c r="C32" i="2"/>
  <c r="G32" i="2" s="1"/>
  <c r="P35" i="74" l="1"/>
  <c r="K29" i="1"/>
  <c r="H30" i="1" s="1"/>
  <c r="CH28" i="6"/>
  <c r="H29" i="6"/>
  <c r="I29" i="6" s="1"/>
  <c r="BI19" i="6"/>
  <c r="CD19" i="6" s="1"/>
  <c r="CE19" i="6" s="1"/>
  <c r="E16" i="70"/>
  <c r="L16" i="70" s="1"/>
  <c r="EH27" i="1"/>
  <c r="E15" i="71"/>
  <c r="L15" i="71" s="1"/>
  <c r="EE28" i="1"/>
  <c r="AB32" i="1"/>
  <c r="X33" i="1" s="1"/>
  <c r="X34" i="1" s="1"/>
  <c r="I31" i="72"/>
  <c r="P31" i="72" s="1"/>
  <c r="J13" i="77"/>
  <c r="E24" i="77"/>
  <c r="L24" i="77" s="1"/>
  <c r="N33" i="3"/>
  <c r="J18" i="74"/>
  <c r="J25" i="74" s="1"/>
  <c r="H31" i="2"/>
  <c r="K31" i="2" s="1"/>
  <c r="I30" i="74"/>
  <c r="P30" i="74" s="1"/>
  <c r="E13" i="73"/>
  <c r="L13" i="73" s="1"/>
  <c r="I36" i="94"/>
  <c r="I40" i="94" s="1"/>
  <c r="I35" i="75"/>
  <c r="P35" i="75" s="1"/>
  <c r="BJ32" i="6"/>
  <c r="BM32" i="6" s="1"/>
  <c r="E14" i="72"/>
  <c r="L14" i="72" s="1"/>
  <c r="W32" i="1"/>
  <c r="R33" i="1" s="1"/>
  <c r="AD31" i="3"/>
  <c r="AA32" i="3" s="1"/>
  <c r="K18" i="75"/>
  <c r="Q31" i="1"/>
  <c r="L32" i="1" s="1"/>
  <c r="EA32" i="1" s="1"/>
  <c r="ED32" i="1" s="1"/>
  <c r="AN28" i="1"/>
  <c r="AK29" i="1" s="1"/>
  <c r="G36" i="77"/>
  <c r="G40" i="77" s="1"/>
  <c r="H36" i="77"/>
  <c r="H40" i="77" s="1"/>
  <c r="L23" i="73"/>
  <c r="L25" i="73" s="1"/>
  <c r="Q33" i="2"/>
  <c r="U33" i="2" s="1"/>
  <c r="E12" i="76"/>
  <c r="L12" i="76" s="1"/>
  <c r="L33" i="2"/>
  <c r="P33" i="2" s="1"/>
  <c r="E10" i="76"/>
  <c r="L10" i="76" s="1"/>
  <c r="J29" i="3"/>
  <c r="G30" i="3" s="1"/>
  <c r="C46" i="97" s="1"/>
  <c r="W28" i="6"/>
  <c r="T29" i="6" s="1"/>
  <c r="I33" i="73" s="1"/>
  <c r="P33" i="73" s="1"/>
  <c r="C33" i="2"/>
  <c r="G33" i="2" s="1"/>
  <c r="AN36" i="2" s="1"/>
  <c r="K30" i="1" l="1"/>
  <c r="H31" i="1" s="1"/>
  <c r="CH29" i="6"/>
  <c r="H30" i="6"/>
  <c r="I30" i="6" s="1"/>
  <c r="EH28" i="1"/>
  <c r="E15" i="72"/>
  <c r="L15" i="72" s="1"/>
  <c r="EE29" i="1"/>
  <c r="AB33" i="1"/>
  <c r="AB34" i="1" s="1"/>
  <c r="P36" i="94"/>
  <c r="P40" i="94" s="1"/>
  <c r="J18" i="75"/>
  <c r="J25" i="75" s="1"/>
  <c r="L9" i="77"/>
  <c r="H32" i="2"/>
  <c r="K32" i="2" s="1"/>
  <c r="I30" i="75"/>
  <c r="P30" i="75" s="1"/>
  <c r="E13" i="74"/>
  <c r="L13" i="74" s="1"/>
  <c r="BF20" i="6"/>
  <c r="I35" i="76"/>
  <c r="P35" i="76" s="1"/>
  <c r="BJ33" i="6"/>
  <c r="BM33" i="6" s="1"/>
  <c r="W33" i="1"/>
  <c r="W34" i="1" s="1"/>
  <c r="R34" i="1"/>
  <c r="E14" i="73"/>
  <c r="L14" i="73" s="1"/>
  <c r="L34" i="1"/>
  <c r="AD32" i="3"/>
  <c r="AA33" i="3" s="1"/>
  <c r="K18" i="76"/>
  <c r="Q32" i="1"/>
  <c r="L33" i="1" s="1"/>
  <c r="EA33" i="1" s="1"/>
  <c r="ED33" i="1" s="1"/>
  <c r="AN29" i="1"/>
  <c r="AK30" i="1" s="1"/>
  <c r="EE30" i="1" s="1"/>
  <c r="L16" i="71"/>
  <c r="E16" i="71"/>
  <c r="E23" i="74"/>
  <c r="L23" i="74" s="1"/>
  <c r="I31" i="73"/>
  <c r="P31" i="73" s="1"/>
  <c r="U34" i="2"/>
  <c r="E12" i="77"/>
  <c r="L12" i="77" s="1"/>
  <c r="E10" i="77"/>
  <c r="L10" i="77" s="1"/>
  <c r="J30" i="3"/>
  <c r="G31" i="3" s="1"/>
  <c r="E23" i="75" s="1"/>
  <c r="L23" i="75" s="1"/>
  <c r="C45" i="12"/>
  <c r="N34" i="3"/>
  <c r="W29" i="6"/>
  <c r="T30" i="6" s="1"/>
  <c r="I33" i="74" s="1"/>
  <c r="P33" i="74" s="1"/>
  <c r="K34" i="3"/>
  <c r="AD29" i="6"/>
  <c r="K31" i="1" l="1"/>
  <c r="CH30" i="6"/>
  <c r="H31" i="6"/>
  <c r="I31" i="6" s="1"/>
  <c r="H32" i="6" s="1"/>
  <c r="I32" i="6" s="1"/>
  <c r="BI20" i="6"/>
  <c r="CD20" i="6" s="1"/>
  <c r="CE20" i="6" s="1"/>
  <c r="E16" i="72"/>
  <c r="L16" i="72" s="1"/>
  <c r="EH29" i="1"/>
  <c r="E15" i="73"/>
  <c r="L15" i="73" s="1"/>
  <c r="EH30" i="1"/>
  <c r="E15" i="74"/>
  <c r="L15" i="74" s="1"/>
  <c r="I31" i="74"/>
  <c r="P31" i="74" s="1"/>
  <c r="J18" i="76"/>
  <c r="J25" i="76" s="1"/>
  <c r="E14" i="74"/>
  <c r="L14" i="74" s="1"/>
  <c r="I30" i="76"/>
  <c r="P30" i="76" s="1"/>
  <c r="E13" i="75"/>
  <c r="L13" i="75" s="1"/>
  <c r="E13" i="76"/>
  <c r="L13" i="76" s="1"/>
  <c r="H33" i="2"/>
  <c r="K33" i="2" s="1"/>
  <c r="I36" i="95"/>
  <c r="I40" i="95" s="1"/>
  <c r="I35" i="77"/>
  <c r="P35" i="77" s="1"/>
  <c r="BG35" i="6"/>
  <c r="AD33" i="3"/>
  <c r="AA34" i="3"/>
  <c r="K18" i="77"/>
  <c r="Q33" i="1"/>
  <c r="Q34" i="1" s="1"/>
  <c r="AN30" i="1"/>
  <c r="AK31" i="1" s="1"/>
  <c r="EE31" i="1" s="1"/>
  <c r="E21" i="76"/>
  <c r="J31" i="3"/>
  <c r="G32" i="3" s="1"/>
  <c r="E23" i="76" s="1"/>
  <c r="L23" i="76" s="1"/>
  <c r="BG34" i="6"/>
  <c r="W30" i="6"/>
  <c r="T31" i="6" s="1"/>
  <c r="H32" i="1" l="1"/>
  <c r="CH31" i="6"/>
  <c r="EH31" i="1"/>
  <c r="E15" i="75"/>
  <c r="L15" i="75" s="1"/>
  <c r="I31" i="75"/>
  <c r="P31" i="75" s="1"/>
  <c r="I31" i="76"/>
  <c r="P31" i="76" s="1"/>
  <c r="P36" i="95"/>
  <c r="P40" i="95" s="1"/>
  <c r="J18" i="77"/>
  <c r="J25" i="77" s="1"/>
  <c r="I30" i="77"/>
  <c r="P30" i="77" s="1"/>
  <c r="BF21" i="6"/>
  <c r="E14" i="75"/>
  <c r="L14" i="75" s="1"/>
  <c r="AD34" i="3"/>
  <c r="I33" i="75"/>
  <c r="P33" i="75" s="1"/>
  <c r="AN31" i="1"/>
  <c r="AK32" i="1" s="1"/>
  <c r="L16" i="73"/>
  <c r="E16" i="73"/>
  <c r="J32" i="3"/>
  <c r="G33" i="3" s="1"/>
  <c r="W31" i="6"/>
  <c r="T32" i="6" s="1"/>
  <c r="I33" i="76" s="1"/>
  <c r="P33" i="76" s="1"/>
  <c r="CI29" i="6"/>
  <c r="K32" i="1" l="1"/>
  <c r="H34" i="1"/>
  <c r="CH32" i="6"/>
  <c r="H33" i="6"/>
  <c r="BI21" i="6"/>
  <c r="CD21" i="6" s="1"/>
  <c r="CE21" i="6" s="1"/>
  <c r="EE32" i="1"/>
  <c r="E13" i="77"/>
  <c r="L13" i="77" s="1"/>
  <c r="I36" i="96"/>
  <c r="I40" i="96" s="1"/>
  <c r="E14" i="76"/>
  <c r="L14" i="76" s="1"/>
  <c r="E21" i="77"/>
  <c r="AN32" i="1"/>
  <c r="AK33" i="1" s="1"/>
  <c r="L16" i="74"/>
  <c r="E16" i="74"/>
  <c r="G34" i="3"/>
  <c r="E23" i="77"/>
  <c r="L23" i="77" s="1"/>
  <c r="J33" i="3"/>
  <c r="J34" i="3" s="1"/>
  <c r="W32" i="6"/>
  <c r="T33" i="6" s="1"/>
  <c r="I33" i="77" s="1"/>
  <c r="P33" i="77" s="1"/>
  <c r="EI30" i="1"/>
  <c r="H33" i="1" l="1"/>
  <c r="K33" i="1" s="1"/>
  <c r="K34" i="1"/>
  <c r="I33" i="6"/>
  <c r="CH33" i="6" s="1"/>
  <c r="I31" i="77"/>
  <c r="P31" i="77" s="1"/>
  <c r="EE33" i="1"/>
  <c r="EE34" i="1" s="1"/>
  <c r="EH32" i="1"/>
  <c r="E15" i="76"/>
  <c r="L15" i="76" s="1"/>
  <c r="P36" i="96"/>
  <c r="P40" i="96" s="1"/>
  <c r="BF22" i="6"/>
  <c r="AK34" i="1"/>
  <c r="AN33" i="1"/>
  <c r="AN34" i="1" s="1"/>
  <c r="AK35" i="1"/>
  <c r="L16" i="75"/>
  <c r="E16" i="75"/>
  <c r="I34" i="74"/>
  <c r="P34" i="74" s="1"/>
  <c r="E18" i="74"/>
  <c r="T34" i="6"/>
  <c r="W33" i="6"/>
  <c r="W34" i="6" s="1"/>
  <c r="O34" i="3"/>
  <c r="P34" i="3" s="1"/>
  <c r="R34" i="3"/>
  <c r="F29" i="3"/>
  <c r="BI22" i="6" l="1"/>
  <c r="CD22" i="6" s="1"/>
  <c r="CE22" i="6" s="1"/>
  <c r="EH33" i="1"/>
  <c r="EH34" i="1" s="1"/>
  <c r="E15" i="77"/>
  <c r="L15" i="77" s="1"/>
  <c r="I36" i="42"/>
  <c r="I40" i="42" s="1"/>
  <c r="E14" i="77"/>
  <c r="L14" i="77" s="1"/>
  <c r="ED34" i="1"/>
  <c r="E16" i="76"/>
  <c r="L16" i="76" s="1"/>
  <c r="AN35" i="1"/>
  <c r="L18" i="74"/>
  <c r="C30" i="3"/>
  <c r="E22" i="74" s="1"/>
  <c r="E25" i="74" s="1"/>
  <c r="P36" i="42" l="1"/>
  <c r="P40" i="42" s="1"/>
  <c r="BF23" i="6"/>
  <c r="E16" i="77"/>
  <c r="L16" i="77" s="1"/>
  <c r="L22" i="74"/>
  <c r="L25" i="74" s="1"/>
  <c r="F30" i="3"/>
  <c r="C31" i="3" s="1"/>
  <c r="E22" i="75" s="1"/>
  <c r="BI23" i="6" l="1"/>
  <c r="CD23" i="6" s="1"/>
  <c r="CE23" i="6" s="1"/>
  <c r="I36" i="67"/>
  <c r="I40" i="67" s="1"/>
  <c r="L22" i="75"/>
  <c r="F31" i="3"/>
  <c r="C32" i="3" s="1"/>
  <c r="E22" i="76" s="1"/>
  <c r="P36" i="67" l="1"/>
  <c r="P40" i="67" s="1"/>
  <c r="BF24" i="6"/>
  <c r="L22" i="76"/>
  <c r="F32" i="3"/>
  <c r="C33" i="3" s="1"/>
  <c r="E22" i="77" s="1"/>
  <c r="BI24" i="6" l="1"/>
  <c r="CD24" i="6" s="1"/>
  <c r="CE24" i="6" s="1"/>
  <c r="I36" i="68"/>
  <c r="I40" i="68" s="1"/>
  <c r="L22" i="77"/>
  <c r="F33" i="3"/>
  <c r="C34" i="3"/>
  <c r="P36" i="68" l="1"/>
  <c r="P40" i="68" s="1"/>
  <c r="BF25" i="6"/>
  <c r="BI25" i="6" l="1"/>
  <c r="CD25" i="6" s="1"/>
  <c r="CE25" i="6" s="1"/>
  <c r="I36" i="69"/>
  <c r="P36" i="69" l="1"/>
  <c r="P40" i="69" s="1"/>
  <c r="I40" i="69"/>
  <c r="BF26" i="6"/>
  <c r="BI26" i="6" s="1"/>
  <c r="CD26" i="6" l="1"/>
  <c r="CE26" i="6" s="1"/>
  <c r="I36" i="70"/>
  <c r="I40" i="70" l="1"/>
  <c r="P36" i="70"/>
  <c r="BF27" i="6"/>
  <c r="BI27" i="6" s="1"/>
  <c r="P40" i="70"/>
  <c r="I36" i="71" l="1"/>
  <c r="I40" i="71" s="1"/>
  <c r="CD27" i="6"/>
  <c r="CE27" i="6" s="1"/>
  <c r="P36" i="71" l="1"/>
  <c r="P40" i="71" s="1"/>
  <c r="BF28" i="6"/>
  <c r="BI28" i="6" s="1"/>
  <c r="I36" i="72" l="1"/>
  <c r="I40" i="72" s="1"/>
  <c r="CD28" i="6"/>
  <c r="CD34" i="6"/>
  <c r="CE34" i="6" s="1"/>
  <c r="EL30" i="1"/>
  <c r="EI31" i="1" s="1"/>
  <c r="AF30" i="3"/>
  <c r="CE28" i="6" l="1"/>
  <c r="P36" i="72"/>
  <c r="P40" i="72" s="1"/>
  <c r="BF29" i="6"/>
  <c r="BI29" i="6" s="1"/>
  <c r="I34" i="75"/>
  <c r="P34" i="75" s="1"/>
  <c r="E18" i="75"/>
  <c r="E25" i="75" s="1"/>
  <c r="EL31" i="1"/>
  <c r="EI32" i="1" s="1"/>
  <c r="AF34" i="3"/>
  <c r="CD29" i="6" l="1"/>
  <c r="CE29" i="6" s="1"/>
  <c r="I36" i="73"/>
  <c r="I40" i="73" s="1"/>
  <c r="I34" i="76"/>
  <c r="P34" i="76" s="1"/>
  <c r="E18" i="76"/>
  <c r="L18" i="75"/>
  <c r="EL32" i="1"/>
  <c r="EI33" i="1" s="1"/>
  <c r="P36" i="73" l="1"/>
  <c r="P40" i="73" s="1"/>
  <c r="L25" i="75"/>
  <c r="E25" i="76"/>
  <c r="L18" i="76"/>
  <c r="BF30" i="6"/>
  <c r="EI34" i="1"/>
  <c r="EL33" i="1"/>
  <c r="EL34" i="1" s="1"/>
  <c r="I34" i="77"/>
  <c r="P34" i="77" s="1"/>
  <c r="E18" i="77"/>
  <c r="E25" i="77" s="1"/>
  <c r="BI30" i="6" l="1"/>
  <c r="CD30" i="6" s="1"/>
  <c r="CE30" i="6" s="1"/>
  <c r="I36" i="74"/>
  <c r="L25" i="76"/>
  <c r="L18" i="77"/>
  <c r="P36" i="74" l="1"/>
  <c r="P40" i="74" s="1"/>
  <c r="I40" i="74"/>
  <c r="BF31" i="6"/>
  <c r="BI31" i="6" s="1"/>
  <c r="CD31" i="6" s="1"/>
  <c r="L25" i="77"/>
  <c r="H15" i="67"/>
  <c r="G15" i="67"/>
  <c r="I36" i="75" l="1"/>
  <c r="BF32" i="6"/>
  <c r="BI32" i="6" s="1"/>
  <c r="CE31" i="6"/>
  <c r="G15" i="68"/>
  <c r="G16" i="67"/>
  <c r="H15" i="68"/>
  <c r="H16" i="67"/>
  <c r="P36" i="75" l="1"/>
  <c r="P40" i="75" s="1"/>
  <c r="CD32" i="6"/>
  <c r="I36" i="76"/>
  <c r="H15" i="69"/>
  <c r="H15" i="70" s="1"/>
  <c r="H16" i="70" s="1"/>
  <c r="H16" i="68"/>
  <c r="G15" i="69"/>
  <c r="G15" i="70" s="1"/>
  <c r="G16" i="70" s="1"/>
  <c r="G16" i="68"/>
  <c r="P36" i="76" l="1"/>
  <c r="P40" i="76" s="1"/>
  <c r="I40" i="76"/>
  <c r="BF33" i="6"/>
  <c r="CE32" i="6"/>
  <c r="G16" i="69"/>
  <c r="H16" i="69"/>
  <c r="BI33" i="6" l="1"/>
  <c r="CD33" i="6" s="1"/>
  <c r="CE33" i="6" s="1"/>
  <c r="I36" i="77"/>
  <c r="P36" i="77" s="1"/>
  <c r="P40" i="77" s="1"/>
  <c r="H15" i="71"/>
  <c r="H15" i="72" s="1"/>
  <c r="H16" i="72" s="1"/>
  <c r="G15" i="71"/>
  <c r="G15" i="72" s="1"/>
  <c r="G16" i="72" s="1"/>
  <c r="I40" i="77" l="1"/>
  <c r="G16" i="71"/>
  <c r="H16" i="71"/>
  <c r="H15" i="73" l="1"/>
  <c r="G15" i="73"/>
  <c r="G15" i="74" l="1"/>
  <c r="G16" i="73"/>
  <c r="H15" i="74"/>
  <c r="H16" i="73"/>
  <c r="H15" i="75" l="1"/>
  <c r="H16" i="74"/>
  <c r="G16" i="74"/>
  <c r="G15" i="75"/>
  <c r="G15" i="76" l="1"/>
  <c r="G16" i="75"/>
  <c r="H15" i="76"/>
  <c r="H16" i="75"/>
  <c r="H15" i="77" l="1"/>
  <c r="H16" i="77" s="1"/>
  <c r="H16" i="76"/>
  <c r="G15" i="77"/>
  <c r="G16" i="77" s="1"/>
  <c r="G16" i="76"/>
  <c r="K13" i="78" l="1"/>
  <c r="K13" i="79" l="1"/>
  <c r="K13" i="80" l="1"/>
  <c r="K13" i="81" l="1"/>
  <c r="K13" i="82" l="1"/>
  <c r="K13" i="83" l="1"/>
  <c r="K13" i="84" l="1"/>
  <c r="K13" i="85" l="1"/>
  <c r="K13" i="86" l="1"/>
  <c r="K13" i="87" l="1"/>
  <c r="K13" i="88" l="1"/>
  <c r="K13" i="89" l="1"/>
  <c r="K13" i="90" l="1"/>
  <c r="K13" i="91" l="1"/>
  <c r="K13" i="92" l="1"/>
  <c r="K13" i="93" l="1"/>
  <c r="K13" i="94" l="1"/>
  <c r="K13" i="95" l="1"/>
  <c r="K13" i="96" l="1"/>
  <c r="K13" i="67" l="1"/>
  <c r="K13" i="42"/>
  <c r="H13" i="78"/>
  <c r="H13" i="80" l="1"/>
  <c r="H13" i="79"/>
  <c r="K13" i="70" l="1"/>
  <c r="K13" i="68"/>
  <c r="H13" i="81"/>
  <c r="K13" i="72" l="1"/>
  <c r="K13" i="69"/>
  <c r="H13" i="82"/>
  <c r="H13" i="83" l="1"/>
  <c r="K13" i="71" l="1"/>
  <c r="H13" i="84"/>
  <c r="H13" i="85" l="1"/>
  <c r="K13" i="73" l="1"/>
  <c r="H13" i="86"/>
  <c r="K13" i="74" l="1"/>
  <c r="H13" i="87"/>
  <c r="K13" i="75" l="1"/>
  <c r="H13" i="88"/>
  <c r="K13" i="76" l="1"/>
  <c r="K13" i="77"/>
  <c r="H13" i="89"/>
  <c r="H13" i="90" l="1"/>
  <c r="H13" i="91" l="1"/>
  <c r="H13" i="92" l="1"/>
  <c r="H13" i="93" l="1"/>
  <c r="H13" i="94" l="1"/>
  <c r="H13" i="95" l="1"/>
  <c r="H13" i="96" l="1"/>
  <c r="H13" i="42" l="1"/>
  <c r="H13" i="67"/>
  <c r="H13" i="68" l="1"/>
  <c r="H13" i="70" l="1"/>
  <c r="H13" i="69"/>
  <c r="H13" i="71" l="1"/>
  <c r="H13" i="72" l="1"/>
  <c r="H13" i="73" l="1"/>
  <c r="H13" i="74" l="1"/>
  <c r="H13" i="75" l="1"/>
  <c r="H13" i="77" l="1"/>
  <c r="H13" i="76"/>
  <c r="P35" i="1"/>
  <c r="K35" i="3"/>
  <c r="AB35" i="3"/>
  <c r="H35" i="3"/>
  <c r="H23" i="78"/>
  <c r="H23" i="79" s="1"/>
  <c r="H23" i="80" s="1"/>
  <c r="H23" i="81" s="1"/>
  <c r="H23" i="82" s="1"/>
  <c r="H23" i="83" s="1"/>
  <c r="H23" i="84" s="1"/>
  <c r="H23" i="85" s="1"/>
  <c r="H23" i="86" s="1"/>
  <c r="H23" i="87" s="1"/>
  <c r="H23" i="88" s="1"/>
  <c r="H23" i="89" s="1"/>
  <c r="H23" i="90" s="1"/>
  <c r="H23" i="91" s="1"/>
  <c r="H23" i="92" s="1"/>
  <c r="H23" i="93" s="1"/>
  <c r="H23" i="94" s="1"/>
  <c r="H23" i="95" s="1"/>
  <c r="H23" i="96" s="1"/>
  <c r="H23" i="42" s="1"/>
  <c r="H23" i="67" s="1"/>
  <c r="H23" i="68" s="1"/>
  <c r="H23" i="69" s="1"/>
  <c r="H23" i="70" s="1"/>
  <c r="H23" i="71" s="1"/>
  <c r="H23" i="72" s="1"/>
  <c r="H23" i="73" s="1"/>
  <c r="H23" i="74" s="1"/>
  <c r="H23" i="75" s="1"/>
  <c r="H23" i="76" s="1"/>
  <c r="H23" i="77" s="1"/>
  <c r="I35" i="3"/>
  <c r="K23" i="78"/>
  <c r="K23" i="79" s="1"/>
  <c r="K23" i="80" s="1"/>
  <c r="K23" i="81" s="1"/>
  <c r="K23" i="82" s="1"/>
  <c r="K23" i="83" s="1"/>
  <c r="K23" i="84" s="1"/>
  <c r="K23" i="85" s="1"/>
  <c r="K23" i="86" s="1"/>
  <c r="K23" i="87" s="1"/>
  <c r="K23" i="88" s="1"/>
  <c r="K23" i="89" s="1"/>
  <c r="K23" i="90" s="1"/>
  <c r="K23" i="91" s="1"/>
  <c r="K23" i="92" s="1"/>
  <c r="K23" i="93" s="1"/>
  <c r="K23" i="94" s="1"/>
  <c r="K23" i="95" s="1"/>
  <c r="K23" i="96" s="1"/>
  <c r="K23" i="42" s="1"/>
  <c r="K23" i="67" s="1"/>
  <c r="K23" i="68" s="1"/>
  <c r="K23" i="69" s="1"/>
  <c r="K23" i="70" s="1"/>
  <c r="K23" i="71" s="1"/>
  <c r="K23" i="72" s="1"/>
  <c r="K23" i="73" s="1"/>
  <c r="K23" i="74" s="1"/>
  <c r="K23" i="75" s="1"/>
  <c r="K23" i="76" s="1"/>
  <c r="K23" i="77" s="1"/>
  <c r="M35" i="3"/>
  <c r="K24" i="78"/>
  <c r="K24" i="79" s="1"/>
  <c r="K24" i="80" s="1"/>
  <c r="K24" i="81" s="1"/>
  <c r="K24" i="82" s="1"/>
  <c r="K24" i="83" s="1"/>
  <c r="K24" i="84" s="1"/>
  <c r="K24" i="85" s="1"/>
  <c r="K24" i="86" s="1"/>
  <c r="K24" i="87" s="1"/>
  <c r="K24" i="88" s="1"/>
  <c r="K24" i="89" s="1"/>
  <c r="K24" i="90" s="1"/>
  <c r="K24" i="91" s="1"/>
  <c r="K24" i="92" s="1"/>
  <c r="K24" i="93" s="1"/>
  <c r="K24" i="94" s="1"/>
  <c r="K24" i="95" s="1"/>
  <c r="K24" i="96" s="1"/>
  <c r="K24" i="42" s="1"/>
  <c r="K24" i="67" s="1"/>
  <c r="K24" i="68" s="1"/>
  <c r="K24" i="69" s="1"/>
  <c r="K24" i="70" s="1"/>
  <c r="K24" i="71" s="1"/>
  <c r="K24" i="72" s="1"/>
  <c r="K24" i="73" s="1"/>
  <c r="K24" i="74" s="1"/>
  <c r="K24" i="75" s="1"/>
  <c r="K24" i="76" s="1"/>
  <c r="K24" i="77" s="1"/>
  <c r="L35" i="3"/>
  <c r="H24" i="78"/>
  <c r="H24" i="79" s="1"/>
  <c r="H24" i="80" s="1"/>
  <c r="H24" i="81" s="1"/>
  <c r="H24" i="82" s="1"/>
  <c r="H24" i="83" s="1"/>
  <c r="H24" i="84" s="1"/>
  <c r="H24" i="85" s="1"/>
  <c r="H24" i="86" s="1"/>
  <c r="H24" i="87" s="1"/>
  <c r="H24" i="88" s="1"/>
  <c r="H24" i="89" s="1"/>
  <c r="H24" i="90" s="1"/>
  <c r="H24" i="91" s="1"/>
  <c r="H24" i="92" s="1"/>
  <c r="H24" i="93" s="1"/>
  <c r="H24" i="94" s="1"/>
  <c r="H24" i="95" s="1"/>
  <c r="H24" i="96" s="1"/>
  <c r="H24" i="42" s="1"/>
  <c r="H24" i="67" s="1"/>
  <c r="H24" i="68" s="1"/>
  <c r="H24" i="69" s="1"/>
  <c r="H24" i="70" s="1"/>
  <c r="H24" i="71" s="1"/>
  <c r="H24" i="72" s="1"/>
  <c r="H24" i="73" s="1"/>
  <c r="H24" i="74" s="1"/>
  <c r="H24" i="75" s="1"/>
  <c r="H24" i="76" s="1"/>
  <c r="H24" i="77" s="1"/>
  <c r="E35" i="3"/>
  <c r="K22" i="78"/>
  <c r="K22" i="79" s="1"/>
  <c r="K22" i="80" s="1"/>
  <c r="K22" i="81" s="1"/>
  <c r="AC35" i="3"/>
  <c r="O30" i="80"/>
  <c r="K21" i="78"/>
  <c r="Y35" i="3"/>
  <c r="D35" i="3"/>
  <c r="H22" i="78"/>
  <c r="H22" i="79" s="1"/>
  <c r="H21" i="78"/>
  <c r="U35" i="3"/>
  <c r="T35" i="3"/>
  <c r="P35" i="3"/>
  <c r="I39" i="2"/>
  <c r="Q35" i="3"/>
  <c r="J39" i="2"/>
  <c r="X35" i="3"/>
  <c r="K25" i="78" l="1"/>
  <c r="H25" i="78"/>
  <c r="O30" i="81"/>
  <c r="O30" i="82" s="1"/>
  <c r="O30" i="83" s="1"/>
  <c r="O30" i="84" s="1"/>
  <c r="O30" i="85" s="1"/>
  <c r="O30" i="86" s="1"/>
  <c r="O30" i="87" s="1"/>
  <c r="O30" i="88" s="1"/>
  <c r="O30" i="89" s="1"/>
  <c r="K22" i="82"/>
  <c r="K22" i="83" s="1"/>
  <c r="K22" i="84" s="1"/>
  <c r="H22" i="80"/>
  <c r="H25" i="80" s="1"/>
  <c r="H25" i="79"/>
  <c r="K21" i="79"/>
  <c r="H21" i="95"/>
  <c r="O30" i="90" l="1"/>
  <c r="O30" i="91" s="1"/>
  <c r="O30" i="92" s="1"/>
  <c r="O30" i="93" s="1"/>
  <c r="O30" i="94" s="1"/>
  <c r="O30" i="95" s="1"/>
  <c r="O30" i="96" s="1"/>
  <c r="O30" i="42" s="1"/>
  <c r="O30" i="67" s="1"/>
  <c r="O30" i="68" s="1"/>
  <c r="O30" i="69" s="1"/>
  <c r="O30" i="70" s="1"/>
  <c r="O30" i="71" s="1"/>
  <c r="O30" i="72" s="1"/>
  <c r="O30" i="73" s="1"/>
  <c r="O30" i="74" s="1"/>
  <c r="O30" i="75" s="1"/>
  <c r="O30" i="76" s="1"/>
  <c r="O30" i="77" s="1"/>
  <c r="K22" i="85"/>
  <c r="K22" i="86" s="1"/>
  <c r="K22" i="87" s="1"/>
  <c r="K22" i="88" s="1"/>
  <c r="K22" i="89" s="1"/>
  <c r="K22" i="90" s="1"/>
  <c r="K22" i="91" s="1"/>
  <c r="K22" i="92" s="1"/>
  <c r="K22" i="93" s="1"/>
  <c r="K22" i="94" s="1"/>
  <c r="K22" i="95" s="1"/>
  <c r="H22" i="81"/>
  <c r="K21" i="80"/>
  <c r="K25" i="80" s="1"/>
  <c r="K25" i="79"/>
  <c r="H21" i="96"/>
  <c r="K22" i="96" l="1"/>
  <c r="K22" i="42" s="1"/>
  <c r="K22" i="67" s="1"/>
  <c r="K22" i="68" s="1"/>
  <c r="K22" i="69" s="1"/>
  <c r="K22" i="70" s="1"/>
  <c r="K22" i="71" s="1"/>
  <c r="K22" i="72" s="1"/>
  <c r="K22" i="73" s="1"/>
  <c r="K22" i="74" s="1"/>
  <c r="K22" i="75" s="1"/>
  <c r="K22" i="76" s="1"/>
  <c r="K22" i="77" s="1"/>
  <c r="K21" i="81"/>
  <c r="K25" i="81" s="1"/>
  <c r="H22" i="82"/>
  <c r="H25" i="82" s="1"/>
  <c r="H25" i="81"/>
  <c r="H21" i="42"/>
  <c r="K21" i="82" l="1"/>
  <c r="K21" i="83" s="1"/>
  <c r="H22" i="83"/>
  <c r="H25" i="83" s="1"/>
  <c r="H21" i="67"/>
  <c r="H21" i="68" s="1"/>
  <c r="K25" i="82" l="1"/>
  <c r="H22" i="84"/>
  <c r="H22" i="85" s="1"/>
  <c r="H21" i="71"/>
  <c r="H21" i="72" s="1"/>
  <c r="H21" i="76" s="1"/>
  <c r="H21" i="77" s="1"/>
  <c r="K25" i="83"/>
  <c r="K21" i="84"/>
  <c r="H25" i="84" l="1"/>
  <c r="H22" i="86"/>
  <c r="H25" i="85"/>
  <c r="K21" i="85"/>
  <c r="K25" i="84"/>
  <c r="H22" i="87" l="1"/>
  <c r="H25" i="86"/>
  <c r="K21" i="86"/>
  <c r="K25" i="85"/>
  <c r="K21" i="87" l="1"/>
  <c r="K25" i="86"/>
  <c r="H22" i="88"/>
  <c r="H25" i="87"/>
  <c r="H22" i="89" l="1"/>
  <c r="H25" i="88"/>
  <c r="K21" i="88"/>
  <c r="K25" i="87"/>
  <c r="H22" i="90" l="1"/>
  <c r="H25" i="89"/>
  <c r="K21" i="89"/>
  <c r="K25" i="88"/>
  <c r="K21" i="90" l="1"/>
  <c r="K25" i="89"/>
  <c r="H22" i="91"/>
  <c r="H25" i="90"/>
  <c r="H22" i="92" l="1"/>
  <c r="H25" i="91"/>
  <c r="K21" i="91"/>
  <c r="K25" i="90"/>
  <c r="K21" i="92" l="1"/>
  <c r="K25" i="91"/>
  <c r="H22" i="93"/>
  <c r="H25" i="92"/>
  <c r="H22" i="94" l="1"/>
  <c r="H25" i="93"/>
  <c r="K21" i="93"/>
  <c r="K25" i="92"/>
  <c r="K21" i="94" l="1"/>
  <c r="K25" i="93"/>
  <c r="H22" i="95"/>
  <c r="H25" i="95" s="1"/>
  <c r="H25" i="94"/>
  <c r="H22" i="96" l="1"/>
  <c r="K21" i="95"/>
  <c r="K25" i="95" s="1"/>
  <c r="K25" i="94"/>
  <c r="K21" i="96" l="1"/>
  <c r="H22" i="42"/>
  <c r="H25" i="96"/>
  <c r="K21" i="42" l="1"/>
  <c r="K25" i="96"/>
  <c r="H22" i="67"/>
  <c r="H25" i="42"/>
  <c r="K21" i="67" l="1"/>
  <c r="K25" i="42"/>
  <c r="H22" i="68"/>
  <c r="H25" i="67"/>
  <c r="K21" i="68" l="1"/>
  <c r="K25" i="67"/>
  <c r="H22" i="69"/>
  <c r="H25" i="68"/>
  <c r="K21" i="69" l="1"/>
  <c r="K25" i="68"/>
  <c r="H22" i="70"/>
  <c r="H25" i="70" s="1"/>
  <c r="H25" i="69"/>
  <c r="N35" i="64"/>
  <c r="H58" i="78"/>
  <c r="H58" i="79" s="1"/>
  <c r="H58" i="80" s="1"/>
  <c r="H58" i="81" s="1"/>
  <c r="H58" i="82" s="1"/>
  <c r="H58" i="83" s="1"/>
  <c r="H58" i="84" s="1"/>
  <c r="H58" i="85" s="1"/>
  <c r="H58" i="86" s="1"/>
  <c r="H58" i="87" s="1"/>
  <c r="H58" i="88" s="1"/>
  <c r="H58" i="89" s="1"/>
  <c r="H58" i="90" s="1"/>
  <c r="H58" i="91" s="1"/>
  <c r="H58" i="92" s="1"/>
  <c r="H58" i="93" s="1"/>
  <c r="H58" i="94" s="1"/>
  <c r="C35" i="64"/>
  <c r="Y35" i="64"/>
  <c r="K21" i="70" l="1"/>
  <c r="K25" i="70" s="1"/>
  <c r="K25" i="69"/>
  <c r="H22" i="71"/>
  <c r="H25" i="71" s="1"/>
  <c r="H58" i="95"/>
  <c r="H58" i="96" s="1"/>
  <c r="H58" i="42" l="1"/>
  <c r="H58" i="67" s="1"/>
  <c r="H58" i="68" s="1"/>
  <c r="H58" i="69" s="1"/>
  <c r="H58" i="70" s="1"/>
  <c r="H58" i="71" s="1"/>
  <c r="H58" i="72" s="1"/>
  <c r="H58" i="73" s="1"/>
  <c r="H58" i="74" s="1"/>
  <c r="H58" i="75" s="1"/>
  <c r="H58" i="76" s="1"/>
  <c r="H58" i="77" s="1"/>
  <c r="H22" i="72"/>
  <c r="H25" i="72" s="1"/>
  <c r="K21" i="71"/>
  <c r="K25" i="71" s="1"/>
  <c r="K21" i="72" l="1"/>
  <c r="K25" i="72" s="1"/>
  <c r="H22" i="73"/>
  <c r="H25" i="73" s="1"/>
  <c r="H22" i="74" l="1"/>
  <c r="H25" i="74" s="1"/>
  <c r="K21" i="73"/>
  <c r="K25" i="73" s="1"/>
  <c r="K21" i="74" l="1"/>
  <c r="K25" i="74" s="1"/>
  <c r="H22" i="75"/>
  <c r="H25" i="75" s="1"/>
  <c r="H22" i="76" l="1"/>
  <c r="H25" i="76" s="1"/>
  <c r="K21" i="75"/>
  <c r="K25" i="75" s="1"/>
  <c r="K21" i="76" l="1"/>
  <c r="K25" i="76" s="1"/>
  <c r="H22" i="77"/>
  <c r="H25" i="77" s="1"/>
  <c r="K21" i="77" l="1"/>
  <c r="K25" i="77" s="1"/>
  <c r="N53" i="80"/>
  <c r="CI28" i="6" l="1"/>
  <c r="CG34" i="6"/>
  <c r="E38" i="55" s="1"/>
  <c r="C38" i="55" l="1"/>
  <c r="F38" i="55"/>
  <c r="J38" i="55"/>
  <c r="B38" i="55"/>
  <c r="H38" i="55"/>
  <c r="G38" i="55"/>
  <c r="K38" i="55" l="1"/>
  <c r="L46" i="73"/>
  <c r="K46" i="73"/>
  <c r="H46" i="73"/>
  <c r="G46" i="73"/>
  <c r="L46" i="74"/>
  <c r="H46" i="74"/>
  <c r="G45" i="77" l="1"/>
  <c r="G46" i="77" s="1"/>
  <c r="K45" i="77"/>
  <c r="K46" i="77" s="1"/>
  <c r="G46" i="74"/>
  <c r="L45" i="77" l="1"/>
  <c r="L46" i="77" s="1"/>
  <c r="H45" i="77"/>
  <c r="H46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H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AZ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</t>
        </r>
      </text>
    </comment>
    <comment ref="CN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EO2" authorId="0" shapeId="0" xr:uid="{79D7550C-3762-454D-B06B-B8A1CF69F5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  <comment ref="AJ32" authorId="0" shapeId="0" xr:uid="{5DF07118-2F01-4BD4-87BD-A1E0307A21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  <comment ref="EQ32" authorId="0" shapeId="0" xr:uid="{DA6F615D-DD50-4706-B1B2-B3CD5E92DD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BOOKED QTY FROM STORES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CHNAGED BY Rajabu on 06.aug.2024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0" authorId="0" shapeId="0" xr:uid="{A8B393DA-52E8-4265-8EA8-625D35521A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hrs entered in ODOO were deducted by 0.5 to balance the running hrs. i.e 10.38 intsead of 10.88</t>
        </r>
      </text>
    </comment>
  </commentList>
</comments>
</file>

<file path=xl/sharedStrings.xml><?xml version="1.0" encoding="utf-8"?>
<sst xmlns="http://schemas.openxmlformats.org/spreadsheetml/2006/main" count="4286" uniqueCount="345">
  <si>
    <t>MARCH</t>
  </si>
  <si>
    <t>HG LS</t>
  </si>
  <si>
    <t>LG LS</t>
  </si>
  <si>
    <t>Clay</t>
  </si>
  <si>
    <t>Sand</t>
  </si>
  <si>
    <t>TG</t>
  </si>
  <si>
    <t>HGHMGO</t>
  </si>
  <si>
    <t>PURCHASED LIMESTONE</t>
  </si>
  <si>
    <t>Total</t>
  </si>
  <si>
    <t>Date</t>
  </si>
  <si>
    <t>Opening Stock</t>
  </si>
  <si>
    <t>Production</t>
  </si>
  <si>
    <t>Total Consumption</t>
  </si>
  <si>
    <t>CONS R/M1</t>
  </si>
  <si>
    <t>Closing Stock</t>
  </si>
  <si>
    <t>Consumption</t>
  </si>
  <si>
    <t>TOTAL Consumption</t>
  </si>
  <si>
    <t>Cons R/M1</t>
  </si>
  <si>
    <t>TOTALConsumption</t>
  </si>
  <si>
    <t>P</t>
  </si>
  <si>
    <t>C</t>
  </si>
  <si>
    <t>Raw meal</t>
  </si>
  <si>
    <t>diff</t>
  </si>
  <si>
    <t>LG</t>
  </si>
  <si>
    <t>MINES CONS</t>
  </si>
  <si>
    <t>MINES RECEIPT</t>
  </si>
  <si>
    <t>MTD</t>
  </si>
  <si>
    <t>YTD</t>
  </si>
  <si>
    <t>DEC</t>
  </si>
  <si>
    <t>HG</t>
  </si>
  <si>
    <t>CLAY</t>
  </si>
  <si>
    <t>SAND</t>
  </si>
  <si>
    <t>IRON ORE</t>
  </si>
  <si>
    <t>TOTAL WET</t>
  </si>
  <si>
    <t>CONSUMPTION</t>
  </si>
  <si>
    <t>PRODUCTION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</si>
  <si>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</si>
  <si>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</si>
  <si>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</si>
  <si>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</si>
  <si>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</si>
  <si>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</si>
  <si>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</si>
  <si>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Ash Coal</t>
  </si>
  <si>
    <t>Ariim Coal</t>
  </si>
  <si>
    <t>Lik &amp; Lambert coal</t>
  </si>
  <si>
    <t>JITEGEMEE</t>
  </si>
  <si>
    <t>MAX COAL</t>
  </si>
  <si>
    <t>SINO COAL</t>
  </si>
  <si>
    <t>Ibrico</t>
  </si>
  <si>
    <t>MEGA CJ</t>
  </si>
  <si>
    <t>MABENGA COAL</t>
  </si>
  <si>
    <t>TENCO</t>
  </si>
  <si>
    <t>Scolastica</t>
  </si>
  <si>
    <t>Connect</t>
  </si>
  <si>
    <t>Yongda</t>
  </si>
  <si>
    <t>Kindaini</t>
  </si>
  <si>
    <t>MONTREAL</t>
  </si>
  <si>
    <t>ludewa</t>
  </si>
  <si>
    <t>MCHEKANE</t>
  </si>
  <si>
    <t>MARKET</t>
  </si>
  <si>
    <t>SIAAS</t>
  </si>
  <si>
    <t>KILN COAL</t>
  </si>
  <si>
    <t>cpp coal</t>
  </si>
  <si>
    <t>Clinker</t>
  </si>
  <si>
    <t>Spg TRACKING</t>
  </si>
  <si>
    <t>Consumption/RM1</t>
  </si>
  <si>
    <t xml:space="preserve">total Consumption </t>
  </si>
  <si>
    <t>CPP</t>
  </si>
  <si>
    <t>KILN</t>
  </si>
  <si>
    <t>Consumption CPP</t>
  </si>
  <si>
    <t>Consump Kiln</t>
  </si>
  <si>
    <t>CONS CPP</t>
  </si>
  <si>
    <t>clinker despatch</t>
  </si>
  <si>
    <t>OP</t>
  </si>
  <si>
    <t>CLINKER PURCHASED</t>
  </si>
  <si>
    <t>CLINKER CONS</t>
  </si>
  <si>
    <t>CLOSING</t>
  </si>
  <si>
    <t>Gypsum</t>
  </si>
  <si>
    <t>Starex</t>
  </si>
  <si>
    <t>Mapei</t>
  </si>
  <si>
    <t>LG1</t>
  </si>
  <si>
    <t>SPG</t>
  </si>
  <si>
    <t>LS-2</t>
  </si>
  <si>
    <t>JAN</t>
  </si>
  <si>
    <t>Crushed limestone</t>
  </si>
  <si>
    <t>Raw Mill-1</t>
  </si>
  <si>
    <t>RAW MILL 2</t>
  </si>
  <si>
    <t>Coal Mill</t>
  </si>
  <si>
    <t>Kiln</t>
  </si>
  <si>
    <t>Cement Mill (42.5)</t>
  </si>
  <si>
    <t>Cement Mill (32.5</t>
  </si>
  <si>
    <t>Cement Mill (42.5N)</t>
  </si>
  <si>
    <t>Cement Mill (OPC)</t>
  </si>
  <si>
    <t>Cement Mill- 2 (42.5)</t>
  </si>
  <si>
    <t>Cement Mill -2 (32.5</t>
  </si>
  <si>
    <t>Cement Mill -2(42.5N)</t>
  </si>
  <si>
    <t>Cement Mill -2(OPC)</t>
  </si>
  <si>
    <t>Dipatch 42.5</t>
  </si>
  <si>
    <t>Dispatch32.5</t>
  </si>
  <si>
    <t>Dispatch 42.5N</t>
  </si>
  <si>
    <t xml:space="preserve">Dispatch OPC </t>
  </si>
  <si>
    <t>Rng Hrs</t>
  </si>
  <si>
    <t>TPH</t>
  </si>
  <si>
    <t>Opening</t>
  </si>
  <si>
    <t>Closing</t>
  </si>
  <si>
    <t>Act Silo level</t>
  </si>
  <si>
    <t>total consumption</t>
  </si>
  <si>
    <t>Clin. Con</t>
  </si>
  <si>
    <t>Cement con</t>
  </si>
  <si>
    <t>consumption</t>
  </si>
  <si>
    <t xml:space="preserve">Opning </t>
  </si>
  <si>
    <t>Dispatch</t>
  </si>
  <si>
    <t>Silo Closing</t>
  </si>
  <si>
    <t>Actual Silo 1</t>
  </si>
  <si>
    <t>Actual Silo 2</t>
  </si>
  <si>
    <t>Actual silo 3</t>
  </si>
  <si>
    <t>Total Book</t>
  </si>
  <si>
    <t>Diff</t>
  </si>
  <si>
    <t>Total dispatch</t>
  </si>
  <si>
    <t>Total Grinding</t>
  </si>
  <si>
    <t>R/MILL DIFF</t>
  </si>
  <si>
    <t>RAW MILL</t>
  </si>
  <si>
    <t>COAL</t>
  </si>
  <si>
    <t>CEM- 1</t>
  </si>
  <si>
    <t>CEM-2</t>
  </si>
  <si>
    <t>CEM-1</t>
  </si>
  <si>
    <t>.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</si>
  <si>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</si>
  <si>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</si>
  <si>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</si>
  <si>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</si>
  <si>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</si>
  <si>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</si>
  <si>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</si>
  <si>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</si>
  <si>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</si>
  <si>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</si>
  <si>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IBRICO</t>
  </si>
  <si>
    <t>MEGA</t>
  </si>
  <si>
    <t>KINDAINI</t>
  </si>
  <si>
    <t>Montreal</t>
  </si>
  <si>
    <t>LUDEWA</t>
  </si>
  <si>
    <t>CRUSHER</t>
  </si>
  <si>
    <t>RAW MILL-1</t>
  </si>
  <si>
    <t>RAW MILL-2</t>
  </si>
  <si>
    <t>PYRO -KILN</t>
  </si>
  <si>
    <t>COAL MILL</t>
  </si>
  <si>
    <t>CEMENT MILL</t>
  </si>
  <si>
    <t>LOSSES</t>
  </si>
  <si>
    <t>P.Plant</t>
  </si>
  <si>
    <t>Water pump, Utility, Factory &amp; Colony lighting.</t>
  </si>
  <si>
    <t>TOTAL</t>
  </si>
  <si>
    <t>compressor</t>
  </si>
  <si>
    <t>R/M1 POWER</t>
  </si>
  <si>
    <t>R/M2 POWER</t>
  </si>
  <si>
    <t>PER TONE R/M1</t>
  </si>
  <si>
    <t>PER TON R/M2</t>
  </si>
  <si>
    <t>CEM1 POWER</t>
  </si>
  <si>
    <t>CEM2 POWER</t>
  </si>
  <si>
    <t>PER TONE CM1</t>
  </si>
  <si>
    <t>PER TONE CM2</t>
  </si>
  <si>
    <t>PER TONE Coal</t>
  </si>
  <si>
    <t>PER TONE kiln</t>
  </si>
  <si>
    <t>CLINKER</t>
  </si>
  <si>
    <t>FINE COAL CONS</t>
  </si>
  <si>
    <t>NCV</t>
  </si>
  <si>
    <t>HEAT</t>
  </si>
  <si>
    <t>% COAL</t>
  </si>
  <si>
    <t>total</t>
  </si>
  <si>
    <t>/ TON MAT</t>
  </si>
  <si>
    <t>/ TON CLINK</t>
  </si>
  <si>
    <t>/ TON CEM</t>
  </si>
  <si>
    <t>Cement Production</t>
  </si>
  <si>
    <t>TPH42.5</t>
  </si>
  <si>
    <t>TPH32.5</t>
  </si>
  <si>
    <t>TPH42.5N</t>
  </si>
  <si>
    <t>OPC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</si>
  <si>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</si>
  <si>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</si>
  <si>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</si>
  <si>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</si>
  <si>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</si>
  <si>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</si>
  <si>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Lime Stone in OPC</t>
  </si>
  <si>
    <t>Gypsum In OPC</t>
  </si>
  <si>
    <t>Clinker In 42.5</t>
  </si>
  <si>
    <t>Clinker in 32.5</t>
  </si>
  <si>
    <t>Clinker in 42.5N</t>
  </si>
  <si>
    <t>CLINKER IN OPC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</si>
  <si>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</si>
  <si>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</si>
  <si>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</si>
  <si>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</si>
  <si>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</si>
  <si>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</si>
  <si>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</si>
  <si>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42.5N</t>
  </si>
  <si>
    <t>LS2 42.5</t>
  </si>
  <si>
    <t>LS2 32.5</t>
  </si>
  <si>
    <t>CM PRODN</t>
  </si>
  <si>
    <t>date</t>
  </si>
  <si>
    <t>strex</t>
  </si>
  <si>
    <t>kg</t>
  </si>
  <si>
    <t>lit</t>
  </si>
  <si>
    <t xml:space="preserve">kg </t>
  </si>
  <si>
    <t>TPH OPC</t>
  </si>
  <si>
    <t>Clinker in OPC</t>
  </si>
  <si>
    <t>opc</t>
  </si>
  <si>
    <t>Receiving</t>
  </si>
  <si>
    <t>OB</t>
  </si>
  <si>
    <t>Received Cement 42.5R</t>
  </si>
  <si>
    <t>Cement consumption 42.5R</t>
  </si>
  <si>
    <t>CB</t>
  </si>
  <si>
    <t>Received Cement 42.5 N</t>
  </si>
  <si>
    <t>Cement consumption 42.5 N</t>
  </si>
  <si>
    <t>Received Cement 32.5 N</t>
  </si>
  <si>
    <t>Cement consumption 32.5 N</t>
  </si>
  <si>
    <t>Received Cement OPC</t>
  </si>
  <si>
    <t>Cement consumption OPC</t>
  </si>
  <si>
    <t xml:space="preserve">limestone </t>
  </si>
  <si>
    <t>clay</t>
  </si>
  <si>
    <t>Iron ore</t>
  </si>
  <si>
    <t>% moisture (LS,OB,ID)</t>
  </si>
  <si>
    <t>% moisture (IO)</t>
  </si>
  <si>
    <t>coal</t>
  </si>
  <si>
    <t>% moisture</t>
  </si>
  <si>
    <t>LAKE CEMENT LIMITED</t>
  </si>
  <si>
    <t xml:space="preserve">                                                          PRODUCTION REPORT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</si>
  <si>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</si>
  <si>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</si>
  <si>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</si>
  <si>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</si>
  <si>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</si>
  <si>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</si>
  <si>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</si>
  <si>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</si>
  <si>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</si>
  <si>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MATL CONSUMPTION</t>
  </si>
  <si>
    <t>% MATL CONSUMPTION</t>
  </si>
  <si>
    <t>MOISTURE %</t>
  </si>
  <si>
    <t>ON DATE</t>
  </si>
  <si>
    <t xml:space="preserve">PYRO PROCESSING </t>
  </si>
  <si>
    <t xml:space="preserve"> </t>
  </si>
  <si>
    <t>LIMESTONE</t>
  </si>
  <si>
    <t>INDUSTRIAL CLAY</t>
  </si>
  <si>
    <t>TOTAL MATL - RAW MILL</t>
  </si>
  <si>
    <t xml:space="preserve">COAL </t>
  </si>
  <si>
    <t xml:space="preserve">CEMENT GRINDING </t>
  </si>
  <si>
    <t xml:space="preserve">CLINKER </t>
  </si>
  <si>
    <t>OWN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</si>
  <si>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</si>
  <si>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</si>
  <si>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</si>
  <si>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</si>
  <si>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</si>
  <si>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</si>
  <si>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</si>
  <si>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</si>
  <si>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</si>
  <si>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</si>
  <si>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</si>
  <si>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MT / HR</t>
  </si>
  <si>
    <t>LS CRUSHER</t>
  </si>
  <si>
    <t>RAW MILL -1</t>
  </si>
  <si>
    <t>RAW MILL -2</t>
  </si>
  <si>
    <t>CEMENT MILL -1</t>
  </si>
  <si>
    <t>32.5 N</t>
  </si>
  <si>
    <t>42.5 R</t>
  </si>
  <si>
    <t>42.5 N</t>
  </si>
  <si>
    <t>CEMENT MILL -2</t>
  </si>
  <si>
    <t>SPECIFIC POWER</t>
  </si>
  <si>
    <t>SPECIFIC HEAT CONSUMPTION (KILN)</t>
  </si>
  <si>
    <t>CEM MILL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</si>
  <si>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</si>
  <si>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</si>
  <si>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</si>
  <si>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</si>
  <si>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</si>
  <si>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</si>
  <si>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</si>
  <si>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</si>
  <si>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</si>
  <si>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</si>
  <si>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PRODUCTION HEAD</t>
  </si>
  <si>
    <t>MATERIAL</t>
  </si>
  <si>
    <t>DAY</t>
  </si>
  <si>
    <t>INTERNAL USE CEMENT</t>
  </si>
  <si>
    <t>CALCULATED MOISTURE %</t>
  </si>
  <si>
    <t xml:space="preserve"> MATL CONSUMPTION</t>
  </si>
  <si>
    <t xml:space="preserve">MTD CALCULATED MOISTURE % </t>
  </si>
  <si>
    <t xml:space="preserve">  </t>
  </si>
  <si>
    <t xml:space="preserve">RAW MILL </t>
  </si>
  <si>
    <t>MTD MOISTURE %</t>
  </si>
  <si>
    <t>RAW MILL- 1</t>
  </si>
  <si>
    <t>DRY BASIS</t>
  </si>
  <si>
    <t>WET BASIS</t>
  </si>
  <si>
    <t xml:space="preserve">RAW MILL- 1 </t>
  </si>
  <si>
    <t>42.5R</t>
  </si>
  <si>
    <t>lIMESTONE</t>
  </si>
  <si>
    <t>MTD MOSITURE %</t>
  </si>
  <si>
    <t>Production Head</t>
  </si>
  <si>
    <t xml:space="preserve">RAW MILL - 1 </t>
  </si>
  <si>
    <t>42.5N BM</t>
  </si>
  <si>
    <t>Lime Stone in 42.5N BM</t>
  </si>
  <si>
    <t>Gypsum In 42.5N BM</t>
  </si>
  <si>
    <t>42.5 N BM</t>
  </si>
  <si>
    <t>Dispatch 42.5N BM</t>
  </si>
  <si>
    <t>Cement Mill (42.5N BM)</t>
  </si>
  <si>
    <t>CLINKER IN 42.5N BM</t>
  </si>
  <si>
    <t>Clinker in 42.5N BM</t>
  </si>
  <si>
    <t>Cement Mill -2(42.5 N BM)</t>
  </si>
  <si>
    <t>31.03.2026</t>
  </si>
  <si>
    <t>APRIL</t>
  </si>
  <si>
    <t>01.04.2026</t>
  </si>
  <si>
    <t>02.04.2026</t>
  </si>
  <si>
    <t>04.04.2026</t>
  </si>
  <si>
    <t>06.04.2026</t>
  </si>
  <si>
    <t>05.04.2026</t>
  </si>
  <si>
    <t>TPH42.5N BM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</si>
  <si>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</si>
  <si>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</si>
  <si>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</si>
  <si>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</si>
  <si>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</si>
  <si>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</si>
  <si>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</si>
  <si>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</si>
  <si>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42.5N bm</t>
  </si>
  <si>
    <t>15.04.2026</t>
  </si>
  <si>
    <t>16.04.2026</t>
  </si>
  <si>
    <t>19.04.2026</t>
  </si>
  <si>
    <t>20.04.2026</t>
  </si>
  <si>
    <t>21.04.2026</t>
  </si>
  <si>
    <t>22.04.2026</t>
  </si>
  <si>
    <t>23.04.2026</t>
  </si>
  <si>
    <t>26.04.2026</t>
  </si>
  <si>
    <t>27.04.2026</t>
  </si>
  <si>
    <t>28.04.2026</t>
  </si>
  <si>
    <t>30.04.2026</t>
  </si>
  <si>
    <t>29.04.2026</t>
  </si>
  <si>
    <t>03.04.2026</t>
  </si>
  <si>
    <t>17.04.2026</t>
  </si>
  <si>
    <t>24.04.2026</t>
  </si>
  <si>
    <t>25.04.2026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</si>
</sst>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000000"/>
    <numFmt numFmtId="168" formatCode="0.00000000000"/>
    <numFmt numFmtId="169" formatCode="0.000000"/>
    <numFmt numFmtId="170" formatCode="0.00000"/>
    <numFmt numFmtId="171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  <font>
      <sz val="11"/>
      <color rgb="FF000000"/>
      <name val="等线"/>
    </font>
    <font>
      <b/>
      <sz val="10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0000CC"/>
      <name val="等线"/>
    </font>
    <font>
      <sz val="11"/>
      <color rgb="FF0000FF"/>
      <name val="Calibri"/>
      <family val="2"/>
      <scheme val="minor"/>
    </font>
    <font>
      <sz val="11"/>
      <color rgb="FF0000FF"/>
      <name val="等线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6">
    <xf numFmtId="0" fontId="0" fillId="0" borderId="0"/>
    <xf numFmtId="0" fontId="6" fillId="0" borderId="0"/>
    <xf numFmtId="0" fontId="7" fillId="0" borderId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43" fontId="8" fillId="0" borderId="0" applyFont="0" applyFill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1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1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21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1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21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21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3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13" xfId="0" applyBorder="1"/>
    <xf numFmtId="0" fontId="2" fillId="0" borderId="0" xfId="0" applyFont="1" applyAlignment="1">
      <alignment vertical="center" wrapText="1"/>
    </xf>
    <xf numFmtId="0" fontId="0" fillId="0" borderId="5" xfId="0" applyBorder="1" applyAlignment="1">
      <alignment horizontal="right"/>
    </xf>
    <xf numFmtId="0" fontId="0" fillId="0" borderId="36" xfId="0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>
      <alignment horizontal="center"/>
    </xf>
    <xf numFmtId="0" fontId="0" fillId="0" borderId="14" xfId="0" applyBorder="1"/>
    <xf numFmtId="0" fontId="0" fillId="2" borderId="14" xfId="0" applyFill="1" applyBorder="1"/>
    <xf numFmtId="0" fontId="0" fillId="2" borderId="16" xfId="0" applyFill="1" applyBorder="1"/>
    <xf numFmtId="2" fontId="0" fillId="2" borderId="0" xfId="0" applyNumberFormat="1" applyFill="1"/>
    <xf numFmtId="0" fontId="0" fillId="0" borderId="22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165" fontId="0" fillId="3" borderId="1" xfId="0" applyNumberFormat="1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14" xfId="0" applyFill="1" applyBorder="1"/>
    <xf numFmtId="0" fontId="0" fillId="2" borderId="9" xfId="0" applyFill="1" applyBorder="1"/>
    <xf numFmtId="165" fontId="0" fillId="2" borderId="10" xfId="0" applyNumberFormat="1" applyFill="1" applyBorder="1"/>
    <xf numFmtId="165" fontId="0" fillId="0" borderId="11" xfId="0" applyNumberFormat="1" applyBorder="1"/>
    <xf numFmtId="0" fontId="0" fillId="4" borderId="1" xfId="0" applyFill="1" applyBorder="1"/>
    <xf numFmtId="165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2" fontId="0" fillId="2" borderId="10" xfId="0" applyNumberFormat="1" applyFill="1" applyBorder="1"/>
    <xf numFmtId="165" fontId="0" fillId="2" borderId="9" xfId="0" applyNumberFormat="1" applyFill="1" applyBorder="1"/>
    <xf numFmtId="0" fontId="0" fillId="5" borderId="9" xfId="0" applyFill="1" applyBorder="1"/>
    <xf numFmtId="2" fontId="0" fillId="2" borderId="9" xfId="0" applyNumberFormat="1" applyFill="1" applyBorder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2" borderId="38" xfId="0" applyFill="1" applyBorder="1"/>
    <xf numFmtId="0" fontId="0" fillId="2" borderId="40" xfId="0" applyFill="1" applyBorder="1"/>
    <xf numFmtId="0" fontId="3" fillId="2" borderId="41" xfId="0" applyFont="1" applyFill="1" applyBorder="1"/>
    <xf numFmtId="0" fontId="0" fillId="0" borderId="42" xfId="0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2" fontId="0" fillId="0" borderId="2" xfId="0" applyNumberFormat="1" applyBorder="1"/>
    <xf numFmtId="2" fontId="0" fillId="3" borderId="2" xfId="0" applyNumberFormat="1" applyFill="1" applyBorder="1"/>
    <xf numFmtId="2" fontId="0" fillId="3" borderId="16" xfId="0" applyNumberFormat="1" applyFill="1" applyBorder="1"/>
    <xf numFmtId="2" fontId="0" fillId="6" borderId="1" xfId="0" applyNumberFormat="1" applyFill="1" applyBorder="1"/>
    <xf numFmtId="0" fontId="0" fillId="7" borderId="10" xfId="0" applyFill="1" applyBorder="1"/>
    <xf numFmtId="2" fontId="0" fillId="3" borderId="1" xfId="0" applyNumberFormat="1" applyFill="1" applyBorder="1" applyAlignment="1">
      <alignment horizontal="right"/>
    </xf>
    <xf numFmtId="2" fontId="0" fillId="2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8" borderId="27" xfId="0" applyFont="1" applyFill="1" applyBorder="1"/>
    <xf numFmtId="0" fontId="1" fillId="0" borderId="9" xfId="0" applyFont="1" applyBorder="1" applyAlignment="1">
      <alignment vertical="center" wrapText="1"/>
    </xf>
    <xf numFmtId="0" fontId="2" fillId="0" borderId="24" xfId="0" applyFont="1" applyBorder="1" applyAlignment="1">
      <alignment horizontal="left" vertical="top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1" xfId="0" applyFont="1" applyBorder="1"/>
    <xf numFmtId="1" fontId="2" fillId="0" borderId="56" xfId="0" applyNumberFormat="1" applyFont="1" applyBorder="1" applyAlignment="1">
      <alignment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0" fontId="2" fillId="0" borderId="63" xfId="0" applyFont="1" applyBorder="1"/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1" fontId="2" fillId="0" borderId="6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10" borderId="56" xfId="3" applyNumberFormat="1" applyFont="1" applyFill="1" applyBorder="1" applyAlignment="1">
      <alignment horizontal="center" vertical="center" wrapText="1"/>
    </xf>
    <xf numFmtId="0" fontId="2" fillId="10" borderId="63" xfId="3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left" vertical="center" wrapText="1"/>
    </xf>
    <xf numFmtId="0" fontId="2" fillId="10" borderId="61" xfId="0" applyFont="1" applyFill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65" fontId="2" fillId="10" borderId="63" xfId="0" applyNumberFormat="1" applyFont="1" applyFill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horizontal="left" vertical="center" wrapText="1"/>
    </xf>
    <xf numFmtId="1" fontId="2" fillId="10" borderId="22" xfId="0" applyNumberFormat="1" applyFont="1" applyFill="1" applyBorder="1" applyAlignment="1">
      <alignment horizontal="center" vertical="center" wrapText="1"/>
    </xf>
    <xf numFmtId="0" fontId="2" fillId="10" borderId="22" xfId="0" applyFont="1" applyFill="1" applyBorder="1"/>
    <xf numFmtId="1" fontId="2" fillId="10" borderId="1" xfId="0" applyNumberFormat="1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0" fillId="2" borderId="23" xfId="0" applyFill="1" applyBorder="1"/>
    <xf numFmtId="0" fontId="0" fillId="5" borderId="2" xfId="0" applyFill="1" applyBorder="1"/>
    <xf numFmtId="0" fontId="2" fillId="0" borderId="50" xfId="0" applyFont="1" applyBorder="1" applyAlignment="1">
      <alignment horizontal="center" vertical="center" wrapText="1"/>
    </xf>
    <xf numFmtId="2" fontId="2" fillId="10" borderId="5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1" fillId="13" borderId="30" xfId="0" applyFont="1" applyFill="1" applyBorder="1" applyAlignment="1">
      <alignment horizontal="center" vertical="center" wrapText="1"/>
    </xf>
    <xf numFmtId="14" fontId="1" fillId="13" borderId="49" xfId="0" applyNumberFormat="1" applyFont="1" applyFill="1" applyBorder="1" applyAlignment="1">
      <alignment horizontal="center" vertical="center" wrapText="1"/>
    </xf>
    <xf numFmtId="0" fontId="1" fillId="12" borderId="27" xfId="0" applyFont="1" applyFill="1" applyBorder="1"/>
    <xf numFmtId="0" fontId="1" fillId="12" borderId="43" xfId="0" applyFont="1" applyFill="1" applyBorder="1"/>
    <xf numFmtId="0" fontId="1" fillId="12" borderId="7" xfId="0" applyFont="1" applyFill="1" applyBorder="1" applyAlignment="1">
      <alignment horizontal="center" vertical="center" wrapText="1"/>
    </xf>
    <xf numFmtId="0" fontId="1" fillId="12" borderId="33" xfId="0" applyFont="1" applyFill="1" applyBorder="1"/>
    <xf numFmtId="0" fontId="1" fillId="12" borderId="22" xfId="0" applyFont="1" applyFill="1" applyBorder="1" applyAlignment="1">
      <alignment horizontal="center" vertical="center" wrapText="1"/>
    </xf>
    <xf numFmtId="0" fontId="1" fillId="12" borderId="61" xfId="0" applyFont="1" applyFill="1" applyBorder="1" applyAlignment="1">
      <alignment horizontal="center" vertical="center" wrapText="1"/>
    </xf>
    <xf numFmtId="2" fontId="1" fillId="12" borderId="56" xfId="0" applyNumberFormat="1" applyFont="1" applyFill="1" applyBorder="1" applyAlignment="1">
      <alignment horizontal="center" vertical="center" wrapText="1"/>
    </xf>
    <xf numFmtId="166" fontId="1" fillId="12" borderId="4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top" wrapText="1"/>
    </xf>
    <xf numFmtId="166" fontId="1" fillId="12" borderId="46" xfId="0" applyNumberFormat="1" applyFont="1" applyFill="1" applyBorder="1" applyAlignment="1">
      <alignment horizontal="right" vertical="center" wrapText="1"/>
    </xf>
    <xf numFmtId="0" fontId="1" fillId="12" borderId="57" xfId="0" applyFont="1" applyFill="1" applyBorder="1"/>
    <xf numFmtId="166" fontId="1" fillId="12" borderId="6" xfId="0" applyNumberFormat="1" applyFont="1" applyFill="1" applyBorder="1" applyAlignment="1">
      <alignment horizontal="left" vertical="center" wrapText="1"/>
    </xf>
    <xf numFmtId="166" fontId="1" fillId="12" borderId="7" xfId="0" applyNumberFormat="1" applyFont="1" applyFill="1" applyBorder="1" applyAlignment="1">
      <alignment horizontal="center" vertical="center" wrapText="1"/>
    </xf>
    <xf numFmtId="166" fontId="1" fillId="12" borderId="8" xfId="0" applyNumberFormat="1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14" fontId="1" fillId="11" borderId="49" xfId="0" applyNumberFormat="1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0" fillId="14" borderId="39" xfId="0" applyFill="1" applyBorder="1"/>
    <xf numFmtId="0" fontId="0" fillId="14" borderId="9" xfId="0" applyFill="1" applyBorder="1"/>
    <xf numFmtId="0" fontId="0" fillId="14" borderId="1" xfId="0" applyFill="1" applyBorder="1"/>
    <xf numFmtId="0" fontId="0" fillId="14" borderId="10" xfId="0" applyFill="1" applyBorder="1"/>
    <xf numFmtId="0" fontId="0" fillId="14" borderId="14" xfId="0" applyFill="1" applyBorder="1"/>
    <xf numFmtId="0" fontId="0" fillId="14" borderId="0" xfId="0" applyFill="1"/>
    <xf numFmtId="2" fontId="0" fillId="14" borderId="9" xfId="0" applyNumberFormat="1" applyFill="1" applyBorder="1"/>
    <xf numFmtId="0" fontId="0" fillId="14" borderId="4" xfId="0" applyFill="1" applyBorder="1"/>
    <xf numFmtId="2" fontId="0" fillId="14" borderId="1" xfId="0" applyNumberFormat="1" applyFill="1" applyBorder="1"/>
    <xf numFmtId="165" fontId="0" fillId="14" borderId="9" xfId="0" applyNumberFormat="1" applyFill="1" applyBorder="1"/>
    <xf numFmtId="165" fontId="0" fillId="14" borderId="1" xfId="0" applyNumberFormat="1" applyFill="1" applyBorder="1"/>
    <xf numFmtId="0" fontId="0" fillId="14" borderId="2" xfId="0" applyFill="1" applyBorder="1"/>
    <xf numFmtId="2" fontId="0" fillId="14" borderId="2" xfId="0" applyNumberFormat="1" applyFill="1" applyBorder="1"/>
    <xf numFmtId="2" fontId="0" fillId="14" borderId="1" xfId="0" applyNumberFormat="1" applyFill="1" applyBorder="1" applyAlignment="1">
      <alignment horizontal="left"/>
    </xf>
    <xf numFmtId="1" fontId="0" fillId="3" borderId="1" xfId="0" applyNumberFormat="1" applyFill="1" applyBorder="1"/>
    <xf numFmtId="0" fontId="0" fillId="12" borderId="1" xfId="0" applyFill="1" applyBorder="1"/>
    <xf numFmtId="0" fontId="0" fillId="12" borderId="23" xfId="0" applyFill="1" applyBorder="1"/>
    <xf numFmtId="1" fontId="0" fillId="2" borderId="0" xfId="0" applyNumberFormat="1" applyFill="1"/>
    <xf numFmtId="0" fontId="0" fillId="0" borderId="27" xfId="0" applyBorder="1"/>
    <xf numFmtId="0" fontId="0" fillId="0" borderId="23" xfId="0" applyBorder="1"/>
    <xf numFmtId="1" fontId="0" fillId="0" borderId="0" xfId="0" applyNumberFormat="1"/>
    <xf numFmtId="1" fontId="2" fillId="0" borderId="0" xfId="0" applyNumberFormat="1" applyFont="1"/>
    <xf numFmtId="2" fontId="2" fillId="0" borderId="0" xfId="0" applyNumberFormat="1" applyFont="1"/>
    <xf numFmtId="0" fontId="0" fillId="0" borderId="53" xfId="0" applyBorder="1"/>
    <xf numFmtId="165" fontId="0" fillId="0" borderId="67" xfId="0" applyNumberFormat="1" applyBorder="1"/>
    <xf numFmtId="165" fontId="0" fillId="0" borderId="28" xfId="0" applyNumberFormat="1" applyBorder="1"/>
    <xf numFmtId="165" fontId="0" fillId="0" borderId="16" xfId="0" applyNumberFormat="1" applyBorder="1"/>
    <xf numFmtId="1" fontId="2" fillId="0" borderId="14" xfId="0" applyNumberFormat="1" applyFont="1" applyBorder="1" applyAlignment="1">
      <alignment horizontal="center" vertical="center" wrapText="1"/>
    </xf>
    <xf numFmtId="166" fontId="1" fillId="12" borderId="31" xfId="0" applyNumberFormat="1" applyFont="1" applyFill="1" applyBorder="1" applyAlignment="1">
      <alignment horizontal="center" vertical="center" wrapText="1"/>
    </xf>
    <xf numFmtId="1" fontId="0" fillId="2" borderId="10" xfId="0" applyNumberFormat="1" applyFill="1" applyBorder="1"/>
    <xf numFmtId="2" fontId="0" fillId="0" borderId="11" xfId="0" applyNumberFormat="1" applyBorder="1"/>
    <xf numFmtId="0" fontId="0" fillId="15" borderId="1" xfId="0" applyFill="1" applyBorder="1"/>
    <xf numFmtId="166" fontId="1" fillId="12" borderId="1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2" fontId="0" fillId="2" borderId="1" xfId="0" applyNumberFormat="1" applyFill="1" applyBorder="1" applyAlignment="1">
      <alignment horizontal="left"/>
    </xf>
    <xf numFmtId="1" fontId="2" fillId="0" borderId="0" xfId="0" applyNumberFormat="1" applyFont="1" applyAlignment="1">
      <alignment vertical="center" wrapText="1"/>
    </xf>
    <xf numFmtId="166" fontId="2" fillId="0" borderId="0" xfId="0" applyNumberFormat="1" applyFont="1"/>
    <xf numFmtId="0" fontId="0" fillId="16" borderId="1" xfId="0" applyFill="1" applyBorder="1"/>
    <xf numFmtId="0" fontId="0" fillId="0" borderId="23" xfId="0" applyBorder="1" applyAlignment="1">
      <alignment horizontal="center"/>
    </xf>
    <xf numFmtId="0" fontId="2" fillId="0" borderId="22" xfId="0" applyFont="1" applyBorder="1" applyAlignment="1">
      <alignment horizontal="left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0" fillId="15" borderId="16" xfId="0" applyFill="1" applyBorder="1" applyAlignment="1">
      <alignment horizontal="center" wrapText="1"/>
    </xf>
    <xf numFmtId="2" fontId="0" fillId="12" borderId="2" xfId="0" applyNumberFormat="1" applyFill="1" applyBorder="1"/>
    <xf numFmtId="1" fontId="2" fillId="0" borderId="61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17" borderId="9" xfId="0" applyFill="1" applyBorder="1"/>
    <xf numFmtId="165" fontId="0" fillId="17" borderId="9" xfId="0" applyNumberFormat="1" applyFill="1" applyBorder="1"/>
    <xf numFmtId="165" fontId="0" fillId="17" borderId="10" xfId="0" applyNumberFormat="1" applyFill="1" applyBorder="1"/>
    <xf numFmtId="0" fontId="2" fillId="10" borderId="22" xfId="3" applyNumberFormat="1" applyFont="1" applyFill="1" applyBorder="1" applyAlignment="1">
      <alignment horizontal="center" vertical="center" wrapText="1"/>
    </xf>
    <xf numFmtId="0" fontId="2" fillId="10" borderId="50" xfId="3" applyNumberFormat="1" applyFont="1" applyFill="1" applyBorder="1" applyAlignment="1">
      <alignment horizontal="center" vertical="center" wrapText="1"/>
    </xf>
    <xf numFmtId="0" fontId="2" fillId="0" borderId="29" xfId="0" applyFont="1" applyBorder="1"/>
    <xf numFmtId="1" fontId="2" fillId="0" borderId="22" xfId="0" applyNumberFormat="1" applyFont="1" applyBorder="1" applyAlignment="1">
      <alignment vertical="center" wrapText="1"/>
    </xf>
    <xf numFmtId="0" fontId="2" fillId="0" borderId="50" xfId="0" applyFont="1" applyBorder="1"/>
    <xf numFmtId="166" fontId="1" fillId="12" borderId="9" xfId="0" applyNumberFormat="1" applyFont="1" applyFill="1" applyBorder="1" applyAlignment="1">
      <alignment horizontal="left"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1" fontId="2" fillId="0" borderId="56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166" fontId="1" fillId="12" borderId="38" xfId="0" applyNumberFormat="1" applyFont="1" applyFill="1" applyBorder="1" applyAlignment="1">
      <alignment horizontal="left" vertical="center" wrapText="1"/>
    </xf>
    <xf numFmtId="166" fontId="1" fillId="12" borderId="41" xfId="0" applyNumberFormat="1" applyFont="1" applyFill="1" applyBorder="1" applyAlignment="1">
      <alignment horizontal="center" vertical="center" wrapText="1"/>
    </xf>
    <xf numFmtId="166" fontId="1" fillId="12" borderId="3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1" fillId="12" borderId="10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6" fontId="1" fillId="12" borderId="64" xfId="0" applyNumberFormat="1" applyFont="1" applyFill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166" fontId="1" fillId="12" borderId="22" xfId="0" applyNumberFormat="1" applyFont="1" applyFill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166" fontId="1" fillId="12" borderId="68" xfId="0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top" wrapText="1"/>
    </xf>
    <xf numFmtId="0" fontId="0" fillId="0" borderId="25" xfId="0" applyBorder="1"/>
    <xf numFmtId="1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vertical="center" wrapText="1"/>
    </xf>
    <xf numFmtId="168" fontId="2" fillId="0" borderId="0" xfId="0" applyNumberFormat="1" applyFont="1"/>
    <xf numFmtId="2" fontId="2" fillId="0" borderId="0" xfId="0" applyNumberFormat="1" applyFont="1" applyAlignment="1">
      <alignment vertical="center" wrapText="1"/>
    </xf>
    <xf numFmtId="0" fontId="0" fillId="18" borderId="0" xfId="0" applyFill="1"/>
    <xf numFmtId="10" fontId="0" fillId="0" borderId="0" xfId="5" applyNumberFormat="1" applyFont="1"/>
    <xf numFmtId="2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vertical="center" wrapText="1"/>
    </xf>
    <xf numFmtId="166" fontId="0" fillId="0" borderId="11" xfId="0" applyNumberFormat="1" applyBorder="1"/>
    <xf numFmtId="165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169" fontId="0" fillId="0" borderId="1" xfId="0" applyNumberFormat="1" applyBorder="1"/>
    <xf numFmtId="1" fontId="0" fillId="4" borderId="1" xfId="0" applyNumberFormat="1" applyFill="1" applyBorder="1"/>
    <xf numFmtId="165" fontId="5" fillId="3" borderId="1" xfId="0" applyNumberFormat="1" applyFont="1" applyFill="1" applyBorder="1"/>
    <xf numFmtId="0" fontId="2" fillId="14" borderId="0" xfId="0" applyFont="1" applyFill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2" fontId="5" fillId="3" borderId="1" xfId="0" applyNumberFormat="1" applyFont="1" applyFill="1" applyBorder="1"/>
    <xf numFmtId="0" fontId="0" fillId="22" borderId="1" xfId="0" applyFill="1" applyBorder="1"/>
    <xf numFmtId="1" fontId="0" fillId="0" borderId="11" xfId="0" applyNumberFormat="1" applyBorder="1"/>
    <xf numFmtId="164" fontId="2" fillId="0" borderId="0" xfId="3" applyFont="1" applyAlignment="1">
      <alignment horizontal="left" vertical="center" wrapText="1"/>
    </xf>
    <xf numFmtId="43" fontId="2" fillId="0" borderId="0" xfId="0" applyNumberFormat="1" applyFont="1" applyAlignment="1">
      <alignment horizontal="left" vertical="center" wrapText="1"/>
    </xf>
    <xf numFmtId="0" fontId="0" fillId="24" borderId="0" xfId="0" applyFill="1"/>
    <xf numFmtId="0" fontId="0" fillId="25" borderId="0" xfId="0" applyFill="1"/>
    <xf numFmtId="0" fontId="0" fillId="13" borderId="0" xfId="0" applyFill="1"/>
    <xf numFmtId="10" fontId="2" fillId="0" borderId="24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9" fontId="0" fillId="0" borderId="0" xfId="5" applyFont="1"/>
    <xf numFmtId="9" fontId="2" fillId="0" borderId="10" xfId="0" applyNumberFormat="1" applyFont="1" applyBorder="1" applyAlignment="1">
      <alignment horizontal="center" vertical="center" wrapText="1"/>
    </xf>
    <xf numFmtId="0" fontId="0" fillId="0" borderId="24" xfId="0" applyBorder="1"/>
    <xf numFmtId="2" fontId="0" fillId="0" borderId="24" xfId="0" applyNumberFormat="1" applyBorder="1"/>
    <xf numFmtId="166" fontId="0" fillId="2" borderId="0" xfId="0" applyNumberFormat="1" applyFill="1"/>
    <xf numFmtId="0" fontId="0" fillId="26" borderId="0" xfId="0" applyFill="1"/>
    <xf numFmtId="0" fontId="0" fillId="26" borderId="1" xfId="0" applyFill="1" applyBorder="1"/>
    <xf numFmtId="2" fontId="0" fillId="26" borderId="1" xfId="0" applyNumberFormat="1" applyFill="1" applyBorder="1"/>
    <xf numFmtId="0" fontId="0" fillId="26" borderId="9" xfId="0" applyFill="1" applyBorder="1"/>
    <xf numFmtId="2" fontId="0" fillId="26" borderId="1" xfId="0" applyNumberFormat="1" applyFill="1" applyBorder="1" applyAlignment="1">
      <alignment horizontal="left"/>
    </xf>
    <xf numFmtId="166" fontId="0" fillId="26" borderId="1" xfId="0" applyNumberFormat="1" applyFill="1" applyBorder="1"/>
    <xf numFmtId="10" fontId="0" fillId="26" borderId="0" xfId="5" applyNumberFormat="1" applyFont="1" applyFill="1"/>
    <xf numFmtId="0" fontId="0" fillId="24" borderId="1" xfId="0" applyFill="1" applyBorder="1"/>
    <xf numFmtId="2" fontId="0" fillId="24" borderId="1" xfId="0" applyNumberFormat="1" applyFill="1" applyBorder="1"/>
    <xf numFmtId="0" fontId="0" fillId="24" borderId="9" xfId="0" applyFill="1" applyBorder="1"/>
    <xf numFmtId="2" fontId="0" fillId="24" borderId="1" xfId="0" applyNumberFormat="1" applyFill="1" applyBorder="1" applyAlignment="1">
      <alignment horizontal="left"/>
    </xf>
    <xf numFmtId="10" fontId="0" fillId="24" borderId="0" xfId="5" applyNumberFormat="1" applyFont="1" applyFill="1"/>
    <xf numFmtId="166" fontId="0" fillId="24" borderId="1" xfId="0" applyNumberFormat="1" applyFill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6" fontId="1" fillId="12" borderId="14" xfId="0" applyNumberFormat="1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0" fillId="27" borderId="1" xfId="0" applyFill="1" applyBorder="1"/>
    <xf numFmtId="0" fontId="3" fillId="24" borderId="1" xfId="0" applyFont="1" applyFill="1" applyBorder="1" applyAlignment="1">
      <alignment wrapText="1"/>
    </xf>
    <xf numFmtId="0" fontId="3" fillId="27" borderId="1" xfId="0" applyFont="1" applyFill="1" applyBorder="1" applyAlignment="1">
      <alignment wrapText="1"/>
    </xf>
    <xf numFmtId="0" fontId="13" fillId="0" borderId="74" xfId="0" applyFont="1" applyBorder="1"/>
    <xf numFmtId="0" fontId="13" fillId="0" borderId="19" xfId="0" applyFont="1" applyBorder="1"/>
    <xf numFmtId="0" fontId="13" fillId="0" borderId="24" xfId="0" applyFont="1" applyBorder="1"/>
    <xf numFmtId="0" fontId="5" fillId="24" borderId="1" xfId="0" applyFont="1" applyFill="1" applyBorder="1"/>
    <xf numFmtId="0" fontId="2" fillId="24" borderId="1" xfId="0" applyFont="1" applyFill="1" applyBorder="1"/>
    <xf numFmtId="2" fontId="0" fillId="0" borderId="16" xfId="0" applyNumberFormat="1" applyBorder="1"/>
    <xf numFmtId="0" fontId="0" fillId="0" borderId="7" xfId="0" applyBorder="1"/>
    <xf numFmtId="2" fontId="0" fillId="2" borderId="2" xfId="0" applyNumberFormat="1" applyFill="1" applyBorder="1"/>
    <xf numFmtId="0" fontId="14" fillId="12" borderId="47" xfId="0" applyFont="1" applyFill="1" applyBorder="1" applyAlignment="1">
      <alignment horizontal="center" vertical="center" wrapText="1"/>
    </xf>
    <xf numFmtId="166" fontId="14" fillId="12" borderId="46" xfId="0" applyNumberFormat="1" applyFont="1" applyFill="1" applyBorder="1" applyAlignment="1">
      <alignment horizontal="center" vertical="center" wrapText="1"/>
    </xf>
    <xf numFmtId="0" fontId="14" fillId="12" borderId="47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center" wrapText="1"/>
    </xf>
    <xf numFmtId="0" fontId="14" fillId="12" borderId="57" xfId="0" applyFont="1" applyFill="1" applyBorder="1"/>
    <xf numFmtId="0" fontId="14" fillId="12" borderId="47" xfId="0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right" vertical="center" wrapText="1"/>
    </xf>
    <xf numFmtId="0" fontId="0" fillId="26" borderId="11" xfId="0" applyFill="1" applyBorder="1"/>
    <xf numFmtId="166" fontId="0" fillId="26" borderId="0" xfId="0" applyNumberFormat="1" applyFill="1"/>
    <xf numFmtId="165" fontId="0" fillId="26" borderId="0" xfId="0" applyNumberFormat="1" applyFill="1"/>
    <xf numFmtId="0" fontId="1" fillId="12" borderId="1" xfId="0" applyFont="1" applyFill="1" applyBorder="1"/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top" wrapText="1"/>
    </xf>
    <xf numFmtId="0" fontId="14" fillId="12" borderId="24" xfId="0" applyFont="1" applyFill="1" applyBorder="1" applyAlignment="1">
      <alignment horizontal="center" vertical="center" wrapText="1"/>
    </xf>
    <xf numFmtId="0" fontId="14" fillId="12" borderId="24" xfId="0" applyFont="1" applyFill="1" applyBorder="1" applyAlignment="1">
      <alignment horizontal="center" vertical="center"/>
    </xf>
    <xf numFmtId="0" fontId="14" fillId="12" borderId="24" xfId="0" applyFont="1" applyFill="1" applyBorder="1" applyAlignment="1">
      <alignment horizontal="center" vertical="top" wrapText="1"/>
    </xf>
    <xf numFmtId="0" fontId="2" fillId="10" borderId="11" xfId="0" applyFont="1" applyFill="1" applyBorder="1"/>
    <xf numFmtId="0" fontId="5" fillId="0" borderId="1" xfId="0" applyFont="1" applyBorder="1"/>
    <xf numFmtId="170" fontId="0" fillId="26" borderId="1" xfId="0" applyNumberFormat="1" applyFill="1" applyBorder="1"/>
    <xf numFmtId="0" fontId="15" fillId="0" borderId="0" xfId="0" applyFont="1"/>
    <xf numFmtId="0" fontId="15" fillId="0" borderId="1" xfId="0" applyFont="1" applyBorder="1"/>
    <xf numFmtId="166" fontId="15" fillId="0" borderId="1" xfId="0" applyNumberFormat="1" applyFont="1" applyBorder="1"/>
    <xf numFmtId="0" fontId="15" fillId="24" borderId="1" xfId="0" applyFont="1" applyFill="1" applyBorder="1"/>
    <xf numFmtId="0" fontId="15" fillId="0" borderId="9" xfId="0" applyFont="1" applyBorder="1"/>
    <xf numFmtId="2" fontId="15" fillId="0" borderId="1" xfId="0" applyNumberFormat="1" applyFont="1" applyBorder="1" applyAlignment="1">
      <alignment horizontal="left"/>
    </xf>
    <xf numFmtId="0" fontId="15" fillId="24" borderId="0" xfId="0" applyFont="1" applyFill="1"/>
    <xf numFmtId="0" fontId="15" fillId="24" borderId="9" xfId="0" applyFont="1" applyFill="1" applyBorder="1"/>
    <xf numFmtId="2" fontId="15" fillId="24" borderId="1" xfId="0" applyNumberFormat="1" applyFont="1" applyFill="1" applyBorder="1" applyAlignment="1">
      <alignment horizontal="left"/>
    </xf>
    <xf numFmtId="10" fontId="15" fillId="24" borderId="0" xfId="5" applyNumberFormat="1" applyFont="1" applyFill="1"/>
    <xf numFmtId="2" fontId="15" fillId="4" borderId="1" xfId="0" applyNumberFormat="1" applyFont="1" applyFill="1" applyBorder="1" applyAlignment="1">
      <alignment horizontal="left"/>
    </xf>
    <xf numFmtId="10" fontId="15" fillId="0" borderId="0" xfId="5" applyNumberFormat="1" applyFont="1"/>
    <xf numFmtId="0" fontId="15" fillId="21" borderId="0" xfId="0" applyFont="1" applyFill="1"/>
    <xf numFmtId="0" fontId="15" fillId="21" borderId="1" xfId="0" applyFont="1" applyFill="1" applyBorder="1"/>
    <xf numFmtId="0" fontId="15" fillId="22" borderId="1" xfId="0" applyFont="1" applyFill="1" applyBorder="1"/>
    <xf numFmtId="0" fontId="15" fillId="21" borderId="9" xfId="0" applyFont="1" applyFill="1" applyBorder="1"/>
    <xf numFmtId="2" fontId="15" fillId="21" borderId="1" xfId="0" applyNumberFormat="1" applyFont="1" applyFill="1" applyBorder="1" applyAlignment="1">
      <alignment horizontal="left"/>
    </xf>
    <xf numFmtId="10" fontId="15" fillId="21" borderId="0" xfId="5" applyNumberFormat="1" applyFont="1" applyFill="1"/>
    <xf numFmtId="0" fontId="15" fillId="12" borderId="0" xfId="0" applyFont="1" applyFill="1"/>
    <xf numFmtId="0" fontId="15" fillId="12" borderId="1" xfId="0" applyFont="1" applyFill="1" applyBorder="1"/>
    <xf numFmtId="0" fontId="15" fillId="12" borderId="9" xfId="0" applyFont="1" applyFill="1" applyBorder="1"/>
    <xf numFmtId="2" fontId="15" fillId="12" borderId="1" xfId="0" applyNumberFormat="1" applyFont="1" applyFill="1" applyBorder="1" applyAlignment="1">
      <alignment horizontal="left"/>
    </xf>
    <xf numFmtId="10" fontId="15" fillId="12" borderId="0" xfId="5" applyNumberFormat="1" applyFont="1" applyFill="1"/>
    <xf numFmtId="0" fontId="15" fillId="16" borderId="0" xfId="0" applyFont="1" applyFill="1"/>
    <xf numFmtId="0" fontId="15" fillId="16" borderId="1" xfId="0" applyFont="1" applyFill="1" applyBorder="1"/>
    <xf numFmtId="0" fontId="15" fillId="16" borderId="9" xfId="0" applyFont="1" applyFill="1" applyBorder="1"/>
    <xf numFmtId="2" fontId="15" fillId="16" borderId="1" xfId="0" applyNumberFormat="1" applyFont="1" applyFill="1" applyBorder="1" applyAlignment="1">
      <alignment horizontal="left"/>
    </xf>
    <xf numFmtId="0" fontId="15" fillId="0" borderId="4" xfId="0" applyFont="1" applyBorder="1"/>
    <xf numFmtId="0" fontId="15" fillId="2" borderId="9" xfId="0" applyFont="1" applyFill="1" applyBorder="1"/>
    <xf numFmtId="0" fontId="15" fillId="26" borderId="1" xfId="0" applyFont="1" applyFill="1" applyBorder="1"/>
    <xf numFmtId="0" fontId="15" fillId="2" borderId="10" xfId="0" applyFont="1" applyFill="1" applyBorder="1"/>
    <xf numFmtId="0" fontId="15" fillId="3" borderId="1" xfId="0" applyFont="1" applyFill="1" applyBorder="1"/>
    <xf numFmtId="0" fontId="15" fillId="2" borderId="1" xfId="0" applyFont="1" applyFill="1" applyBorder="1"/>
    <xf numFmtId="2" fontId="15" fillId="2" borderId="9" xfId="0" applyNumberFormat="1" applyFont="1" applyFill="1" applyBorder="1"/>
    <xf numFmtId="0" fontId="15" fillId="0" borderId="14" xfId="0" applyFont="1" applyBorder="1"/>
    <xf numFmtId="0" fontId="15" fillId="3" borderId="14" xfId="0" applyFont="1" applyFill="1" applyBorder="1"/>
    <xf numFmtId="0" fontId="15" fillId="2" borderId="23" xfId="0" applyFont="1" applyFill="1" applyBorder="1"/>
    <xf numFmtId="0" fontId="15" fillId="12" borderId="23" xfId="0" applyFont="1" applyFill="1" applyBorder="1"/>
    <xf numFmtId="0" fontId="15" fillId="0" borderId="23" xfId="0" applyFont="1" applyBorder="1"/>
    <xf numFmtId="0" fontId="15" fillId="2" borderId="2" xfId="0" applyFont="1" applyFill="1" applyBorder="1"/>
    <xf numFmtId="2" fontId="15" fillId="3" borderId="1" xfId="0" applyNumberFormat="1" applyFont="1" applyFill="1" applyBorder="1"/>
    <xf numFmtId="0" fontId="15" fillId="2" borderId="0" xfId="0" applyFont="1" applyFill="1"/>
    <xf numFmtId="165" fontId="15" fillId="0" borderId="0" xfId="0" applyNumberFormat="1" applyFont="1"/>
    <xf numFmtId="2" fontId="15" fillId="0" borderId="1" xfId="0" applyNumberFormat="1" applyFont="1" applyBorder="1"/>
    <xf numFmtId="0" fontId="15" fillId="2" borderId="14" xfId="0" applyFont="1" applyFill="1" applyBorder="1"/>
    <xf numFmtId="1" fontId="15" fillId="0" borderId="1" xfId="0" applyNumberFormat="1" applyFont="1" applyBorder="1"/>
    <xf numFmtId="0" fontId="16" fillId="0" borderId="19" xfId="0" applyFont="1" applyBorder="1"/>
    <xf numFmtId="166" fontId="15" fillId="0" borderId="0" xfId="0" applyNumberFormat="1" applyFont="1"/>
    <xf numFmtId="2" fontId="15" fillId="0" borderId="0" xfId="0" applyNumberFormat="1" applyFont="1"/>
    <xf numFmtId="1" fontId="15" fillId="3" borderId="1" xfId="0" applyNumberFormat="1" applyFont="1" applyFill="1" applyBorder="1"/>
    <xf numFmtId="0" fontId="15" fillId="3" borderId="2" xfId="0" applyFont="1" applyFill="1" applyBorder="1"/>
    <xf numFmtId="0" fontId="15" fillId="3" borderId="9" xfId="0" applyFont="1" applyFill="1" applyBorder="1"/>
    <xf numFmtId="2" fontId="15" fillId="3" borderId="2" xfId="0" applyNumberFormat="1" applyFont="1" applyFill="1" applyBorder="1"/>
    <xf numFmtId="2" fontId="15" fillId="12" borderId="2" xfId="0" applyNumberFormat="1" applyFont="1" applyFill="1" applyBorder="1"/>
    <xf numFmtId="2" fontId="15" fillId="0" borderId="2" xfId="0" applyNumberFormat="1" applyFont="1" applyBorder="1"/>
    <xf numFmtId="2" fontId="15" fillId="6" borderId="1" xfId="0" applyNumberFormat="1" applyFont="1" applyFill="1" applyBorder="1"/>
    <xf numFmtId="2" fontId="15" fillId="2" borderId="1" xfId="0" applyNumberFormat="1" applyFont="1" applyFill="1" applyBorder="1"/>
    <xf numFmtId="0" fontId="15" fillId="0" borderId="2" xfId="0" applyFont="1" applyBorder="1"/>
    <xf numFmtId="2" fontId="15" fillId="2" borderId="10" xfId="0" applyNumberFormat="1" applyFont="1" applyFill="1" applyBorder="1"/>
    <xf numFmtId="0" fontId="17" fillId="0" borderId="4" xfId="0" applyFont="1" applyBorder="1"/>
    <xf numFmtId="0" fontId="17" fillId="2" borderId="9" xfId="0" applyFont="1" applyFill="1" applyBorder="1"/>
    <xf numFmtId="0" fontId="17" fillId="0" borderId="1" xfId="0" applyFont="1" applyBorder="1"/>
    <xf numFmtId="0" fontId="17" fillId="26" borderId="1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0" fontId="17" fillId="0" borderId="14" xfId="0" applyFont="1" applyBorder="1"/>
    <xf numFmtId="0" fontId="17" fillId="3" borderId="14" xfId="0" applyFont="1" applyFill="1" applyBorder="1"/>
    <xf numFmtId="0" fontId="17" fillId="12" borderId="1" xfId="0" applyFont="1" applyFill="1" applyBorder="1"/>
    <xf numFmtId="0" fontId="17" fillId="2" borderId="23" xfId="0" applyFont="1" applyFill="1" applyBorder="1"/>
    <xf numFmtId="0" fontId="17" fillId="12" borderId="23" xfId="0" applyFont="1" applyFill="1" applyBorder="1"/>
    <xf numFmtId="0" fontId="17" fillId="0" borderId="23" xfId="0" applyFont="1" applyBorder="1"/>
    <xf numFmtId="0" fontId="17" fillId="2" borderId="2" xfId="0" applyFont="1" applyFill="1" applyBorder="1"/>
    <xf numFmtId="2" fontId="17" fillId="3" borderId="1" xfId="0" applyNumberFormat="1" applyFont="1" applyFill="1" applyBorder="1"/>
    <xf numFmtId="0" fontId="17" fillId="2" borderId="0" xfId="0" applyFont="1" applyFill="1"/>
    <xf numFmtId="0" fontId="17" fillId="0" borderId="0" xfId="0" applyFont="1"/>
    <xf numFmtId="165" fontId="17" fillId="0" borderId="0" xfId="0" applyNumberFormat="1" applyFont="1"/>
    <xf numFmtId="0" fontId="17" fillId="2" borderId="14" xfId="0" applyFont="1" applyFill="1" applyBorder="1"/>
    <xf numFmtId="1" fontId="17" fillId="0" borderId="1" xfId="0" applyNumberFormat="1" applyFont="1" applyBorder="1"/>
    <xf numFmtId="0" fontId="18" fillId="0" borderId="19" xfId="0" applyFont="1" applyBorder="1"/>
    <xf numFmtId="166" fontId="17" fillId="0" borderId="0" xfId="0" applyNumberFormat="1" applyFont="1"/>
    <xf numFmtId="2" fontId="17" fillId="0" borderId="0" xfId="0" applyNumberFormat="1" applyFont="1"/>
    <xf numFmtId="0" fontId="15" fillId="28" borderId="0" xfId="0" applyFont="1" applyFill="1"/>
    <xf numFmtId="0" fontId="15" fillId="28" borderId="1" xfId="0" applyFont="1" applyFill="1" applyBorder="1"/>
    <xf numFmtId="0" fontId="15" fillId="28" borderId="9" xfId="0" applyFont="1" applyFill="1" applyBorder="1"/>
    <xf numFmtId="2" fontId="15" fillId="28" borderId="1" xfId="0" applyNumberFormat="1" applyFont="1" applyFill="1" applyBorder="1" applyAlignment="1">
      <alignment horizontal="left"/>
    </xf>
    <xf numFmtId="0" fontId="15" fillId="17" borderId="0" xfId="0" applyFont="1" applyFill="1"/>
    <xf numFmtId="0" fontId="15" fillId="11" borderId="0" xfId="0" applyFont="1" applyFill="1"/>
    <xf numFmtId="0" fontId="15" fillId="11" borderId="1" xfId="0" applyFont="1" applyFill="1" applyBorder="1"/>
    <xf numFmtId="0" fontId="15" fillId="11" borderId="9" xfId="0" applyFont="1" applyFill="1" applyBorder="1"/>
    <xf numFmtId="2" fontId="15" fillId="11" borderId="1" xfId="0" applyNumberFormat="1" applyFont="1" applyFill="1" applyBorder="1" applyAlignment="1">
      <alignment horizontal="left"/>
    </xf>
    <xf numFmtId="2" fontId="15" fillId="11" borderId="1" xfId="0" applyNumberFormat="1" applyFont="1" applyFill="1" applyBorder="1"/>
    <xf numFmtId="10" fontId="15" fillId="11" borderId="0" xfId="5" applyNumberFormat="1" applyFont="1" applyFill="1"/>
    <xf numFmtId="170" fontId="15" fillId="0" borderId="1" xfId="0" applyNumberFormat="1" applyFont="1" applyBorder="1"/>
    <xf numFmtId="0" fontId="15" fillId="20" borderId="1" xfId="0" applyFont="1" applyFill="1" applyBorder="1"/>
    <xf numFmtId="0" fontId="15" fillId="19" borderId="1" xfId="0" applyFont="1" applyFill="1" applyBorder="1"/>
    <xf numFmtId="165" fontId="15" fillId="0" borderId="1" xfId="0" applyNumberFormat="1" applyFont="1" applyBorder="1"/>
    <xf numFmtId="2" fontId="0" fillId="3" borderId="0" xfId="0" applyNumberFormat="1" applyFill="1"/>
    <xf numFmtId="166" fontId="15" fillId="11" borderId="1" xfId="0" applyNumberFormat="1" applyFont="1" applyFill="1" applyBorder="1"/>
    <xf numFmtId="171" fontId="0" fillId="0" borderId="1" xfId="0" applyNumberFormat="1" applyBorder="1"/>
    <xf numFmtId="2" fontId="2" fillId="10" borderId="22" xfId="0" applyNumberFormat="1" applyFont="1" applyFill="1" applyBorder="1" applyAlignment="1">
      <alignment horizontal="center" vertical="center" wrapText="1"/>
    </xf>
    <xf numFmtId="170" fontId="0" fillId="24" borderId="1" xfId="0" applyNumberFormat="1" applyFill="1" applyBorder="1"/>
    <xf numFmtId="0" fontId="2" fillId="0" borderId="1" xfId="0" applyFont="1" applyBorder="1" applyAlignment="1">
      <alignment vertical="top" wrapText="1"/>
    </xf>
    <xf numFmtId="165" fontId="2" fillId="0" borderId="0" xfId="0" applyNumberFormat="1" applyFont="1" applyAlignment="1">
      <alignment vertical="center" wrapText="1"/>
    </xf>
    <xf numFmtId="0" fontId="0" fillId="26" borderId="13" xfId="0" applyFill="1" applyBorder="1"/>
    <xf numFmtId="0" fontId="0" fillId="0" borderId="46" xfId="0" applyBorder="1"/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0" fontId="0" fillId="0" borderId="0" xfId="5" applyNumberFormat="1" applyFont="1" applyFill="1"/>
    <xf numFmtId="0" fontId="0" fillId="30" borderId="0" xfId="0" applyFill="1"/>
    <xf numFmtId="0" fontId="0" fillId="30" borderId="22" xfId="0" applyFill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2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3" fillId="27" borderId="22" xfId="0" applyFont="1" applyFill="1" applyBorder="1"/>
    <xf numFmtId="0" fontId="3" fillId="27" borderId="1" xfId="0" applyFont="1" applyFill="1" applyBorder="1"/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66" fontId="0" fillId="2" borderId="1" xfId="0" applyNumberFormat="1" applyFill="1" applyBorder="1"/>
    <xf numFmtId="0" fontId="5" fillId="2" borderId="2" xfId="0" applyFont="1" applyFill="1" applyBorder="1"/>
    <xf numFmtId="0" fontId="5" fillId="2" borderId="1" xfId="0" applyFont="1" applyFill="1" applyBorder="1"/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66" fontId="0" fillId="0" borderId="1" xfId="0" applyNumberFormat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38" borderId="27" xfId="0" applyFill="1" applyBorder="1" applyAlignment="1">
      <alignment horizontal="center"/>
    </xf>
    <xf numFmtId="0" fontId="0" fillId="38" borderId="43" xfId="0" applyFill="1" applyBorder="1" applyAlignment="1">
      <alignment horizontal="center"/>
    </xf>
    <xf numFmtId="0" fontId="0" fillId="38" borderId="33" xfId="0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3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2" borderId="27" xfId="0" applyFill="1" applyBorder="1" applyAlignment="1">
      <alignment horizontal="center"/>
    </xf>
    <xf numFmtId="0" fontId="0" fillId="22" borderId="43" xfId="0" applyFill="1" applyBorder="1" applyAlignment="1">
      <alignment horizontal="center"/>
    </xf>
    <xf numFmtId="0" fontId="0" fillId="22" borderId="33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5" borderId="14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3" borderId="14" xfId="0" applyFont="1" applyFill="1" applyBorder="1" applyAlignment="1">
      <alignment horizontal="center" wrapText="1"/>
    </xf>
    <xf numFmtId="0" fontId="2" fillId="23" borderId="23" xfId="0" applyFont="1" applyFill="1" applyBorder="1" applyAlignment="1">
      <alignment horizontal="center" wrapText="1"/>
    </xf>
    <xf numFmtId="0" fontId="2" fillId="23" borderId="2" xfId="0" applyFont="1" applyFill="1" applyBorder="1" applyAlignment="1">
      <alignment horizont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53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2" fillId="11" borderId="58" xfId="1" applyFont="1" applyFill="1" applyBorder="1" applyAlignment="1">
      <alignment horizontal="center" vertical="center" wrapText="1"/>
    </xf>
    <xf numFmtId="0" fontId="12" fillId="11" borderId="32" xfId="1" applyFont="1" applyFill="1" applyBorder="1" applyAlignment="1">
      <alignment horizontal="center" vertical="center" wrapText="1"/>
    </xf>
    <xf numFmtId="0" fontId="12" fillId="11" borderId="57" xfId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5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center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9" borderId="6" xfId="0" applyFont="1" applyFill="1" applyBorder="1" applyAlignment="1">
      <alignment horizontal="right"/>
    </xf>
    <xf numFmtId="0" fontId="2" fillId="9" borderId="7" xfId="0" applyFont="1" applyFill="1" applyBorder="1" applyAlignment="1">
      <alignment horizontal="right"/>
    </xf>
    <xf numFmtId="0" fontId="2" fillId="9" borderId="8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9" borderId="10" xfId="0" applyFont="1" applyFill="1" applyBorder="1" applyAlignment="1">
      <alignment horizontal="right"/>
    </xf>
    <xf numFmtId="0" fontId="2" fillId="9" borderId="11" xfId="0" applyFont="1" applyFill="1" applyBorder="1" applyAlignment="1">
      <alignment horizontal="right"/>
    </xf>
    <xf numFmtId="0" fontId="2" fillId="9" borderId="56" xfId="0" applyFont="1" applyFill="1" applyBorder="1" applyAlignment="1">
      <alignment horizontal="right"/>
    </xf>
    <xf numFmtId="0" fontId="2" fillId="9" borderId="63" xfId="0" applyFont="1" applyFill="1" applyBorder="1" applyAlignment="1">
      <alignment horizontal="right"/>
    </xf>
    <xf numFmtId="0" fontId="1" fillId="12" borderId="17" xfId="0" applyFont="1" applyFill="1" applyBorder="1" applyAlignment="1">
      <alignment horizontal="left" vertical="center" wrapText="1"/>
    </xf>
    <xf numFmtId="0" fontId="1" fillId="12" borderId="13" xfId="0" applyFont="1" applyFill="1" applyBorder="1" applyAlignment="1">
      <alignment horizontal="left" vertical="center" wrapText="1"/>
    </xf>
    <xf numFmtId="0" fontId="1" fillId="12" borderId="48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horizontal="left" vertical="center" wrapText="1"/>
    </xf>
    <xf numFmtId="2" fontId="1" fillId="12" borderId="18" xfId="0" applyNumberFormat="1" applyFont="1" applyFill="1" applyBorder="1" applyAlignment="1">
      <alignment horizontal="center" vertical="center" wrapText="1"/>
    </xf>
    <xf numFmtId="2" fontId="1" fillId="12" borderId="21" xfId="0" applyNumberFormat="1" applyFont="1" applyFill="1" applyBorder="1" applyAlignment="1">
      <alignment horizontal="center" vertical="center" wrapText="1"/>
    </xf>
    <xf numFmtId="2" fontId="1" fillId="12" borderId="19" xfId="0" applyNumberFormat="1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left" vertical="center" wrapText="1"/>
    </xf>
    <xf numFmtId="0" fontId="1" fillId="12" borderId="7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left" vertical="center" wrapText="1"/>
    </xf>
    <xf numFmtId="0" fontId="1" fillId="12" borderId="27" xfId="0" applyFont="1" applyFill="1" applyBorder="1" applyAlignment="1">
      <alignment horizontal="left" vertical="center" wrapText="1"/>
    </xf>
    <xf numFmtId="0" fontId="1" fillId="12" borderId="43" xfId="0" applyFont="1" applyFill="1" applyBorder="1" applyAlignment="1">
      <alignment horizontal="left" vertical="center" wrapText="1"/>
    </xf>
    <xf numFmtId="0" fontId="1" fillId="12" borderId="33" xfId="0" applyFont="1" applyFill="1" applyBorder="1" applyAlignment="1">
      <alignment horizontal="left" vertical="center" wrapText="1"/>
    </xf>
    <xf numFmtId="0" fontId="1" fillId="12" borderId="59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1" fillId="12" borderId="47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top" wrapText="1"/>
    </xf>
    <xf numFmtId="0" fontId="2" fillId="0" borderId="59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left" vertical="top" wrapText="1"/>
    </xf>
    <xf numFmtId="0" fontId="2" fillId="0" borderId="7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12" borderId="20" xfId="0" applyFont="1" applyFill="1" applyBorder="1" applyAlignment="1">
      <alignment horizontal="left" vertical="center" wrapText="1"/>
    </xf>
    <xf numFmtId="0" fontId="1" fillId="12" borderId="44" xfId="0" applyFont="1" applyFill="1" applyBorder="1" applyAlignment="1">
      <alignment horizontal="left" vertical="center" wrapText="1"/>
    </xf>
    <xf numFmtId="0" fontId="1" fillId="12" borderId="35" xfId="0" applyFont="1" applyFill="1" applyBorder="1" applyAlignment="1">
      <alignment horizontal="left" vertical="center" wrapText="1"/>
    </xf>
    <xf numFmtId="1" fontId="2" fillId="0" borderId="41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68" xfId="0" applyNumberFormat="1" applyFont="1" applyBorder="1" applyAlignment="1">
      <alignment horizontal="center" vertical="center" wrapText="1"/>
    </xf>
    <xf numFmtId="1" fontId="2" fillId="0" borderId="35" xfId="0" applyNumberFormat="1" applyFont="1" applyBorder="1" applyAlignment="1">
      <alignment horizontal="center" vertical="center" wrapText="1"/>
    </xf>
    <xf numFmtId="1" fontId="2" fillId="0" borderId="40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1" fillId="12" borderId="45" xfId="0" applyFont="1" applyFill="1" applyBorder="1" applyAlignment="1">
      <alignment horizontal="left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4" fillId="12" borderId="27" xfId="0" applyFont="1" applyFill="1" applyBorder="1" applyAlignment="1">
      <alignment horizontal="center" vertical="center" wrapText="1"/>
    </xf>
    <xf numFmtId="0" fontId="14" fillId="12" borderId="43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14" fillId="12" borderId="47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48" xfId="0" applyFont="1" applyBorder="1" applyAlignment="1">
      <alignment horizontal="center" vertical="top" wrapText="1"/>
    </xf>
    <xf numFmtId="0" fontId="2" fillId="0" borderId="60" xfId="0" applyFont="1" applyBorder="1" applyAlignment="1">
      <alignment horizontal="center" vertical="top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vertical="center" wrapText="1"/>
    </xf>
    <xf numFmtId="0" fontId="2" fillId="0" borderId="50" xfId="0" applyFont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1" fillId="12" borderId="64" xfId="0" applyFont="1" applyFill="1" applyBorder="1" applyAlignment="1">
      <alignment horizontal="center" vertical="center" wrapText="1"/>
    </xf>
    <xf numFmtId="0" fontId="1" fillId="12" borderId="35" xfId="0" applyFont="1" applyFill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2" fillId="0" borderId="35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0" fontId="2" fillId="0" borderId="70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2" fontId="2" fillId="10" borderId="61" xfId="0" applyNumberFormat="1" applyFont="1" applyFill="1" applyBorder="1" applyAlignment="1">
      <alignment horizontal="center" vertical="center" wrapText="1"/>
    </xf>
    <xf numFmtId="2" fontId="2" fillId="10" borderId="69" xfId="0" applyNumberFormat="1" applyFont="1" applyFill="1" applyBorder="1" applyAlignment="1">
      <alignment horizontal="center" vertical="center" wrapText="1"/>
    </xf>
    <xf numFmtId="2" fontId="2" fillId="10" borderId="28" xfId="0" applyNumberFormat="1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2" fontId="2" fillId="0" borderId="22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top" wrapText="1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1" fontId="2" fillId="10" borderId="61" xfId="0" applyNumberFormat="1" applyFont="1" applyFill="1" applyBorder="1" applyAlignment="1">
      <alignment horizontal="center" vertical="center" wrapText="1"/>
    </xf>
    <xf numFmtId="1" fontId="2" fillId="10" borderId="28" xfId="0" applyNumberFormat="1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/>
    </xf>
    <xf numFmtId="0" fontId="2" fillId="10" borderId="28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12" borderId="47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left" vertical="center" wrapText="1"/>
    </xf>
    <xf numFmtId="0" fontId="1" fillId="12" borderId="16" xfId="0" applyFont="1" applyFill="1" applyBorder="1" applyAlignment="1">
      <alignment horizontal="left" vertical="center" wrapText="1"/>
    </xf>
    <xf numFmtId="2" fontId="1" fillId="12" borderId="14" xfId="0" applyNumberFormat="1" applyFont="1" applyFill="1" applyBorder="1" applyAlignment="1">
      <alignment horizontal="center" vertical="center" wrapText="1"/>
    </xf>
    <xf numFmtId="2" fontId="1" fillId="12" borderId="23" xfId="0" applyNumberFormat="1" applyFont="1" applyFill="1" applyBorder="1" applyAlignment="1">
      <alignment horizontal="center" vertical="center" wrapText="1"/>
    </xf>
    <xf numFmtId="2" fontId="1" fillId="12" borderId="2" xfId="0" applyNumberFormat="1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3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12" borderId="31" xfId="0" applyFont="1" applyFill="1" applyBorder="1" applyAlignment="1">
      <alignment horizontal="left" vertical="center" wrapText="1"/>
    </xf>
    <xf numFmtId="0" fontId="1" fillId="12" borderId="12" xfId="0" applyFont="1" applyFill="1" applyBorder="1" applyAlignment="1">
      <alignment horizontal="left" vertical="center" wrapText="1"/>
    </xf>
    <xf numFmtId="1" fontId="2" fillId="10" borderId="61" xfId="0" applyNumberFormat="1" applyFont="1" applyFill="1" applyBorder="1" applyAlignment="1">
      <alignment vertical="center" wrapText="1"/>
    </xf>
    <xf numFmtId="1" fontId="2" fillId="10" borderId="28" xfId="0" applyNumberFormat="1" applyFont="1" applyFill="1" applyBorder="1" applyAlignment="1">
      <alignment vertical="center" wrapText="1"/>
    </xf>
    <xf numFmtId="0" fontId="1" fillId="12" borderId="2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12" borderId="64" xfId="0" applyFont="1" applyFill="1" applyBorder="1" applyAlignment="1">
      <alignment horizontal="left" vertical="center" wrapText="1"/>
    </xf>
    <xf numFmtId="0" fontId="2" fillId="9" borderId="64" xfId="0" applyFont="1" applyFill="1" applyBorder="1" applyAlignment="1">
      <alignment horizontal="right"/>
    </xf>
    <xf numFmtId="0" fontId="2" fillId="9" borderId="35" xfId="0" applyFont="1" applyFill="1" applyBorder="1" applyAlignment="1">
      <alignment horizontal="right"/>
    </xf>
    <xf numFmtId="0" fontId="2" fillId="9" borderId="65" xfId="0" applyFont="1" applyFill="1" applyBorder="1" applyAlignment="1">
      <alignment horizontal="right"/>
    </xf>
    <xf numFmtId="0" fontId="2" fillId="9" borderId="66" xfId="0" applyFont="1" applyFill="1" applyBorder="1" applyAlignment="1">
      <alignment horizontal="right"/>
    </xf>
    <xf numFmtId="0" fontId="2" fillId="9" borderId="0" xfId="0" applyFont="1" applyFill="1" applyAlignment="1">
      <alignment horizontal="right"/>
    </xf>
    <xf numFmtId="0" fontId="2" fillId="9" borderId="54" xfId="0" applyFont="1" applyFill="1" applyBorder="1" applyAlignment="1">
      <alignment horizontal="right"/>
    </xf>
    <xf numFmtId="0" fontId="2" fillId="9" borderId="58" xfId="0" applyFont="1" applyFill="1" applyBorder="1" applyAlignment="1">
      <alignment horizontal="right"/>
    </xf>
    <xf numFmtId="0" fontId="2" fillId="9" borderId="32" xfId="0" applyFont="1" applyFill="1" applyBorder="1" applyAlignment="1">
      <alignment horizontal="right"/>
    </xf>
    <xf numFmtId="0" fontId="2" fillId="9" borderId="57" xfId="0" applyFont="1" applyFill="1" applyBorder="1" applyAlignment="1">
      <alignment horizontal="right"/>
    </xf>
    <xf numFmtId="0" fontId="1" fillId="12" borderId="22" xfId="0" applyFont="1" applyFill="1" applyBorder="1" applyAlignment="1">
      <alignment horizontal="left" vertical="center" wrapText="1"/>
    </xf>
    <xf numFmtId="0" fontId="1" fillId="11" borderId="58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11" borderId="57" xfId="0" applyFont="1" applyFill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</cellXfs>
  <cellStyles count="176">
    <cellStyle name="60% - Accent1 10" xfId="8" xr:uid="{00000000-0005-0000-0000-000000000000}"/>
    <cellStyle name="60% - Accent1 11" xfId="9" xr:uid="{00000000-0005-0000-0000-000001000000}"/>
    <cellStyle name="60% - Accent1 12" xfId="10" xr:uid="{00000000-0005-0000-0000-000002000000}"/>
    <cellStyle name="60% - Accent1 13" xfId="11" xr:uid="{00000000-0005-0000-0000-000003000000}"/>
    <cellStyle name="60% - Accent1 14" xfId="12" xr:uid="{00000000-0005-0000-0000-000004000000}"/>
    <cellStyle name="60% - Accent1 15" xfId="13" xr:uid="{00000000-0005-0000-0000-000005000000}"/>
    <cellStyle name="60% - Accent1 2" xfId="14" xr:uid="{00000000-0005-0000-0000-000006000000}"/>
    <cellStyle name="60% - Accent1 3" xfId="15" xr:uid="{00000000-0005-0000-0000-000007000000}"/>
    <cellStyle name="60% - Accent1 4" xfId="16" xr:uid="{00000000-0005-0000-0000-000008000000}"/>
    <cellStyle name="60% - Accent1 5" xfId="17" xr:uid="{00000000-0005-0000-0000-000009000000}"/>
    <cellStyle name="60% - Accent1 6" xfId="18" xr:uid="{00000000-0005-0000-0000-00000A000000}"/>
    <cellStyle name="60% - Accent1 7" xfId="19" xr:uid="{00000000-0005-0000-0000-00000B000000}"/>
    <cellStyle name="60% - Accent1 8" xfId="20" xr:uid="{00000000-0005-0000-0000-00000C000000}"/>
    <cellStyle name="60% - Accent1 9" xfId="21" xr:uid="{00000000-0005-0000-0000-00000D000000}"/>
    <cellStyle name="60% - Accent2 10" xfId="22" xr:uid="{00000000-0005-0000-0000-00000E000000}"/>
    <cellStyle name="60% - Accent2 11" xfId="23" xr:uid="{00000000-0005-0000-0000-00000F000000}"/>
    <cellStyle name="60% - Accent2 12" xfId="24" xr:uid="{00000000-0005-0000-0000-000010000000}"/>
    <cellStyle name="60% - Accent2 13" xfId="25" xr:uid="{00000000-0005-0000-0000-000011000000}"/>
    <cellStyle name="60% - Accent2 14" xfId="26" xr:uid="{00000000-0005-0000-0000-000012000000}"/>
    <cellStyle name="60% - Accent2 15" xfId="27" xr:uid="{00000000-0005-0000-0000-000013000000}"/>
    <cellStyle name="60% - Accent2 2" xfId="28" xr:uid="{00000000-0005-0000-0000-000014000000}"/>
    <cellStyle name="60% - Accent2 3" xfId="29" xr:uid="{00000000-0005-0000-0000-000015000000}"/>
    <cellStyle name="60% - Accent2 4" xfId="30" xr:uid="{00000000-0005-0000-0000-000016000000}"/>
    <cellStyle name="60% - Accent2 5" xfId="31" xr:uid="{00000000-0005-0000-0000-000017000000}"/>
    <cellStyle name="60% - Accent2 6" xfId="32" xr:uid="{00000000-0005-0000-0000-000018000000}"/>
    <cellStyle name="60% - Accent2 7" xfId="33" xr:uid="{00000000-0005-0000-0000-000019000000}"/>
    <cellStyle name="60% - Accent2 8" xfId="34" xr:uid="{00000000-0005-0000-0000-00001A000000}"/>
    <cellStyle name="60% - Accent2 9" xfId="35" xr:uid="{00000000-0005-0000-0000-00001B000000}"/>
    <cellStyle name="60% - Accent3 10" xfId="36" xr:uid="{00000000-0005-0000-0000-00001C000000}"/>
    <cellStyle name="60% - Accent3 11" xfId="37" xr:uid="{00000000-0005-0000-0000-00001D000000}"/>
    <cellStyle name="60% - Accent3 12" xfId="38" xr:uid="{00000000-0005-0000-0000-00001E000000}"/>
    <cellStyle name="60% - Accent3 13" xfId="39" xr:uid="{00000000-0005-0000-0000-00001F000000}"/>
    <cellStyle name="60% - Accent3 14" xfId="40" xr:uid="{00000000-0005-0000-0000-000020000000}"/>
    <cellStyle name="60% - Accent3 15" xfId="41" xr:uid="{00000000-0005-0000-0000-000021000000}"/>
    <cellStyle name="60% - Accent3 2" xfId="42" xr:uid="{00000000-0005-0000-0000-000022000000}"/>
    <cellStyle name="60% - Accent3 3" xfId="43" xr:uid="{00000000-0005-0000-0000-000023000000}"/>
    <cellStyle name="60% - Accent3 4" xfId="44" xr:uid="{00000000-0005-0000-0000-000024000000}"/>
    <cellStyle name="60% - Accent3 5" xfId="45" xr:uid="{00000000-0005-0000-0000-000025000000}"/>
    <cellStyle name="60% - Accent3 6" xfId="46" xr:uid="{00000000-0005-0000-0000-000026000000}"/>
    <cellStyle name="60% - Accent3 7" xfId="47" xr:uid="{00000000-0005-0000-0000-000027000000}"/>
    <cellStyle name="60% - Accent3 8" xfId="48" xr:uid="{00000000-0005-0000-0000-000028000000}"/>
    <cellStyle name="60% - Accent3 9" xfId="49" xr:uid="{00000000-0005-0000-0000-000029000000}"/>
    <cellStyle name="60% - Accent4 10" xfId="50" xr:uid="{00000000-0005-0000-0000-00002A000000}"/>
    <cellStyle name="60% - Accent4 11" xfId="51" xr:uid="{00000000-0005-0000-0000-00002B000000}"/>
    <cellStyle name="60% - Accent4 12" xfId="52" xr:uid="{00000000-0005-0000-0000-00002C000000}"/>
    <cellStyle name="60% - Accent4 13" xfId="53" xr:uid="{00000000-0005-0000-0000-00002D000000}"/>
    <cellStyle name="60% - Accent4 14" xfId="54" xr:uid="{00000000-0005-0000-0000-00002E000000}"/>
    <cellStyle name="60% - Accent4 15" xfId="55" xr:uid="{00000000-0005-0000-0000-00002F000000}"/>
    <cellStyle name="60% - Accent4 2" xfId="56" xr:uid="{00000000-0005-0000-0000-000030000000}"/>
    <cellStyle name="60% - Accent4 3" xfId="57" xr:uid="{00000000-0005-0000-0000-000031000000}"/>
    <cellStyle name="60% - Accent4 4" xfId="58" xr:uid="{00000000-0005-0000-0000-000032000000}"/>
    <cellStyle name="60% - Accent4 5" xfId="59" xr:uid="{00000000-0005-0000-0000-000033000000}"/>
    <cellStyle name="60% - Accent4 6" xfId="60" xr:uid="{00000000-0005-0000-0000-000034000000}"/>
    <cellStyle name="60% - Accent4 7" xfId="61" xr:uid="{00000000-0005-0000-0000-000035000000}"/>
    <cellStyle name="60% - Accent4 8" xfId="62" xr:uid="{00000000-0005-0000-0000-000036000000}"/>
    <cellStyle name="60% - Accent4 9" xfId="63" xr:uid="{00000000-0005-0000-0000-000037000000}"/>
    <cellStyle name="60% - Accent5 10" xfId="64" xr:uid="{00000000-0005-0000-0000-000038000000}"/>
    <cellStyle name="60% - Accent5 11" xfId="65" xr:uid="{00000000-0005-0000-0000-000039000000}"/>
    <cellStyle name="60% - Accent5 12" xfId="66" xr:uid="{00000000-0005-0000-0000-00003A000000}"/>
    <cellStyle name="60% - Accent5 13" xfId="67" xr:uid="{00000000-0005-0000-0000-00003B000000}"/>
    <cellStyle name="60% - Accent5 14" xfId="68" xr:uid="{00000000-0005-0000-0000-00003C000000}"/>
    <cellStyle name="60% - Accent5 15" xfId="69" xr:uid="{00000000-0005-0000-0000-00003D000000}"/>
    <cellStyle name="60% - Accent5 2" xfId="70" xr:uid="{00000000-0005-0000-0000-00003E000000}"/>
    <cellStyle name="60% - Accent5 3" xfId="71" xr:uid="{00000000-0005-0000-0000-00003F000000}"/>
    <cellStyle name="60% - Accent5 4" xfId="72" xr:uid="{00000000-0005-0000-0000-000040000000}"/>
    <cellStyle name="60% - Accent5 5" xfId="73" xr:uid="{00000000-0005-0000-0000-000041000000}"/>
    <cellStyle name="60% - Accent5 6" xfId="74" xr:uid="{00000000-0005-0000-0000-000042000000}"/>
    <cellStyle name="60% - Accent5 7" xfId="75" xr:uid="{00000000-0005-0000-0000-000043000000}"/>
    <cellStyle name="60% - Accent5 8" xfId="76" xr:uid="{00000000-0005-0000-0000-000044000000}"/>
    <cellStyle name="60% - Accent5 9" xfId="77" xr:uid="{00000000-0005-0000-0000-000045000000}"/>
    <cellStyle name="60% - Accent6 10" xfId="78" xr:uid="{00000000-0005-0000-0000-000046000000}"/>
    <cellStyle name="60% - Accent6 11" xfId="79" xr:uid="{00000000-0005-0000-0000-000047000000}"/>
    <cellStyle name="60% - Accent6 12" xfId="80" xr:uid="{00000000-0005-0000-0000-000048000000}"/>
    <cellStyle name="60% - Accent6 13" xfId="81" xr:uid="{00000000-0005-0000-0000-000049000000}"/>
    <cellStyle name="60% - Accent6 14" xfId="82" xr:uid="{00000000-0005-0000-0000-00004A000000}"/>
    <cellStyle name="60% - Accent6 15" xfId="83" xr:uid="{00000000-0005-0000-0000-00004B000000}"/>
    <cellStyle name="60% - Accent6 2" xfId="84" xr:uid="{00000000-0005-0000-0000-00004C000000}"/>
    <cellStyle name="60% - Accent6 3" xfId="85" xr:uid="{00000000-0005-0000-0000-00004D000000}"/>
    <cellStyle name="60% - Accent6 4" xfId="86" xr:uid="{00000000-0005-0000-0000-00004E000000}"/>
    <cellStyle name="60% - Accent6 5" xfId="87" xr:uid="{00000000-0005-0000-0000-00004F000000}"/>
    <cellStyle name="60% - Accent6 6" xfId="88" xr:uid="{00000000-0005-0000-0000-000050000000}"/>
    <cellStyle name="60% - Accent6 7" xfId="89" xr:uid="{00000000-0005-0000-0000-000051000000}"/>
    <cellStyle name="60% - Accent6 8" xfId="90" xr:uid="{00000000-0005-0000-0000-000052000000}"/>
    <cellStyle name="60% - Accent6 9" xfId="91" xr:uid="{00000000-0005-0000-0000-000053000000}"/>
    <cellStyle name="Comma" xfId="3" builtinId="3"/>
    <cellStyle name="Comma 2" xfId="4" xr:uid="{00000000-0005-0000-0000-000001000000}"/>
    <cellStyle name="Comma 2 2" xfId="93" xr:uid="{00000000-0005-0000-0000-000056000000}"/>
    <cellStyle name="Comma 2 2 2" xfId="94" xr:uid="{00000000-0005-0000-0000-000057000000}"/>
    <cellStyle name="Comma 2 2 2 2" xfId="95" xr:uid="{00000000-0005-0000-0000-000058000000}"/>
    <cellStyle name="Comma 2 2 2 2 2" xfId="96" xr:uid="{00000000-0005-0000-0000-000059000000}"/>
    <cellStyle name="Comma 2 2 2 3" xfId="97" xr:uid="{00000000-0005-0000-0000-00005A000000}"/>
    <cellStyle name="Comma 2 2 2 3 2" xfId="98" xr:uid="{00000000-0005-0000-0000-00005B000000}"/>
    <cellStyle name="Comma 2 2 2 4" xfId="99" xr:uid="{00000000-0005-0000-0000-00005C000000}"/>
    <cellStyle name="Comma 2 2 2 4 2" xfId="100" xr:uid="{00000000-0005-0000-0000-00005D000000}"/>
    <cellStyle name="Comma 2 2 2 5" xfId="101" xr:uid="{00000000-0005-0000-0000-00005E000000}"/>
    <cellStyle name="Comma 2 2 3" xfId="102" xr:uid="{00000000-0005-0000-0000-00005F000000}"/>
    <cellStyle name="Comma 2 2 3 2" xfId="103" xr:uid="{00000000-0005-0000-0000-000060000000}"/>
    <cellStyle name="Comma 2 2 4" xfId="104" xr:uid="{00000000-0005-0000-0000-000061000000}"/>
    <cellStyle name="Comma 2 2 4 2" xfId="105" xr:uid="{00000000-0005-0000-0000-000062000000}"/>
    <cellStyle name="Comma 2 2 5" xfId="106" xr:uid="{00000000-0005-0000-0000-000063000000}"/>
    <cellStyle name="Comma 2 2 5 2" xfId="107" xr:uid="{00000000-0005-0000-0000-000064000000}"/>
    <cellStyle name="Comma 2 2 6" xfId="108" xr:uid="{00000000-0005-0000-0000-000065000000}"/>
    <cellStyle name="Comma 2 3" xfId="109" xr:uid="{00000000-0005-0000-0000-000066000000}"/>
    <cellStyle name="Comma 2 3 2" xfId="110" xr:uid="{00000000-0005-0000-0000-000067000000}"/>
    <cellStyle name="Comma 2 3 2 2" xfId="111" xr:uid="{00000000-0005-0000-0000-000068000000}"/>
    <cellStyle name="Comma 2 3 3" xfId="112" xr:uid="{00000000-0005-0000-0000-000069000000}"/>
    <cellStyle name="Comma 2 3 3 2" xfId="113" xr:uid="{00000000-0005-0000-0000-00006A000000}"/>
    <cellStyle name="Comma 2 3 4" xfId="114" xr:uid="{00000000-0005-0000-0000-00006B000000}"/>
    <cellStyle name="Comma 2 3 4 2" xfId="115" xr:uid="{00000000-0005-0000-0000-00006C000000}"/>
    <cellStyle name="Comma 2 3 5" xfId="116" xr:uid="{00000000-0005-0000-0000-00006D000000}"/>
    <cellStyle name="Comma 2 4" xfId="117" xr:uid="{00000000-0005-0000-0000-00006E000000}"/>
    <cellStyle name="Comma 2 4 2" xfId="118" xr:uid="{00000000-0005-0000-0000-00006F000000}"/>
    <cellStyle name="Comma 2 4 2 2" xfId="119" xr:uid="{00000000-0005-0000-0000-000070000000}"/>
    <cellStyle name="Comma 2 4 3" xfId="120" xr:uid="{00000000-0005-0000-0000-000071000000}"/>
    <cellStyle name="Comma 2 4 3 2" xfId="121" xr:uid="{00000000-0005-0000-0000-000072000000}"/>
    <cellStyle name="Comma 2 4 4" xfId="122" xr:uid="{00000000-0005-0000-0000-000073000000}"/>
    <cellStyle name="Comma 2 4 4 2" xfId="123" xr:uid="{00000000-0005-0000-0000-000074000000}"/>
    <cellStyle name="Comma 2 4 5" xfId="124" xr:uid="{00000000-0005-0000-0000-000075000000}"/>
    <cellStyle name="Comma 2 5" xfId="125" xr:uid="{00000000-0005-0000-0000-000076000000}"/>
    <cellStyle name="Comma 2 5 2" xfId="126" xr:uid="{00000000-0005-0000-0000-000077000000}"/>
    <cellStyle name="Comma 2 6" xfId="127" xr:uid="{00000000-0005-0000-0000-000078000000}"/>
    <cellStyle name="Comma 2 6 2" xfId="128" xr:uid="{00000000-0005-0000-0000-000079000000}"/>
    <cellStyle name="Comma 2 7" xfId="129" xr:uid="{00000000-0005-0000-0000-00007A000000}"/>
    <cellStyle name="Comma 2 7 2" xfId="130" xr:uid="{00000000-0005-0000-0000-00007B000000}"/>
    <cellStyle name="Comma 2 8" xfId="131" xr:uid="{00000000-0005-0000-0000-00007C000000}"/>
    <cellStyle name="Comma 2 9" xfId="92" xr:uid="{00000000-0005-0000-0000-000055000000}"/>
    <cellStyle name="Comma 3" xfId="132" xr:uid="{00000000-0005-0000-0000-00007D000000}"/>
    <cellStyle name="Comma 3 2" xfId="133" xr:uid="{00000000-0005-0000-0000-00007E000000}"/>
    <cellStyle name="Comma 3 2 2" xfId="134" xr:uid="{00000000-0005-0000-0000-00007F000000}"/>
    <cellStyle name="Comma 3 2 2 2" xfId="135" xr:uid="{00000000-0005-0000-0000-000080000000}"/>
    <cellStyle name="Comma 3 2 3" xfId="136" xr:uid="{00000000-0005-0000-0000-000081000000}"/>
    <cellStyle name="Comma 3 2 3 2" xfId="137" xr:uid="{00000000-0005-0000-0000-000082000000}"/>
    <cellStyle name="Comma 3 2 4" xfId="138" xr:uid="{00000000-0005-0000-0000-000083000000}"/>
    <cellStyle name="Comma 3 2 4 2" xfId="139" xr:uid="{00000000-0005-0000-0000-000084000000}"/>
    <cellStyle name="Comma 3 2 5" xfId="140" xr:uid="{00000000-0005-0000-0000-000085000000}"/>
    <cellStyle name="Comma 3 3" xfId="141" xr:uid="{00000000-0005-0000-0000-000086000000}"/>
    <cellStyle name="Comma 3 3 2" xfId="142" xr:uid="{00000000-0005-0000-0000-000087000000}"/>
    <cellStyle name="Comma 3 4" xfId="143" xr:uid="{00000000-0005-0000-0000-000088000000}"/>
    <cellStyle name="Comma 3 4 2" xfId="144" xr:uid="{00000000-0005-0000-0000-000089000000}"/>
    <cellStyle name="Comma 3 5" xfId="145" xr:uid="{00000000-0005-0000-0000-00008A000000}"/>
    <cellStyle name="Comma 3 5 2" xfId="146" xr:uid="{00000000-0005-0000-0000-00008B000000}"/>
    <cellStyle name="Comma 3 6" xfId="147" xr:uid="{00000000-0005-0000-0000-00008C000000}"/>
    <cellStyle name="Comma 4" xfId="7" xr:uid="{00000000-0005-0000-0000-000086000000}"/>
    <cellStyle name="Neutral 10" xfId="148" xr:uid="{00000000-0005-0000-0000-00008D000000}"/>
    <cellStyle name="Neutral 11" xfId="149" xr:uid="{00000000-0005-0000-0000-00008E000000}"/>
    <cellStyle name="Neutral 12" xfId="150" xr:uid="{00000000-0005-0000-0000-00008F000000}"/>
    <cellStyle name="Neutral 13" xfId="151" xr:uid="{00000000-0005-0000-0000-000090000000}"/>
    <cellStyle name="Neutral 14" xfId="152" xr:uid="{00000000-0005-0000-0000-000091000000}"/>
    <cellStyle name="Neutral 15" xfId="153" xr:uid="{00000000-0005-0000-0000-000092000000}"/>
    <cellStyle name="Neutral 2" xfId="154" xr:uid="{00000000-0005-0000-0000-000093000000}"/>
    <cellStyle name="Neutral 3" xfId="155" xr:uid="{00000000-0005-0000-0000-000094000000}"/>
    <cellStyle name="Neutral 4" xfId="156" xr:uid="{00000000-0005-0000-0000-000095000000}"/>
    <cellStyle name="Neutral 5" xfId="157" xr:uid="{00000000-0005-0000-0000-000096000000}"/>
    <cellStyle name="Neutral 6" xfId="158" xr:uid="{00000000-0005-0000-0000-000097000000}"/>
    <cellStyle name="Neutral 7" xfId="159" xr:uid="{00000000-0005-0000-0000-000098000000}"/>
    <cellStyle name="Neutral 8" xfId="160" xr:uid="{00000000-0005-0000-0000-000099000000}"/>
    <cellStyle name="Neutral 9" xfId="161" xr:uid="{00000000-0005-0000-0000-00009A000000}"/>
    <cellStyle name="Normal" xfId="0" builtinId="0"/>
    <cellStyle name="Normal 2" xfId="2" xr:uid="{00000000-0005-0000-0000-000004000000}"/>
    <cellStyle name="Normal 3" xfId="1" xr:uid="{00000000-0005-0000-0000-000005000000}"/>
    <cellStyle name="Normal 4" xfId="6" xr:uid="{00000000-0005-0000-0000-0000CD000000}"/>
    <cellStyle name="Percent" xfId="5" builtinId="5"/>
    <cellStyle name="Title 10" xfId="162" xr:uid="{00000000-0005-0000-0000-00009D000000}"/>
    <cellStyle name="Title 11" xfId="163" xr:uid="{00000000-0005-0000-0000-00009E000000}"/>
    <cellStyle name="Title 12" xfId="164" xr:uid="{00000000-0005-0000-0000-00009F000000}"/>
    <cellStyle name="Title 13" xfId="165" xr:uid="{00000000-0005-0000-0000-0000A0000000}"/>
    <cellStyle name="Title 14" xfId="166" xr:uid="{00000000-0005-0000-0000-0000A1000000}"/>
    <cellStyle name="Title 15" xfId="167" xr:uid="{00000000-0005-0000-0000-0000A2000000}"/>
    <cellStyle name="Title 2" xfId="168" xr:uid="{00000000-0005-0000-0000-0000A3000000}"/>
    <cellStyle name="Title 3" xfId="169" xr:uid="{00000000-0005-0000-0000-0000A4000000}"/>
    <cellStyle name="Title 4" xfId="170" xr:uid="{00000000-0005-0000-0000-0000A5000000}"/>
    <cellStyle name="Title 5" xfId="171" xr:uid="{00000000-0005-0000-0000-0000A6000000}"/>
    <cellStyle name="Title 6" xfId="172" xr:uid="{00000000-0005-0000-0000-0000A7000000}"/>
    <cellStyle name="Title 7" xfId="173" xr:uid="{00000000-0005-0000-0000-0000A8000000}"/>
    <cellStyle name="Title 8" xfId="174" xr:uid="{00000000-0005-0000-0000-0000A9000000}"/>
    <cellStyle name="Title 9" xfId="175" xr:uid="{00000000-0005-0000-0000-0000AA000000}"/>
  </cellStyles>
  <dxfs count="0"/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colors>
    <mruColors>
      <color rgb="FFFF33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028DFE-AD16-466F-8145-D7C6A5371AD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C9DE1B4-39CD-4430-91C3-020E9E1D60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CB617-75BB-45DD-9477-06B691E7D951}"/>
            </a:ext>
          </a:extLst>
        </xdr:cNvPr>
        <xdr:cNvSpPr txBox="1"/>
      </xdr:nvSpPr>
      <xdr:spPr>
        <a:xfrm>
          <a:off x="257175" y="79057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1A9DE9-998A-4AE3-A44A-1ABCCD64467C}"/>
            </a:ext>
          </a:extLst>
        </xdr:cNvPr>
        <xdr:cNvSpPr txBox="1"/>
      </xdr:nvSpPr>
      <xdr:spPr>
        <a:xfrm>
          <a:off x="4400550" y="447676"/>
          <a:ext cx="2686050" cy="333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C41AB4-6AD0-419C-BF60-D1C7B347A3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86B212-90A1-4889-AF50-DA9099F7C04C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57118E6-1D2E-4D23-9BAA-3FB4B2FF2FC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EA2C26-98D9-4575-A6C3-5BDB0A2D3E5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7B41935-3D0F-493A-9E6A-6EEB3768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C11506-DC37-4DAC-9AC0-05FA9414EF5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6A9D022-69D9-4E44-9EA4-E94D7D15AA56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BE556E3-8294-452A-8B58-7962BB0FBDA5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6E053E1-8E13-41E2-9B40-22EB0971A8C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B0FEC5-4894-4631-8D03-498CCFCFB0A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3288710-B59C-4A2E-8942-892EBB84226E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9BAA63E-F7E1-4574-9EE0-C0C4CD1E6F2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84FBD9-2E8D-44A4-B141-1B61BBEA353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0CC701-155E-4BE5-A5DE-40FA26193E4C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5ABC9B-1714-47B0-9230-EE6F790FD75D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5D0932-26F3-494A-9DF8-2B6E3FD452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B21EB7-E124-4D63-8311-EEE97E2C7389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82C3FC-CFEF-42F3-B219-F652446D91F2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AE1A2B5-6BFA-4453-BA71-BF1D445E9FC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10CB205-E6BB-42E6-B082-18349E36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ACB2C2D-9644-4718-9ACC-10E59F2CA410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BADE57-8909-4BFE-B5A8-C1C00E38C9A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3685ADB-EB50-4742-992D-B25A34095849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1E8029B-6C11-4CDE-930D-F6DBB9B8BB1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ED7094A-6E20-43FA-8569-F76C6506F18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480653-B527-4388-8D2C-138FC8F152C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81AD27-080D-4B06-AB49-6A14B525B245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69A467-7E77-4ED5-B5EF-22C206394A6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26AF3B-9CF3-478C-8114-F589480D22AE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6F134-F666-4BB5-9F04-A50DE04317A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EFA4A-7EAA-4B6D-9F00-D356149DAF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ABBE3C5-C8A7-43EA-88AA-2504F9526B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45D732-5957-40C6-8876-95FBEF94DB2F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E70021-2DB5-4970-BDFF-54AE714EE94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C67FF547-BC68-4CD8-9D87-FE193AF6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872946-9E8A-468C-B796-EB177525ACE9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30668C4-9CF3-42B8-ACDA-AC5A272CE88C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4920804-74A5-4E96-A479-F375DE76AE6C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6B1DA6D-3C4B-451F-A6EB-BEB4D036E7D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97AABD2-3CE6-43F4-8F95-85953FCB703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C0BF959-DE52-4854-9BEB-2042358AAD5F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6D7360-640B-4357-8669-B6661FB7D9F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C60A21-FD64-4071-A898-763F58A3197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45301-6C47-414F-B1A4-C76F32AB2014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E76388-E2B4-4757-B8AA-2205FACD2335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1DC674-9B9A-4155-8014-DA244659EAA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4130EF-D57C-42F9-86BE-8F2B30925DE2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F815D9-E56B-43FE-ABA0-B959D1B30AA0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B4A9B1-3C21-4B85-B436-FB2E9C564DB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02B87D72-50BA-44DE-B372-B8C0DCB1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841E1EB-59CD-4FE3-A5A7-6473B2F953B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D19085C-9AA1-44FB-82CB-B13811A2AAF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7CFEBD-84EF-4B3F-95B3-62CB6AAB99C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8051E41-6DAA-418E-B8A8-C25E297C0B6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94E6E2E-158B-438B-BFA4-2F387FF1195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ED12D9B-C068-4733-9AA5-31CACC274277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C209F8-E1ED-450C-B038-3C8218FEEF0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0625BF-D606-4A4A-9FD7-8EFB376B0D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EE3E7-9341-4CBA-9338-3F757D89CF57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E821A1-E8D6-47BB-80BF-2A497060335E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3BD5DE8-3840-4CD1-AA8E-8C5E78A216A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D53CBC-09AA-4BFF-9632-E53885F9F66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AAF1D0-F443-4DF5-9381-3AE15A6A9B36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A01C17-A12B-4045-ABF9-FF4C437B669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EE43879-2F10-4C51-AE12-21FE32A8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CC2657F-3B84-4723-B476-69E2C4DCEA34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5EBFB54-37D3-44D3-B3CF-57A15338817D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2D87B5-6E4A-4382-9C07-124BC5B4E0D8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0D86BA-CE04-470F-83A2-660CD56A829E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165F969-BF6A-4F17-BF67-7AB235F5C2B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BCB7CF-E519-4B09-94FA-76097B8FED4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CA841F-DE6A-49BF-AC82-347733F9C90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1D6A30-6CA8-4120-8D7C-245A738D1F1B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ABD4F2-D4CD-4FAA-A019-9226115BF31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769EEF-C95A-44E7-8341-5AB505BC2D2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217D7A-6A94-45AF-A05F-2406163CBC91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D3F3E7-4600-4585-B1D8-DFA657DDFCED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45A7F3-4E7A-4813-AD74-11ED1D297FF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EF0A88B0-9669-47E0-9DD2-BA133A22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6878D3-3774-492D-BFA0-EB22EE0C8278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4FC3357-FAB2-4F08-936F-C3FDA2992D7B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1F084F0-69F7-4D77-8FF6-D457DF5582BB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9F21C65-B421-4333-970A-163B5A4D25A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127D7DE-C6D4-4FA4-AF8B-806F27379A0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38F32CD-553C-4ACD-95D6-9FE96164A428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50D47D-4DFB-41A9-8C7A-2B72025A365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78CE1C-1002-427A-A794-886CD5E04A82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9F1878-78F9-485A-9EBB-1316043837B1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55C51D-1DE8-42A8-B2E0-975F6C462CA2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8FAD12-360C-46A3-B824-9ADC5B0CFAA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B0768E0-A83B-4F22-9358-05BD3FFBD0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BB1A6-4B0A-4A44-B21C-4A4BBC083AD4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F8FB1E-CACB-4463-B1EE-F051448A6D5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45C03ACC-637D-4DA3-A2F5-FE9659AD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5C8917-CC23-4535-AFBC-A69BCD565AEE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BFF9D85-7EAC-4852-A8E5-705264B7E1D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B6C5463-A101-46CA-B813-3DF81C6E25BF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1412E1-B532-4EB6-B00C-67573064D38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2CAB4C-B4FB-410E-8F5A-E20B04DD5CF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D928F0F-1B0E-4BF8-BE6F-7BEAE191D1F4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AC732A-7606-4BA6-9451-F898E7B6860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4180C9-0730-46A5-A7B7-3A35F3D5E51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030DAA-7996-482C-82AB-0AB6194CACA2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B8A695-B42F-44A8-A2CE-B6276D4A3C27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0F8E2-E382-4D4C-B52D-AA35660B7F7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9BCC789-887B-465D-BE43-97340E5CFEC7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238EC7-3E38-4065-9342-1CD4777733D5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178C30-70CB-4E89-806E-CC52F9B737C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BAD59C0-9A0F-4369-910B-2616D34E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1BBDB30-D3FF-4B3E-B47C-000CF240A7E1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B274F1-7D1F-484F-94E8-8DE156D22385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7431488-9B2E-4C4B-A2BE-145AB34C779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B4F5FD-2047-454F-AB40-E36D8A863F34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01E7AF-2CBA-4B36-9032-F4248932CD0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A4BF359-F828-428A-A2E4-A52C07B57C99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3681DA-A622-455C-8A04-7132CF63D2E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318FF9-5514-4382-BE62-513033F9FAB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9F7305-75CF-439D-B71A-949E461F219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29A6DB5-CAB5-4DDE-AEE2-A2B19752F5D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414DD77-0E56-4CFD-94CC-75A7CA759A9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BB5D8E-A2D2-4672-B444-B9976A84064B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222B75-E6F2-44A5-9913-6D55DA92563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971BDB-963A-4240-8D43-0EA0ED0450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83B10D5-E8E4-471A-88A4-77817E8BD91A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4B0AF4-FBAC-4728-92F8-1E6BD7D4298C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1937F95-BE8F-4097-8969-14FA7CFA580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1" name="Picture 10" descr="http://www.lakecement.com/images/logo.jpg">
          <a:extLst>
            <a:ext uri="{FF2B5EF4-FFF2-40B4-BE49-F238E27FC236}">
              <a16:creationId xmlns:a16="http://schemas.microsoft.com/office/drawing/2014/main" id="{C1B1E9D3-CF9D-4AA5-9F65-276AED8D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F2EA18C-CEA8-42C7-A929-DCC6D1C03F27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2B08E74-803C-4B14-89BA-149FE7CDA6AE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E137BE8-885C-4C36-9583-454C5E8A8F4F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C48FF87-27D1-485A-8A0A-2C7887CB804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D12C229-0E0F-4D78-836E-B4691FDEE73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9878101-77D5-4E54-8586-76C1B1A65C24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58C203-9566-4622-99E5-EFD90FE6266E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3D92F8-9420-4A31-88EE-7B6C2E12CE4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4800B7-FD69-42DC-B68C-1C92A91CB73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6D1948A-AF55-4606-9D53-E008CB1F9F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34F2E8-9721-42DC-9496-E5231BEF75F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79A18-F057-45A5-ACAE-C9DFC43BB2E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9DF621-C7F0-4A55-9E28-083F74632C94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C7048C9-6EDB-4514-AE6D-9D17C2F8F14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94044CD-119D-4810-A20F-9BE8E2C0389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34EFDE-8267-4EA2-9B6F-4F88646A753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2550E9C-4179-47B4-95F7-96449648F34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0" name="Picture 10" descr="http://www.lakecement.com/images/logo.jpg">
          <a:extLst>
            <a:ext uri="{FF2B5EF4-FFF2-40B4-BE49-F238E27FC236}">
              <a16:creationId xmlns:a16="http://schemas.microsoft.com/office/drawing/2014/main" id="{1D044212-2EB8-4DED-8B27-68BBF0BDA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88A249A-B786-4F93-BC79-8FBFF4B9E6C9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99EFDF9-A777-4A52-A099-AB394F118C21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E163A8-00C5-4E1E-9648-366BDC65096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B20CC69-99ED-4991-B2E9-B8A94BD727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D263627-04F3-4733-9B74-42E8E7DB7CD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3DF13F1-C174-4D01-9CFB-00F5CE602799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F2217A-2A47-4947-8BFD-544DE8DD4F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F7EFC0-5B3D-42C1-8193-2EFE0946AF3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550201F-4556-42C2-A70E-F6788E5FB26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3FB82F9-29C9-4CF7-AB26-B6B6285BCA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CC95D3-6507-48EA-9F54-05CCF3BC690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74402F1-B137-427A-A1F4-AC4E886CD8D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21A5679-E92B-4301-83EB-F7583BFB33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979800-DE3A-4DBA-95B8-B390F519D6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D9A1866-5685-42C9-80D4-49B6FA685CCF}"/>
            </a:ext>
          </a:extLst>
        </xdr:cNvPr>
        <xdr:cNvSpPr txBox="1"/>
      </xdr:nvSpPr>
      <xdr:spPr>
        <a:xfrm>
          <a:off x="4400550" y="447676"/>
          <a:ext cx="28384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4DC033C-BC77-42C8-BC2B-31B0871ACF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8367532-CFCD-4A40-ADEF-DDB9C114238F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BA17EAE-0313-4A89-B566-7BC2FAF242AB}"/>
            </a:ext>
          </a:extLst>
        </xdr:cNvPr>
        <xdr:cNvSpPr txBox="1"/>
      </xdr:nvSpPr>
      <xdr:spPr>
        <a:xfrm>
          <a:off x="4400550" y="533400"/>
          <a:ext cx="28384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119D77-FF78-4810-A9A4-8A0A06948F3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3" name="Picture 10" descr="http://www.lakecement.com/images/logo.jpg">
          <a:extLst>
            <a:ext uri="{FF2B5EF4-FFF2-40B4-BE49-F238E27FC236}">
              <a16:creationId xmlns:a16="http://schemas.microsoft.com/office/drawing/2014/main" id="{B830BE69-0B26-40D0-98FA-914A1FFF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03BCDD6-98B4-4797-BCAC-84353CBCDAD5}"/>
            </a:ext>
          </a:extLst>
        </xdr:cNvPr>
        <xdr:cNvSpPr/>
      </xdr:nvSpPr>
      <xdr:spPr>
        <a:xfrm>
          <a:off x="5256742" y="304376"/>
          <a:ext cx="29413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5B1A124-76A8-4EED-97DF-9F579914E94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DABF4E-9C07-4088-B914-F90448075D99}"/>
            </a:ext>
          </a:extLst>
        </xdr:cNvPr>
        <xdr:cNvSpPr/>
      </xdr:nvSpPr>
      <xdr:spPr>
        <a:xfrm>
          <a:off x="78295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7BF0284-3C19-4494-9EEE-F4C8C2CF528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6EC284-BDB9-4FE1-B2DB-8D16A8DE8502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56D69FC-BC5D-4106-B1D6-71DA96C26A63}"/>
            </a:ext>
          </a:extLst>
        </xdr:cNvPr>
        <xdr:cNvCxnSpPr/>
      </xdr:nvCxnSpPr>
      <xdr:spPr>
        <a:xfrm>
          <a:off x="90773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AADDF53-3007-4413-AEDB-0CA4BCD220F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8709BA-1F18-479F-B298-F63B9FD4E84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3E5134-706A-4757-9525-1800FF4888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D7160A-C953-45CC-BAFF-4EF6E8A51D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28B9157-3965-4D39-B888-8B838EB3DBC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A46329E-26EC-401E-BCE3-5BBA0AEB1571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1629FC6-E82F-4EAA-9528-DE83805355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E9B858-B2E7-4ED5-8B3C-81BB7EB955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42EB5F3-1CAF-404D-BEC7-D33DD696357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98F2B78-D175-4E86-B6C5-5086D0E32E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3A3B30-C3AE-4701-B436-18F49407CC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B0F16D-D657-41A2-8723-6DE4D6B5B8AA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593DB5-2B24-45AF-B92D-D86F1827A7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BACD945-E98F-46BA-A74A-5D9B9B8E3B17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1716AA-37BA-4D51-AB75-38E835FB874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B1D263-C5E0-49E8-BE73-7D38C04510A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1056</xdr:rowOff>
    </xdr:to>
    <xdr:pic>
      <xdr:nvPicPr>
        <xdr:cNvPr id="25" name="Picture 10" descr="http://www.lakecement.com/images/logo.jpg">
          <a:extLst>
            <a:ext uri="{FF2B5EF4-FFF2-40B4-BE49-F238E27FC236}">
              <a16:creationId xmlns:a16="http://schemas.microsoft.com/office/drawing/2014/main" id="{6BDFB32B-9CB9-4E46-B022-6F9CA2A0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C187B9A-B0DA-4109-B9BD-7391E187F8FD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06728BD-AAD0-47F9-825D-E8FF92539D45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483C40F-D7E1-4DB2-BBE1-3AB9C3425507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C446541-153E-460D-BA69-5F348E92EEC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FF28334-5F1A-4200-98C9-7011DA966F7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768D400-3A6A-4E60-AA5E-1E121401126A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4599DB-0C76-4899-ABD0-32E00C9318E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5AFAE86-6EBC-44F6-9144-F23D686D0D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3C3C2B-BDDE-414B-8978-8AA3E26C3CB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B12A688-1379-4C15-A323-299F8F17479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81A840A-20CC-4089-BC92-8FB72DC2202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812E78-20C4-4611-BAEE-9690AFA699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59B9903-8C62-4BAD-9D65-DD4C43416F00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C74AB0A-FD4B-4E9B-92DE-27704547D4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E005B4F-8BAF-4159-A938-100C81B62E72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6FC80AB-2ABA-4786-86D6-C28160608F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E2704B-BEB8-4A05-94FF-3C005ADCB6C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86A37EF-00FD-475C-BF16-5B95E75CDA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3268458-F7AE-4A53-9B62-2DF2E680CC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11A1FE-0A91-40BF-85BB-E978DB6BD67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BC3FC67-A427-47C7-A051-F15CAC5633AB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BF95C5-897A-4A76-9807-DADEA960F76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272A2F6-7C68-41B8-B0F4-D326E751A76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BBEB474-E70D-4F51-91AD-E037401AF7BB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DA2743D-0630-4AD0-ABC5-F11AF0E35C1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1056</xdr:rowOff>
    </xdr:to>
    <xdr:pic>
      <xdr:nvPicPr>
        <xdr:cNvPr id="28" name="Picture 10" descr="http://www.lakecement.com/images/logo.jpg">
          <a:extLst>
            <a:ext uri="{FF2B5EF4-FFF2-40B4-BE49-F238E27FC236}">
              <a16:creationId xmlns:a16="http://schemas.microsoft.com/office/drawing/2014/main" id="{AB822A68-76AD-42A8-90A9-0F5B9E03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3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DF49C92-11C7-4116-AC80-742C0248CCCC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38BCC37-2355-4F2A-9209-69C4E6C18FAD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D6DE677-9CD4-4904-9A3E-0ADD03B738E2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A9192C2-D149-4288-B4A4-BDC9B350C95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A18D918-E640-40B2-9032-909F5682AE8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A7A018A-618F-4496-A4E9-C8485EB1F001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43581F-0492-495F-B872-8D06E5DD7EC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6876E0A-5CE8-4E8B-94EC-122BFD4EACC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3AEDB6-FFF4-4B43-8208-3DC5E7C4B9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C51BA0-1811-478B-9607-F00315F2133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6F6BC56-DB4E-4AE2-B7BE-1B2EE4F376A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CC43CCD-899E-48C0-B242-DE90AB64AD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A050B3A-508F-4EC4-BC1B-F7DBDE2486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037CBD8-73FD-4D05-9706-8C5562B93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A23CDF8-1FF7-40C0-BC27-73083A219D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FAF09C-ECD1-4322-99A0-5DA7D8B37A6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4AD076-640D-4A09-92DE-EB4F3C1A65C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C1BE94-0AD7-4FEC-AA9D-E55B12F3146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CDC6C64-67B3-49A4-B52A-8AA235F54D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3E6861-CF83-444A-907B-43239ED7F1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ADE614C-4717-48DF-8296-3C2588DD146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9E49BE7-8CB8-4394-9588-ADBCF83D1F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3A69E9-7011-490A-AD47-45AF6E3CD74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0748A69-C186-4D11-868A-886B2E7A54D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8E13BE-0830-477A-8B04-769BA8811CB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D79F76C-DED9-4C63-A28F-CAAD63A0EAB9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B50F398-C65E-44C4-A29A-8F97F28C0F3E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1D68779-8762-4D01-AA49-F620A62329C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5289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CC5A3C5D-9C37-4578-998D-324B8458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14781CD-1769-43F4-9B24-CE98FF9E11A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64E0F49-A282-41F4-9C1B-0D3413FC3500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A59A0CB-83A6-4FB8-878F-D440CFD611A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0DAF6AA-E13D-4382-8B2A-26215330F75F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113C858-7122-4EE2-8662-E192B2923D1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210BC92-EBB6-4A2D-BA34-B940676ADEBB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E06502-9742-4680-9A70-78AC1BCEF83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A60F3D9-ABD4-4AEE-8C75-56156AC717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84B3A3E-D695-4E88-8420-2EEFB267FE9C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32D6852-5134-44FD-88BD-8EAF9EEBEE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257352-0305-4271-8B07-BD19A7AF4B0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4C05CA4-F059-4823-8EAA-07597B5DE27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6B7B2C9-04C1-4396-92BF-015BDA5924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1D607B0-3274-4884-859D-D5953B9E86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3884EAF-BA70-44D9-9DBA-9885F029FCB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8297269-5D83-4B8E-B9E4-6AC4198B160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246A47-75A2-4950-8229-6EA1A5B284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2C517A3-3A5F-4D55-9EF7-C84B49B8EEA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D832EED-9C95-4EB4-BE26-552550F1E33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DEA829D-4908-4E76-9897-6017692E8A87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B41FC9D-9912-4687-92FF-F3FE8D7F73E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A3E587B-24E6-4413-B436-48BC312448D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7841916-D81F-4A90-A821-D7AA407A5B44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01B6191-FB54-475C-8337-FF4C880192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6560E0-5C6A-42CF-BED3-D6D19858053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E1945F-9B97-4F32-88E9-C79CD25C020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CCAA225-141F-4354-9873-9A68CAA464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AB8CB79-0E62-4C3C-9356-A9B3525A9118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8A7144-75B8-4627-9745-7CE397DA2B4E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DA5AB59-6965-4410-8B50-DAEB61BFA0A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37575478-B71B-4573-9536-4132893E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0212FA-C123-4D1A-BC9D-6BC37EA689B5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6100959-11C2-426D-B89B-5310109BDB4F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26C23FF-1EB1-42E2-90FA-9A89DBCF3698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F4C19AE-B65C-4039-AD0B-FC71E5F9DFCA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9C20B6A-0A68-43B6-A3BA-52C9B97D55C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500D957-7327-45E2-8391-15522FFEF74F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3C5796-38EB-490E-9DFF-5ADE9FE6A67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52A4500-0E89-40DE-9520-BDCDF9067E4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C13489-B244-4433-8CC8-E8B358E6A0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97148B1-73A7-4D7A-B68B-11ADE53FA9C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830CBCD-5B5A-4E5A-B851-2990F48BA5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940DA3-F4C5-444E-830C-FB92847CF5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379E03F-559C-4538-8C2E-55BA4B3A75F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1F6ED39-61A5-4FEA-9FDA-24D77B0C24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908344-00A8-4AA3-A890-308E05D0A4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DA373D3-1368-4673-A573-057FE5EC8EF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1DD60ED-EC7F-46C0-BFEC-03BBC8F3B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430B1D-4756-47AC-A909-DB5799EF980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2B3EEC5-EA0B-436D-BE70-39B6B8ADFC5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F5DA658-E2A0-403E-BC9E-3F19AE3BAD4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1328716-BEDE-42AB-B816-B3CD9DAE2FE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9C1E17E-0FA4-4382-8858-2D54239E492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E381D0-975A-4D12-BCA6-1F5F9EEA143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BC0D43-3A11-4380-AC24-3732B7F9B58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7C07809-B041-49B7-957F-B72A7924A5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D83CC96-7133-4B33-96B8-7B4972DEB7D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10253B-1D15-4196-8C06-CECE17583ECD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BF5F82-6FB6-433D-8367-B34BC08CAF6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AEB44A4-C201-40FA-8FC1-770FA9E85EC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2C4281-5E9D-4036-8BD7-22979E892A23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E31EE2E-2D2D-4651-B42A-E8FC2226B01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51A53C6B-EFCB-4A3F-8A27-E9811B00C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DB8971D-2BCB-490B-9162-EAA6F2D9547A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67ACE5C-1A16-4059-8E4D-0C1ACE592007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1148F12-8FAC-466F-B302-D628D9132BF9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EFB2B6A-60BF-45AF-829C-BA95582691A1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1EB5C87-AC2B-4BE5-8CA3-D65FA5098C6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6E99AEB-AA34-4735-937C-1EB4DADFD02D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93E625-83AA-49E3-8F7E-21B6AF80E8D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951E9D-ACD6-4FD7-BA49-7E30DE3DAA2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660A0F-D8EF-4482-B97A-A24D3E76912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11D21A9-4A62-4EB0-907B-AA5F8A6EF41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1D02CD1-E747-4A1F-B9D6-735DA406C1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7E11CA-1B87-4028-B856-FC68C099FB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6B289AD-B8F4-4469-B239-4F7F567D7F8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5901A5D-377D-4A4B-A7AA-EFEEE17EA6B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0BDEC43-9728-43F0-B9A4-31E22CFCE33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E73A131-C7CC-4D59-9325-169A9110005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E836007-449F-4393-86C1-5E36027E0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2FB713-1520-4ABF-8D03-81E5022502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0619F7C-7127-4B72-9D70-EF631F8A0DB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5EB0EB-923E-4052-9293-7296620B8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2E4C002-FD11-4ED8-8E64-C41E7108C9A1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E1C8AD2-A4F6-4395-819D-F46EB2C622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C634E5-DF3C-4647-96E9-44076F847E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03D84BC-3C79-4B1F-94EC-5AA3EF042F2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93DEB44-04A2-4451-B704-723374DF9BE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71989-A4FD-4CE8-8683-F3EA4587C37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491BCD3-0A3F-431F-88F4-4349E1AC6A6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3C72194-4A51-4702-81FC-134D99A8D5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24CBF29-57AB-454B-B69B-EDBE5D897BCE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7A52825-E236-4412-A895-292B10F1337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2ADA058-5A9E-4ACC-8205-036658538E0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FCCE8471-5CC9-464E-966E-8352043A9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19002FB-E97F-4DA7-81B9-742285309D73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3B477AE-A0E0-4426-B09F-924323D85CC4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04EDC64-33CF-4637-BEDE-37D95E8EFA46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0182FCE-9EB4-40CA-8D56-BE8195C1A19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E40124A-5596-4B1E-95DA-ABA31C3B024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EFFCB2A-67CB-4990-A066-46AF1C17B856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C823C5-96C4-4B7B-A64D-953A639617A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A21AE3-DA27-400D-B8EB-339280E7EF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666FA19-94B1-4BB1-B737-2EC1391D438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1990B70-C765-4069-9AFA-46339E1A0F9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2F753D7-A157-4CB3-AC4D-D286471567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D6684C-A2A8-4C5C-81B0-09D08C7A9B7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8E7C6B6-BE8B-49ED-A23E-9AAA575D039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8C734F1-6B86-446F-8220-52F790E163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DD90FAF-F54F-4AEC-AE1E-C3029397B6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A0657F5-4AE1-4CF8-B722-6238C38FCA6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D9838B3-AD94-46BF-81B3-6D3C3D477E5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F8D762-2BAE-423E-9118-A64E4EB7939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B516DB6-7712-4A44-AC56-BE37FAAB083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EBD0DEA-DBC8-42DD-971D-E837CBA56A5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A13CE26-24D3-4D50-A5DA-DCCE5526AABE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ABB1CA-32F3-4132-BB0C-60D918168DA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9E873-0BBD-4E22-B369-BBFDEE34C8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573B10D-0994-4CF7-92DD-8DF192A2831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B0F2B9A-9B5C-4B45-8667-8875F1E660E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AC38F7-7373-45B9-A692-19D3D259B0E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BA5DB9-04F2-403A-98DA-DA9033F47502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9B7E1D-7580-4B57-88A6-727F4CBC09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79CA999-64BA-4B7B-8A5F-A1321E15C896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2F9288-6874-497F-9AEF-E589E82574A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3FFC52-163C-486F-A6A1-73DD686A38D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841DBA66-6A7C-4F1E-A4DD-CFC495AA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431E8D1-1DD8-45A2-8C51-9F7F3F12B8E1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932983-5755-494C-905B-FFB41D2EDA18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D716ECE-5EB1-435B-96EA-4BC2DEAF7A87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C007634-3122-4101-9639-1A2BF0FFB4F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0A6BEE9-D069-40FD-9FEF-F1B833E2618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23C94C6-5F69-4926-94C5-06D69F8E74DC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6C4444-DA97-4774-8BB8-383F694A9432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08882EC-0DB4-4ED1-A58D-63E652C66E9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7347F8-A003-4888-A3CF-51BDC9881CC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8AB616F-CBFD-409E-882F-3FAC66916F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96E40A-919C-41CC-8427-3B6EB2C718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14AEFA-5C23-47CC-8A81-99BCDC0B60F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3007564-C995-47BC-9DCD-732E642F2D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FE41CD9-89BA-440F-B686-D6EB6E5735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7C7275D-D971-4788-B4BD-76FAF03924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C525702-F094-4C66-9820-4DBD03225FE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655E980-8929-425A-9B8E-591205E278A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F5E5B9-4C46-4970-867D-124C8DC8AAB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AA4A215-2691-4CEC-B40E-E41FC5A6877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2266AE0-0E6C-40DE-89EE-DBA8A42006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D358384-5EA0-4175-BE61-7C465EDEEA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14F50A-CABF-4E69-A254-4A14F3EB0A0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CE554B2-82D9-42D9-9AB6-993BA2C7417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AE50069-E21E-408D-93B2-F9ECB7EEB11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165D389-8278-4047-A3BA-BC7A16012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702704-BD54-4C34-A121-1A3E77F389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451CA76-F7FE-4C75-A4EE-108E60A6310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07AF831-20E3-477A-A9E2-0200242FBF9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7B0EF3-9D63-40E5-951D-A715B41C921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8E30FEC-48DE-45C1-ADC0-44743440C42F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FECB70-253F-48C3-A05C-FFDB2E36220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54B4835-0DBC-4EAA-B039-D5FE958C67A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3A25C13-C778-4310-B644-D9FDA7F614AF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3666F7B-90A5-47A2-B9C5-63A532139657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7" name="Picture 10" descr="http://www.lakecement.com/images/logo.jpg">
          <a:extLst>
            <a:ext uri="{FF2B5EF4-FFF2-40B4-BE49-F238E27FC236}">
              <a16:creationId xmlns:a16="http://schemas.microsoft.com/office/drawing/2014/main" id="{E4A929F7-AFA4-438A-A3C4-906792609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2570C13-500D-4B44-A972-E2A71E10D055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23D9F94-4299-403B-BEA5-38B38AB4F46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F815ACC-DF6A-4B6F-8DAE-9C906FEB8FFD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5FBB887-0833-4EE2-A612-D2DBAC0BC2D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2D4C1C-6918-4B6A-BB62-C7386FEA1C0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0330E6F-C044-493A-8C82-A8D15824E2BF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8662F-71C5-4E5D-8B75-B9601DD61B1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8DD616-0926-45A0-818A-AA4B7D5FD70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9721DF8-2942-482B-BEBA-C57CDBF1C2D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61DCAD0-A7A7-461A-A4E1-3710767453A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665063A-3290-406C-B5C9-CD3515AB14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450BD39-C596-4DFC-ADD2-36BD05614B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AD4F33-D9FA-4635-A8A1-B8D38F153B7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E0BF048-D71A-4F05-AEE4-F2C8C414A0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2C9767-40A9-45EC-8403-95A2F56DF2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47BDE2D-02E1-47E7-AE67-48D85DD4F23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D449AEF-FE6A-4D8D-82E6-DEB20490C2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ACDEF84-C9EF-4E3A-881A-396EC8D85F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67FAAFF-3832-457E-928D-D9112334AC9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9F5C21A-0309-4E26-B5D9-6DEA6BDA88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309C15-5EC5-4887-A1E5-553DC120B3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918A079-2BA2-4BDA-87E5-674D1265B9D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7FE1BD-57BF-45BB-B153-72A706E0A2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93CDBCE-EE2A-45F4-AA0A-753CB9ED759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002CB2F-B0E2-47F4-A135-8A4DA20702B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A7F9F95-2363-47C8-B9BC-58DEF5673E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08D11C4-E280-48B3-A66A-2C7217AE087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3E39A62-7306-43DF-99C3-7370A1A5AB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42C7A09-4D95-4F53-99CA-F87432B900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7AFEB74-BB58-4458-9EE6-49C1931B8F9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2703CEE-AC15-4650-A659-1D1003E2ABD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1EB024-F2C6-4DCF-B6DE-4C28B0EF24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1C3B349-D7B3-49B8-BF5A-3984108C3647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638244-3E55-4046-99D8-9C0BBEE394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7B8977B-3735-4488-9E9F-FC96ED3C7D2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94932C-0942-408F-854C-353A23988B1B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7557E16-3C0E-4256-BC4F-D1AF5F3E030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1" name="Picture 10" descr="http://www.lakecement.com/images/logo.jpg">
          <a:extLst>
            <a:ext uri="{FF2B5EF4-FFF2-40B4-BE49-F238E27FC236}">
              <a16:creationId xmlns:a16="http://schemas.microsoft.com/office/drawing/2014/main" id="{13026D44-09F0-4C88-9B70-793DAC1B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D4CB5C-A21C-40D0-9DF5-0087C21BA60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A765C6-ACED-4B96-B99B-4F90F970D86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5845C1C-B168-4E7C-8ED6-95323597BD3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5EA02B9-DCE7-4208-A3C5-BA11E200AC0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D3D5702-5C08-4610-99EA-602B4C9DFF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DFF0A66-D9F1-485E-9635-8A0BC753A650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F2BCCF-DA15-476F-A14D-DB155102FD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38F904-A7B7-45ED-81F6-AB4B0764EB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400F85-83F2-41DC-81EF-3A0D1E921C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FCF9561-1D56-4D40-8F95-7E16E2BE2E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61868E0-61AF-4B9B-ADDF-7D89503A5AC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86ED876-830A-4C08-809F-69A74FB246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3ADC8D8-7CF2-4E15-ABD0-1EF51C8E166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6297569-9045-4BAF-9CF4-048CE9ACE3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49D914-A259-444C-8178-7960718394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8EDACDE-6EC1-4D9A-B326-822A03FB35A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BAC5036-9914-4F12-84F6-0329FEF8DF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6E7EB40-4F14-4669-9C56-1449064B2DD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9065C47-AD3A-4E0E-9A2C-557F2A86B1C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A158F41-2611-417D-8C02-2EE566A5BA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8397B3E-DFDF-4EBC-B26C-6FF958B1453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B2DD577-B82B-4C1E-B22C-8B26CC0C6E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60592EB-1AD7-4184-9F3D-028C542B20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BA10DD-9404-4735-B109-9D9DB286CF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F81B4A0-510C-4AAB-91D7-F3E00E2330B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7A57B5B-7183-4473-BC9F-073A7686B8D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F3C5650-8CB9-46A4-8ADD-971EB5F7C7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B210E6C-A0BD-4B5C-8DB3-6D40910AA6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A0B8745-9C33-44EB-A18D-1BB0B3EBC0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378D6ABC-1759-49D6-B86A-161412C431D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B6489CD-9BBB-4A52-93FA-438C9E62192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693CC8C-D77C-4120-9A9B-14A271D4095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C59DD49-7554-4740-A4D4-9F9B91CCC9D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3DE888-547D-4409-92AD-47408208FAB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CE57D19-3644-4449-9C68-888F5BD3029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5F05F79-0A0E-48C7-9F76-F28401DACD2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C19B1F-BD8B-4EE6-9DCD-FD126D7BA1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82AF632-6775-4063-911F-DF4368818E3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7D694CC-0DB8-4B65-8CC8-8935CBC820C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3DB9C44-1823-4FF9-94E0-F9219395C492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3" name="Picture 10" descr="http://www.lakecement.com/images/logo.jpg">
          <a:extLst>
            <a:ext uri="{FF2B5EF4-FFF2-40B4-BE49-F238E27FC236}">
              <a16:creationId xmlns:a16="http://schemas.microsoft.com/office/drawing/2014/main" id="{D103A8DD-2B26-4949-98C5-8DACD1FE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E614C0C-2B3E-418C-AD38-1FBC6839CDA6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5BAC3E3-CEEC-448E-BF2F-C5956AF094E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96445D4-9E9E-4303-8930-B0B7D83098D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91D3DBF-44AE-4558-8DDE-14C9A22282E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59C21DF-CB3F-4386-B7F9-5CB7BCFE16E7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1A929B7-E69A-4ED0-9CB9-6416465F6054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079E1A-70EA-4EB1-8F44-1D9256F5857A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C1BEC9-9C0D-43F8-AB73-759AF68B011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7F7C337-EEB2-4769-A122-3139F2F12DE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A6A99B5-B430-4071-837C-47D6E30C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23EB6C1-22CA-41D7-BFCF-28205C5A5BB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50CCE3-FB3A-4916-817B-98450C1C35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4C39CCB-8928-4F7E-A468-D333F2A9850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550D7E-49C9-4C9C-A9D8-3AE25FA954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FCCA2B-93A5-489B-9F2C-542019AC165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E81AD39-6456-46B3-B05D-916358E5F13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44FCC40-CBA0-4D23-8155-80BC2E160D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CE2AC3A-EE46-409B-8E75-E91B258C8F2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8B177C3-0136-4BEC-B334-8CCB4A4D963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43F7B99-9F86-49C9-A356-FF5D7E85C55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C7D312-1BAC-4D60-BEA3-697B7E7A02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0DEFF2D-1B4A-430C-BBBE-B6614FB2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83D686-FBAA-4A5F-8B65-B78C6546F35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4C1DDBC-3E94-4133-BC03-2F8EC53FF8A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A4847BB-207F-4EFF-BD07-D9E83269114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3747B32-7A45-4C72-8E75-154F231FD9A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710C280-A9FA-495A-9EB7-4BDA540AFF8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EE8C726-F7BF-4E37-808C-66F19E3C5D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D51B1C3-0398-4DC8-8BE1-D2CF88B3A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DEE318-72DD-4D11-91DC-E5782D7A39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DCDC10E-A3D2-41F8-90E8-D9CE8F389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7C18374-203A-43DF-9DAB-E3EBF0B7331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D2C0CE2-9B66-44BA-BF36-E1123D58003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3B66D90-59C7-4B32-B511-69C91E9F4C0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8ECD1D-427F-4726-B65E-AC22BDC358F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1784E60-F6DE-4421-8112-81972124D9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25A633F-578E-4C20-94CB-951CB175ED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DF17EF2-69DE-45ED-A65F-977E8B5E180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75B7F88-24B1-46DC-9DC6-603C6EB8F786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E0F704C-0D1C-436D-8316-82F8AECD5A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9A121BF-D072-4E03-B80A-ADE77D20C095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03ADF6-C302-4795-908B-2803AD1F6B7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6C9259E-C2C4-4B89-8D86-470D1D5379F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87003E4C-726A-4FC7-9EA7-14EF7D98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1AEF59F-33D9-4A53-B35A-2628415CBF53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D13888F-8F6E-4330-9F98-A8EF279E51ED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D0450C3-9C3F-4A39-8688-D9546701F21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F9C1378-1C06-4F72-B1F0-A08631692CE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0B18CD4-A859-4911-B962-020BEE61228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D4EB531-3109-4725-AE66-108576775738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65D2F-BAFF-4047-8BFE-E1D66716481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DF303D-8C55-4B20-A7CA-898F9338F5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29C21C-3FBE-4B02-AF8B-05A2BA84C4E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B79A68-13B2-4C2E-B44C-1458ABFC14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03D7B45-9C82-453E-A907-3BA7961449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0D38FA-FC1D-4378-94E5-97A40479E2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BBE642-9C97-466E-963A-3E02495836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5D2A481-0823-4DA3-B05F-1E527BC2B41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99F4AD-0005-42D1-B983-027411E47D1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F4318B-2BC7-49D3-A650-0A1A7EE64F7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E14B39-2960-47FC-8BDC-D09981280C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57606C-BD2A-4CF7-9FF4-535CE116615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29BDEF-16A4-43D5-AA12-A1D6396D451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67C4532-E201-4706-8956-E00550A265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9D01F78-83D8-4057-B1F3-A52F314993E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CB8F294-3CD9-4ADE-A537-E4C5BF53D5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A2FE4B0-076A-464C-9FF4-6CEC9C2FAF4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43F869-F9CE-4D62-8DDC-01B05CF1BF8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2F22E01-74B4-4311-B592-B9E3FDFF787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F356582-7DD9-4249-A058-211727269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F62F9A-0C6D-4790-AEBF-FFFEFFDE1AF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2227F0-FF2D-4B22-854C-3F8CBC63621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98547C0-4B57-4DFC-9C62-2DEE01396D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283318-337C-4C6C-9BEB-885A0A369A6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F2E35FB-5970-4203-8863-F740F1DE6D8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6062832-B25C-4F4B-9821-9CFF631CAEB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E194645-4481-4B1F-A02D-82FDB5DC477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41D3E7A-B97E-4662-A602-BE751DB083A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EEAE16A-4D6B-4478-AF95-F7E0B6318F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926126-3915-4AA0-8BF6-ABA536EE2F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1BCB08-CB20-4645-80B1-87ECF4EEB0F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C0D8BF9-2556-4B90-8E1F-90426B686DD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261792-DDCC-4349-90FB-AF4306F926C2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BCE1303-F11E-475B-8C0F-F9CDFB6F87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CE4A531-C00B-494C-B8D7-722AE224A1E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253504B-0E44-41A6-B459-B726A636425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C1973D5-790B-4506-89DB-2E3ABCCB6D3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7038640B-2F24-48F4-9395-E7521284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E114F36-4918-456B-A35C-409BF0293A2D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A0D034B-23D8-497D-AD16-66528EB244A6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03FF4FE-6E1D-4A5C-BC40-911490891BB8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2913AAC-B4FA-4C45-990E-B38A556CF63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61F20F0-7C35-4A04-906D-79AFE5FA742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F07E622-E215-4504-8657-E5EA558F9083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F1D103-8EAC-4422-816B-09CBFD15BAC6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7BEF3DF-158A-423F-B25E-57EEED0A7F8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C2362D-4312-4C54-A2BF-2DB81FA1D0C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53C6381-C91D-4867-87B2-C92B35EFA6A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4C519A5-949A-4F88-9269-18618ABC50C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A853F8-574F-4CAB-9F0B-BE15DC76BE5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C96F445-EA19-4F89-B581-3B5D88DC5D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E54AD6-2E3A-41C6-94A6-EE7A09A9FA2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17F33A-731B-4605-B7A5-0DDECB7466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24DDDE-0039-469B-9C53-DDE37681783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958C4D3-80AB-4C7A-A5C6-34507CD009A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D642BF-045E-454B-909A-8C5972D5F9B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B8243A9-ED6F-4DC9-8B86-A13B799E175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369895A-D07F-4F20-AEF9-49F982EA9A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FDE4265-8959-4438-BA4D-618E1CE9570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375F6A0-28EC-4F6E-9521-3CAA64526D2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6E64D5F-0296-44D2-ABBE-16E672C998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D76F97-7866-451F-B6F5-0A05C94D693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471A94A-AF09-4B73-BE63-1DF86AC7F4C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48BAADE-62C5-4E56-B423-BDA3E691CD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99A2D9D-15CF-41D5-BA17-2628BED353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19D669B-F7B7-45A9-B3EB-C9CBC6ACD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CE102CD-B9E0-4AC6-996E-EAA96B4F25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B5A1B97-1221-448E-89E9-40838570FD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0C07782-11E0-4776-959B-4DD66B6439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DC61115-8898-4C60-A924-EB92ECFEB9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BF34D7F-7448-4C88-BE14-46487F7BBD0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B8CDEA4-B845-44B2-84C2-2F53568FB2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5692FDA-A918-4E24-9DDD-E025E771AEF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0BF1B1-3022-4255-9A6E-0490CFDDB70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71E99C-1260-4CF7-A0A2-97A782A9D7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893CE77-E39A-4B1B-B11E-6BF3D4F01AA1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4BFF08E-D21E-417F-9B18-EB4B1B747B4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D5EEE42-6F16-4359-85B5-477FB5A3B2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AF6D82D-D8E2-42A8-98C6-51E422B9CFA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65137BA-6160-41E7-B00D-8EEF6420334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EAB5160-B121-48FF-842F-B16F3CB208FE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3E873361-B3D9-4D09-9AA6-C9DE6052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50B8190-A480-4113-BA5C-A7B0E9FA8734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1F1302A-5415-493C-8851-3252B3D9721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C335E87-1D37-451B-8A88-8AB1A3C53CF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5392189-4D03-4A7E-B451-0599AE81E47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FBBB57B-EBFE-4D04-B5F1-78068CB6B60D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24B858C-016B-4ABE-B319-0FBBA28FE7FD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D58CF5-5460-464B-AB71-8CBCB43632C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582E83-CE43-4A4D-B893-6E6A76DEFCB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077D15-DE21-4CC3-A5C6-98B68EC7629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FE5D45-196C-4D4C-BAEB-2F41D3315D06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5C663A-03DE-489F-8B91-B8A99568CB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2A0112-0EAD-497F-A90D-0DDAEE67D54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7289E7-394F-495A-8FB1-373F5BD8BA85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5CADF1-70F2-447B-B322-70E3CEEED0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90ED74-22E0-4DCE-A3E5-97A9E53FE56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2D848D9-078D-4930-87F6-C39A1E18C47F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999DEE0-ACA5-4C13-BF24-455E2F4EBE6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3E8F3C0-B5AA-4FE2-8805-677BDAE86C2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A9F225-D69C-4B13-B022-0988F95EC82D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81165E-40F1-4FBA-BAB3-F8A85277618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0B0BB8-6545-43F5-A538-0C934B34FEB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DB3FE7F-1BC9-4D28-9A75-CBCC366B4FC8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A6174B4-18C1-4332-9C2D-9055F042EC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C02CA27-E58C-40E5-A55C-EBA957611D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038EE2B-CBA5-4C16-A130-529DE5D3F5FA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1CEAF60-0E4D-4380-8062-8D48450B2E7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680965-8E77-4423-8E12-7891AF5DFD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D4788CC-BF5A-4BCB-8B51-E454F50F60F9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B0A65A1-E5EB-42BC-AA7F-615F9D57BA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8BF0D8-2489-4EB0-AD40-C0F7CA32BE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966FB5B-D1DE-480B-82C8-F973D6040EEB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5A87A4A-7ACE-494B-A47F-3A3A2ABB7A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1A2F39A-82AE-48A1-9C84-0EDFEA44B9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8C3EE9C-877F-40F3-8783-08F38726CB21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7A75892-342E-4BFB-ABB7-98F9FEEB2F1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6E1A2C2-18C8-4DD2-A4AC-4D29FC6392C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89964FA-EFF1-48E7-9A10-9F717D4B0D6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856A20D-6F26-4E8E-A706-9D73A48D35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2D6C2B9-0D34-48D0-98AC-2C26DF1E957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DECBCD5-2B5E-4815-B35E-C850D4871AC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3CC6E2-18E1-4F68-AB2A-D899410A4539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3BC433-4E64-4A5A-91A2-E83800AFD569}"/>
            </a:ext>
          </a:extLst>
        </xdr:cNvPr>
        <xdr:cNvSpPr txBox="1"/>
      </xdr:nvSpPr>
      <xdr:spPr>
        <a:xfrm>
          <a:off x="4400550" y="447676"/>
          <a:ext cx="278130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116F394-8636-4B88-A015-F789B67A7F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DE958F7-8470-4569-A96A-75034E87F494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700A827-8C48-44EA-8DF3-CB7C49ED3D70}"/>
            </a:ext>
          </a:extLst>
        </xdr:cNvPr>
        <xdr:cNvSpPr txBox="1"/>
      </xdr:nvSpPr>
      <xdr:spPr>
        <a:xfrm>
          <a:off x="4400550" y="533400"/>
          <a:ext cx="278130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37119D4-B3B6-4FD2-8364-EA63103D22C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9" name="Picture 10" descr="http://www.lakecement.com/images/logo.jpg">
          <a:extLst>
            <a:ext uri="{FF2B5EF4-FFF2-40B4-BE49-F238E27FC236}">
              <a16:creationId xmlns:a16="http://schemas.microsoft.com/office/drawing/2014/main" id="{3ADCFF5A-A7FA-4278-B5F4-07781FBB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1DE6992-D9F2-46BD-A625-5B101B2273CE}"/>
            </a:ext>
          </a:extLst>
        </xdr:cNvPr>
        <xdr:cNvSpPr/>
      </xdr:nvSpPr>
      <xdr:spPr>
        <a:xfrm>
          <a:off x="5256742" y="304376"/>
          <a:ext cx="296037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69A40B3-511D-46B9-9AE8-65F328A70750}"/>
            </a:ext>
          </a:extLst>
        </xdr:cNvPr>
        <xdr:cNvCxnSpPr/>
      </xdr:nvCxnSpPr>
      <xdr:spPr>
        <a:xfrm>
          <a:off x="76246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7D738E-4FDD-462B-B272-5DF76B07BFCE}"/>
            </a:ext>
          </a:extLst>
        </xdr:cNvPr>
        <xdr:cNvSpPr/>
      </xdr:nvSpPr>
      <xdr:spPr>
        <a:xfrm>
          <a:off x="7848600" y="556260"/>
          <a:ext cx="1049638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289D668-D9A4-4C35-BC00-D8562657E6F6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305D8EA-36D8-4EB7-843C-66572BB25AE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B23EFA8-8993-4621-AA17-DCF23BC45277}"/>
            </a:ext>
          </a:extLst>
        </xdr:cNvPr>
        <xdr:cNvCxnSpPr/>
      </xdr:nvCxnSpPr>
      <xdr:spPr>
        <a:xfrm>
          <a:off x="91059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0E3FEF3-CAA5-43EB-AAB4-9EF9F77F098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1BEF1D1-FC44-4B7E-9002-F6B03F6D6FE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AF7260-BFEC-479A-AC7A-71A79751531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6AE999-E84B-4E42-A2D9-92ACCC0D5AF4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589599F-66AB-4118-88A7-6E7F201F0BF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131147C-5444-4364-B31E-37122A36C8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CD5F469-C492-443E-8C99-CE37652AA075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AF01DD0-599B-4D34-A6D1-FEA51DF6CAC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4185DD0-2966-444E-93FD-3E4267A4E7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26A2C56-680A-4D8E-851F-381357C3917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53917B7-A776-45EE-8EE6-D1736DD1D08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48F326-0BDA-40A9-A35D-934B5F2ABD8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D8A58F9-C187-429E-A90F-31C3809BED3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4E84E58-AB91-4485-A967-E6D10985F0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EAF46F0-5CD6-40BA-BFF3-535B218A97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31B56B5-2731-4B92-A27B-3149F8897B1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C4A5090-06B6-4F21-83CB-5D60154EDE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34E4EF4-34BD-4EE3-8465-53D25B8E57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3840E29-A1E9-43FC-B102-7324BC1BD28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81C1BA1-18D1-462A-806B-E394785DF56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88CDA27-C7AB-4660-9270-5959EE117C7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69CCE38-DC42-4F77-A704-029E5A8525A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BD3F073-C7A3-4A2D-80E0-4CACFF68A8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5D5701-BC78-46AC-A174-88611CF1A1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5ADB740-D364-4B77-BEFD-5C5538BFCF0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C932942-B573-4459-A7B3-5C520BE8E29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A83238-D888-4637-A683-85EDA7F07B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3804733-4B11-44CD-A8E6-CB1EA251B4F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3E727C5-B211-4867-B8BE-9B3EE6FD2C6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928B9-3D74-4B8D-9C46-FE600D7888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478ADF8-52D8-4E09-B385-BF5E7B9438B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34C1685-7AC5-4CFD-A375-6881D2969B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5B801BE-0F9D-425D-8597-18C3F770BA8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B770A1-B14B-48CA-AC96-2B1604EBB6B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8942B7C-76BC-48D6-ACE2-4EE93769F6C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7D47247-6E47-4CEE-9987-D9D44F06F40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041C593-71D6-4129-80F4-27B1B540402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B19C1F-CA4B-4AC6-B720-DCAF752FD986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48ABF36-EBA5-4155-B06A-1F51EA5E25DC}"/>
            </a:ext>
          </a:extLst>
        </xdr:cNvPr>
        <xdr:cNvSpPr txBox="1"/>
      </xdr:nvSpPr>
      <xdr:spPr>
        <a:xfrm>
          <a:off x="4400550" y="447676"/>
          <a:ext cx="27622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EF44CA9-1BDC-4B82-81E7-A5A211D0FA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BF755C8-206E-4598-B240-E1D042A9ADEB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F3F97C6-F706-49D3-977D-DC0BD82E478F}"/>
            </a:ext>
          </a:extLst>
        </xdr:cNvPr>
        <xdr:cNvSpPr txBox="1"/>
      </xdr:nvSpPr>
      <xdr:spPr>
        <a:xfrm>
          <a:off x="4400550" y="533400"/>
          <a:ext cx="27622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44AED1-B974-4F37-8AFB-10CD853A15B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2" name="Picture 10" descr="http://www.lakecement.com/images/logo.jpg">
          <a:extLst>
            <a:ext uri="{FF2B5EF4-FFF2-40B4-BE49-F238E27FC236}">
              <a16:creationId xmlns:a16="http://schemas.microsoft.com/office/drawing/2014/main" id="{5043832B-0F07-4416-B3F0-1D925A18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026E7D2-6F56-4313-83B4-0313ED0118A7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81D0B2-2D14-48DF-BF0F-B209ED5BA4DF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568DA22-1D8B-4902-B674-0F55CF753931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7E91D0D-3C1E-43A6-B3E0-2AC1CDE9F90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8521935-58C6-430D-996E-E1CE6E7F94F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F870624-293B-4048-9D9D-4E90768A6CCE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20889B1-E13F-4A4D-8270-D144B5A63151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9F6B34-843F-4CA2-8CE8-86E913D6337E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91C09C-F219-40E4-BFB9-4E23F49BF269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066C06-CC48-43E3-BC66-76AA4097A8C3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C6144FE-20D9-457D-BD39-8AFF3EDFF1F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944251C-C34D-488C-8927-9CC133BA84A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EC36C47-28B7-48CA-9034-5E4B9FB1CBEB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475BE02-9678-434F-9368-DC407B2C2EBD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897B96-FFEC-4C67-A851-859448D2D26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0EC2CE8-9597-4249-B74D-12791149AEA7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B770114-767A-4AF3-AD80-825D0EC7068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8B9B50-A332-478A-BFDF-958658D97108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70FF0D3-917A-410C-B193-EC5F5F3C3B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0A5FF81-F1DE-4536-9395-A24A5B9FC16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6046537-184A-4789-982B-FE82EF451E7F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120290D-D103-420A-9B4C-390C2CE311C5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6A98845-310E-4540-8AB7-FC37B6FD0199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149810D-8792-4FE0-BF67-29F232C3248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753B49A-9F69-497F-86F1-9F1052FC45EF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1524A8E-570C-4CA3-AD66-AAE68F73EC62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151742A-3155-4584-8C21-3C1C70D22394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B3089FB-1B13-46AD-A74D-AA694A3E8BE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2D1875C-9CB4-4A7B-B867-72604515616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2C3CB5-B7C4-45DF-81F7-7713E0884595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AD0DE6A-7DD0-4588-AEF0-265D940252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6D6823E-2ADF-494D-B323-0E159468FF5F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C73F78D-9E84-47F8-A79E-097FF85B58B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DAE5F95-8DB6-4141-B18C-29C5C4B97E5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0298070-89B4-4102-9674-C8AA885E4D9B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CA73CEA-AA9E-4282-ABCC-EDDE6A3335D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98DF499F-2EAE-423E-8F11-C866902CD132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1861FCA-298B-4295-BF9E-201063D19F95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B56C7B4-3752-445B-BF79-B1B4513AC5E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B37EE39-45EC-494F-BC19-388A93681C3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2924034-9EF7-474C-890F-921C1C5ED20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3CE590A-F4FB-499A-9270-E677E5A1BBBC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E93FD68-EE5D-4832-95AE-CA116FA6581A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FB7EF90-189C-486D-A513-4BBA4E0F7C43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5BBBA0D-0C9A-4DE2-9FEE-92A06A394A7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26065DD-2F09-46D7-9AB4-E23CB3738F3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6FE0BD-E663-4222-AA31-1EA92191406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780DCF8-5140-4E06-B828-86F3A203C599}"/>
            </a:ext>
          </a:extLst>
        </xdr:cNvPr>
        <xdr:cNvSpPr txBox="1"/>
      </xdr:nvSpPr>
      <xdr:spPr>
        <a:xfrm>
          <a:off x="4467225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C487AD8-DB26-43DB-BD14-79B8223B3B7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5B9B748-91DF-403D-A6CE-94A9669DD961}"/>
            </a:ext>
          </a:extLst>
        </xdr:cNvPr>
        <xdr:cNvCxnSpPr/>
      </xdr:nvCxnSpPr>
      <xdr:spPr>
        <a:xfrm>
          <a:off x="2295525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F1AC435-F997-43E7-A940-5C5FE8C224B8}"/>
            </a:ext>
          </a:extLst>
        </xdr:cNvPr>
        <xdr:cNvSpPr txBox="1"/>
      </xdr:nvSpPr>
      <xdr:spPr>
        <a:xfrm>
          <a:off x="4467225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4886171-3890-4DB5-9A44-80AA99003EBA}"/>
            </a:ext>
          </a:extLst>
        </xdr:cNvPr>
        <xdr:cNvSpPr txBox="1"/>
      </xdr:nvSpPr>
      <xdr:spPr>
        <a:xfrm>
          <a:off x="5419725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5" name="Picture 10" descr="http://www.lakecement.com/images/logo.jpg">
          <a:extLst>
            <a:ext uri="{FF2B5EF4-FFF2-40B4-BE49-F238E27FC236}">
              <a16:creationId xmlns:a16="http://schemas.microsoft.com/office/drawing/2014/main" id="{0901E695-8825-40ED-A35A-D2C0A76A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09CE63D-CE8B-43FF-825F-EEAA08CA0361}"/>
            </a:ext>
          </a:extLst>
        </xdr:cNvPr>
        <xdr:cNvSpPr/>
      </xdr:nvSpPr>
      <xdr:spPr>
        <a:xfrm>
          <a:off x="5323417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B56B1F9-D3E4-4F79-8956-1117B0989AE4}"/>
            </a:ext>
          </a:extLst>
        </xdr:cNvPr>
        <xdr:cNvCxnSpPr/>
      </xdr:nvCxnSpPr>
      <xdr:spPr>
        <a:xfrm>
          <a:off x="745320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DFDF50D-22F3-46E6-81E2-BC9E57FB14B0}"/>
            </a:ext>
          </a:extLst>
        </xdr:cNvPr>
        <xdr:cNvSpPr/>
      </xdr:nvSpPr>
      <xdr:spPr>
        <a:xfrm>
          <a:off x="76676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6DE548F-543D-4D8D-B22F-B9C16DC8FD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8D62720-E65B-47CA-9FDE-8169316B97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2489367-3FAD-452F-AA73-F4276F1BC587}"/>
            </a:ext>
          </a:extLst>
        </xdr:cNvPr>
        <xdr:cNvCxnSpPr/>
      </xdr:nvCxnSpPr>
      <xdr:spPr>
        <a:xfrm>
          <a:off x="89154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7CD5F4-6803-4F68-9381-D4DEED376E03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156CD21-3753-45B4-A643-69A825A56972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0B7AF2-D2CA-45D6-9EF1-2E078C8F9C67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D59FB40-8119-436A-A982-47227C0AACA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4BE66C4-96BA-439C-885F-2B3647288F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DAF2C71-8F20-4830-9EEA-4C3601E6B1A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8B20DAE-9618-4578-AD7F-302163B6E2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3EBE9FF-4BBD-453D-AD9F-3AD5FE5AD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680563-DD53-4333-8E8B-6743E7D120C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0D1A1BD-90E9-4145-9BAC-A30B0C3FDA0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37536C2-F3BA-4BC2-A039-5115387B5F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1A23D9-A5E4-4A4A-B665-8CB1A57BE5D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0AF4911-90D3-45A9-B16C-D8000FC393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7944DE3-C70E-4975-A6A1-A3E5DB11079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7DA4532-DA88-47BD-9476-7123E846CC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F3DF4A5-95FD-4C1C-8279-34DF7D07CCF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035283C-A3DA-4C3D-BDF0-010FC1100AE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2E76C3-9B31-4C26-87BC-E30B444388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EE36E08-5C02-44CF-B050-783B552D0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28DF547-98B2-4C85-A35F-D6B7C202E4D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D711948-F375-4F23-9D77-FB0EF0CF6B7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C371AE2-63CE-4183-BB63-28CEEB91CD8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A419C15-1E7E-4340-ACDC-22889B958B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782C22-FA08-4AE5-8B1A-108C0AC1E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485A75C-5FF0-4E51-A02B-A27C5F2CF6A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6638E4C-D1F4-4230-A094-B5027996C79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595CA28-33CC-4F3E-8C72-171856BD50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423783F-2382-46C0-AE43-6F83C92870E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F24D47D-B0BE-4094-99E8-65A1EC7136E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2E4B2B-4AEC-4DC5-A324-38DAD4D7A2D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459D86E-C4C1-4C99-A09B-20AB9B63C9B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1D37CB2-52EC-4146-B25A-39DB8A49828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0F642E3-4850-4DA6-93C1-8FE5664E02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63D986-9FB0-463A-A3E7-96FDC783BEC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137A8D-B3E6-41D1-B6A9-130CBD25D2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E0550DB-7EB3-4E6A-B155-9F8719C7B4A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4775C09-FF6C-444A-BAC9-76982284AB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3F89FA5-A14B-4D6B-8A2C-7C9B66FCF2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845902B-4912-4816-AA5B-824AFB2E4BA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DAC6D2D-33BA-43A8-A703-B606D275A6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B4701F1-9846-4961-9DDB-DFD221ABC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F3066CE-BBBF-42E1-B43D-395A2EDF96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1C7D079-4E7D-4CEA-8DA9-5FD8F7045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2EB3A1B-FC5F-49F8-A41D-F4FFA39F2F4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902B5A-2756-43D1-B481-221C240DCAAE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60A398F-E566-45C2-B5ED-D5D203F94EA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3E953D2-FFC9-4378-B5C6-29EA5C06BA0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195F66E-7853-43D7-8EEE-A034200F453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976B73-2ABC-43FC-AF7D-67CB61E5D6F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8" name="Picture 10" descr="http://www.lakecement.com/images/logo.jpg">
          <a:extLst>
            <a:ext uri="{FF2B5EF4-FFF2-40B4-BE49-F238E27FC236}">
              <a16:creationId xmlns:a16="http://schemas.microsoft.com/office/drawing/2014/main" id="{ABDB9E14-1BB7-4694-B732-B6BC8434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86024E7-8606-40F3-BC61-266C7F94D66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961BFBB-176D-4C56-8397-0FA798018131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39A632C-F6ED-40FD-9AD1-E566B125E50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FBE398D-8BD9-49A9-A50F-79FB0B683820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5A5CED7-1953-4BB5-BAF2-796A801133E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6C61600-EDAE-4E0B-A8F6-C7DDB8A076C1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10C10F-93FE-47DE-BD9F-72D560A8BC9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531A9A-412F-4B1B-BFEA-E438AA4E0F9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42E9AA-1768-4EC4-8224-2820D9E02A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ADB44BC-B8CB-453D-8A28-F66EC9CC54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AE0E573-9B8D-40DD-9303-34085D8D4E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452D5D-50CA-4EE9-9AE6-20459C392A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3363DC-6DB6-42A6-AD3C-57FC7B54EA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EA1CCF1-AC9F-4B1F-9A31-903E7B1F31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B9C39F-7B6F-4A0A-B5E1-D0AC43CF04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C39FB40-EB61-41CB-8567-E21BDCEBB4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2CD5AEB-02C0-48A3-AEB0-FFA21B67AC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0A2F4B-90B6-47F9-9ABC-69B9368254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B519E91-7D85-47AC-8C0B-912B97D07BE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6801B8-FFE9-480D-8F6C-A337818DA51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571BE55-DDAC-454E-BF2C-20984A6166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0B1FE31-CFE4-47E0-A30F-428AD726F8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38EF7BC-2303-4435-9B57-E1B984965C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7857D24-E9D5-47BC-A84D-6559815D66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125F22B-7645-4561-9619-5B4C06784C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80E6675-A43D-41A8-8D47-B8BD10BA7B9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FE087DB-D5CC-44A0-AFC3-F89D71793A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738F032-8C7A-4769-9C56-1E0D31887DC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187AE4F-517E-42BA-B609-1D4B95D329B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A91C17E-630F-4B22-AAE1-E77D96529F2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640A4EA-4D66-4A31-A445-845EAEC0D7F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1860D04-4993-4842-9443-38BE67179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AD8AF99-110C-4BE1-87D7-7A9E153352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FC43354-36A1-4FF0-B98C-2DF8AEF367C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7519CF7-C10B-436E-9455-862F56D83A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2F602-8522-477F-8B90-23B89732F77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313D449-3610-47E7-BFD9-1753941520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ACBB340-54E4-4536-B2B5-B0C89511B3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3DA2507-2E74-40EF-9E9D-6D7EE47EAD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6BEC80C-77EE-4C48-9E26-998251D6586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71BE3F6-C58B-40F1-B090-3110D235C33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AD7BAAF-A020-4671-8081-E869E5128B4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2816193-0E8B-42FC-866D-1463A86551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C405B1-1E89-4378-9F68-E6DB265B424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CD6B98C-79AF-431A-919D-EAE1A2A5A73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6056690-73F5-4EAB-8CF9-9995C26F4E8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47434F3-105A-42E3-B868-056C2D7FC2D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7215CD3-D375-44A9-B070-8823A4FBC3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08216B5-7B49-494F-9615-0558805B724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FAD3B08-A3FE-4DCE-8A22-180AD47B43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9010678-086B-4430-877A-527E5DF54CE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C19D81B-825D-412A-950F-18FD324E4C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E8D2AED-070E-43BD-BE3B-A636E574706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0699E87-CC45-43FE-BCEE-FDFDBB97F7EB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C93F15-69F3-4E57-905D-2508C67DD1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F8E4201-BF57-430C-9550-97340D1ED10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BFBDAF-8E20-4148-A11D-7F483043A65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1FF2EB8-F3D1-4F9E-B919-73A89239A49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1" name="Picture 10" descr="http://www.lakecement.com/images/logo.jpg">
          <a:extLst>
            <a:ext uri="{FF2B5EF4-FFF2-40B4-BE49-F238E27FC236}">
              <a16:creationId xmlns:a16="http://schemas.microsoft.com/office/drawing/2014/main" id="{09832AF0-C705-494B-BC47-0D3AFEAE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87D830E-87EC-496F-B475-D2652F01602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D5497DA-1324-410B-B3E1-80D41A775298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FB2F520-EC81-4AA9-82CB-5A3CD4382B66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9271437-79E4-48B4-9633-ABF054AA28D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82BC95C-6B61-4528-B2F8-D053D8ACA759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918BA95-FB98-4DC8-BDEE-8A6F3B53397C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41C865-286D-4581-AEF5-8E9E61F803E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85C1A6-3132-4A07-90A1-72E8CBBB1A4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BC476C-65BD-488B-8ADD-ADE063A1BA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E64CB12-AD53-46B5-985A-168DDAD725B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098559-A95A-47C5-BB8B-A1CCA0843D4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4FF1BC-1B0D-4F1F-84B2-C31508F721B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FA359-52EF-4FE3-AE07-12735EDBB3F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A232E97-9654-40CE-81F2-22B3052BFB1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68771A-3F30-403E-B6FC-27B11845D6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59AFB71-7C7D-402F-B040-753302B920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0D3B8D-D413-4DCC-9329-6C3DE92ADC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948B6CA-75DA-4C1E-AD93-321CBE4AD4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55523BD-8AC1-4380-8FAE-59BD6FFE9A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4C92F22-E087-4410-BD69-297A28F18A0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2EF2D12-B614-4EB7-9AB6-8C4AA36A652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B74AD62-1FD2-410A-AE03-4DC7187AFF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1D59DB7-3A41-44C3-A644-D3E7C54DF2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DA11BAC-ED4E-4968-8172-94A6D8834EF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AB63968-548D-4DB0-9961-993B636CC35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22F7B26-35C3-4964-9AF0-28D6A7F1A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D79CC05-26F6-47EB-A487-54B5B2D41A1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9DD6168-CD91-483C-8284-E716BBCBE86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42D36D3-EA0C-4786-86C4-E9B8B13A3FE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A84FE96-3FEA-49BD-8079-E4CE763F4C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600EB2E-F3EB-41BE-8A2D-4CBD1E51C1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908C4B-5FF7-42F0-8235-E0E6ADCB604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578E38-AB84-4B5D-BDFA-B8E2718EA8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C7E2E41-A48C-4B1D-B2F4-9AD5F9C0F92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45E07AB-6FFF-4849-9C1A-2ED57001A47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97A22B0-7159-430F-8DFB-7B10CDDE7DC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647BB4D-27B6-4EAA-AD77-2366CB69A2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069333F-28B0-4F08-A738-D30E3AAFCC7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0A9DEF7-8EA6-48CE-A873-7C17633A9A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CC9526-1090-4D8E-B856-4CA88C503F3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24197DC-869A-44F3-9513-FE654B84BD6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243EC9A-3DDB-4414-BEA1-497C67609B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33DD347-6A9A-4B20-9C7B-65059494F3A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D557C7F-8AA6-422F-8C67-0A11E135904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66ECE50-BCC4-4755-BC98-A79AD4BDF36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4024762-1F1F-485C-A246-3377D5F725D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066EB66-80C2-45DA-8B46-BEF2758FBC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A45E1A6-E4C8-49ED-BF87-3ACC5E7FCF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7F94A8A-EE95-45E3-ABAF-0450ED4BE8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2C5A5D-687E-455F-B566-920C2E0A8C7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184B54D-291C-4371-85BA-92C9F8C2757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9E8FEBE-385C-4EC6-B3BA-80F538DDD51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D0921DF-A91C-41A0-87E0-B1F3668EA8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913B139-EAAB-4128-9E0C-6AE74644CE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6106A7C-03DE-451C-A93E-EB6B87ABF1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8A7D0B6-3395-48FA-A002-259E7970D37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0115DF-65AD-4342-92CC-5AE3A1858B8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CF7DE04-AEA3-436B-AA2D-792408F39C2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70" name="Picture 10" descr="http://www.lakecement.com/images/logo.jpg">
          <a:extLst>
            <a:ext uri="{FF2B5EF4-FFF2-40B4-BE49-F238E27FC236}">
              <a16:creationId xmlns:a16="http://schemas.microsoft.com/office/drawing/2014/main" id="{686956A3-0FF8-4A16-A100-EEEAF7423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B895FA-9AF5-4EC6-84B5-43F98E2B87EB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48869C02-85CA-43BC-BAE7-10FDEF440464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D7D47EA-23FD-4B6A-926B-EAAA8113E2B3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55BF445-4D3B-4927-BA65-7539669DBD7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A860DB26-8C94-4FA9-8CC3-7653BF32C0A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12ACC45-2396-45F5-B743-3ACC8C68C522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A3375A-4EED-4E65-BD70-4A7A10FC6268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AD218E-3C76-4BD9-82AA-C92353B7FE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52E5D7-2011-40D2-9933-021B7DFFEC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4EC2B24-7C09-47B0-8BEC-A849D082750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9B13FD8-B257-4044-BD23-0031D1CBAB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0178AC-F21A-43BE-A732-0A2A0A14DB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C8F7AA0-2DF0-41FD-9ECF-98191A01C5A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A65B419-ABA8-453D-BB61-3B3F1F99783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E295F1A-157F-4047-A5BC-5BD566D49E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EACDF14-C84C-4FD5-8514-E47E2B1C7AF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5AD5AE6-9530-4B1A-B90B-B3DEC3C1C30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EBC9FB-C1C9-4299-915A-8454D4302C2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8D532F1-CF3D-4FB8-B510-8F677BBD058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99DCE0D-5982-48C1-BB76-02FC7A694E3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914CF3A-97A0-4107-836C-79AEE5D0C50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68974BA-6AAF-4AE6-A57D-28BA661873E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CEFAC31-F3AA-461D-9E63-BC3F10031D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B2053CE-7091-4F35-A94B-6F8D369CF79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638CDA8-6305-4D82-8E69-F1D00FEE1C5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53DA76E-E228-4EFF-B539-FFF7805586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CB5182-EB1A-43C4-8CF1-F9122DA77CB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B2B574-B610-491D-BF63-13E5D36954D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1E3E2CC-B58B-4537-9311-C8AB52B50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4B4F66-9353-494B-A5C4-DC158C6E514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207A844-2FFE-463D-98E7-C0D7E9929F0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3D3C561-1154-4AC1-8CE7-797E88F2E5B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4C386CF-5744-45A1-A073-1A6886AD662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2AE5C0F-CC9D-418A-9145-1E2C4C586B7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5455C9A-1B58-4A78-98CE-54CBAF180DC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53B5AC7-61B0-4A1C-838C-CA2A953E7D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A77F279-5D4E-4AF0-B3A5-BEB43C169BA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77F73BB-A6FB-4226-A1D9-ADDCC86B7E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FD2C3B-A09F-4B85-B3FE-FCA2AD13DC1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D7D9A8-1703-4AD7-A6CA-F36432CC486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1CCB50-0D38-4225-86B3-BFE11BC45D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8942279-FCD6-4348-97D3-41BCE948F96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39FBBBE-F3C3-4506-BC6B-02028150B81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5394BF8-6023-4F31-A14E-A7968EBBB76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15E0A6-58DB-47B6-B482-1DCB01B4904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9088ADF-07B0-4151-A1A2-BEFFFB9D5B8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E330306-C0A2-4CDA-ADD3-F8962732942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8A7E580-FE9E-4DDC-B7C4-E26B6B3B6F3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515391-23A3-4EB8-85CD-7797F6E86290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5122C6D-B63F-4F05-ACEA-AC99C0AF58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266C20C-DF8E-4387-A733-06FA3C5C04E9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FD798EC-FA17-42AB-B8B7-B765810EEAC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1C7F374-88CA-4650-8BBC-16D51AA5405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B0F4776-79F1-46C1-9B30-DCDC3080287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87B2413-E9BC-4353-8D5C-96B1DA99F7B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3B53CFE-46B6-4D84-AC5B-D014EF3D488E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1A6ED61-0BA2-4AC1-87F3-3AEBFEB169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D1E0AD7-F6FF-4989-AC7E-3ABB382900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054A272-8E59-450D-8EA6-4B215833C89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43C5031-7E27-431B-A614-78D84B05CB2D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E2A385-D269-4192-9DD8-A7083FA2A2B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4" name="Picture 10" descr="http://www.lakecement.com/images/logo.jpg">
          <a:extLst>
            <a:ext uri="{FF2B5EF4-FFF2-40B4-BE49-F238E27FC236}">
              <a16:creationId xmlns:a16="http://schemas.microsoft.com/office/drawing/2014/main" id="{957D1CB1-67DB-4D00-91FE-46389475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2E3746A-32ED-4C0A-BADC-6CF78E59600F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87D3AC7-A9D1-4962-9578-DE73C9462907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CB98775-CF18-4294-9AB5-175B01970F9A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E188C33-CC89-4992-B9BC-5E0D31CB025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47E0BC0-36AD-418A-89A2-793E052DF2B4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F53CA9C-F778-4845-9EB8-9272A126CDD6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B39"/>
  <sheetViews>
    <sheetView zoomScale="60" zoomScaleNormal="60" workbookViewId="0">
      <pane ySplit="2" topLeftCell="A6" activePane="bottomLeft" state="frozen"/>
      <selection pane="bottomLeft" activeCell="G20" sqref="G20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5.140625" bestFit="1" customWidth="1"/>
    <col min="11" max="11" width="15.5703125" bestFit="1" customWidth="1"/>
    <col min="12" max="12" width="16.28515625" bestFit="1" customWidth="1"/>
    <col min="13" max="13" width="12.7109375" bestFit="1" customWidth="1"/>
    <col min="14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20" width="15.140625" bestFit="1" customWidth="1"/>
    <col min="21" max="21" width="19.140625" bestFit="1" customWidth="1"/>
    <col min="22" max="33" width="15.5703125" customWidth="1"/>
    <col min="34" max="34" width="9.140625" customWidth="1"/>
    <col min="35" max="35" width="11.42578125" customWidth="1"/>
    <col min="36" max="36" width="11.140625" bestFit="1" customWidth="1"/>
    <col min="47" max="47" width="11.5703125" bestFit="1" customWidth="1"/>
  </cols>
  <sheetData>
    <row r="1" spans="2:54" x14ac:dyDescent="0.25">
      <c r="B1" s="3" t="s">
        <v>0</v>
      </c>
      <c r="C1" s="622" t="s">
        <v>1</v>
      </c>
      <c r="D1" s="623"/>
      <c r="E1" s="623"/>
      <c r="F1" s="625"/>
      <c r="G1" s="624"/>
      <c r="H1" s="622" t="s">
        <v>2</v>
      </c>
      <c r="I1" s="623"/>
      <c r="J1" s="623"/>
      <c r="K1" s="624"/>
      <c r="L1" s="622" t="s">
        <v>3</v>
      </c>
      <c r="M1" s="623"/>
      <c r="N1" s="623"/>
      <c r="O1" s="625"/>
      <c r="P1" s="624"/>
      <c r="Q1" s="622" t="s">
        <v>4</v>
      </c>
      <c r="R1" s="623"/>
      <c r="S1" s="623"/>
      <c r="T1" s="625"/>
      <c r="U1" s="624"/>
      <c r="V1" s="622" t="s">
        <v>5</v>
      </c>
      <c r="W1" s="623"/>
      <c r="X1" s="623"/>
      <c r="Y1" s="624"/>
      <c r="Z1" s="622" t="s">
        <v>6</v>
      </c>
      <c r="AA1" s="623"/>
      <c r="AB1" s="623"/>
      <c r="AC1" s="624"/>
      <c r="AD1" s="622" t="s">
        <v>7</v>
      </c>
      <c r="AE1" s="623"/>
      <c r="AF1" s="623"/>
      <c r="AG1" s="624"/>
      <c r="AH1" s="1" t="s">
        <v>8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54" x14ac:dyDescent="0.25">
      <c r="B2" s="4" t="s">
        <v>9</v>
      </c>
      <c r="C2" s="6" t="s">
        <v>10</v>
      </c>
      <c r="D2" s="1" t="s">
        <v>11</v>
      </c>
      <c r="E2" s="271" t="s">
        <v>12</v>
      </c>
      <c r="F2" s="26" t="s">
        <v>13</v>
      </c>
      <c r="G2" s="7" t="s">
        <v>14</v>
      </c>
      <c r="H2" s="6" t="s">
        <v>10</v>
      </c>
      <c r="I2" s="1" t="s">
        <v>11</v>
      </c>
      <c r="J2" s="1" t="s">
        <v>15</v>
      </c>
      <c r="K2" s="7" t="s">
        <v>14</v>
      </c>
      <c r="L2" s="6" t="s">
        <v>10</v>
      </c>
      <c r="M2" s="1" t="s">
        <v>11</v>
      </c>
      <c r="N2" s="271" t="s">
        <v>16</v>
      </c>
      <c r="O2" s="1" t="s">
        <v>17</v>
      </c>
      <c r="P2" s="7" t="s">
        <v>14</v>
      </c>
      <c r="Q2" s="6" t="s">
        <v>10</v>
      </c>
      <c r="R2" s="1" t="s">
        <v>11</v>
      </c>
      <c r="S2" s="271" t="s">
        <v>18</v>
      </c>
      <c r="T2" s="1" t="s">
        <v>17</v>
      </c>
      <c r="U2" s="7" t="s">
        <v>14</v>
      </c>
      <c r="V2" s="39" t="s">
        <v>10</v>
      </c>
      <c r="W2" s="1" t="s">
        <v>11</v>
      </c>
      <c r="X2" s="1" t="s">
        <v>15</v>
      </c>
      <c r="Y2" s="9" t="s">
        <v>14</v>
      </c>
      <c r="Z2" s="39" t="s">
        <v>10</v>
      </c>
      <c r="AA2" s="1" t="s">
        <v>11</v>
      </c>
      <c r="AB2" s="1" t="s">
        <v>15</v>
      </c>
      <c r="AC2" s="9" t="s">
        <v>14</v>
      </c>
      <c r="AD2" s="39" t="s">
        <v>10</v>
      </c>
      <c r="AE2" s="1" t="s">
        <v>11</v>
      </c>
      <c r="AF2" s="1" t="s">
        <v>15</v>
      </c>
      <c r="AG2" s="9" t="s">
        <v>14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/>
      <c r="AN2" s="1"/>
      <c r="AO2" s="1"/>
      <c r="AP2" s="1"/>
      <c r="AQ2" s="1"/>
      <c r="AR2" s="1" t="s">
        <v>24</v>
      </c>
      <c r="AS2" s="1" t="s">
        <v>25</v>
      </c>
    </row>
    <row r="3" spans="2:54" x14ac:dyDescent="0.25">
      <c r="B3" s="4">
        <v>1</v>
      </c>
      <c r="C3" s="39">
        <f>9504.32318000297+1.74</f>
        <v>9506.0631800029696</v>
      </c>
      <c r="D3" s="1">
        <v>0</v>
      </c>
      <c r="E3" s="271">
        <f>F3+'RAW MILL 2'!C3</f>
        <v>0</v>
      </c>
      <c r="F3" s="1">
        <v>0</v>
      </c>
      <c r="G3" s="9">
        <f>C3+D3-E3</f>
        <v>9506.0631800029696</v>
      </c>
      <c r="H3" s="64">
        <v>13598.808517180862</v>
      </c>
      <c r="I3" s="1">
        <v>401.14000000000004</v>
      </c>
      <c r="J3" s="1">
        <v>0</v>
      </c>
      <c r="K3" s="9">
        <f>H3+I3-J3-Cement!Q3</f>
        <v>13547.098517145341</v>
      </c>
      <c r="L3" s="48">
        <v>124.03999999999975</v>
      </c>
      <c r="M3" s="1">
        <v>0</v>
      </c>
      <c r="N3" s="271">
        <f>O3+'RAW MILL 2'!D3</f>
        <v>0</v>
      </c>
      <c r="O3" s="1">
        <v>0</v>
      </c>
      <c r="P3" s="9">
        <f>L3+M3-N3</f>
        <v>124.03999999999975</v>
      </c>
      <c r="Q3" s="48">
        <v>600.28</v>
      </c>
      <c r="R3" s="1">
        <v>0</v>
      </c>
      <c r="S3" s="271">
        <f>T3+'RAW MILL 2'!E3</f>
        <v>0</v>
      </c>
      <c r="T3" s="1">
        <v>0</v>
      </c>
      <c r="U3" s="9">
        <f>Q3+R3-S3</f>
        <v>600.28</v>
      </c>
      <c r="V3" s="27">
        <v>0</v>
      </c>
      <c r="W3" s="1">
        <v>0</v>
      </c>
      <c r="X3" s="1">
        <v>0</v>
      </c>
      <c r="Y3" s="27">
        <f>V3+W3-X3</f>
        <v>0</v>
      </c>
      <c r="Z3" s="27">
        <v>0</v>
      </c>
      <c r="AA3" s="1">
        <v>0</v>
      </c>
      <c r="AB3" s="1">
        <v>0</v>
      </c>
      <c r="AC3" s="27">
        <f>Z3+AA3-AB3</f>
        <v>0</v>
      </c>
      <c r="AD3" s="27">
        <v>0</v>
      </c>
      <c r="AE3" s="1">
        <v>0</v>
      </c>
      <c r="AF3" s="1">
        <v>0</v>
      </c>
      <c r="AG3" s="27">
        <f>AD3+AE3-AF3</f>
        <v>0</v>
      </c>
      <c r="AH3" s="31">
        <f>D3+I3+M3+R3+W3+AA3+Cement!P3+Cement!T3+AE3</f>
        <v>401.14000000000004</v>
      </c>
      <c r="AI3" s="31">
        <f>E3+J3+N3+S3+X3+AB3+Clinker!E3+AF3</f>
        <v>0</v>
      </c>
      <c r="AJ3" s="1">
        <f>Production2!N3</f>
        <v>0</v>
      </c>
      <c r="AK3" s="1"/>
      <c r="AL3" s="296">
        <v>3103</v>
      </c>
      <c r="AM3" s="1"/>
      <c r="AN3" s="1"/>
      <c r="AO3" s="1"/>
      <c r="AP3" s="1"/>
      <c r="AQ3" s="1">
        <f>D3+I3+M3+R3+Cement!P3</f>
        <v>401.14000000000004</v>
      </c>
      <c r="AR3" s="1">
        <f>AI3+Cement!Q3-Clinker!E3</f>
        <v>452.85000003551937</v>
      </c>
      <c r="AS3" s="1">
        <v>940.1</v>
      </c>
      <c r="AT3" s="50">
        <f>AI3-Production2!N3</f>
        <v>0</v>
      </c>
      <c r="AU3" s="52">
        <f>AI3</f>
        <v>0</v>
      </c>
      <c r="AV3">
        <f>E3+J3</f>
        <v>0</v>
      </c>
      <c r="AW3">
        <f>AS3-D3</f>
        <v>940.1</v>
      </c>
      <c r="AX3">
        <f>I3-AY3</f>
        <v>-1218.3599999999999</v>
      </c>
      <c r="AY3">
        <v>1619.5</v>
      </c>
      <c r="AZ3" t="e">
        <f>(AI3-Production2!N3)/'Mines (2)'!AI3</f>
        <v>#DIV/0!</v>
      </c>
      <c r="BA3" t="e">
        <f>AZ3*100</f>
        <v>#DIV/0!</v>
      </c>
      <c r="BB3">
        <f>E3+J3+AB3</f>
        <v>0</v>
      </c>
    </row>
    <row r="4" spans="2:54" x14ac:dyDescent="0.25">
      <c r="B4" s="4">
        <v>2</v>
      </c>
      <c r="C4" s="39">
        <f t="shared" ref="C4:C27" si="0">G3</f>
        <v>9506.0631800029696</v>
      </c>
      <c r="D4" s="1">
        <v>0</v>
      </c>
      <c r="E4" s="271">
        <f>F4+'RAW MILL 2'!C4</f>
        <v>0</v>
      </c>
      <c r="F4" s="1">
        <v>0</v>
      </c>
      <c r="G4" s="9">
        <f t="shared" ref="G4:G33" si="1">C4+D4-E4</f>
        <v>9506.0631800029696</v>
      </c>
      <c r="H4" s="39">
        <f t="shared" ref="H4:H27" si="2">K3</f>
        <v>13547.098517145341</v>
      </c>
      <c r="I4" s="1">
        <v>808.48000000000013</v>
      </c>
      <c r="J4" s="1">
        <v>0</v>
      </c>
      <c r="K4" s="9">
        <f>H4+I4-J4-Cement!Q4</f>
        <v>13882.178518157842</v>
      </c>
      <c r="L4" s="39">
        <f t="shared" ref="L4:L27" si="3">P3</f>
        <v>124.03999999999975</v>
      </c>
      <c r="M4" s="1">
        <v>0</v>
      </c>
      <c r="N4" s="271">
        <f>O4+'RAW MILL 2'!D4</f>
        <v>0</v>
      </c>
      <c r="O4" s="1">
        <v>0</v>
      </c>
      <c r="P4" s="9">
        <f t="shared" ref="P4:P33" si="4">L4+M4-N4</f>
        <v>124.03999999999975</v>
      </c>
      <c r="Q4" s="39">
        <f t="shared" ref="Q4:Q27" si="5">U3</f>
        <v>600.28</v>
      </c>
      <c r="R4" s="1">
        <v>0</v>
      </c>
      <c r="S4" s="271">
        <f>T4+'RAW MILL 2'!E4</f>
        <v>0</v>
      </c>
      <c r="T4" s="1">
        <v>0</v>
      </c>
      <c r="U4" s="9">
        <f t="shared" ref="U4:U33" si="6">Q4+R4-S4</f>
        <v>600.28</v>
      </c>
      <c r="V4" s="27">
        <f>Y3</f>
        <v>0</v>
      </c>
      <c r="W4" s="1">
        <v>0</v>
      </c>
      <c r="X4" s="1">
        <v>0</v>
      </c>
      <c r="Y4" s="27">
        <f t="shared" ref="Y4:Y24" si="7">V4+W4-X4</f>
        <v>0</v>
      </c>
      <c r="Z4" s="27">
        <f>AC3</f>
        <v>0</v>
      </c>
      <c r="AA4" s="1">
        <v>0</v>
      </c>
      <c r="AB4" s="1">
        <v>0</v>
      </c>
      <c r="AC4" s="27">
        <f t="shared" ref="AC4:AC33" si="8">Z4+AA4-AB4</f>
        <v>0</v>
      </c>
      <c r="AD4" s="27">
        <f>AG3</f>
        <v>0</v>
      </c>
      <c r="AE4" s="1">
        <v>0</v>
      </c>
      <c r="AF4" s="1">
        <v>0</v>
      </c>
      <c r="AG4" s="27">
        <f t="shared" ref="AG4:AG33" si="9">AD4+AE4-AF4</f>
        <v>0</v>
      </c>
      <c r="AH4" s="31">
        <f>D4+I4+M4+R4+W4+AA4+Cement!P4+Cement!T4+AE4</f>
        <v>808.48000000000013</v>
      </c>
      <c r="AI4" s="31">
        <f>E4+J4+N4+S4+X4+AB4+Clinker!E4+AF4</f>
        <v>0</v>
      </c>
      <c r="AJ4" s="1">
        <f>Production2!N4</f>
        <v>0</v>
      </c>
      <c r="AK4" s="1">
        <f t="shared" ref="AK4:AK15" si="10">AJ4-AI4</f>
        <v>0</v>
      </c>
      <c r="AL4" s="297">
        <v>3286</v>
      </c>
      <c r="AM4" s="1"/>
      <c r="AN4" s="1"/>
      <c r="AO4" s="1"/>
      <c r="AP4" s="1"/>
      <c r="AQ4" s="1">
        <f>D4+I4+M4+R4+Cement!P4</f>
        <v>808.48000000000013</v>
      </c>
      <c r="AR4" s="1">
        <f>AI4+Cement!Q4-Clinker!E4</f>
        <v>473.3999989875</v>
      </c>
      <c r="AS4" s="1">
        <v>987.54</v>
      </c>
      <c r="AT4" s="50">
        <f>AI4-Production2!N4</f>
        <v>0</v>
      </c>
      <c r="AU4" s="52">
        <f t="shared" ref="AU4:AU32" si="11">AI4</f>
        <v>0</v>
      </c>
      <c r="AV4">
        <f t="shared" ref="AV4:AV26" si="12">E4+J4</f>
        <v>0</v>
      </c>
      <c r="AW4">
        <f t="shared" ref="AW4:AW26" si="13">AS4-D4</f>
        <v>987.54</v>
      </c>
      <c r="AX4">
        <f t="shared" ref="AX4:AX25" si="14">I4-AY4</f>
        <v>185.20000000000016</v>
      </c>
      <c r="AY4">
        <v>623.28</v>
      </c>
      <c r="AZ4" t="e">
        <f>(AI4-Production2!N4)/'Mines (2)'!AI4</f>
        <v>#DIV/0!</v>
      </c>
      <c r="BA4" t="e">
        <f t="shared" ref="BA4:BA31" si="15">AZ4*100</f>
        <v>#DIV/0!</v>
      </c>
      <c r="BB4">
        <f t="shared" ref="BB4:BB17" si="16">E4+J4+AB4</f>
        <v>0</v>
      </c>
    </row>
    <row r="5" spans="2:54" x14ac:dyDescent="0.25">
      <c r="B5" s="4">
        <v>3</v>
      </c>
      <c r="C5" s="39">
        <f t="shared" si="0"/>
        <v>9506.0631800029696</v>
      </c>
      <c r="D5" s="1">
        <v>0</v>
      </c>
      <c r="E5" s="271">
        <f>F5+'RAW MILL 2'!C5</f>
        <v>488</v>
      </c>
      <c r="F5" s="1">
        <v>488</v>
      </c>
      <c r="G5" s="9">
        <f t="shared" si="1"/>
        <v>9018.0631800029696</v>
      </c>
      <c r="H5" s="39">
        <f t="shared" si="2"/>
        <v>13882.178518157842</v>
      </c>
      <c r="I5" s="1">
        <v>239.08</v>
      </c>
      <c r="J5" s="1">
        <v>0</v>
      </c>
      <c r="K5" s="9">
        <f>H5+I5-J5-Cement!Q5</f>
        <v>13671.458518890242</v>
      </c>
      <c r="L5" s="39">
        <f t="shared" si="3"/>
        <v>124.03999999999975</v>
      </c>
      <c r="M5" s="1">
        <v>0</v>
      </c>
      <c r="N5" s="271">
        <f>O5+'RAW MILL 2'!D5</f>
        <v>0</v>
      </c>
      <c r="O5" s="1">
        <v>0</v>
      </c>
      <c r="P5" s="9">
        <f t="shared" si="4"/>
        <v>124.03999999999975</v>
      </c>
      <c r="Q5" s="39">
        <f t="shared" si="5"/>
        <v>600.28</v>
      </c>
      <c r="R5" s="1">
        <v>0</v>
      </c>
      <c r="S5" s="271">
        <f>T5+'RAW MILL 2'!E5</f>
        <v>0</v>
      </c>
      <c r="T5" s="1">
        <v>0</v>
      </c>
      <c r="U5" s="9">
        <f t="shared" si="6"/>
        <v>600.28</v>
      </c>
      <c r="V5" s="27">
        <f t="shared" ref="V5:V23" si="17">Y4</f>
        <v>0</v>
      </c>
      <c r="W5" s="1">
        <v>0</v>
      </c>
      <c r="X5" s="1">
        <v>0</v>
      </c>
      <c r="Y5" s="27">
        <f t="shared" si="7"/>
        <v>0</v>
      </c>
      <c r="Z5" s="27">
        <f t="shared" ref="Z5:Z23" si="18">AC4</f>
        <v>0</v>
      </c>
      <c r="AA5" s="1">
        <v>0</v>
      </c>
      <c r="AB5" s="1">
        <v>0</v>
      </c>
      <c r="AC5" s="27">
        <f t="shared" si="8"/>
        <v>0</v>
      </c>
      <c r="AD5" s="27">
        <f t="shared" ref="AD5:AD23" si="19">AG4</f>
        <v>0</v>
      </c>
      <c r="AE5" s="1">
        <v>0</v>
      </c>
      <c r="AF5" s="1">
        <v>0</v>
      </c>
      <c r="AG5" s="27">
        <f t="shared" si="9"/>
        <v>0</v>
      </c>
      <c r="AH5" s="31">
        <f>D5+I5+M5+R5+W5+AA5+Cement!P5+Cement!T5+AE5</f>
        <v>239.08</v>
      </c>
      <c r="AI5" s="31">
        <f>E5+J5+N5+S5+X5+AB5+Clinker!E5+AF5</f>
        <v>498</v>
      </c>
      <c r="AJ5" s="1">
        <f>Production2!N5</f>
        <v>448.5</v>
      </c>
      <c r="AK5" s="1">
        <f t="shared" si="10"/>
        <v>-49.5</v>
      </c>
      <c r="AL5" s="297">
        <v>2899</v>
      </c>
      <c r="AM5" s="1"/>
      <c r="AN5" s="1"/>
      <c r="AO5" s="1"/>
      <c r="AP5" s="1"/>
      <c r="AQ5" s="1">
        <f>D5+I5+M5+R5+Cement!P5</f>
        <v>239.08</v>
      </c>
      <c r="AR5" s="1">
        <f>AI5+Cement!Q5-Clinker!E5</f>
        <v>937.79999926760001</v>
      </c>
      <c r="AS5" s="1">
        <v>249.34000000000003</v>
      </c>
      <c r="AT5" s="50">
        <f>AI5-Production2!N5</f>
        <v>49.5</v>
      </c>
      <c r="AU5" s="52">
        <f t="shared" si="11"/>
        <v>498</v>
      </c>
      <c r="AV5">
        <f t="shared" si="12"/>
        <v>488</v>
      </c>
      <c r="AW5">
        <f t="shared" si="13"/>
        <v>249.34000000000003</v>
      </c>
      <c r="AX5">
        <f t="shared" si="14"/>
        <v>-203.41999999999993</v>
      </c>
      <c r="AY5">
        <v>442.49999999999994</v>
      </c>
      <c r="AZ5">
        <f>(AI5-Production2!N5)/'Mines (2)'!AI5</f>
        <v>9.9397590361445784E-2</v>
      </c>
      <c r="BA5">
        <f t="shared" si="15"/>
        <v>9.9397590361445776</v>
      </c>
      <c r="BB5">
        <f t="shared" si="16"/>
        <v>488</v>
      </c>
    </row>
    <row r="6" spans="2:54" x14ac:dyDescent="0.25">
      <c r="B6" s="4">
        <v>4</v>
      </c>
      <c r="C6" s="39">
        <f t="shared" si="0"/>
        <v>9018.0631800029696</v>
      </c>
      <c r="D6" s="1">
        <v>1286.4000000000001</v>
      </c>
      <c r="E6" s="271">
        <f>F6+'RAW MILL 2'!C6</f>
        <v>1137</v>
      </c>
      <c r="F6" s="1">
        <v>1137</v>
      </c>
      <c r="G6" s="9">
        <f t="shared" si="1"/>
        <v>9167.4631800029692</v>
      </c>
      <c r="H6" s="39">
        <f t="shared" si="2"/>
        <v>13671.458518890242</v>
      </c>
      <c r="I6" s="1">
        <v>879.50000000000011</v>
      </c>
      <c r="J6" s="1">
        <v>0</v>
      </c>
      <c r="K6" s="9">
        <f>H6+I6-J6-Cement!Q6</f>
        <v>14149.458520579643</v>
      </c>
      <c r="L6" s="39">
        <f t="shared" si="3"/>
        <v>124.03999999999975</v>
      </c>
      <c r="M6" s="1">
        <v>0</v>
      </c>
      <c r="N6" s="271">
        <f>O6+'RAW MILL 2'!D6</f>
        <v>0</v>
      </c>
      <c r="O6" s="1">
        <v>0</v>
      </c>
      <c r="P6" s="9">
        <f t="shared" si="4"/>
        <v>124.03999999999975</v>
      </c>
      <c r="Q6" s="39">
        <f t="shared" si="5"/>
        <v>600.28</v>
      </c>
      <c r="R6" s="1">
        <v>0</v>
      </c>
      <c r="S6" s="271">
        <f>T6+'RAW MILL 2'!E6</f>
        <v>0</v>
      </c>
      <c r="T6" s="1">
        <v>0</v>
      </c>
      <c r="U6" s="9">
        <f t="shared" si="6"/>
        <v>600.28</v>
      </c>
      <c r="V6" s="27">
        <f t="shared" si="17"/>
        <v>0</v>
      </c>
      <c r="W6" s="1">
        <v>0</v>
      </c>
      <c r="X6" s="1">
        <v>0</v>
      </c>
      <c r="Y6" s="27">
        <f t="shared" si="7"/>
        <v>0</v>
      </c>
      <c r="Z6" s="27">
        <f t="shared" si="18"/>
        <v>0</v>
      </c>
      <c r="AA6" s="1">
        <v>0</v>
      </c>
      <c r="AB6" s="1">
        <v>0</v>
      </c>
      <c r="AC6" s="27">
        <f t="shared" si="8"/>
        <v>0</v>
      </c>
      <c r="AD6" s="27">
        <f t="shared" si="19"/>
        <v>0</v>
      </c>
      <c r="AE6" s="1">
        <v>0</v>
      </c>
      <c r="AF6" s="1">
        <v>0</v>
      </c>
      <c r="AG6" s="27">
        <f t="shared" si="9"/>
        <v>0</v>
      </c>
      <c r="AH6" s="14">
        <f>D6+I6+M6+R6+W6+AA6+Cement!P6+Cement!T6+AE6</f>
        <v>2165.9</v>
      </c>
      <c r="AI6" s="31">
        <f>E6+J6+N6+S6+X6+AB6+Clinker!E6+AF6</f>
        <v>1160</v>
      </c>
      <c r="AJ6" s="1">
        <f>Production2!N6</f>
        <v>1044.69</v>
      </c>
      <c r="AK6" s="1">
        <f t="shared" si="10"/>
        <v>-115.30999999999995</v>
      </c>
      <c r="AL6" s="297">
        <v>3290</v>
      </c>
      <c r="AM6" s="1"/>
      <c r="AN6" s="1"/>
      <c r="AO6" s="1"/>
      <c r="AP6" s="1"/>
      <c r="AQ6" s="1">
        <f>D6+I6+M6+R6+Cement!P6</f>
        <v>2165.9</v>
      </c>
      <c r="AR6" s="1">
        <f>AI6+Cement!Q6-Clinker!E6</f>
        <v>1538.4999983105999</v>
      </c>
      <c r="AS6" s="1">
        <v>1108.96</v>
      </c>
      <c r="AT6" s="50">
        <f>AI6-Production2!N6</f>
        <v>115.30999999999995</v>
      </c>
      <c r="AU6" s="52">
        <f t="shared" si="11"/>
        <v>1160</v>
      </c>
      <c r="AV6">
        <f t="shared" si="12"/>
        <v>1137</v>
      </c>
      <c r="AW6">
        <f t="shared" si="13"/>
        <v>-177.44000000000005</v>
      </c>
      <c r="AX6">
        <f t="shared" si="14"/>
        <v>-1357.2600000000002</v>
      </c>
      <c r="AY6">
        <v>2236.7600000000002</v>
      </c>
      <c r="AZ6">
        <f>(AI6-Production2!N6)/'Mines (2)'!AI6</f>
        <v>9.9405172413793055E-2</v>
      </c>
      <c r="BA6">
        <f t="shared" si="15"/>
        <v>9.9405172413793057</v>
      </c>
      <c r="BB6">
        <f t="shared" si="16"/>
        <v>1137</v>
      </c>
    </row>
    <row r="7" spans="2:54" x14ac:dyDescent="0.25">
      <c r="B7" s="4">
        <v>5</v>
      </c>
      <c r="C7" s="39">
        <f t="shared" si="0"/>
        <v>9167.4631800029692</v>
      </c>
      <c r="D7" s="1">
        <v>697.96</v>
      </c>
      <c r="E7" s="271">
        <f>F7+'RAW MILL 2'!C7</f>
        <v>0</v>
      </c>
      <c r="F7" s="1">
        <v>0</v>
      </c>
      <c r="G7" s="9">
        <f t="shared" si="1"/>
        <v>9865.4231800029702</v>
      </c>
      <c r="H7" s="39">
        <f t="shared" si="2"/>
        <v>14149.458520579643</v>
      </c>
      <c r="I7" s="1">
        <v>787.41999999999985</v>
      </c>
      <c r="J7" s="1">
        <v>0</v>
      </c>
      <c r="K7" s="9">
        <f>H7+I7-J7-Cement!Q7</f>
        <v>14348.878521520443</v>
      </c>
      <c r="L7" s="39">
        <f t="shared" si="3"/>
        <v>124.03999999999975</v>
      </c>
      <c r="M7" s="1">
        <v>0</v>
      </c>
      <c r="N7" s="271">
        <f>O7+'RAW MILL 2'!D7</f>
        <v>0</v>
      </c>
      <c r="O7" s="1">
        <v>0</v>
      </c>
      <c r="P7" s="9">
        <f t="shared" si="4"/>
        <v>124.03999999999975</v>
      </c>
      <c r="Q7" s="39">
        <f t="shared" si="5"/>
        <v>600.28</v>
      </c>
      <c r="R7" s="1">
        <v>0</v>
      </c>
      <c r="S7" s="271">
        <f>T7+'RAW MILL 2'!E7</f>
        <v>0</v>
      </c>
      <c r="T7" s="1">
        <v>0</v>
      </c>
      <c r="U7" s="9">
        <f t="shared" si="6"/>
        <v>600.28</v>
      </c>
      <c r="V7" s="27">
        <f t="shared" si="17"/>
        <v>0</v>
      </c>
      <c r="W7" s="1">
        <v>0</v>
      </c>
      <c r="X7" s="1">
        <v>0</v>
      </c>
      <c r="Y7" s="27">
        <f t="shared" si="7"/>
        <v>0</v>
      </c>
      <c r="Z7" s="27">
        <f t="shared" si="18"/>
        <v>0</v>
      </c>
      <c r="AA7" s="1">
        <v>0</v>
      </c>
      <c r="AB7" s="1">
        <v>0</v>
      </c>
      <c r="AC7" s="27">
        <f t="shared" si="8"/>
        <v>0</v>
      </c>
      <c r="AD7" s="27">
        <f t="shared" si="19"/>
        <v>0</v>
      </c>
      <c r="AE7" s="1">
        <v>0</v>
      </c>
      <c r="AF7" s="1">
        <v>0</v>
      </c>
      <c r="AG7" s="27">
        <f t="shared" si="9"/>
        <v>0</v>
      </c>
      <c r="AH7" s="31">
        <f>D7+I7+M7+R7+W7+AA7+Cement!P7+Cement!T7+AE7</f>
        <v>1485.3799999999999</v>
      </c>
      <c r="AI7" s="31">
        <f>E7+J7+N7+S7+X7+AB7+Clinker!E7+AF7</f>
        <v>0</v>
      </c>
      <c r="AJ7" s="1">
        <f>Production2!N7</f>
        <v>0</v>
      </c>
      <c r="AK7" s="1">
        <f t="shared" si="10"/>
        <v>0</v>
      </c>
      <c r="AL7" s="297">
        <v>3245</v>
      </c>
      <c r="AM7" s="1"/>
      <c r="AN7" s="1"/>
      <c r="AO7" s="1"/>
      <c r="AP7" s="1"/>
      <c r="AQ7" s="1">
        <f>D7+I7+R7+Cement!P7</f>
        <v>1485.3799999999999</v>
      </c>
      <c r="AR7" s="1">
        <f>AI7+Cement!Q7-Clinker!E7</f>
        <v>587.99999905920004</v>
      </c>
      <c r="AS7" s="1">
        <v>0</v>
      </c>
      <c r="AT7" s="50">
        <f>AI7-Production2!N7</f>
        <v>0</v>
      </c>
      <c r="AU7" s="52">
        <f t="shared" si="11"/>
        <v>0</v>
      </c>
      <c r="AV7">
        <f t="shared" si="12"/>
        <v>0</v>
      </c>
      <c r="AW7">
        <f t="shared" si="13"/>
        <v>-697.96</v>
      </c>
      <c r="AX7">
        <f t="shared" si="14"/>
        <v>787.41999999999985</v>
      </c>
      <c r="AY7">
        <v>0</v>
      </c>
      <c r="AZ7" t="e">
        <f>(AI7-Production2!N7)/'Mines (2)'!AI7</f>
        <v>#DIV/0!</v>
      </c>
      <c r="BA7" t="e">
        <f t="shared" si="15"/>
        <v>#DIV/0!</v>
      </c>
      <c r="BB7">
        <f t="shared" si="16"/>
        <v>0</v>
      </c>
    </row>
    <row r="8" spans="2:54" x14ac:dyDescent="0.25">
      <c r="B8" s="4">
        <v>6</v>
      </c>
      <c r="C8" s="39">
        <f t="shared" si="0"/>
        <v>9865.4231800029702</v>
      </c>
      <c r="D8" s="1">
        <v>0</v>
      </c>
      <c r="E8" s="271">
        <f>F8+'RAW MILL 2'!C8</f>
        <v>1000</v>
      </c>
      <c r="F8" s="1">
        <v>1000</v>
      </c>
      <c r="G8" s="9">
        <f t="shared" si="1"/>
        <v>8865.4231800029702</v>
      </c>
      <c r="H8" s="39">
        <f t="shared" si="2"/>
        <v>14348.878521520443</v>
      </c>
      <c r="I8" s="1">
        <v>420.1</v>
      </c>
      <c r="J8" s="1">
        <v>1471</v>
      </c>
      <c r="K8" s="9">
        <f>H8+I8-J8-Cement!Q8</f>
        <v>12906.298521520443</v>
      </c>
      <c r="L8" s="39">
        <f t="shared" si="3"/>
        <v>124.03999999999975</v>
      </c>
      <c r="M8" s="1">
        <v>0</v>
      </c>
      <c r="N8" s="271">
        <f>O8+'RAW MILL 2'!D8</f>
        <v>10</v>
      </c>
      <c r="O8" s="1">
        <v>10</v>
      </c>
      <c r="P8" s="9">
        <f t="shared" si="4"/>
        <v>114.03999999999975</v>
      </c>
      <c r="Q8" s="39">
        <f t="shared" si="5"/>
        <v>600.28</v>
      </c>
      <c r="R8" s="1">
        <v>0</v>
      </c>
      <c r="S8" s="271">
        <f>T8+'RAW MILL 2'!E8</f>
        <v>12</v>
      </c>
      <c r="T8" s="1">
        <v>12</v>
      </c>
      <c r="U8" s="9">
        <f t="shared" si="6"/>
        <v>588.28</v>
      </c>
      <c r="V8" s="27">
        <f t="shared" si="17"/>
        <v>0</v>
      </c>
      <c r="W8" s="1">
        <v>0</v>
      </c>
      <c r="X8" s="1">
        <v>0</v>
      </c>
      <c r="Y8" s="27">
        <f t="shared" si="7"/>
        <v>0</v>
      </c>
      <c r="Z8" s="27">
        <f t="shared" si="18"/>
        <v>0</v>
      </c>
      <c r="AA8" s="1">
        <v>0</v>
      </c>
      <c r="AB8" s="1">
        <v>0</v>
      </c>
      <c r="AC8" s="27">
        <f t="shared" si="8"/>
        <v>0</v>
      </c>
      <c r="AD8" s="27">
        <f t="shared" si="19"/>
        <v>0</v>
      </c>
      <c r="AE8" s="1">
        <v>0</v>
      </c>
      <c r="AF8" s="1">
        <v>0</v>
      </c>
      <c r="AG8" s="27">
        <f t="shared" si="9"/>
        <v>0</v>
      </c>
      <c r="AH8" s="15">
        <f>D8+I8+M8+R8+W8+AA8+Cement!P8+Cement!T8+AE8</f>
        <v>420.1</v>
      </c>
      <c r="AI8" s="31">
        <f>E8+J8+N8+S8+X8+AB8+Clinker!E8+AF8</f>
        <v>2549</v>
      </c>
      <c r="AJ8" s="1">
        <f>Production2!N8</f>
        <v>2294.1</v>
      </c>
      <c r="AK8" s="1">
        <f t="shared" si="10"/>
        <v>-254.90000000000009</v>
      </c>
      <c r="AL8" s="297">
        <v>3139</v>
      </c>
      <c r="AM8" s="1"/>
      <c r="AN8" s="1"/>
      <c r="AO8" s="1"/>
      <c r="AP8" s="1"/>
      <c r="AQ8" s="1">
        <f>D8+I8+M8+R8+Cement!P8</f>
        <v>420.1</v>
      </c>
      <c r="AR8" s="1">
        <f>AI8+Cement!Q8-Clinker!E8</f>
        <v>2884.6800000000003</v>
      </c>
      <c r="AS8" s="1">
        <v>1300</v>
      </c>
      <c r="AT8" s="50">
        <f>AI8-Production2!N8</f>
        <v>254.90000000000009</v>
      </c>
      <c r="AU8" s="52">
        <f t="shared" si="11"/>
        <v>2549</v>
      </c>
      <c r="AV8">
        <f t="shared" si="12"/>
        <v>2471</v>
      </c>
      <c r="AW8">
        <f t="shared" si="13"/>
        <v>1300</v>
      </c>
      <c r="AX8">
        <f t="shared" si="14"/>
        <v>-419.9</v>
      </c>
      <c r="AY8">
        <v>840</v>
      </c>
      <c r="AZ8">
        <f>(AI8-Production2!N8)/'Mines (2)'!AI8</f>
        <v>0.10000000000000003</v>
      </c>
      <c r="BA8">
        <f t="shared" si="15"/>
        <v>10.000000000000004</v>
      </c>
      <c r="BB8">
        <f t="shared" si="16"/>
        <v>2471</v>
      </c>
    </row>
    <row r="9" spans="2:54" x14ac:dyDescent="0.25">
      <c r="B9" s="4">
        <v>7</v>
      </c>
      <c r="C9" s="39">
        <f t="shared" si="0"/>
        <v>8865.4231800029702</v>
      </c>
      <c r="D9" s="1">
        <v>1837.02</v>
      </c>
      <c r="E9" s="271">
        <f>F9+'RAW MILL 2'!C9</f>
        <v>1314</v>
      </c>
      <c r="F9" s="1">
        <v>1078</v>
      </c>
      <c r="G9" s="9">
        <f>C9+D9-E9</f>
        <v>9388.4431800029706</v>
      </c>
      <c r="H9" s="39">
        <f t="shared" si="2"/>
        <v>12906.298521520443</v>
      </c>
      <c r="I9" s="1">
        <v>1446.6</v>
      </c>
      <c r="J9" s="1">
        <v>2000</v>
      </c>
      <c r="K9" s="9">
        <f>H9+I9-J9-Cement!Q9</f>
        <v>11947.948521520444</v>
      </c>
      <c r="L9" s="39">
        <f t="shared" si="3"/>
        <v>114.03999999999975</v>
      </c>
      <c r="M9" s="1">
        <v>0</v>
      </c>
      <c r="N9" s="271">
        <f>O9+'RAW MILL 2'!D9</f>
        <v>14</v>
      </c>
      <c r="O9" s="1">
        <v>13</v>
      </c>
      <c r="P9" s="9">
        <f t="shared" si="4"/>
        <v>100.03999999999975</v>
      </c>
      <c r="Q9" s="39">
        <f t="shared" si="5"/>
        <v>588.28</v>
      </c>
      <c r="R9" s="1">
        <v>0</v>
      </c>
      <c r="S9" s="271">
        <f>T9+'RAW MILL 2'!E9</f>
        <v>0</v>
      </c>
      <c r="T9" s="1">
        <v>0</v>
      </c>
      <c r="U9" s="9">
        <f t="shared" si="6"/>
        <v>588.28</v>
      </c>
      <c r="V9" s="27">
        <f t="shared" si="17"/>
        <v>0</v>
      </c>
      <c r="W9" s="1">
        <v>0</v>
      </c>
      <c r="X9" s="1">
        <v>0</v>
      </c>
      <c r="Y9" s="27">
        <f t="shared" si="7"/>
        <v>0</v>
      </c>
      <c r="Z9" s="27">
        <f t="shared" si="18"/>
        <v>0</v>
      </c>
      <c r="AA9" s="1">
        <v>0</v>
      </c>
      <c r="AB9" s="1">
        <v>0</v>
      </c>
      <c r="AC9" s="27">
        <f t="shared" si="8"/>
        <v>0</v>
      </c>
      <c r="AD9" s="27">
        <f t="shared" si="19"/>
        <v>0</v>
      </c>
      <c r="AE9" s="1">
        <v>0</v>
      </c>
      <c r="AF9" s="1">
        <v>0</v>
      </c>
      <c r="AG9" s="27">
        <f t="shared" si="9"/>
        <v>0</v>
      </c>
      <c r="AH9" s="14">
        <f>D9+I9+M9+R9+W9+AA9+Cement!P9+Cement!T9+AE9</f>
        <v>3283.62</v>
      </c>
      <c r="AI9" s="31">
        <f>E9+J9+N9+S9+X9+AB9+Clinker!E9+AF9</f>
        <v>3396</v>
      </c>
      <c r="AJ9" s="1">
        <f>Production2!N9</f>
        <v>2838</v>
      </c>
      <c r="AK9" s="1">
        <f t="shared" si="10"/>
        <v>-558</v>
      </c>
      <c r="AL9" s="297">
        <v>1732</v>
      </c>
      <c r="AM9" s="1"/>
      <c r="AN9" s="1"/>
      <c r="AO9" s="1"/>
      <c r="AP9" s="1"/>
      <c r="AQ9" s="1">
        <f>D9+I9+M9+R9+Cement!P9</f>
        <v>3283.62</v>
      </c>
      <c r="AR9" s="1">
        <f>AI9+Cement!Q9-Clinker!E9</f>
        <v>3732.9499999999989</v>
      </c>
      <c r="AS9" s="1">
        <v>480</v>
      </c>
      <c r="AT9" s="50">
        <f>AI9-Production2!N9</f>
        <v>558</v>
      </c>
      <c r="AU9" s="52">
        <f t="shared" si="11"/>
        <v>3396</v>
      </c>
      <c r="AV9">
        <f t="shared" si="12"/>
        <v>3314</v>
      </c>
      <c r="AW9">
        <f t="shared" si="13"/>
        <v>-1357.02</v>
      </c>
      <c r="AX9">
        <f t="shared" si="14"/>
        <v>-733.40000000000009</v>
      </c>
      <c r="AY9">
        <v>2180</v>
      </c>
      <c r="AZ9">
        <f>(AI9-Production2!N9)/'Mines (2)'!AI9</f>
        <v>0.16431095406360424</v>
      </c>
      <c r="BA9">
        <f t="shared" si="15"/>
        <v>16.431095406360424</v>
      </c>
      <c r="BB9">
        <f t="shared" si="16"/>
        <v>3314</v>
      </c>
    </row>
    <row r="10" spans="2:54" x14ac:dyDescent="0.25">
      <c r="B10" s="4">
        <v>8</v>
      </c>
      <c r="C10" s="39">
        <f t="shared" si="0"/>
        <v>9388.4431800029706</v>
      </c>
      <c r="D10" s="1">
        <v>588.58000000000004</v>
      </c>
      <c r="E10" s="271">
        <f>F10+'RAW MILL 2'!C10</f>
        <v>2195</v>
      </c>
      <c r="F10" s="1">
        <v>2000</v>
      </c>
      <c r="G10" s="9">
        <f t="shared" si="1"/>
        <v>7782.0231800029705</v>
      </c>
      <c r="H10" s="39">
        <f t="shared" si="2"/>
        <v>11947.948521520444</v>
      </c>
      <c r="I10" s="1">
        <v>2411.2199999999998</v>
      </c>
      <c r="J10" s="1">
        <v>1117</v>
      </c>
      <c r="K10" s="9">
        <f>H10+I10-J10-Cement!Q10</f>
        <v>12963.168521520443</v>
      </c>
      <c r="L10" s="39">
        <f t="shared" si="3"/>
        <v>100.03999999999975</v>
      </c>
      <c r="M10" s="1">
        <v>0</v>
      </c>
      <c r="N10" s="271">
        <f>O10+'RAW MILL 2'!D10</f>
        <v>0</v>
      </c>
      <c r="O10" s="1">
        <v>0</v>
      </c>
      <c r="P10" s="9">
        <f t="shared" si="4"/>
        <v>100.03999999999975</v>
      </c>
      <c r="Q10" s="39">
        <f t="shared" si="5"/>
        <v>588.28</v>
      </c>
      <c r="R10" s="1">
        <v>0</v>
      </c>
      <c r="S10" s="271">
        <f>T10+'RAW MILL 2'!E10</f>
        <v>14</v>
      </c>
      <c r="T10" s="1">
        <v>13</v>
      </c>
      <c r="U10" s="9">
        <f t="shared" si="6"/>
        <v>574.28</v>
      </c>
      <c r="V10" s="27">
        <f t="shared" si="17"/>
        <v>0</v>
      </c>
      <c r="W10" s="1">
        <v>0</v>
      </c>
      <c r="X10" s="1">
        <v>0</v>
      </c>
      <c r="Y10" s="27">
        <f t="shared" si="7"/>
        <v>0</v>
      </c>
      <c r="Z10" s="27">
        <f t="shared" si="18"/>
        <v>0</v>
      </c>
      <c r="AA10" s="1">
        <v>0</v>
      </c>
      <c r="AB10" s="1">
        <v>0</v>
      </c>
      <c r="AC10" s="27">
        <f t="shared" si="8"/>
        <v>0</v>
      </c>
      <c r="AD10" s="27">
        <f t="shared" si="19"/>
        <v>0</v>
      </c>
      <c r="AE10" s="1">
        <v>0</v>
      </c>
      <c r="AF10" s="1">
        <v>0</v>
      </c>
      <c r="AG10" s="27">
        <f t="shared" si="9"/>
        <v>0</v>
      </c>
      <c r="AH10" s="31">
        <f>D10+I10+M10+R10+W10+AA10+Cement!P10+Cement!T10+AE10</f>
        <v>2999.7999999999997</v>
      </c>
      <c r="AI10" s="31">
        <f>E10+J10+N10+S10+X10+AB10+Clinker!E10+AF10</f>
        <v>3377</v>
      </c>
      <c r="AJ10" s="1">
        <f>Production2!N10</f>
        <v>2860</v>
      </c>
      <c r="AK10" s="1">
        <f t="shared" si="10"/>
        <v>-517</v>
      </c>
      <c r="AL10" s="297">
        <v>1959</v>
      </c>
      <c r="AM10" s="1"/>
      <c r="AN10" s="1"/>
      <c r="AO10" s="1"/>
      <c r="AP10" s="1"/>
      <c r="AQ10" s="1">
        <f>D10+I10+M10+R10+Cement!P10</f>
        <v>2999.7999999999997</v>
      </c>
      <c r="AR10" s="1">
        <f>AI10+Cement!Q10-Clinker!E10</f>
        <v>3605</v>
      </c>
      <c r="AS10" s="1">
        <v>1612.0800000000002</v>
      </c>
      <c r="AT10" s="50">
        <f>AI10-Production2!N10</f>
        <v>517</v>
      </c>
      <c r="AU10" s="52">
        <f t="shared" si="11"/>
        <v>3377</v>
      </c>
      <c r="AV10">
        <f t="shared" si="12"/>
        <v>3312</v>
      </c>
      <c r="AW10">
        <f t="shared" si="13"/>
        <v>1023.5000000000001</v>
      </c>
      <c r="AX10">
        <f t="shared" si="14"/>
        <v>1771.2199999999998</v>
      </c>
      <c r="AY10">
        <v>640</v>
      </c>
      <c r="AZ10">
        <f>(AI10-Production2!N10)/'Mines (2)'!AI10</f>
        <v>0.15309446254071662</v>
      </c>
      <c r="BA10">
        <f t="shared" si="15"/>
        <v>15.309446254071663</v>
      </c>
      <c r="BB10">
        <f t="shared" si="16"/>
        <v>3312</v>
      </c>
    </row>
    <row r="11" spans="2:54" x14ac:dyDescent="0.25">
      <c r="B11" s="4">
        <v>9</v>
      </c>
      <c r="C11" s="39">
        <f t="shared" si="0"/>
        <v>7782.0231800029705</v>
      </c>
      <c r="D11" s="1">
        <v>0</v>
      </c>
      <c r="E11" s="271">
        <f>F11+'RAW MILL 2'!C11</f>
        <v>1743</v>
      </c>
      <c r="F11" s="1">
        <v>1661</v>
      </c>
      <c r="G11" s="9">
        <f t="shared" si="1"/>
        <v>6039.0231800029705</v>
      </c>
      <c r="H11" s="39">
        <f t="shared" si="2"/>
        <v>12963.168521520443</v>
      </c>
      <c r="I11" s="1">
        <v>3157.38</v>
      </c>
      <c r="J11" s="1">
        <v>1000</v>
      </c>
      <c r="K11" s="9">
        <f>H11+I11-J11-Cement!Q11</f>
        <v>14840.298522135043</v>
      </c>
      <c r="L11" s="39">
        <f t="shared" si="3"/>
        <v>100.03999999999975</v>
      </c>
      <c r="M11" s="1">
        <v>0</v>
      </c>
      <c r="N11" s="271">
        <f>O11+'RAW MILL 2'!D11</f>
        <v>0</v>
      </c>
      <c r="O11" s="1">
        <v>0</v>
      </c>
      <c r="P11" s="9">
        <f t="shared" si="4"/>
        <v>100.03999999999975</v>
      </c>
      <c r="Q11" s="39">
        <f t="shared" si="5"/>
        <v>574.28</v>
      </c>
      <c r="R11" s="1">
        <v>0</v>
      </c>
      <c r="S11" s="271">
        <f>T11+'RAW MILL 2'!E11</f>
        <v>9</v>
      </c>
      <c r="T11" s="1">
        <v>8</v>
      </c>
      <c r="U11" s="9">
        <f t="shared" si="6"/>
        <v>565.28</v>
      </c>
      <c r="V11" s="27">
        <f t="shared" si="17"/>
        <v>0</v>
      </c>
      <c r="W11" s="1">
        <v>0</v>
      </c>
      <c r="X11" s="1">
        <v>0</v>
      </c>
      <c r="Y11" s="27">
        <f t="shared" si="7"/>
        <v>0</v>
      </c>
      <c r="Z11" s="27">
        <f t="shared" si="18"/>
        <v>0</v>
      </c>
      <c r="AA11" s="1">
        <v>0</v>
      </c>
      <c r="AB11" s="1">
        <v>0</v>
      </c>
      <c r="AC11" s="27">
        <f t="shared" si="8"/>
        <v>0</v>
      </c>
      <c r="AD11" s="27">
        <f t="shared" si="19"/>
        <v>0</v>
      </c>
      <c r="AE11" s="1">
        <v>0</v>
      </c>
      <c r="AF11" s="1">
        <v>0</v>
      </c>
      <c r="AG11" s="27">
        <f t="shared" si="9"/>
        <v>0</v>
      </c>
      <c r="AH11" s="31">
        <f>D11+I11+M11+R11+W11+AA11+Cement!P11+Cement!T11+AE11</f>
        <v>3157.38</v>
      </c>
      <c r="AI11" s="31">
        <f>E11+J11+N11+S11+X11+AB11+Clinker!E11+AF11</f>
        <v>2808</v>
      </c>
      <c r="AJ11" s="1">
        <f>Production2!N11</f>
        <v>2453</v>
      </c>
      <c r="AK11" s="1">
        <f t="shared" si="10"/>
        <v>-355</v>
      </c>
      <c r="AL11" s="297">
        <v>3119</v>
      </c>
      <c r="AM11" s="1"/>
      <c r="AN11" s="1"/>
      <c r="AO11" s="1"/>
      <c r="AP11" s="1"/>
      <c r="AQ11" s="1">
        <f>D11+I11+M11+R11+Cement!P11</f>
        <v>3157.38</v>
      </c>
      <c r="AR11" s="1">
        <f>AI11+Cement!Q11-Clinker!E11</f>
        <v>3032.2499993853999</v>
      </c>
      <c r="AS11" s="1">
        <v>2277.2599999999989</v>
      </c>
      <c r="AT11" s="50">
        <f>AI11-Production2!N11</f>
        <v>355</v>
      </c>
      <c r="AU11" s="52">
        <f t="shared" si="11"/>
        <v>2808</v>
      </c>
      <c r="AV11">
        <f t="shared" si="12"/>
        <v>2743</v>
      </c>
      <c r="AW11">
        <f t="shared" si="13"/>
        <v>2277.2599999999989</v>
      </c>
      <c r="AX11">
        <f t="shared" si="14"/>
        <v>2539.6000000000004</v>
      </c>
      <c r="AY11">
        <v>617.77999999999986</v>
      </c>
      <c r="AZ11">
        <f>(AI11-Production2!N11)/'Mines (2)'!AI11</f>
        <v>0.12642450142450143</v>
      </c>
      <c r="BA11">
        <f t="shared" si="15"/>
        <v>12.642450142450143</v>
      </c>
      <c r="BB11">
        <f t="shared" si="16"/>
        <v>2743</v>
      </c>
    </row>
    <row r="12" spans="2:54" x14ac:dyDescent="0.25">
      <c r="B12" s="4">
        <v>10</v>
      </c>
      <c r="C12" s="39">
        <f t="shared" si="0"/>
        <v>6039.0231800029705</v>
      </c>
      <c r="D12" s="1">
        <v>1458.1399999999996</v>
      </c>
      <c r="E12" s="271">
        <f>F12+'RAW MILL 2'!C12</f>
        <v>2150</v>
      </c>
      <c r="F12" s="1">
        <v>1897</v>
      </c>
      <c r="G12" s="9">
        <f t="shared" si="1"/>
        <v>5347.16318000297</v>
      </c>
      <c r="H12" s="39">
        <f t="shared" si="2"/>
        <v>14840.298522135043</v>
      </c>
      <c r="I12" s="1">
        <v>1302.4600000000003</v>
      </c>
      <c r="J12" s="1">
        <v>1000</v>
      </c>
      <c r="K12" s="9">
        <f>H12+I12-J12-Cement!Q12</f>
        <v>14833.258523119544</v>
      </c>
      <c r="L12" s="39">
        <f t="shared" si="3"/>
        <v>100.03999999999975</v>
      </c>
      <c r="M12" s="1">
        <v>0</v>
      </c>
      <c r="N12" s="271">
        <f>O12+'RAW MILL 2'!D12</f>
        <v>0</v>
      </c>
      <c r="O12" s="1">
        <v>0</v>
      </c>
      <c r="P12" s="9">
        <f t="shared" si="4"/>
        <v>100.03999999999975</v>
      </c>
      <c r="Q12" s="39">
        <f t="shared" si="5"/>
        <v>565.28</v>
      </c>
      <c r="R12" s="1">
        <v>0</v>
      </c>
      <c r="S12" s="271">
        <f>T12+'RAW MILL 2'!E12</f>
        <v>11</v>
      </c>
      <c r="T12" s="1">
        <v>10</v>
      </c>
      <c r="U12" s="9">
        <f t="shared" si="6"/>
        <v>554.28</v>
      </c>
      <c r="V12" s="27">
        <f t="shared" si="17"/>
        <v>0</v>
      </c>
      <c r="W12" s="1">
        <v>0</v>
      </c>
      <c r="X12" s="1">
        <v>0</v>
      </c>
      <c r="Y12" s="27">
        <f t="shared" si="7"/>
        <v>0</v>
      </c>
      <c r="Z12" s="27">
        <f t="shared" si="18"/>
        <v>0</v>
      </c>
      <c r="AA12" s="1">
        <v>0</v>
      </c>
      <c r="AB12" s="1">
        <v>0</v>
      </c>
      <c r="AC12" s="27">
        <f t="shared" si="8"/>
        <v>0</v>
      </c>
      <c r="AD12" s="27">
        <f t="shared" si="19"/>
        <v>0</v>
      </c>
      <c r="AE12" s="1">
        <v>0</v>
      </c>
      <c r="AF12" s="1">
        <v>0</v>
      </c>
      <c r="AG12" s="27">
        <f t="shared" si="9"/>
        <v>0</v>
      </c>
      <c r="AH12" s="31">
        <f>D12+I12+M12+R12+W12+AA12+Cement!P12+Cement!T12+AE12</f>
        <v>2760.6</v>
      </c>
      <c r="AI12" s="15">
        <f>E12+J12+N12+S12+X12+AB12+Clinker!E12+AF12</f>
        <v>3225</v>
      </c>
      <c r="AJ12" s="1">
        <f>Production2!N12</f>
        <v>2669</v>
      </c>
      <c r="AK12" s="1">
        <f t="shared" si="10"/>
        <v>-556</v>
      </c>
      <c r="AL12" s="297">
        <v>3017</v>
      </c>
      <c r="AM12" s="1"/>
      <c r="AN12" s="1"/>
      <c r="AO12" s="1"/>
      <c r="AP12" s="1"/>
      <c r="AQ12" s="1">
        <f>D12+I12+M12+R12+Cement!P12</f>
        <v>2760.6</v>
      </c>
      <c r="AR12" s="1">
        <f>AI12+Cement!Q12-Clinker!E12</f>
        <v>3470.4999990155002</v>
      </c>
      <c r="AS12" s="1">
        <v>400.6400000000001</v>
      </c>
      <c r="AT12" s="50">
        <f>AI12-Production2!N12</f>
        <v>556</v>
      </c>
      <c r="AU12" s="52">
        <f t="shared" si="11"/>
        <v>3225</v>
      </c>
      <c r="AV12">
        <f t="shared" si="12"/>
        <v>3150</v>
      </c>
      <c r="AW12">
        <f t="shared" si="13"/>
        <v>-1057.4999999999995</v>
      </c>
      <c r="AX12">
        <f t="shared" si="14"/>
        <v>159.88000000000011</v>
      </c>
      <c r="AY12">
        <v>1142.5800000000002</v>
      </c>
      <c r="AZ12">
        <f>(AI12-Production2!N12)/'Mines (2)'!AI12</f>
        <v>0.1724031007751938</v>
      </c>
      <c r="BA12">
        <f t="shared" si="15"/>
        <v>17.240310077519378</v>
      </c>
      <c r="BB12">
        <f t="shared" si="16"/>
        <v>3150</v>
      </c>
    </row>
    <row r="13" spans="2:54" ht="17.25" customHeight="1" x14ac:dyDescent="0.25">
      <c r="B13" s="4">
        <v>11</v>
      </c>
      <c r="C13" s="39">
        <f t="shared" si="0"/>
        <v>5347.16318000297</v>
      </c>
      <c r="D13" s="1">
        <v>1032.8400000000001</v>
      </c>
      <c r="E13" s="271">
        <f>F13+'RAW MILL 2'!C13</f>
        <v>1807</v>
      </c>
      <c r="F13" s="1">
        <v>1660</v>
      </c>
      <c r="G13" s="9">
        <f t="shared" si="1"/>
        <v>4573.0031800029701</v>
      </c>
      <c r="H13" s="39">
        <f t="shared" si="2"/>
        <v>14833.258523119544</v>
      </c>
      <c r="I13" s="1">
        <v>2249.4600000000014</v>
      </c>
      <c r="J13" s="1">
        <v>1000</v>
      </c>
      <c r="K13" s="9">
        <f>H13+I13-J13-Cement!Q13</f>
        <v>15864.718523913547</v>
      </c>
      <c r="L13" s="39">
        <f t="shared" si="3"/>
        <v>100.03999999999975</v>
      </c>
      <c r="M13" s="1">
        <v>0</v>
      </c>
      <c r="N13" s="271">
        <f>O13+'RAW MILL 2'!D13</f>
        <v>0</v>
      </c>
      <c r="O13" s="1">
        <v>0</v>
      </c>
      <c r="P13" s="9">
        <f t="shared" si="4"/>
        <v>100.03999999999975</v>
      </c>
      <c r="Q13" s="39">
        <f t="shared" si="5"/>
        <v>554.28</v>
      </c>
      <c r="R13" s="1">
        <v>0</v>
      </c>
      <c r="S13" s="271">
        <f>T13+'RAW MILL 2'!E13</f>
        <v>9</v>
      </c>
      <c r="T13" s="1">
        <v>8</v>
      </c>
      <c r="U13" s="9">
        <f t="shared" si="6"/>
        <v>545.28</v>
      </c>
      <c r="V13" s="27">
        <f t="shared" si="17"/>
        <v>0</v>
      </c>
      <c r="W13" s="1">
        <v>0</v>
      </c>
      <c r="X13" s="1">
        <v>0</v>
      </c>
      <c r="Y13" s="27">
        <f t="shared" si="7"/>
        <v>0</v>
      </c>
      <c r="Z13" s="27">
        <f t="shared" si="18"/>
        <v>0</v>
      </c>
      <c r="AA13" s="1">
        <v>0</v>
      </c>
      <c r="AB13" s="1">
        <v>0</v>
      </c>
      <c r="AC13" s="27">
        <f t="shared" si="8"/>
        <v>0</v>
      </c>
      <c r="AD13" s="27">
        <f t="shared" si="19"/>
        <v>0</v>
      </c>
      <c r="AE13" s="1">
        <v>0</v>
      </c>
      <c r="AF13" s="1">
        <v>0</v>
      </c>
      <c r="AG13" s="27">
        <f t="shared" si="9"/>
        <v>0</v>
      </c>
      <c r="AH13" s="31">
        <f>D13+I13+M13+R13+W13+AA13+Cement!P13+Cement!T13+AE13</f>
        <v>3282.3000000000015</v>
      </c>
      <c r="AI13" s="15">
        <f>E13+J13+N13+S13+X13+AB13+Clinker!E13+AF13</f>
        <v>2874</v>
      </c>
      <c r="AJ13" s="1">
        <f>Production2!N13</f>
        <v>2451</v>
      </c>
      <c r="AK13" s="1">
        <f t="shared" si="10"/>
        <v>-423</v>
      </c>
      <c r="AL13" s="297">
        <v>3256</v>
      </c>
      <c r="AM13" s="1"/>
      <c r="AN13" s="1"/>
      <c r="AO13" s="1"/>
      <c r="AP13" s="1"/>
      <c r="AQ13" s="1">
        <f>D13+I13+M13+R13+Cement!P13</f>
        <v>3282.3000000000015</v>
      </c>
      <c r="AR13" s="1">
        <f>AI13+Cement!Q13-Clinker!E13</f>
        <v>3033.9999992060002</v>
      </c>
      <c r="AS13" s="1">
        <v>1843.24</v>
      </c>
      <c r="AT13" s="50">
        <f>AI13-Production2!N13</f>
        <v>423</v>
      </c>
      <c r="AU13" s="52">
        <f t="shared" si="11"/>
        <v>2874</v>
      </c>
      <c r="AV13">
        <f t="shared" si="12"/>
        <v>2807</v>
      </c>
      <c r="AW13">
        <f t="shared" si="13"/>
        <v>810.39999999999986</v>
      </c>
      <c r="AX13">
        <f t="shared" si="14"/>
        <v>1155.9800000000012</v>
      </c>
      <c r="AY13">
        <v>1093.4800000000002</v>
      </c>
      <c r="AZ13">
        <f>(AI13-Production2!N13)/'Mines (2)'!AI13</f>
        <v>0.14718162839248433</v>
      </c>
      <c r="BA13">
        <f t="shared" si="15"/>
        <v>14.718162839248434</v>
      </c>
      <c r="BB13">
        <f t="shared" si="16"/>
        <v>2807</v>
      </c>
    </row>
    <row r="14" spans="2:54" x14ac:dyDescent="0.25">
      <c r="B14" s="4">
        <v>12</v>
      </c>
      <c r="C14" s="39">
        <f t="shared" si="0"/>
        <v>4573.0031800029701</v>
      </c>
      <c r="D14" s="1">
        <v>1071.7</v>
      </c>
      <c r="E14" s="271">
        <f>F14+'RAW MILL 2'!C14</f>
        <v>1141</v>
      </c>
      <c r="F14" s="1">
        <v>1007</v>
      </c>
      <c r="G14" s="9">
        <f t="shared" si="1"/>
        <v>4503.7031800029699</v>
      </c>
      <c r="H14" s="39">
        <f t="shared" si="2"/>
        <v>15864.718523913547</v>
      </c>
      <c r="I14" s="1">
        <v>1827.2399999999998</v>
      </c>
      <c r="J14" s="1">
        <v>2000</v>
      </c>
      <c r="K14" s="9">
        <f>H14+I14-J14-Cement!Q14</f>
        <v>15430.708523913549</v>
      </c>
      <c r="L14" s="39">
        <f t="shared" si="3"/>
        <v>100.03999999999975</v>
      </c>
      <c r="M14" s="1">
        <v>0</v>
      </c>
      <c r="N14" s="271">
        <f>O14+'RAW MILL 2'!D14</f>
        <v>5</v>
      </c>
      <c r="O14" s="1">
        <v>5</v>
      </c>
      <c r="P14" s="9">
        <f t="shared" si="4"/>
        <v>95.03999999999975</v>
      </c>
      <c r="Q14" s="39">
        <f t="shared" si="5"/>
        <v>545.28</v>
      </c>
      <c r="R14" s="1">
        <v>0</v>
      </c>
      <c r="S14" s="271">
        <f>T14+'RAW MILL 2'!E14</f>
        <v>10</v>
      </c>
      <c r="T14" s="1">
        <v>9</v>
      </c>
      <c r="U14" s="9">
        <f t="shared" si="6"/>
        <v>535.28</v>
      </c>
      <c r="V14" s="27">
        <f t="shared" si="17"/>
        <v>0</v>
      </c>
      <c r="W14" s="1">
        <v>0</v>
      </c>
      <c r="X14" s="1">
        <v>0</v>
      </c>
      <c r="Y14" s="27">
        <f t="shared" si="7"/>
        <v>0</v>
      </c>
      <c r="Z14" s="27">
        <f t="shared" si="18"/>
        <v>0</v>
      </c>
      <c r="AA14" s="1">
        <v>0</v>
      </c>
      <c r="AB14" s="1">
        <v>0</v>
      </c>
      <c r="AC14" s="27">
        <f t="shared" si="8"/>
        <v>0</v>
      </c>
      <c r="AD14" s="27">
        <f t="shared" si="19"/>
        <v>0</v>
      </c>
      <c r="AE14" s="1">
        <v>0</v>
      </c>
      <c r="AF14" s="1">
        <v>0</v>
      </c>
      <c r="AG14" s="27">
        <f t="shared" si="9"/>
        <v>0</v>
      </c>
      <c r="AH14" s="31">
        <f>D14+I14+M14+R14+W14+AA14+Cement!P14+Cement!T14+AE14</f>
        <v>2898.9399999999996</v>
      </c>
      <c r="AI14" s="15">
        <f>E14+J14+N14+S14+X14+AB14+Clinker!E14+AF14</f>
        <v>3236</v>
      </c>
      <c r="AJ14" s="1">
        <f>Production2!N14</f>
        <v>2790</v>
      </c>
      <c r="AK14" s="1">
        <f t="shared" si="10"/>
        <v>-446</v>
      </c>
      <c r="AL14" s="297">
        <v>3209</v>
      </c>
      <c r="AM14" s="1"/>
      <c r="AN14" s="1"/>
      <c r="AO14" s="1"/>
      <c r="AP14" s="1"/>
      <c r="AQ14" s="1">
        <f>D14+I14+M14+R14+Cement!P14</f>
        <v>2898.9399999999996</v>
      </c>
      <c r="AR14" s="1">
        <f>AI14+Cement!Q14-Clinker!E14</f>
        <v>3417.25</v>
      </c>
      <c r="AS14" s="1">
        <v>665.75999999999988</v>
      </c>
      <c r="AT14" s="50">
        <f>AI14-Production2!N14</f>
        <v>446</v>
      </c>
      <c r="AU14" s="52">
        <f t="shared" si="11"/>
        <v>3236</v>
      </c>
      <c r="AV14">
        <f t="shared" si="12"/>
        <v>3141</v>
      </c>
      <c r="AW14">
        <f t="shared" si="13"/>
        <v>-405.94000000000017</v>
      </c>
      <c r="AX14">
        <f t="shared" si="14"/>
        <v>641.81999999999948</v>
      </c>
      <c r="AY14">
        <v>1185.4200000000003</v>
      </c>
      <c r="AZ14">
        <f>(AI14-Production2!N14)/'Mines (2)'!AI14</f>
        <v>0.13782447466007416</v>
      </c>
      <c r="BA14">
        <f t="shared" si="15"/>
        <v>13.782447466007417</v>
      </c>
      <c r="BB14">
        <f t="shared" si="16"/>
        <v>3141</v>
      </c>
    </row>
    <row r="15" spans="2:54" x14ac:dyDescent="0.25">
      <c r="B15" s="4">
        <v>13</v>
      </c>
      <c r="C15" s="39">
        <f t="shared" si="0"/>
        <v>4503.7031800029699</v>
      </c>
      <c r="D15" s="1">
        <v>0</v>
      </c>
      <c r="E15" s="271">
        <f>F15+'RAW MILL 2'!C15</f>
        <v>859</v>
      </c>
      <c r="F15" s="1">
        <v>639</v>
      </c>
      <c r="G15" s="9">
        <f t="shared" si="1"/>
        <v>3644.7031800029699</v>
      </c>
      <c r="H15" s="39">
        <f t="shared" si="2"/>
        <v>15430.708523913549</v>
      </c>
      <c r="I15" s="1">
        <v>2390.2600000000002</v>
      </c>
      <c r="J15" s="1">
        <v>2000</v>
      </c>
      <c r="K15" s="9">
        <f>H15+I15-J15-Cement!Q15</f>
        <v>15615.668523913551</v>
      </c>
      <c r="L15" s="39">
        <f t="shared" si="3"/>
        <v>95.03999999999975</v>
      </c>
      <c r="M15" s="1">
        <v>0</v>
      </c>
      <c r="N15" s="271">
        <f>O15+'RAW MILL 2'!D15</f>
        <v>23</v>
      </c>
      <c r="O15" s="1">
        <v>22</v>
      </c>
      <c r="P15" s="9">
        <f t="shared" si="4"/>
        <v>72.03999999999975</v>
      </c>
      <c r="Q15" s="39">
        <f t="shared" si="5"/>
        <v>535.28</v>
      </c>
      <c r="R15" s="1">
        <v>0</v>
      </c>
      <c r="S15" s="271">
        <f>T15+'RAW MILL 2'!E15</f>
        <v>19</v>
      </c>
      <c r="T15" s="1">
        <v>17</v>
      </c>
      <c r="U15" s="9">
        <f t="shared" si="6"/>
        <v>516.28</v>
      </c>
      <c r="V15" s="27">
        <f t="shared" si="17"/>
        <v>0</v>
      </c>
      <c r="W15" s="1">
        <v>0</v>
      </c>
      <c r="X15" s="1">
        <v>0</v>
      </c>
      <c r="Y15" s="27">
        <f t="shared" si="7"/>
        <v>0</v>
      </c>
      <c r="Z15" s="27">
        <f t="shared" si="18"/>
        <v>0</v>
      </c>
      <c r="AA15" s="1">
        <v>0</v>
      </c>
      <c r="AB15" s="1">
        <v>0</v>
      </c>
      <c r="AC15" s="27">
        <f t="shared" si="8"/>
        <v>0</v>
      </c>
      <c r="AD15" s="27">
        <f t="shared" si="19"/>
        <v>0</v>
      </c>
      <c r="AE15" s="1">
        <v>0</v>
      </c>
      <c r="AF15" s="1">
        <v>0</v>
      </c>
      <c r="AG15" s="27">
        <f t="shared" si="9"/>
        <v>0</v>
      </c>
      <c r="AH15" s="31">
        <f>D15+I15+M15+R15+W15+AA15+Cement!P15+Cement!T15+AE15</f>
        <v>2390.2600000000002</v>
      </c>
      <c r="AI15" s="15">
        <f>E15+J15+N15+S15+X15+AB15+Clinker!E15+AF15</f>
        <v>2961</v>
      </c>
      <c r="AJ15" s="1">
        <f>Production2!N15</f>
        <v>2460</v>
      </c>
      <c r="AK15" s="1">
        <f t="shared" si="10"/>
        <v>-501</v>
      </c>
      <c r="AL15" s="297">
        <v>3075</v>
      </c>
      <c r="AM15" s="1"/>
      <c r="AN15" s="1"/>
      <c r="AO15" s="1"/>
      <c r="AP15" s="1"/>
      <c r="AQ15" s="1">
        <f>D15+I15+M15+R15+Cement!P15</f>
        <v>2390.2600000000002</v>
      </c>
      <c r="AR15" s="1">
        <f>AI15+Cement!Q15-Clinker!E15</f>
        <v>3106.2999999999993</v>
      </c>
      <c r="AS15" s="1">
        <v>776.72</v>
      </c>
      <c r="AT15" s="50">
        <f>AI15-Production2!N15</f>
        <v>501</v>
      </c>
      <c r="AU15" s="52">
        <f t="shared" si="11"/>
        <v>2961</v>
      </c>
      <c r="AV15">
        <f t="shared" si="12"/>
        <v>2859</v>
      </c>
      <c r="AW15">
        <f t="shared" si="13"/>
        <v>776.72</v>
      </c>
      <c r="AX15">
        <f t="shared" si="14"/>
        <v>1169.7400000000007</v>
      </c>
      <c r="AY15">
        <v>1220.5199999999995</v>
      </c>
      <c r="AZ15">
        <f>(AI15-Production2!N15)/'Mines (2)'!AI15</f>
        <v>0.16919959473150961</v>
      </c>
      <c r="BA15">
        <f t="shared" si="15"/>
        <v>16.919959473150961</v>
      </c>
      <c r="BB15">
        <f t="shared" si="16"/>
        <v>2859</v>
      </c>
    </row>
    <row r="16" spans="2:54" x14ac:dyDescent="0.25">
      <c r="B16" s="4">
        <v>14</v>
      </c>
      <c r="C16" s="39">
        <f t="shared" si="0"/>
        <v>3644.7031800029699</v>
      </c>
      <c r="D16" s="1">
        <v>0</v>
      </c>
      <c r="E16" s="271">
        <f>F16+'RAW MILL 2'!C16</f>
        <v>912</v>
      </c>
      <c r="F16" s="1">
        <v>697</v>
      </c>
      <c r="G16" s="9">
        <f t="shared" si="1"/>
        <v>2732.7031800029699</v>
      </c>
      <c r="H16" s="39">
        <f t="shared" si="2"/>
        <v>15615.668523913551</v>
      </c>
      <c r="I16" s="1">
        <v>2389.2600000000002</v>
      </c>
      <c r="J16" s="1">
        <v>2000</v>
      </c>
      <c r="K16" s="9">
        <f>H16+I16-J16-Cement!Q16</f>
        <v>15725.328523913549</v>
      </c>
      <c r="L16" s="39">
        <f t="shared" si="3"/>
        <v>72.03999999999975</v>
      </c>
      <c r="M16" s="1">
        <v>0</v>
      </c>
      <c r="N16" s="271">
        <f>O16+'RAW MILL 2'!D16</f>
        <v>27</v>
      </c>
      <c r="O16" s="1">
        <v>25</v>
      </c>
      <c r="P16" s="9">
        <f t="shared" si="4"/>
        <v>45.03999999999975</v>
      </c>
      <c r="Q16" s="39">
        <f t="shared" si="5"/>
        <v>516.28</v>
      </c>
      <c r="R16" s="1">
        <v>0</v>
      </c>
      <c r="S16" s="271">
        <f>T16+'RAW MILL 2'!E16</f>
        <v>0</v>
      </c>
      <c r="T16" s="1">
        <v>0</v>
      </c>
      <c r="U16" s="9">
        <f t="shared" si="6"/>
        <v>516.28</v>
      </c>
      <c r="V16" s="27">
        <f t="shared" si="17"/>
        <v>0</v>
      </c>
      <c r="W16" s="1">
        <v>0</v>
      </c>
      <c r="X16" s="1">
        <v>0</v>
      </c>
      <c r="Y16" s="27">
        <f t="shared" si="7"/>
        <v>0</v>
      </c>
      <c r="Z16" s="27">
        <f t="shared" si="18"/>
        <v>0</v>
      </c>
      <c r="AA16" s="1">
        <v>0</v>
      </c>
      <c r="AB16" s="1">
        <v>0</v>
      </c>
      <c r="AC16" s="27">
        <f t="shared" si="8"/>
        <v>0</v>
      </c>
      <c r="AD16" s="27">
        <f t="shared" si="19"/>
        <v>0</v>
      </c>
      <c r="AE16" s="1">
        <v>0</v>
      </c>
      <c r="AF16" s="1">
        <v>0</v>
      </c>
      <c r="AG16" s="27">
        <f t="shared" si="9"/>
        <v>0</v>
      </c>
      <c r="AH16" s="31">
        <f>D16+I16+M16+R16+W16+AA16+Cement!P16+Cement!T16+AE16</f>
        <v>2389.2600000000002</v>
      </c>
      <c r="AI16" s="15">
        <f>E16+J16+N16+S16+X16+AB16+Clinker!E16+AF16</f>
        <v>2999</v>
      </c>
      <c r="AJ16" s="1">
        <f>Production2!N16</f>
        <v>2501</v>
      </c>
      <c r="AK16" s="1">
        <f>AJ16-AI16</f>
        <v>-498</v>
      </c>
      <c r="AL16" s="297">
        <v>2456</v>
      </c>
      <c r="AM16" s="1"/>
      <c r="AN16" s="1"/>
      <c r="AO16" s="1"/>
      <c r="AP16" s="1"/>
      <c r="AQ16" s="1">
        <f>D16+I16+M16+R16+Cement!P16</f>
        <v>2389.2600000000002</v>
      </c>
      <c r="AR16" s="1">
        <f>AI16+Cement!Q16-Clinker!E16</f>
        <v>3218.6</v>
      </c>
      <c r="AS16" s="1">
        <v>1682.0600000000006</v>
      </c>
      <c r="AT16" s="50">
        <f>AI16-Production2!N16</f>
        <v>498</v>
      </c>
      <c r="AU16" s="52">
        <f t="shared" si="11"/>
        <v>2999</v>
      </c>
      <c r="AV16">
        <f t="shared" si="12"/>
        <v>2912</v>
      </c>
      <c r="AW16">
        <f t="shared" si="13"/>
        <v>1682.0600000000006</v>
      </c>
      <c r="AX16">
        <f t="shared" si="14"/>
        <v>1331.1000000000004</v>
      </c>
      <c r="AY16">
        <v>1058.1599999999999</v>
      </c>
      <c r="AZ16">
        <f>(AI16-Production2!N16)/'Mines (2)'!AI16</f>
        <v>0.16605535178392797</v>
      </c>
      <c r="BA16">
        <f t="shared" si="15"/>
        <v>16.605535178392795</v>
      </c>
      <c r="BB16">
        <f t="shared" si="16"/>
        <v>2912</v>
      </c>
    </row>
    <row r="17" spans="2:54" x14ac:dyDescent="0.25">
      <c r="B17" s="4">
        <v>15</v>
      </c>
      <c r="C17" s="39">
        <f t="shared" si="0"/>
        <v>2732.7031800029699</v>
      </c>
      <c r="D17" s="1">
        <v>926.16</v>
      </c>
      <c r="E17" s="271">
        <f>F17+'RAW MILL 2'!C17</f>
        <v>666</v>
      </c>
      <c r="F17" s="1">
        <v>413</v>
      </c>
      <c r="G17" s="9">
        <f t="shared" si="1"/>
        <v>2992.8631800029698</v>
      </c>
      <c r="H17" s="39">
        <f t="shared" si="2"/>
        <v>15725.328523913549</v>
      </c>
      <c r="I17" s="1">
        <v>1252.42</v>
      </c>
      <c r="J17" s="1">
        <v>2000</v>
      </c>
      <c r="K17" s="9">
        <f>H17+I17-J17-Cement!Q17</f>
        <v>14613.898523913551</v>
      </c>
      <c r="L17" s="39">
        <f t="shared" si="3"/>
        <v>45.03999999999975</v>
      </c>
      <c r="M17" s="1">
        <v>0</v>
      </c>
      <c r="N17" s="271">
        <f>O17+'RAW MILL 2'!D17</f>
        <v>5</v>
      </c>
      <c r="O17" s="1">
        <v>4</v>
      </c>
      <c r="P17" s="9">
        <f t="shared" si="4"/>
        <v>40.03999999999975</v>
      </c>
      <c r="Q17" s="39">
        <f t="shared" si="5"/>
        <v>516.28</v>
      </c>
      <c r="R17" s="1">
        <v>0</v>
      </c>
      <c r="S17" s="271">
        <f>T17+'RAW MILL 2'!E17</f>
        <v>0</v>
      </c>
      <c r="T17" s="1">
        <v>0</v>
      </c>
      <c r="U17" s="9">
        <f t="shared" si="6"/>
        <v>516.28</v>
      </c>
      <c r="V17" s="27">
        <f t="shared" si="17"/>
        <v>0</v>
      </c>
      <c r="W17" s="1">
        <v>0</v>
      </c>
      <c r="X17" s="1">
        <v>0</v>
      </c>
      <c r="Y17" s="27">
        <f t="shared" si="7"/>
        <v>0</v>
      </c>
      <c r="Z17" s="27">
        <f t="shared" si="18"/>
        <v>0</v>
      </c>
      <c r="AA17" s="1">
        <v>0</v>
      </c>
      <c r="AB17" s="1">
        <v>0</v>
      </c>
      <c r="AC17" s="27">
        <f t="shared" si="8"/>
        <v>0</v>
      </c>
      <c r="AD17" s="27">
        <f t="shared" si="19"/>
        <v>0</v>
      </c>
      <c r="AE17" s="1">
        <v>0</v>
      </c>
      <c r="AF17" s="1">
        <v>0</v>
      </c>
      <c r="AG17" s="27">
        <f t="shared" si="9"/>
        <v>0</v>
      </c>
      <c r="AH17" s="31">
        <f>D17+I17+M17+R17+W17+AA17+Cement!P17+Cement!T17+AE17</f>
        <v>2178.58</v>
      </c>
      <c r="AI17" s="15">
        <f>E17+J17+N17+S17+X17+AB17+Clinker!E17+AF17</f>
        <v>2739</v>
      </c>
      <c r="AJ17" s="1">
        <f>Production2!N17</f>
        <v>2232</v>
      </c>
      <c r="AK17" s="1">
        <f t="shared" ref="AK17:AK32" si="20">AJ17-AI17</f>
        <v>-507</v>
      </c>
      <c r="AL17" s="297">
        <v>2956</v>
      </c>
      <c r="AM17" s="1">
        <f>E17/AJ17</f>
        <v>0.29838709677419356</v>
      </c>
      <c r="AN17" s="1">
        <f>J17/AJ17</f>
        <v>0.89605734767025091</v>
      </c>
      <c r="AO17" s="1">
        <f>N17/AJ17</f>
        <v>2.2401433691756271E-3</v>
      </c>
      <c r="AP17" s="1">
        <f>S17/AJ17</f>
        <v>0</v>
      </c>
      <c r="AQ17" s="1">
        <f>D17+I17+M17+R17+Cement!P17</f>
        <v>2178.58</v>
      </c>
      <c r="AR17" s="1">
        <f>AI17+Cement!Q17-Clinker!E17</f>
        <v>3034.8499999999995</v>
      </c>
      <c r="AS17" s="1">
        <v>593.67999999999995</v>
      </c>
      <c r="AT17" s="50">
        <f>AI17-Production2!N17</f>
        <v>507</v>
      </c>
      <c r="AU17" s="52">
        <f t="shared" si="11"/>
        <v>2739</v>
      </c>
      <c r="AV17">
        <f t="shared" si="12"/>
        <v>2666</v>
      </c>
      <c r="AW17">
        <f t="shared" si="13"/>
        <v>-332.48</v>
      </c>
      <c r="AX17">
        <f t="shared" si="14"/>
        <v>681.5</v>
      </c>
      <c r="AY17">
        <v>570.92000000000007</v>
      </c>
      <c r="AZ17">
        <f>(AI17-Production2!N17)/'Mines (2)'!AI17</f>
        <v>0.18510405257393209</v>
      </c>
      <c r="BA17">
        <f t="shared" si="15"/>
        <v>18.510405257393209</v>
      </c>
      <c r="BB17">
        <f t="shared" si="16"/>
        <v>2666</v>
      </c>
    </row>
    <row r="18" spans="2:54" x14ac:dyDescent="0.25">
      <c r="B18" s="4">
        <v>16</v>
      </c>
      <c r="C18" s="39">
        <f t="shared" si="0"/>
        <v>2992.8631800029698</v>
      </c>
      <c r="D18" s="1">
        <v>1284.46</v>
      </c>
      <c r="E18" s="271">
        <f>F18+'RAW MILL 2'!C18</f>
        <v>542</v>
      </c>
      <c r="F18" s="1">
        <v>335</v>
      </c>
      <c r="G18" s="9">
        <f t="shared" si="1"/>
        <v>3735.3231800029698</v>
      </c>
      <c r="H18" s="39">
        <f t="shared" si="2"/>
        <v>14613.898523913551</v>
      </c>
      <c r="I18" s="1">
        <v>1488.7</v>
      </c>
      <c r="J18" s="1">
        <v>2000</v>
      </c>
      <c r="K18" s="9">
        <f>H18+I18-J18-Cement!Q18</f>
        <v>13729.748523913551</v>
      </c>
      <c r="L18" s="39">
        <f t="shared" si="3"/>
        <v>40.03999999999975</v>
      </c>
      <c r="M18" s="1">
        <v>100</v>
      </c>
      <c r="N18" s="271">
        <f>O18+'RAW MILL 2'!D18</f>
        <v>5</v>
      </c>
      <c r="O18" s="1">
        <v>4</v>
      </c>
      <c r="P18" s="9">
        <f t="shared" si="4"/>
        <v>135.03999999999974</v>
      </c>
      <c r="Q18" s="39">
        <f t="shared" si="5"/>
        <v>516.28</v>
      </c>
      <c r="R18" s="1">
        <v>0</v>
      </c>
      <c r="S18" s="271">
        <f>T18+'RAW MILL 2'!E18</f>
        <v>1</v>
      </c>
      <c r="T18" s="1">
        <v>1</v>
      </c>
      <c r="U18" s="9">
        <f t="shared" si="6"/>
        <v>515.28</v>
      </c>
      <c r="V18" s="27">
        <f t="shared" si="17"/>
        <v>0</v>
      </c>
      <c r="W18" s="1">
        <v>0</v>
      </c>
      <c r="X18" s="1">
        <v>0</v>
      </c>
      <c r="Y18" s="27">
        <f t="shared" si="7"/>
        <v>0</v>
      </c>
      <c r="Z18" s="27">
        <f t="shared" si="18"/>
        <v>0</v>
      </c>
      <c r="AA18" s="1">
        <v>0</v>
      </c>
      <c r="AB18" s="1">
        <v>0</v>
      </c>
      <c r="AC18" s="27">
        <f t="shared" si="8"/>
        <v>0</v>
      </c>
      <c r="AD18" s="27">
        <f t="shared" si="19"/>
        <v>0</v>
      </c>
      <c r="AE18" s="1">
        <v>0</v>
      </c>
      <c r="AF18" s="1">
        <v>0</v>
      </c>
      <c r="AG18" s="27">
        <f t="shared" si="9"/>
        <v>0</v>
      </c>
      <c r="AH18" s="31">
        <f>D18+I18+M18+R18+W18+AA18+Cement!P18+Cement!T18+AE18</f>
        <v>2873.16</v>
      </c>
      <c r="AI18" s="15">
        <f>E18+J18+N18+S18+X18+AB18+Clinker!E18+AF18</f>
        <v>2600</v>
      </c>
      <c r="AJ18" s="1">
        <f>Production2!N18</f>
        <v>2150</v>
      </c>
      <c r="AK18" s="1">
        <f t="shared" si="20"/>
        <v>-450</v>
      </c>
      <c r="AL18" s="297">
        <v>3022</v>
      </c>
      <c r="AM18" s="1">
        <f t="shared" ref="AM18:AM32" si="21">E18/AJ18</f>
        <v>0.25209302325581395</v>
      </c>
      <c r="AN18" s="1">
        <f t="shared" ref="AN18:AN32" si="22">J18/AJ18</f>
        <v>0.93023255813953487</v>
      </c>
      <c r="AO18" s="1">
        <f t="shared" ref="AO18:AO32" si="23">N18/AJ18</f>
        <v>2.3255813953488372E-3</v>
      </c>
      <c r="AP18" s="1">
        <f t="shared" ref="AP18:AP32" si="24">S18/AJ18</f>
        <v>4.6511627906976747E-4</v>
      </c>
      <c r="AQ18" s="1">
        <f>D18+I18+M18+R18+Cement!P18</f>
        <v>2873.16</v>
      </c>
      <c r="AR18" s="1">
        <f>AI18+Cement!Q18-Clinker!E18</f>
        <v>2920.85</v>
      </c>
      <c r="AS18" s="1">
        <v>1924.0200000000004</v>
      </c>
      <c r="AT18" s="50">
        <f>AI18-Production2!N18</f>
        <v>450</v>
      </c>
      <c r="AU18" s="52">
        <f t="shared" si="11"/>
        <v>2600</v>
      </c>
      <c r="AV18">
        <f t="shared" si="12"/>
        <v>2542</v>
      </c>
      <c r="AW18">
        <f t="shared" si="13"/>
        <v>639.5600000000004</v>
      </c>
      <c r="AX18">
        <f t="shared" si="14"/>
        <v>-439.87999999999965</v>
      </c>
      <c r="AY18">
        <v>1928.5799999999997</v>
      </c>
      <c r="AZ18">
        <f>(AI18-Production2!N18)/'Mines (2)'!AI18</f>
        <v>0.17307692307692307</v>
      </c>
      <c r="BA18">
        <f t="shared" si="15"/>
        <v>17.307692307692307</v>
      </c>
    </row>
    <row r="19" spans="2:54" x14ac:dyDescent="0.25">
      <c r="B19" s="4">
        <v>17</v>
      </c>
      <c r="C19" s="39">
        <f t="shared" si="0"/>
        <v>3735.3231800029698</v>
      </c>
      <c r="D19" s="1">
        <v>295.01999999999992</v>
      </c>
      <c r="E19" s="271">
        <f>F19+'RAW MILL 2'!C19</f>
        <v>609</v>
      </c>
      <c r="F19" s="1">
        <v>406</v>
      </c>
      <c r="G19" s="9">
        <f t="shared" si="1"/>
        <v>3421.3431800029698</v>
      </c>
      <c r="H19" s="39">
        <f t="shared" si="2"/>
        <v>13729.748523913551</v>
      </c>
      <c r="I19" s="1">
        <v>2219.62</v>
      </c>
      <c r="J19" s="1">
        <v>2000</v>
      </c>
      <c r="K19" s="9">
        <f>H19+I19-J19-Cement!Q19</f>
        <v>13788.868524105552</v>
      </c>
      <c r="L19" s="39">
        <f t="shared" si="3"/>
        <v>135.03999999999974</v>
      </c>
      <c r="M19" s="1">
        <v>0</v>
      </c>
      <c r="N19" s="271">
        <f>O19+'RAW MILL 2'!D19</f>
        <v>5</v>
      </c>
      <c r="O19" s="1">
        <v>4</v>
      </c>
      <c r="P19" s="9">
        <f t="shared" si="4"/>
        <v>130.03999999999974</v>
      </c>
      <c r="Q19" s="39">
        <f t="shared" si="5"/>
        <v>515.28</v>
      </c>
      <c r="R19" s="1">
        <v>0</v>
      </c>
      <c r="S19" s="271">
        <f>T19+'RAW MILL 2'!E19</f>
        <v>1</v>
      </c>
      <c r="T19" s="1">
        <v>1</v>
      </c>
      <c r="U19" s="9">
        <f t="shared" si="6"/>
        <v>514.28</v>
      </c>
      <c r="V19" s="27">
        <f t="shared" si="17"/>
        <v>0</v>
      </c>
      <c r="W19" s="1">
        <v>0</v>
      </c>
      <c r="X19" s="1">
        <v>0</v>
      </c>
      <c r="Y19" s="27">
        <f t="shared" si="7"/>
        <v>0</v>
      </c>
      <c r="Z19" s="27">
        <f t="shared" si="18"/>
        <v>0</v>
      </c>
      <c r="AA19" s="1">
        <v>0</v>
      </c>
      <c r="AB19" s="1">
        <v>0</v>
      </c>
      <c r="AC19" s="27">
        <f t="shared" si="8"/>
        <v>0</v>
      </c>
      <c r="AD19" s="27">
        <f t="shared" si="19"/>
        <v>0</v>
      </c>
      <c r="AE19" s="1">
        <v>0</v>
      </c>
      <c r="AF19" s="1">
        <v>0</v>
      </c>
      <c r="AG19" s="27">
        <f t="shared" si="9"/>
        <v>0</v>
      </c>
      <c r="AH19" s="31">
        <f>D19+I19+M19+R19+W19+AA19+Cement!P19+Cement!T19+AE19</f>
        <v>2514.64</v>
      </c>
      <c r="AI19" s="15">
        <f>E19+J19+N19+S19+X19+AB19+Clinker!E19+AF19</f>
        <v>2668</v>
      </c>
      <c r="AJ19" s="1">
        <f>Production2!N19</f>
        <v>2214</v>
      </c>
      <c r="AK19" s="1">
        <f t="shared" si="20"/>
        <v>-454</v>
      </c>
      <c r="AL19" s="298">
        <v>2379</v>
      </c>
      <c r="AM19" s="1">
        <f t="shared" si="21"/>
        <v>0.27506775067750677</v>
      </c>
      <c r="AN19" s="1">
        <f t="shared" si="22"/>
        <v>0.90334236675700086</v>
      </c>
      <c r="AO19" s="1">
        <f t="shared" si="23"/>
        <v>2.2583559168925021E-3</v>
      </c>
      <c r="AP19" s="1">
        <f t="shared" si="24"/>
        <v>4.5167118337850043E-4</v>
      </c>
      <c r="AQ19" s="1">
        <f>D19+I19+M19+R19+Cement!P19</f>
        <v>2514.64</v>
      </c>
      <c r="AR19" s="1">
        <f>AI19+Cement!Q19-Clinker!E19</f>
        <v>2775.4999998080002</v>
      </c>
      <c r="AS19" s="1">
        <v>2200</v>
      </c>
      <c r="AT19" s="50">
        <f>AI19-Production2!N19</f>
        <v>454</v>
      </c>
      <c r="AU19" s="52">
        <f t="shared" si="11"/>
        <v>2668</v>
      </c>
      <c r="AV19">
        <f t="shared" si="12"/>
        <v>2609</v>
      </c>
      <c r="AW19">
        <f t="shared" si="13"/>
        <v>1904.98</v>
      </c>
      <c r="AX19">
        <f t="shared" si="14"/>
        <v>1319.62</v>
      </c>
      <c r="AY19">
        <v>900</v>
      </c>
      <c r="AZ19">
        <f>(AI19-Production2!N19)/'Mines (2)'!AI19</f>
        <v>0.17016491754122939</v>
      </c>
      <c r="BA19">
        <f t="shared" si="15"/>
        <v>17.016491754122939</v>
      </c>
    </row>
    <row r="20" spans="2:54" x14ac:dyDescent="0.25">
      <c r="B20" s="4">
        <v>18</v>
      </c>
      <c r="C20" s="39">
        <f t="shared" si="0"/>
        <v>3421.3431800029698</v>
      </c>
      <c r="D20" s="1">
        <v>1353.7000000000003</v>
      </c>
      <c r="E20" s="271">
        <f>F20+'RAW MILL 2'!C20</f>
        <v>1073</v>
      </c>
      <c r="F20" s="1">
        <v>879</v>
      </c>
      <c r="G20" s="9">
        <f t="shared" si="1"/>
        <v>3702.0431800029701</v>
      </c>
      <c r="H20" s="39">
        <f t="shared" si="2"/>
        <v>13788.868524105552</v>
      </c>
      <c r="I20" s="1">
        <v>853.6400000000001</v>
      </c>
      <c r="J20" s="1">
        <v>1000</v>
      </c>
      <c r="K20" s="9">
        <f>H20+I20-J20-Cement!Q20</f>
        <v>13251.50852411585</v>
      </c>
      <c r="L20" s="39">
        <f t="shared" si="3"/>
        <v>130.03999999999974</v>
      </c>
      <c r="M20" s="1">
        <v>314.56000000000006</v>
      </c>
      <c r="N20" s="271">
        <f>O20+'RAW MILL 2'!D20</f>
        <v>3</v>
      </c>
      <c r="O20" s="1">
        <v>3</v>
      </c>
      <c r="P20" s="9">
        <f t="shared" si="4"/>
        <v>441.5999999999998</v>
      </c>
      <c r="Q20" s="39">
        <f t="shared" si="5"/>
        <v>514.28</v>
      </c>
      <c r="R20" s="1">
        <v>0</v>
      </c>
      <c r="S20" s="271">
        <f>T20+'RAW MILL 2'!E20</f>
        <v>1</v>
      </c>
      <c r="T20" s="1">
        <v>1</v>
      </c>
      <c r="U20" s="9">
        <f t="shared" si="6"/>
        <v>513.28</v>
      </c>
      <c r="V20" s="27">
        <f t="shared" si="17"/>
        <v>0</v>
      </c>
      <c r="W20" s="1">
        <v>0</v>
      </c>
      <c r="X20" s="1">
        <v>0</v>
      </c>
      <c r="Y20" s="27">
        <f t="shared" si="7"/>
        <v>0</v>
      </c>
      <c r="Z20" s="27">
        <f t="shared" si="18"/>
        <v>0</v>
      </c>
      <c r="AA20" s="1">
        <v>0</v>
      </c>
      <c r="AB20" s="1">
        <v>0</v>
      </c>
      <c r="AC20" s="27">
        <f t="shared" si="8"/>
        <v>0</v>
      </c>
      <c r="AD20" s="27">
        <f t="shared" si="19"/>
        <v>0</v>
      </c>
      <c r="AE20" s="1">
        <v>0</v>
      </c>
      <c r="AF20" s="1">
        <v>0</v>
      </c>
      <c r="AG20" s="27">
        <f t="shared" si="9"/>
        <v>0</v>
      </c>
      <c r="AH20" s="31">
        <f>D20+I20+M20+R20+W20+AA20+Cement!P20+Cement!T20+AE20</f>
        <v>2521.9</v>
      </c>
      <c r="AI20" s="15">
        <f>E20+J20+N20+S20+X20+AB20+Clinker!E20+AF20</f>
        <v>2120</v>
      </c>
      <c r="AJ20" s="1">
        <f>Production2!N20</f>
        <v>1729</v>
      </c>
      <c r="AK20" s="1">
        <f t="shared" si="20"/>
        <v>-391</v>
      </c>
      <c r="AL20" s="297">
        <v>3157</v>
      </c>
      <c r="AM20" s="1">
        <f t="shared" si="21"/>
        <v>0.62058993637941007</v>
      </c>
      <c r="AN20" s="1">
        <f t="shared" si="22"/>
        <v>0.578368999421631</v>
      </c>
      <c r="AO20" s="1">
        <f t="shared" si="23"/>
        <v>1.735106998264893E-3</v>
      </c>
      <c r="AP20" s="1">
        <f t="shared" si="24"/>
        <v>5.7836899942163096E-4</v>
      </c>
      <c r="AQ20" s="1">
        <f>D20+I20+M20+R20+Cement!P20</f>
        <v>2521.9</v>
      </c>
      <c r="AR20" s="1">
        <f>AI20+Cement!Q20-Clinker!E20</f>
        <v>2467.9999999897</v>
      </c>
      <c r="AS20" s="1">
        <v>1275.5599999999997</v>
      </c>
      <c r="AT20" s="50">
        <f>AI20-Production2!N20</f>
        <v>391</v>
      </c>
      <c r="AU20" s="52">
        <f t="shared" si="11"/>
        <v>2120</v>
      </c>
      <c r="AV20">
        <f t="shared" si="12"/>
        <v>2073</v>
      </c>
      <c r="AW20">
        <f t="shared" si="13"/>
        <v>-78.140000000000555</v>
      </c>
      <c r="AX20">
        <f t="shared" si="14"/>
        <v>272.32000000000005</v>
      </c>
      <c r="AY20">
        <v>581.32000000000005</v>
      </c>
      <c r="AZ20">
        <f>(AI20-Production2!N20)/'Mines (2)'!AI20</f>
        <v>0.18443396226415093</v>
      </c>
      <c r="BA20">
        <f t="shared" si="15"/>
        <v>18.443396226415093</v>
      </c>
    </row>
    <row r="21" spans="2:54" s="324" customFormat="1" x14ac:dyDescent="0.25">
      <c r="B21" s="351">
        <v>19</v>
      </c>
      <c r="C21" s="352">
        <f t="shared" si="0"/>
        <v>3702.0431800029701</v>
      </c>
      <c r="D21" s="1">
        <v>2799.8</v>
      </c>
      <c r="E21" s="353">
        <f>F21+'RAW MILL 2'!C21</f>
        <v>991</v>
      </c>
      <c r="F21" s="1">
        <v>882</v>
      </c>
      <c r="G21" s="354">
        <f t="shared" si="1"/>
        <v>5510.8431800029703</v>
      </c>
      <c r="H21" s="352">
        <f t="shared" si="2"/>
        <v>13251.50852411585</v>
      </c>
      <c r="I21" s="1">
        <v>852.25999999999988</v>
      </c>
      <c r="J21" s="1">
        <v>1000</v>
      </c>
      <c r="K21" s="354">
        <f>H21+I21-J21-Cement!Q21</f>
        <v>12952.468524115851</v>
      </c>
      <c r="L21" s="352">
        <f t="shared" si="3"/>
        <v>441.5999999999998</v>
      </c>
      <c r="M21" s="1">
        <v>61.34</v>
      </c>
      <c r="N21" s="353">
        <f>O21+'RAW MILL 2'!D21</f>
        <v>0</v>
      </c>
      <c r="O21" s="1">
        <v>0</v>
      </c>
      <c r="P21" s="354">
        <f t="shared" si="4"/>
        <v>502.93999999999983</v>
      </c>
      <c r="Q21" s="352">
        <f t="shared" si="5"/>
        <v>513.28</v>
      </c>
      <c r="R21" s="1">
        <v>92.54</v>
      </c>
      <c r="S21" s="353">
        <f>T21+'RAW MILL 2'!E21</f>
        <v>0</v>
      </c>
      <c r="T21" s="1">
        <v>0</v>
      </c>
      <c r="U21" s="354">
        <f t="shared" si="6"/>
        <v>605.81999999999994</v>
      </c>
      <c r="V21" s="368">
        <f t="shared" si="17"/>
        <v>0</v>
      </c>
      <c r="W21" s="325">
        <v>0</v>
      </c>
      <c r="X21" s="325">
        <v>0</v>
      </c>
      <c r="Y21" s="368">
        <f t="shared" si="7"/>
        <v>0</v>
      </c>
      <c r="Z21" s="368">
        <f t="shared" si="18"/>
        <v>0</v>
      </c>
      <c r="AA21" s="325">
        <v>0</v>
      </c>
      <c r="AB21" s="325">
        <v>0</v>
      </c>
      <c r="AC21" s="368">
        <f t="shared" si="8"/>
        <v>0</v>
      </c>
      <c r="AD21" s="368">
        <f t="shared" si="19"/>
        <v>0</v>
      </c>
      <c r="AE21" s="325">
        <v>0</v>
      </c>
      <c r="AF21" s="325">
        <v>0</v>
      </c>
      <c r="AG21" s="368">
        <f t="shared" si="9"/>
        <v>0</v>
      </c>
      <c r="AH21" s="369">
        <f>D21+I21+M21+R21+W21+AA21+Cement!P21+Cement!T21+AE21</f>
        <v>3805.94</v>
      </c>
      <c r="AI21" s="369">
        <f>E21+J21+N21+S21+X21+AB21+Clinker!E21+AF21</f>
        <v>2033</v>
      </c>
      <c r="AJ21" s="325">
        <f>Production2!N21</f>
        <v>1730</v>
      </c>
      <c r="AK21" s="325">
        <f t="shared" si="20"/>
        <v>-303</v>
      </c>
      <c r="AL21" s="370">
        <v>2838</v>
      </c>
      <c r="AM21" s="325">
        <f t="shared" si="21"/>
        <v>0.57283236994219655</v>
      </c>
      <c r="AN21" s="325">
        <f t="shared" si="22"/>
        <v>0.5780346820809249</v>
      </c>
      <c r="AO21" s="325">
        <f t="shared" si="23"/>
        <v>0</v>
      </c>
      <c r="AP21" s="325">
        <f t="shared" si="24"/>
        <v>0</v>
      </c>
      <c r="AQ21" s="325">
        <f>D21+I21+M21+R21+Cement!P21</f>
        <v>3805.94</v>
      </c>
      <c r="AR21" s="325">
        <f>AI21+Cement!Q21-Clinker!E21</f>
        <v>2142.3000000000002</v>
      </c>
      <c r="AS21" s="325">
        <v>244.67999999999998</v>
      </c>
      <c r="AT21" s="371">
        <f>AI21-Production2!N21</f>
        <v>303</v>
      </c>
      <c r="AU21" s="372">
        <f t="shared" si="11"/>
        <v>2033</v>
      </c>
      <c r="AV21" s="324">
        <f t="shared" si="12"/>
        <v>1991</v>
      </c>
      <c r="AW21" s="324">
        <f t="shared" si="13"/>
        <v>-2555.1200000000003</v>
      </c>
      <c r="AX21" s="324">
        <f t="shared" si="14"/>
        <v>-527.85999999999933</v>
      </c>
      <c r="AY21" s="324">
        <v>1380.1199999999992</v>
      </c>
      <c r="AZ21" s="324">
        <f>(AI21-Production2!N21)/'Mines (2)'!AI21</f>
        <v>0.14904082636497787</v>
      </c>
      <c r="BA21" s="324">
        <f t="shared" si="15"/>
        <v>14.904082636497787</v>
      </c>
    </row>
    <row r="22" spans="2:54" s="400" customFormat="1" x14ac:dyDescent="0.25">
      <c r="B22" s="383">
        <v>20</v>
      </c>
      <c r="C22" s="384">
        <f t="shared" si="0"/>
        <v>5510.8431800029703</v>
      </c>
      <c r="D22" s="1">
        <v>1451.92</v>
      </c>
      <c r="E22" s="386">
        <f>F22+'RAW MILL 2'!C22</f>
        <v>979</v>
      </c>
      <c r="F22" s="1">
        <v>896</v>
      </c>
      <c r="G22" s="387">
        <f t="shared" si="1"/>
        <v>5983.7631800029703</v>
      </c>
      <c r="H22" s="384">
        <f t="shared" si="2"/>
        <v>12952.468524115851</v>
      </c>
      <c r="I22" s="1">
        <v>1355</v>
      </c>
      <c r="J22" s="1">
        <v>1000</v>
      </c>
      <c r="K22" s="387">
        <f>H22+I22-J22-Cement!Q22</f>
        <v>13132.158524115852</v>
      </c>
      <c r="L22" s="384">
        <f t="shared" si="3"/>
        <v>502.93999999999983</v>
      </c>
      <c r="M22" s="1">
        <v>0</v>
      </c>
      <c r="N22" s="386">
        <f>O22+'RAW MILL 2'!D22</f>
        <v>0</v>
      </c>
      <c r="O22" s="1">
        <v>0</v>
      </c>
      <c r="P22" s="387">
        <f t="shared" si="4"/>
        <v>502.93999999999983</v>
      </c>
      <c r="Q22" s="384">
        <f t="shared" si="5"/>
        <v>605.81999999999994</v>
      </c>
      <c r="R22" s="1">
        <v>0</v>
      </c>
      <c r="S22" s="386">
        <f>T22+'RAW MILL 2'!E22</f>
        <v>21</v>
      </c>
      <c r="T22" s="1">
        <v>20</v>
      </c>
      <c r="U22" s="387">
        <f t="shared" si="6"/>
        <v>584.81999999999994</v>
      </c>
      <c r="V22" s="402">
        <f t="shared" si="17"/>
        <v>0</v>
      </c>
      <c r="W22" s="385">
        <v>0</v>
      </c>
      <c r="X22" s="385">
        <v>0</v>
      </c>
      <c r="Y22" s="402">
        <f t="shared" si="7"/>
        <v>0</v>
      </c>
      <c r="Z22" s="402">
        <f t="shared" si="18"/>
        <v>0</v>
      </c>
      <c r="AA22" s="385">
        <v>0</v>
      </c>
      <c r="AB22" s="385">
        <v>0</v>
      </c>
      <c r="AC22" s="402">
        <f t="shared" si="8"/>
        <v>0</v>
      </c>
      <c r="AD22" s="402">
        <f t="shared" si="19"/>
        <v>0</v>
      </c>
      <c r="AE22" s="385">
        <v>0</v>
      </c>
      <c r="AF22" s="385">
        <v>0</v>
      </c>
      <c r="AG22" s="402">
        <f t="shared" si="9"/>
        <v>0</v>
      </c>
      <c r="AH22" s="403">
        <f>D22+I22+M22+R22+W22+AA22+Cement!P22+Cement!T22+AE22</f>
        <v>2806.92</v>
      </c>
      <c r="AI22" s="403">
        <f>E22+J22+N22+S22+X22+AB22+Clinker!E22+AF22</f>
        <v>2041</v>
      </c>
      <c r="AJ22" s="385">
        <f>Production2!N22</f>
        <v>1760</v>
      </c>
      <c r="AK22" s="385">
        <f t="shared" si="20"/>
        <v>-281</v>
      </c>
      <c r="AL22" s="404">
        <v>3051</v>
      </c>
      <c r="AM22" s="385">
        <f t="shared" si="21"/>
        <v>0.55625000000000002</v>
      </c>
      <c r="AN22" s="385">
        <f t="shared" si="22"/>
        <v>0.56818181818181823</v>
      </c>
      <c r="AO22" s="385">
        <f t="shared" si="23"/>
        <v>0</v>
      </c>
      <c r="AP22" s="385">
        <f t="shared" si="24"/>
        <v>1.1931818181818182E-2</v>
      </c>
      <c r="AQ22" s="385">
        <f>D22+I22+M22+R22+Cement!P22</f>
        <v>2806.92</v>
      </c>
      <c r="AR22" s="385">
        <f>AI22+Cement!Q22-Clinker!E22</f>
        <v>2175.31</v>
      </c>
      <c r="AS22" s="385">
        <v>841.18</v>
      </c>
      <c r="AT22" s="405">
        <f>AI22-Production2!N22</f>
        <v>281</v>
      </c>
      <c r="AU22" s="406">
        <f t="shared" si="11"/>
        <v>2041</v>
      </c>
      <c r="AV22" s="400">
        <f t="shared" si="12"/>
        <v>1979</v>
      </c>
      <c r="AW22" s="400">
        <f t="shared" si="13"/>
        <v>-610.74000000000012</v>
      </c>
      <c r="AX22" s="400">
        <f t="shared" si="14"/>
        <v>-245.80000000000064</v>
      </c>
      <c r="AY22" s="400">
        <v>1600.8000000000006</v>
      </c>
      <c r="AZ22" s="400">
        <f>(AI22-Production2!N22)/'Mines (2)'!AI22</f>
        <v>0.13767760901518863</v>
      </c>
      <c r="BA22" s="400">
        <f t="shared" si="15"/>
        <v>13.767760901518864</v>
      </c>
    </row>
    <row r="23" spans="2:54" s="324" customFormat="1" x14ac:dyDescent="0.25">
      <c r="B23" s="351">
        <v>21</v>
      </c>
      <c r="C23" s="352">
        <f>G22</f>
        <v>5983.7631800029703</v>
      </c>
      <c r="D23" s="1">
        <v>3063.96</v>
      </c>
      <c r="E23" s="353">
        <f>F23+'RAW MILL 2'!C23</f>
        <v>894</v>
      </c>
      <c r="F23" s="1">
        <v>788</v>
      </c>
      <c r="G23" s="354">
        <f t="shared" si="1"/>
        <v>8153.7231800029695</v>
      </c>
      <c r="H23" s="352">
        <f t="shared" si="2"/>
        <v>13132.158524115852</v>
      </c>
      <c r="I23" s="1">
        <v>183.94</v>
      </c>
      <c r="J23" s="1">
        <v>1000</v>
      </c>
      <c r="K23" s="354">
        <f>H23+I23-J23-Cement!Q23</f>
        <v>12099.448524115853</v>
      </c>
      <c r="L23" s="352">
        <f t="shared" si="3"/>
        <v>502.93999999999983</v>
      </c>
      <c r="M23" s="1">
        <v>118.24</v>
      </c>
      <c r="N23" s="353">
        <f>O23+'RAW MILL 2'!D23</f>
        <v>3</v>
      </c>
      <c r="O23" s="1">
        <v>2</v>
      </c>
      <c r="P23" s="354">
        <f t="shared" si="4"/>
        <v>618.17999999999984</v>
      </c>
      <c r="Q23" s="352">
        <f t="shared" si="5"/>
        <v>584.81999999999994</v>
      </c>
      <c r="R23" s="1">
        <v>45.22</v>
      </c>
      <c r="S23" s="353">
        <f>T23+'RAW MILL 2'!E23</f>
        <v>81</v>
      </c>
      <c r="T23" s="1">
        <v>76</v>
      </c>
      <c r="U23" s="354">
        <f t="shared" si="6"/>
        <v>549.04</v>
      </c>
      <c r="V23" s="368">
        <f t="shared" si="17"/>
        <v>0</v>
      </c>
      <c r="W23" s="325">
        <v>0</v>
      </c>
      <c r="X23" s="325">
        <v>0</v>
      </c>
      <c r="Y23" s="368">
        <f t="shared" si="7"/>
        <v>0</v>
      </c>
      <c r="Z23" s="368">
        <f t="shared" si="18"/>
        <v>0</v>
      </c>
      <c r="AA23" s="325">
        <v>0</v>
      </c>
      <c r="AB23" s="325">
        <v>0</v>
      </c>
      <c r="AC23" s="368">
        <f t="shared" si="8"/>
        <v>0</v>
      </c>
      <c r="AD23" s="368">
        <f t="shared" si="19"/>
        <v>0</v>
      </c>
      <c r="AE23" s="325">
        <v>0</v>
      </c>
      <c r="AF23" s="325">
        <v>0</v>
      </c>
      <c r="AG23" s="368">
        <f t="shared" si="9"/>
        <v>0</v>
      </c>
      <c r="AH23" s="369">
        <f>D23+I23+M23+R23+W23+AA23+Cement!P23+Cement!T23+AE23</f>
        <v>3411.3599999999997</v>
      </c>
      <c r="AI23" s="369">
        <f>E23+J23+N23+S23+X23+AB23+Clinker!E23+AF23</f>
        <v>2025</v>
      </c>
      <c r="AJ23" s="325">
        <f>Production2!N23</f>
        <v>1720</v>
      </c>
      <c r="AK23" s="325">
        <f t="shared" si="20"/>
        <v>-305</v>
      </c>
      <c r="AL23" s="370">
        <v>2232</v>
      </c>
      <c r="AM23" s="325">
        <f t="shared" si="21"/>
        <v>0.51976744186046508</v>
      </c>
      <c r="AN23" s="325">
        <f t="shared" si="22"/>
        <v>0.58139534883720934</v>
      </c>
      <c r="AO23" s="325">
        <f t="shared" si="23"/>
        <v>1.7441860465116279E-3</v>
      </c>
      <c r="AP23" s="325">
        <f t="shared" si="24"/>
        <v>4.7093023255813951E-2</v>
      </c>
      <c r="AQ23" s="325" t="e">
        <f>D23+I23+R23+#REF!+Cement!P23</f>
        <v>#REF!</v>
      </c>
      <c r="AR23" s="325">
        <f>AI23+Cement!Q23-Clinker!E23</f>
        <v>2194.6499999999996</v>
      </c>
      <c r="AS23" s="325">
        <v>0</v>
      </c>
      <c r="AT23" s="371">
        <f>AI23-Production2!N23</f>
        <v>305</v>
      </c>
      <c r="AU23" s="372">
        <f t="shared" si="11"/>
        <v>2025</v>
      </c>
      <c r="AV23" s="324">
        <f t="shared" si="12"/>
        <v>1894</v>
      </c>
      <c r="AW23" s="324">
        <f t="shared" si="13"/>
        <v>-3063.96</v>
      </c>
      <c r="AX23" s="324">
        <f t="shared" si="14"/>
        <v>-843.63999999999987</v>
      </c>
      <c r="AY23" s="324">
        <v>1027.58</v>
      </c>
      <c r="AZ23" s="324">
        <f>(AI23-Production2!N23)/'Mines (2)'!AI23</f>
        <v>0.1506172839506173</v>
      </c>
      <c r="BA23" s="324">
        <f t="shared" si="15"/>
        <v>15.06172839506173</v>
      </c>
    </row>
    <row r="24" spans="2:54" s="324" customFormat="1" x14ac:dyDescent="0.25">
      <c r="B24" s="351">
        <v>22</v>
      </c>
      <c r="C24" s="352">
        <f t="shared" si="0"/>
        <v>8153.7231800029695</v>
      </c>
      <c r="D24" s="1">
        <v>1054.56</v>
      </c>
      <c r="E24" s="353">
        <f>F24+'RAW MILL 2'!C24</f>
        <v>419</v>
      </c>
      <c r="F24" s="1">
        <v>237</v>
      </c>
      <c r="G24" s="354">
        <f t="shared" si="1"/>
        <v>8789.2831800029689</v>
      </c>
      <c r="H24" s="352">
        <f t="shared" si="2"/>
        <v>12099.448524115853</v>
      </c>
      <c r="I24" s="1">
        <v>0</v>
      </c>
      <c r="J24" s="1">
        <v>2000</v>
      </c>
      <c r="K24" s="354">
        <f>H24+I24-J24-Cement!Q24</f>
        <v>10061.648524115853</v>
      </c>
      <c r="L24" s="352">
        <f t="shared" si="3"/>
        <v>618.17999999999984</v>
      </c>
      <c r="M24" s="1">
        <v>0</v>
      </c>
      <c r="N24" s="353">
        <f>O24+'RAW MILL 2'!D24</f>
        <v>15</v>
      </c>
      <c r="O24" s="1">
        <v>14</v>
      </c>
      <c r="P24" s="354">
        <f t="shared" si="4"/>
        <v>603.17999999999984</v>
      </c>
      <c r="Q24" s="352">
        <f t="shared" si="5"/>
        <v>549.04</v>
      </c>
      <c r="R24" s="1">
        <v>0</v>
      </c>
      <c r="S24" s="353">
        <f>T24+'RAW MILL 2'!E24</f>
        <v>36</v>
      </c>
      <c r="T24" s="1">
        <v>33</v>
      </c>
      <c r="U24" s="354">
        <f t="shared" si="6"/>
        <v>513.04</v>
      </c>
      <c r="V24" s="368">
        <f>Y23</f>
        <v>0</v>
      </c>
      <c r="W24" s="325">
        <v>0</v>
      </c>
      <c r="X24" s="325">
        <v>0</v>
      </c>
      <c r="Y24" s="368">
        <f t="shared" si="7"/>
        <v>0</v>
      </c>
      <c r="Z24" s="368">
        <f>AC23</f>
        <v>0</v>
      </c>
      <c r="AA24" s="325">
        <v>0</v>
      </c>
      <c r="AB24" s="325">
        <v>0</v>
      </c>
      <c r="AC24" s="368">
        <f t="shared" si="8"/>
        <v>0</v>
      </c>
      <c r="AD24" s="368">
        <f>AG23</f>
        <v>0</v>
      </c>
      <c r="AE24" s="325">
        <v>0</v>
      </c>
      <c r="AF24" s="325">
        <v>0</v>
      </c>
      <c r="AG24" s="368">
        <f t="shared" si="9"/>
        <v>0</v>
      </c>
      <c r="AH24" s="369">
        <f>D24+I24+M24+R24+W24+AA24+Cement!P24+Cement!T24+AE24</f>
        <v>1054.56</v>
      </c>
      <c r="AI24" s="369">
        <f>E24+J24+N24+S24+X24+AB24+Clinker!E24+AF24</f>
        <v>2523</v>
      </c>
      <c r="AJ24" s="325">
        <f>Production2!N24</f>
        <v>2099</v>
      </c>
      <c r="AK24" s="325">
        <f t="shared" si="20"/>
        <v>-424</v>
      </c>
      <c r="AL24" s="370"/>
      <c r="AM24" s="325">
        <f t="shared" si="21"/>
        <v>0.19961886612672702</v>
      </c>
      <c r="AN24" s="325">
        <f t="shared" si="22"/>
        <v>0.95283468318246789</v>
      </c>
      <c r="AO24" s="325">
        <f t="shared" si="23"/>
        <v>7.146260123868509E-3</v>
      </c>
      <c r="AP24" s="325">
        <f t="shared" si="24"/>
        <v>1.715102429728442E-2</v>
      </c>
      <c r="AQ24" s="325">
        <f>D24+I24+M24+R24+Cement!P24</f>
        <v>1054.56</v>
      </c>
      <c r="AR24" s="325">
        <f>AI24+Cement!Q24-Clinker!E24</f>
        <v>2507.8000000000002</v>
      </c>
      <c r="AS24" s="325"/>
      <c r="AT24" s="371">
        <f>AI24-Production2!N24</f>
        <v>424</v>
      </c>
      <c r="AU24" s="372">
        <f t="shared" si="11"/>
        <v>2523</v>
      </c>
      <c r="AV24" s="324">
        <f t="shared" si="12"/>
        <v>2419</v>
      </c>
      <c r="AW24" s="324">
        <f t="shared" si="13"/>
        <v>-1054.56</v>
      </c>
      <c r="AX24" s="324">
        <f t="shared" si="14"/>
        <v>0</v>
      </c>
      <c r="AY24" s="324">
        <v>0</v>
      </c>
      <c r="AZ24" s="324">
        <f>(AI24-Production2!N24)/'Mines (2)'!AI24</f>
        <v>0.16805390408244153</v>
      </c>
      <c r="BA24" s="324">
        <f t="shared" si="15"/>
        <v>16.805390408244154</v>
      </c>
    </row>
    <row r="25" spans="2:54" s="324" customFormat="1" x14ac:dyDescent="0.25">
      <c r="B25" s="351">
        <v>23</v>
      </c>
      <c r="C25" s="352">
        <f t="shared" si="0"/>
        <v>8789.2831800029689</v>
      </c>
      <c r="D25" s="1">
        <v>2007.16</v>
      </c>
      <c r="E25" s="353">
        <f>F25+'RAW MILL 2'!C25</f>
        <v>1013</v>
      </c>
      <c r="F25" s="1">
        <v>895</v>
      </c>
      <c r="G25" s="354">
        <f t="shared" si="1"/>
        <v>9783.4431800029688</v>
      </c>
      <c r="H25" s="352">
        <f t="shared" si="2"/>
        <v>10061.648524115853</v>
      </c>
      <c r="I25" s="1">
        <v>0</v>
      </c>
      <c r="J25" s="1">
        <v>1000</v>
      </c>
      <c r="K25" s="354">
        <f>H25+I25-J25-Cement!Q25</f>
        <v>9023.0685241318315</v>
      </c>
      <c r="L25" s="352">
        <f t="shared" si="3"/>
        <v>603.17999999999984</v>
      </c>
      <c r="M25" s="1">
        <v>196.2</v>
      </c>
      <c r="N25" s="353">
        <f>O25+'RAW MILL 2'!D25</f>
        <v>90</v>
      </c>
      <c r="O25" s="1">
        <v>85</v>
      </c>
      <c r="P25" s="354">
        <f t="shared" si="4"/>
        <v>709.37999999999988</v>
      </c>
      <c r="Q25" s="352">
        <f t="shared" si="5"/>
        <v>513.04</v>
      </c>
      <c r="R25" s="1">
        <v>0</v>
      </c>
      <c r="S25" s="353">
        <f>T25+'RAW MILL 2'!E25</f>
        <v>88</v>
      </c>
      <c r="T25" s="1">
        <v>83</v>
      </c>
      <c r="U25" s="354">
        <f t="shared" si="6"/>
        <v>425.03999999999996</v>
      </c>
      <c r="V25" s="368">
        <f t="shared" ref="V25:V32" si="25">Y24</f>
        <v>0</v>
      </c>
      <c r="W25" s="325">
        <v>0</v>
      </c>
      <c r="X25" s="325">
        <v>0</v>
      </c>
      <c r="Y25" s="368">
        <f t="shared" ref="Y25:Y33" si="26">V25+W25-X25</f>
        <v>0</v>
      </c>
      <c r="Z25" s="368">
        <f t="shared" ref="Z25:Z33" si="27">AC24</f>
        <v>0</v>
      </c>
      <c r="AA25" s="325">
        <v>0</v>
      </c>
      <c r="AB25" s="325">
        <v>0</v>
      </c>
      <c r="AC25" s="368">
        <f t="shared" si="8"/>
        <v>0</v>
      </c>
      <c r="AD25" s="368">
        <f t="shared" ref="AD25:AD33" si="28">AG24</f>
        <v>0</v>
      </c>
      <c r="AE25" s="325">
        <v>0</v>
      </c>
      <c r="AF25" s="325">
        <v>0</v>
      </c>
      <c r="AG25" s="368">
        <f t="shared" si="9"/>
        <v>0</v>
      </c>
      <c r="AH25" s="369">
        <f>D25+I25+M25+R25+W25+AA25+Cement!P25+Cement!T25+AE25</f>
        <v>2203.36</v>
      </c>
      <c r="AI25" s="369">
        <f>E25+J25+N25+S25+X25+AB25+Clinker!E25+AF25</f>
        <v>2259</v>
      </c>
      <c r="AJ25" s="325">
        <f>Production2!N25</f>
        <v>1915</v>
      </c>
      <c r="AK25" s="325">
        <f t="shared" si="20"/>
        <v>-344</v>
      </c>
      <c r="AL25" s="370"/>
      <c r="AM25" s="325">
        <f t="shared" si="21"/>
        <v>0.52898172323759796</v>
      </c>
      <c r="AN25" s="325">
        <f t="shared" si="22"/>
        <v>0.52219321148825071</v>
      </c>
      <c r="AO25" s="325">
        <f t="shared" si="23"/>
        <v>4.6997389033942558E-2</v>
      </c>
      <c r="AP25" s="325">
        <f t="shared" si="24"/>
        <v>4.5953002610966055E-2</v>
      </c>
      <c r="AQ25" s="325">
        <f>D25+I25+M25+R25+Cement!P25</f>
        <v>2203.36</v>
      </c>
      <c r="AR25" s="325">
        <f>AI25+Cement!Q25-Clinker!E25</f>
        <v>2229.579999984021</v>
      </c>
      <c r="AS25" s="325"/>
      <c r="AT25" s="371">
        <f>AI25-Production2!N25</f>
        <v>344</v>
      </c>
      <c r="AU25" s="372">
        <f t="shared" si="11"/>
        <v>2259</v>
      </c>
      <c r="AV25" s="324">
        <f t="shared" si="12"/>
        <v>2013</v>
      </c>
      <c r="AW25" s="324">
        <f t="shared" si="13"/>
        <v>-2007.16</v>
      </c>
      <c r="AX25" s="324">
        <f t="shared" si="14"/>
        <v>0</v>
      </c>
      <c r="AY25" s="324">
        <v>0</v>
      </c>
      <c r="AZ25" s="324">
        <f>(AI25-Production2!N25)/'Mines (2)'!AI25</f>
        <v>0.1522797698096503</v>
      </c>
      <c r="BA25" s="324">
        <f t="shared" si="15"/>
        <v>15.22797698096503</v>
      </c>
    </row>
    <row r="26" spans="2:54" s="324" customFormat="1" x14ac:dyDescent="0.25">
      <c r="B26" s="351">
        <v>24</v>
      </c>
      <c r="C26" s="352">
        <f t="shared" si="0"/>
        <v>9783.4431800029688</v>
      </c>
      <c r="D26" s="1">
        <v>2244.14</v>
      </c>
      <c r="E26" s="353">
        <f>F26+'RAW MILL 2'!C26</f>
        <v>375</v>
      </c>
      <c r="F26" s="1">
        <v>319</v>
      </c>
      <c r="G26" s="354">
        <f t="shared" si="1"/>
        <v>11652.583180002968</v>
      </c>
      <c r="H26" s="352">
        <f t="shared" si="2"/>
        <v>9023.0685241318315</v>
      </c>
      <c r="I26" s="1">
        <v>990.24</v>
      </c>
      <c r="J26" s="1">
        <v>2000</v>
      </c>
      <c r="K26" s="354">
        <f>H26+I26-J26-Cement!Q26</f>
        <v>7854.9085241318317</v>
      </c>
      <c r="L26" s="352">
        <f t="shared" si="3"/>
        <v>709.37999999999988</v>
      </c>
      <c r="M26" s="1">
        <v>253.46</v>
      </c>
      <c r="N26" s="353">
        <f>O26+'RAW MILL 2'!D26</f>
        <v>16</v>
      </c>
      <c r="O26" s="1">
        <v>15</v>
      </c>
      <c r="P26" s="354">
        <f t="shared" si="4"/>
        <v>946.83999999999992</v>
      </c>
      <c r="Q26" s="352">
        <f t="shared" si="5"/>
        <v>425.03999999999996</v>
      </c>
      <c r="R26" s="1">
        <v>0</v>
      </c>
      <c r="S26" s="353">
        <f>T26+'RAW MILL 2'!E26</f>
        <v>35</v>
      </c>
      <c r="T26" s="1">
        <v>34</v>
      </c>
      <c r="U26" s="354">
        <f t="shared" si="6"/>
        <v>390.03999999999996</v>
      </c>
      <c r="V26" s="368">
        <f t="shared" si="25"/>
        <v>0</v>
      </c>
      <c r="W26" s="325">
        <v>0</v>
      </c>
      <c r="X26" s="325">
        <v>0</v>
      </c>
      <c r="Y26" s="368">
        <f t="shared" si="26"/>
        <v>0</v>
      </c>
      <c r="Z26" s="368">
        <f t="shared" si="27"/>
        <v>0</v>
      </c>
      <c r="AA26" s="325">
        <v>0</v>
      </c>
      <c r="AB26" s="325">
        <v>0</v>
      </c>
      <c r="AC26" s="368">
        <f t="shared" si="8"/>
        <v>0</v>
      </c>
      <c r="AD26" s="368">
        <f t="shared" si="28"/>
        <v>0</v>
      </c>
      <c r="AE26" s="325">
        <v>0</v>
      </c>
      <c r="AF26" s="325">
        <v>0</v>
      </c>
      <c r="AG26" s="368">
        <f t="shared" si="9"/>
        <v>0</v>
      </c>
      <c r="AH26" s="421">
        <f>D26+I26+M26+R26+W26+AA26+Cement!P26+Cement!T26+AE26</f>
        <v>3487.84</v>
      </c>
      <c r="AI26" s="369">
        <f>E26+J26+N26+S26+X26+AB26+Clinker!E26+AF26</f>
        <v>2478</v>
      </c>
      <c r="AJ26" s="325">
        <f>Production2!N26</f>
        <v>2177</v>
      </c>
      <c r="AK26" s="325">
        <f t="shared" si="20"/>
        <v>-301</v>
      </c>
      <c r="AL26" s="370"/>
      <c r="AM26" s="325">
        <f t="shared" si="21"/>
        <v>0.17225539733578318</v>
      </c>
      <c r="AN26" s="325">
        <f t="shared" si="22"/>
        <v>0.91869545245751039</v>
      </c>
      <c r="AO26" s="325">
        <f t="shared" si="23"/>
        <v>7.3495636196600827E-3</v>
      </c>
      <c r="AP26" s="325">
        <f t="shared" si="24"/>
        <v>1.607717041800643E-2</v>
      </c>
      <c r="AQ26" s="325">
        <f>D26+I26+M26+R26+Cement!P26</f>
        <v>3487.84</v>
      </c>
      <c r="AR26" s="325">
        <f>AI26+Cement!Q26-Clinker!E26</f>
        <v>2584.4</v>
      </c>
      <c r="AS26" s="325"/>
      <c r="AT26" s="371">
        <f>AI26-Production2!N26</f>
        <v>301</v>
      </c>
      <c r="AU26" s="372">
        <f t="shared" si="11"/>
        <v>2478</v>
      </c>
      <c r="AV26" s="324">
        <f t="shared" si="12"/>
        <v>2375</v>
      </c>
      <c r="AW26" s="324">
        <f t="shared" si="13"/>
        <v>-2244.14</v>
      </c>
      <c r="AX26" s="324">
        <f t="shared" ref="AX26" si="29">D26-AY26</f>
        <v>2244.14</v>
      </c>
      <c r="AY26" s="324">
        <v>0</v>
      </c>
      <c r="AZ26" s="324">
        <f>(AI26-Production2!N26)/'Mines (2)'!AI26</f>
        <v>0.12146892655367232</v>
      </c>
      <c r="BA26" s="324">
        <f t="shared" si="15"/>
        <v>12.146892655367232</v>
      </c>
    </row>
    <row r="27" spans="2:54" s="324" customFormat="1" x14ac:dyDescent="0.25">
      <c r="B27" s="351">
        <v>25</v>
      </c>
      <c r="C27" s="352">
        <f t="shared" si="0"/>
        <v>11652.583180002968</v>
      </c>
      <c r="D27" s="1">
        <v>1926.2</v>
      </c>
      <c r="E27" s="353">
        <f>F27+'RAW MILL 2'!C27</f>
        <v>356</v>
      </c>
      <c r="F27" s="1">
        <v>356</v>
      </c>
      <c r="G27" s="354">
        <f t="shared" si="1"/>
        <v>13222.783180002969</v>
      </c>
      <c r="H27" s="352">
        <f t="shared" si="2"/>
        <v>7854.9085241318317</v>
      </c>
      <c r="I27" s="1">
        <v>1783.74</v>
      </c>
      <c r="J27" s="1">
        <v>2000</v>
      </c>
      <c r="K27" s="354">
        <f>H27+I27-J27-Cement!Q27</f>
        <v>7405.6485244593314</v>
      </c>
      <c r="L27" s="352">
        <f t="shared" si="3"/>
        <v>946.83999999999992</v>
      </c>
      <c r="M27" s="1">
        <v>307.66000000000003</v>
      </c>
      <c r="N27" s="353">
        <f>O27+'RAW MILL 2'!D27</f>
        <v>15</v>
      </c>
      <c r="O27" s="1">
        <v>15</v>
      </c>
      <c r="P27" s="354">
        <f t="shared" si="4"/>
        <v>1239.5</v>
      </c>
      <c r="Q27" s="352">
        <f t="shared" si="5"/>
        <v>390.03999999999996</v>
      </c>
      <c r="R27" s="1">
        <v>0</v>
      </c>
      <c r="S27" s="353">
        <f>T27+'RAW MILL 2'!E27</f>
        <v>34</v>
      </c>
      <c r="T27" s="1">
        <v>34</v>
      </c>
      <c r="U27" s="354">
        <f t="shared" si="6"/>
        <v>356.03999999999996</v>
      </c>
      <c r="V27" s="368">
        <f t="shared" si="25"/>
        <v>0</v>
      </c>
      <c r="W27" s="325">
        <v>0</v>
      </c>
      <c r="X27" s="325">
        <v>0</v>
      </c>
      <c r="Y27" s="368">
        <f t="shared" si="26"/>
        <v>0</v>
      </c>
      <c r="Z27" s="368">
        <f t="shared" si="27"/>
        <v>0</v>
      </c>
      <c r="AA27" s="325">
        <v>0</v>
      </c>
      <c r="AB27" s="325">
        <v>0</v>
      </c>
      <c r="AC27" s="368">
        <f t="shared" si="8"/>
        <v>0</v>
      </c>
      <c r="AD27" s="368">
        <f t="shared" si="28"/>
        <v>0</v>
      </c>
      <c r="AE27" s="325">
        <v>0</v>
      </c>
      <c r="AF27" s="325">
        <v>0</v>
      </c>
      <c r="AG27" s="368">
        <f t="shared" si="9"/>
        <v>0</v>
      </c>
      <c r="AH27" s="369">
        <f>D27+I27+M27+R27+W27+AA27+Cement!P27+Cement!T27+AE27</f>
        <v>4017.6</v>
      </c>
      <c r="AI27" s="369">
        <f>E27+J27+N27+S27+X27+AB27+Clinker!E27+AF27</f>
        <v>2457</v>
      </c>
      <c r="AJ27" s="325">
        <f>Production2!N27</f>
        <v>2212.86</v>
      </c>
      <c r="AK27" s="325">
        <f t="shared" si="20"/>
        <v>-244.13999999999987</v>
      </c>
      <c r="AL27" s="370"/>
      <c r="AM27" s="325">
        <f t="shared" si="21"/>
        <v>0.16087777807904702</v>
      </c>
      <c r="AN27" s="325">
        <f t="shared" si="22"/>
        <v>0.90380774201711811</v>
      </c>
      <c r="AO27" s="325">
        <f t="shared" si="23"/>
        <v>6.7785580651283858E-3</v>
      </c>
      <c r="AP27" s="325">
        <f t="shared" si="24"/>
        <v>1.5364731614291006E-2</v>
      </c>
      <c r="AQ27" s="325">
        <f>D27+I27+M27+R27+Cement!P27</f>
        <v>4017.6</v>
      </c>
      <c r="AR27" s="325">
        <f>AI27+Cement!Q27-Clinker!E27</f>
        <v>2637.9999996725001</v>
      </c>
      <c r="AS27" s="325"/>
      <c r="AT27" s="371">
        <f>AI27-Production2!N27</f>
        <v>244.13999999999987</v>
      </c>
      <c r="AU27" s="372">
        <f t="shared" si="11"/>
        <v>2457</v>
      </c>
      <c r="AV27" s="324">
        <v>25</v>
      </c>
      <c r="AY27" s="324">
        <v>0</v>
      </c>
      <c r="AZ27" s="324">
        <f>(AI27-Production2!N27)/'Mines (2)'!AI27</f>
        <v>9.9365079365079309E-2</v>
      </c>
      <c r="BA27" s="324">
        <f t="shared" si="15"/>
        <v>9.9365079365079314</v>
      </c>
    </row>
    <row r="28" spans="2:54" s="324" customFormat="1" x14ac:dyDescent="0.25">
      <c r="B28" s="351">
        <v>26</v>
      </c>
      <c r="C28" s="352">
        <f t="shared" ref="C28:C33" si="30">G27</f>
        <v>13222.783180002969</v>
      </c>
      <c r="D28" s="1">
        <v>2946.46</v>
      </c>
      <c r="E28" s="353">
        <f>F28+'RAW MILL 2'!C28</f>
        <v>634</v>
      </c>
      <c r="F28" s="1">
        <v>511</v>
      </c>
      <c r="G28" s="354">
        <f t="shared" si="1"/>
        <v>15535.24318000297</v>
      </c>
      <c r="H28" s="352">
        <f t="shared" ref="H28:H33" si="31">K27</f>
        <v>7405.6485244593314</v>
      </c>
      <c r="I28" s="1">
        <v>144.54</v>
      </c>
      <c r="J28" s="1">
        <v>2000</v>
      </c>
      <c r="K28" s="354">
        <f>H28+I28-J28-Cement!Q28</f>
        <v>5191.4385244593323</v>
      </c>
      <c r="L28" s="352">
        <f t="shared" ref="L28:L33" si="32">P27</f>
        <v>1239.5</v>
      </c>
      <c r="M28" s="1">
        <v>0</v>
      </c>
      <c r="N28" s="353">
        <f>O28+'RAW MILL 2'!D28</f>
        <v>27</v>
      </c>
      <c r="O28" s="1">
        <v>26</v>
      </c>
      <c r="P28" s="354">
        <f t="shared" si="4"/>
        <v>1212.5</v>
      </c>
      <c r="Q28" s="352">
        <f t="shared" ref="Q28:Q33" si="33">U27</f>
        <v>356.03999999999996</v>
      </c>
      <c r="R28" s="1">
        <v>0</v>
      </c>
      <c r="S28" s="353">
        <f>T28+'RAW MILL 2'!E28</f>
        <v>8</v>
      </c>
      <c r="T28" s="1">
        <v>8</v>
      </c>
      <c r="U28" s="354">
        <f t="shared" si="6"/>
        <v>348.03999999999996</v>
      </c>
      <c r="V28" s="368">
        <f t="shared" si="25"/>
        <v>0</v>
      </c>
      <c r="W28" s="325">
        <v>0</v>
      </c>
      <c r="X28" s="325">
        <v>0</v>
      </c>
      <c r="Y28" s="368">
        <f t="shared" si="26"/>
        <v>0</v>
      </c>
      <c r="Z28" s="368">
        <f t="shared" si="27"/>
        <v>0</v>
      </c>
      <c r="AA28" s="325">
        <v>0</v>
      </c>
      <c r="AB28" s="325">
        <v>0</v>
      </c>
      <c r="AC28" s="368">
        <f t="shared" si="8"/>
        <v>0</v>
      </c>
      <c r="AD28" s="368">
        <f t="shared" si="28"/>
        <v>0</v>
      </c>
      <c r="AE28" s="325">
        <v>0</v>
      </c>
      <c r="AF28" s="325">
        <v>0</v>
      </c>
      <c r="AG28" s="368">
        <f t="shared" si="9"/>
        <v>0</v>
      </c>
      <c r="AH28" s="369">
        <f>D28+I28+M28+R28+W28+AA28+Cement!P28+Cement!T28+AE28</f>
        <v>3091</v>
      </c>
      <c r="AI28" s="369">
        <f>E28+J28+N28+S28+X28+AB28+Clinker!E28+AF28</f>
        <v>2710</v>
      </c>
      <c r="AJ28" s="325">
        <f>Production2!N28</f>
        <v>2325</v>
      </c>
      <c r="AK28" s="325">
        <f t="shared" si="20"/>
        <v>-385</v>
      </c>
      <c r="AL28" s="370"/>
      <c r="AM28" s="325">
        <f t="shared" si="21"/>
        <v>0.27268817204301077</v>
      </c>
      <c r="AN28" s="325">
        <f t="shared" si="22"/>
        <v>0.86021505376344087</v>
      </c>
      <c r="AO28" s="325">
        <f t="shared" si="23"/>
        <v>1.1612903225806452E-2</v>
      </c>
      <c r="AP28" s="325">
        <f t="shared" si="24"/>
        <v>3.4408602150537634E-3</v>
      </c>
      <c r="AQ28" s="325">
        <f>D28+I28+M28+R28+Cement!P28</f>
        <v>3091</v>
      </c>
      <c r="AR28" s="325">
        <f>AI28+Cement!Q28-Clinker!E28</f>
        <v>3027.7499999999991</v>
      </c>
      <c r="AS28" s="325"/>
      <c r="AT28" s="371">
        <f>AI28-Production2!N28</f>
        <v>385</v>
      </c>
      <c r="AU28" s="372">
        <f t="shared" si="11"/>
        <v>2710</v>
      </c>
      <c r="AV28" s="324">
        <v>26</v>
      </c>
      <c r="AY28" s="324">
        <v>0</v>
      </c>
      <c r="AZ28" s="324">
        <f>(AI28-Production2!N28)/'Mines (2)'!AI28</f>
        <v>0.14206642066420663</v>
      </c>
      <c r="BA28" s="324">
        <f t="shared" si="15"/>
        <v>14.206642066420663</v>
      </c>
    </row>
    <row r="29" spans="2:54" x14ac:dyDescent="0.25">
      <c r="B29" s="4">
        <v>27</v>
      </c>
      <c r="C29" s="39">
        <f t="shared" si="30"/>
        <v>15535.24318000297</v>
      </c>
      <c r="D29" s="1">
        <f>2697.24+42.3</f>
        <v>2739.54</v>
      </c>
      <c r="E29" s="271">
        <f>F29+'RAW MILL 2'!C29</f>
        <v>2871</v>
      </c>
      <c r="F29" s="1">
        <v>2665</v>
      </c>
      <c r="G29" s="9">
        <f t="shared" si="1"/>
        <v>15403.783180002971</v>
      </c>
      <c r="H29" s="39">
        <f t="shared" si="31"/>
        <v>5191.4385244593323</v>
      </c>
      <c r="I29" s="1">
        <v>1086.28</v>
      </c>
      <c r="J29" s="1">
        <v>0</v>
      </c>
      <c r="K29" s="9">
        <f>H29+I29-J29-Cement!Q29</f>
        <v>5975.1685244593318</v>
      </c>
      <c r="L29" s="39">
        <f t="shared" si="32"/>
        <v>1212.5</v>
      </c>
      <c r="M29" s="1">
        <v>0</v>
      </c>
      <c r="N29" s="271">
        <f>O29+'RAW MILL 2'!D29</f>
        <v>12</v>
      </c>
      <c r="O29" s="1">
        <v>11</v>
      </c>
      <c r="P29" s="9">
        <f t="shared" si="4"/>
        <v>1200.5</v>
      </c>
      <c r="Q29" s="39">
        <f t="shared" si="33"/>
        <v>348.03999999999996</v>
      </c>
      <c r="R29" s="1">
        <v>0</v>
      </c>
      <c r="S29" s="271">
        <f>T29+'RAW MILL 2'!E29</f>
        <v>12</v>
      </c>
      <c r="T29" s="1">
        <v>11</v>
      </c>
      <c r="U29" s="9">
        <f t="shared" si="6"/>
        <v>336.03999999999996</v>
      </c>
      <c r="V29" s="27">
        <f t="shared" si="25"/>
        <v>0</v>
      </c>
      <c r="W29" s="1">
        <v>0</v>
      </c>
      <c r="X29" s="1">
        <v>0</v>
      </c>
      <c r="Y29" s="27">
        <f t="shared" si="26"/>
        <v>0</v>
      </c>
      <c r="Z29" s="27">
        <f t="shared" si="27"/>
        <v>0</v>
      </c>
      <c r="AA29" s="1">
        <v>0</v>
      </c>
      <c r="AB29" s="1">
        <v>0</v>
      </c>
      <c r="AC29" s="27">
        <f t="shared" si="8"/>
        <v>0</v>
      </c>
      <c r="AD29" s="27">
        <f t="shared" si="28"/>
        <v>0</v>
      </c>
      <c r="AE29" s="1">
        <v>0</v>
      </c>
      <c r="AF29" s="1">
        <v>0</v>
      </c>
      <c r="AG29" s="27">
        <f t="shared" si="9"/>
        <v>0</v>
      </c>
      <c r="AH29" s="31">
        <f>D29+I29+M29+R29+W29+AA29+Cement!P29+Cement!T29+AE29</f>
        <v>3825.8199999999997</v>
      </c>
      <c r="AI29" s="31">
        <f>E29+J29+N29+S29+X29+AB29+Clinker!E29+AF29</f>
        <v>2954</v>
      </c>
      <c r="AJ29" s="1">
        <f>Production2!N29</f>
        <v>2468</v>
      </c>
      <c r="AK29" s="1">
        <f t="shared" si="20"/>
        <v>-486</v>
      </c>
      <c r="AL29" s="297"/>
      <c r="AM29" s="1">
        <f>E29/AJ29</f>
        <v>1.163290113452188</v>
      </c>
      <c r="AN29" s="1">
        <f t="shared" si="22"/>
        <v>0</v>
      </c>
      <c r="AO29" s="1">
        <f t="shared" si="23"/>
        <v>4.8622366288492711E-3</v>
      </c>
      <c r="AP29" s="1">
        <f t="shared" si="24"/>
        <v>4.8622366288492711E-3</v>
      </c>
      <c r="AQ29" s="1"/>
      <c r="AR29" s="1">
        <f>AI29+Cement!Q29-Clinker!E29</f>
        <v>3197.5499999999997</v>
      </c>
      <c r="AS29" s="1"/>
      <c r="AT29" s="50">
        <f>AI29-Production2!N29</f>
        <v>486</v>
      </c>
      <c r="AU29" s="52">
        <f t="shared" si="11"/>
        <v>2954</v>
      </c>
      <c r="AV29">
        <v>27</v>
      </c>
      <c r="AY29">
        <v>0</v>
      </c>
      <c r="AZ29">
        <f>(AI29-Production2!N29)/'Mines (2)'!AI29</f>
        <v>0.16452268111035884</v>
      </c>
      <c r="BA29">
        <f t="shared" si="15"/>
        <v>16.452268111035885</v>
      </c>
    </row>
    <row r="30" spans="2:54" x14ac:dyDescent="0.25">
      <c r="B30" s="4">
        <v>28</v>
      </c>
      <c r="C30" s="39">
        <f t="shared" si="30"/>
        <v>15403.783180002971</v>
      </c>
      <c r="D30" s="1">
        <v>0</v>
      </c>
      <c r="E30" s="271">
        <f>F30+'RAW MILL 2'!C30</f>
        <v>2779</v>
      </c>
      <c r="F30" s="1">
        <v>2620</v>
      </c>
      <c r="G30" s="9">
        <f t="shared" si="1"/>
        <v>12624.783180002971</v>
      </c>
      <c r="H30" s="39">
        <f t="shared" si="31"/>
        <v>5975.1685244593318</v>
      </c>
      <c r="I30" s="1">
        <v>0</v>
      </c>
      <c r="J30" s="1">
        <v>0</v>
      </c>
      <c r="K30" s="9">
        <f>H30+I30-J30-Cement!Q30</f>
        <v>5810.4685246186318</v>
      </c>
      <c r="L30" s="39">
        <f t="shared" si="32"/>
        <v>1200.5</v>
      </c>
      <c r="M30" s="1">
        <v>0</v>
      </c>
      <c r="N30" s="271">
        <f>O30+'RAW MILL 2'!D30</f>
        <v>66</v>
      </c>
      <c r="O30" s="1">
        <v>62</v>
      </c>
      <c r="P30" s="9">
        <f t="shared" si="4"/>
        <v>1134.5</v>
      </c>
      <c r="Q30" s="39">
        <f t="shared" si="33"/>
        <v>336.03999999999996</v>
      </c>
      <c r="R30" s="1">
        <v>0</v>
      </c>
      <c r="S30" s="271">
        <f>T30+'RAW MILL 2'!E30</f>
        <v>23</v>
      </c>
      <c r="T30" s="1">
        <v>22</v>
      </c>
      <c r="U30" s="9">
        <f t="shared" si="6"/>
        <v>313.03999999999996</v>
      </c>
      <c r="V30" s="27">
        <f t="shared" si="25"/>
        <v>0</v>
      </c>
      <c r="W30" s="1">
        <v>0</v>
      </c>
      <c r="X30" s="1">
        <v>0</v>
      </c>
      <c r="Y30" s="27">
        <f t="shared" si="26"/>
        <v>0</v>
      </c>
      <c r="Z30" s="27">
        <f t="shared" si="27"/>
        <v>0</v>
      </c>
      <c r="AA30" s="1">
        <v>0</v>
      </c>
      <c r="AB30" s="1">
        <v>0</v>
      </c>
      <c r="AC30" s="27">
        <f t="shared" si="8"/>
        <v>0</v>
      </c>
      <c r="AD30" s="27">
        <f t="shared" si="28"/>
        <v>0</v>
      </c>
      <c r="AE30" s="1">
        <v>0</v>
      </c>
      <c r="AF30" s="1">
        <v>0</v>
      </c>
      <c r="AG30" s="27">
        <f t="shared" si="9"/>
        <v>0</v>
      </c>
      <c r="AH30" s="31">
        <f>D30+I30+M30+R30+W30+AA30+Cement!P30+Cement!T30+AE30</f>
        <v>0</v>
      </c>
      <c r="AI30" s="31">
        <f>E30+J30+N30+S30+X30+AB30+Clinker!E30+AF30</f>
        <v>2923</v>
      </c>
      <c r="AJ30" s="1">
        <f>Production2!N30</f>
        <v>2480</v>
      </c>
      <c r="AK30" s="1">
        <f t="shared" si="20"/>
        <v>-443</v>
      </c>
      <c r="AL30" s="297"/>
      <c r="AM30" s="1">
        <f t="shared" si="21"/>
        <v>1.1205645161290323</v>
      </c>
      <c r="AN30" s="1">
        <f t="shared" si="22"/>
        <v>0</v>
      </c>
      <c r="AO30" s="1">
        <f t="shared" si="23"/>
        <v>2.661290322580645E-2</v>
      </c>
      <c r="AP30" s="1">
        <f t="shared" si="24"/>
        <v>9.2741935483870962E-3</v>
      </c>
      <c r="AQ30" s="1"/>
      <c r="AR30" s="1">
        <f>AI30+Cement!Q30-Clinker!E30</f>
        <v>3032.6999998407</v>
      </c>
      <c r="AS30" s="1"/>
      <c r="AT30" s="50">
        <f>AI30-Production2!N30</f>
        <v>443</v>
      </c>
      <c r="AU30" s="52">
        <f t="shared" si="11"/>
        <v>2923</v>
      </c>
      <c r="AV30">
        <v>28</v>
      </c>
      <c r="AY30">
        <v>0</v>
      </c>
      <c r="AZ30">
        <f>(AI30-Production2!N30)/'Mines (2)'!AI30</f>
        <v>0.15155661991105029</v>
      </c>
      <c r="BA30">
        <f t="shared" si="15"/>
        <v>15.155661991105029</v>
      </c>
    </row>
    <row r="31" spans="2:54" x14ac:dyDescent="0.25">
      <c r="B31" s="4">
        <v>29</v>
      </c>
      <c r="C31" s="39">
        <f t="shared" si="30"/>
        <v>12624.783180002971</v>
      </c>
      <c r="D31" s="1">
        <v>0</v>
      </c>
      <c r="E31" s="271">
        <f>F31+'RAW MILL 2'!C31</f>
        <v>2702</v>
      </c>
      <c r="F31" s="1">
        <v>2499</v>
      </c>
      <c r="G31" s="9">
        <f t="shared" si="1"/>
        <v>9922.7831800029708</v>
      </c>
      <c r="H31" s="39">
        <f t="shared" si="31"/>
        <v>5810.4685246186318</v>
      </c>
      <c r="I31" s="1">
        <v>0</v>
      </c>
      <c r="J31" s="1">
        <v>0</v>
      </c>
      <c r="K31" s="9">
        <f>H31+I31-J31-Cement!Q31</f>
        <v>5536.5685246186331</v>
      </c>
      <c r="L31" s="39">
        <f t="shared" si="32"/>
        <v>1134.5</v>
      </c>
      <c r="M31" s="1">
        <v>0</v>
      </c>
      <c r="N31" s="271">
        <f>O31+'RAW MILL 2'!D31</f>
        <v>71</v>
      </c>
      <c r="O31" s="1">
        <v>65</v>
      </c>
      <c r="P31" s="9">
        <f t="shared" si="4"/>
        <v>1063.5</v>
      </c>
      <c r="Q31" s="39">
        <f t="shared" si="33"/>
        <v>313.03999999999996</v>
      </c>
      <c r="R31" s="1">
        <v>0</v>
      </c>
      <c r="S31" s="271">
        <f>T31+'RAW MILL 2'!E31</f>
        <v>67</v>
      </c>
      <c r="T31" s="1">
        <v>62</v>
      </c>
      <c r="U31" s="9">
        <f t="shared" si="6"/>
        <v>246.03999999999996</v>
      </c>
      <c r="V31" s="27">
        <f t="shared" si="25"/>
        <v>0</v>
      </c>
      <c r="W31" s="1">
        <v>0</v>
      </c>
      <c r="X31" s="1">
        <v>0</v>
      </c>
      <c r="Y31" s="27">
        <f t="shared" si="26"/>
        <v>0</v>
      </c>
      <c r="Z31" s="27">
        <f t="shared" si="27"/>
        <v>0</v>
      </c>
      <c r="AA31" s="1">
        <v>0</v>
      </c>
      <c r="AB31" s="1">
        <v>0</v>
      </c>
      <c r="AC31" s="27">
        <f t="shared" si="8"/>
        <v>0</v>
      </c>
      <c r="AD31" s="27">
        <f t="shared" si="28"/>
        <v>0</v>
      </c>
      <c r="AE31" s="1">
        <v>0</v>
      </c>
      <c r="AF31" s="1">
        <v>0</v>
      </c>
      <c r="AG31" s="27">
        <f t="shared" si="9"/>
        <v>0</v>
      </c>
      <c r="AH31" s="31">
        <f>D31+I31+M31+R31+W31+AA31+Cement!P31+Cement!T31+AE31</f>
        <v>0</v>
      </c>
      <c r="AI31" s="31">
        <f>E31+J31+N31+S31+X31+AB31+Clinker!E31+AF31</f>
        <v>2907</v>
      </c>
      <c r="AJ31" s="1">
        <f>Production2!N31</f>
        <v>2420</v>
      </c>
      <c r="AK31" s="1">
        <f t="shared" si="20"/>
        <v>-487</v>
      </c>
      <c r="AL31" s="297"/>
      <c r="AM31" s="1">
        <f t="shared" si="21"/>
        <v>1.1165289256198347</v>
      </c>
      <c r="AN31" s="1">
        <f t="shared" si="22"/>
        <v>0</v>
      </c>
      <c r="AO31" s="1">
        <f t="shared" si="23"/>
        <v>2.933884297520661E-2</v>
      </c>
      <c r="AP31" s="1">
        <f t="shared" si="24"/>
        <v>2.7685950413223141E-2</v>
      </c>
      <c r="AQ31" s="1"/>
      <c r="AR31" s="1">
        <f>AI31+Cement!Q31-Clinker!E31</f>
        <v>3113.8999999999992</v>
      </c>
      <c r="AS31" s="1"/>
      <c r="AT31" s="50">
        <f>AI31-Production2!N31</f>
        <v>487</v>
      </c>
      <c r="AU31" s="175">
        <f t="shared" si="11"/>
        <v>2907</v>
      </c>
      <c r="AV31">
        <v>29</v>
      </c>
      <c r="AY31">
        <v>0</v>
      </c>
      <c r="AZ31">
        <f>(AI31-Production2!N31)/'Mines (2)'!AI31</f>
        <v>0.16752665978672171</v>
      </c>
      <c r="BA31">
        <f t="shared" si="15"/>
        <v>16.752665978672169</v>
      </c>
    </row>
    <row r="32" spans="2:54" x14ac:dyDescent="0.25">
      <c r="B32" s="4">
        <v>30</v>
      </c>
      <c r="C32" s="39">
        <f t="shared" si="30"/>
        <v>9922.7831800029708</v>
      </c>
      <c r="D32" s="1">
        <v>0</v>
      </c>
      <c r="E32" s="271">
        <f>F32+'RAW MILL 2'!C32</f>
        <v>2650</v>
      </c>
      <c r="F32" s="1">
        <v>2468</v>
      </c>
      <c r="G32" s="9">
        <f t="shared" si="1"/>
        <v>7272.7831800029708</v>
      </c>
      <c r="H32" s="39">
        <f t="shared" si="31"/>
        <v>5536.5685246186331</v>
      </c>
      <c r="I32" s="1">
        <v>0</v>
      </c>
      <c r="J32" s="1">
        <v>0</v>
      </c>
      <c r="K32" s="9">
        <f>H32+I32-J32-Cement!Q32</f>
        <v>5298.9685246186336</v>
      </c>
      <c r="L32" s="39">
        <f t="shared" si="32"/>
        <v>1063.5</v>
      </c>
      <c r="M32" s="1">
        <v>0</v>
      </c>
      <c r="N32" s="271">
        <f>O32+'RAW MILL 2'!D32</f>
        <v>117</v>
      </c>
      <c r="O32" s="1">
        <v>107</v>
      </c>
      <c r="P32" s="9">
        <f t="shared" si="4"/>
        <v>946.5</v>
      </c>
      <c r="Q32" s="39">
        <f t="shared" si="33"/>
        <v>246.03999999999996</v>
      </c>
      <c r="R32" s="1">
        <v>0</v>
      </c>
      <c r="S32" s="271">
        <f>T32+'RAW MILL 2'!E32</f>
        <v>55</v>
      </c>
      <c r="T32" s="1">
        <v>54</v>
      </c>
      <c r="U32" s="9">
        <f t="shared" si="6"/>
        <v>191.03999999999996</v>
      </c>
      <c r="V32" s="27">
        <f t="shared" si="25"/>
        <v>0</v>
      </c>
      <c r="W32" s="1">
        <v>0</v>
      </c>
      <c r="X32" s="1">
        <v>0</v>
      </c>
      <c r="Y32" s="27">
        <f t="shared" si="26"/>
        <v>0</v>
      </c>
      <c r="Z32" s="27">
        <f t="shared" si="27"/>
        <v>0</v>
      </c>
      <c r="AA32" s="1">
        <v>0</v>
      </c>
      <c r="AB32" s="1">
        <v>0</v>
      </c>
      <c r="AC32" s="27">
        <f t="shared" si="8"/>
        <v>0</v>
      </c>
      <c r="AD32" s="27">
        <f t="shared" si="28"/>
        <v>0</v>
      </c>
      <c r="AE32" s="1">
        <v>0</v>
      </c>
      <c r="AF32" s="1">
        <v>0</v>
      </c>
      <c r="AG32" s="27">
        <f t="shared" si="9"/>
        <v>0</v>
      </c>
      <c r="AH32" s="31">
        <f>D32+I32+M32+R32+W32+AA32+Cement!P32+Cement!T32+AE32</f>
        <v>0</v>
      </c>
      <c r="AI32" s="31">
        <f>E32+J32+N32+S32+X32+AB32+Clinker!E32+AF32</f>
        <v>2880</v>
      </c>
      <c r="AJ32" s="1">
        <f>Production2!N32</f>
        <v>2416</v>
      </c>
      <c r="AK32" s="1">
        <f t="shared" si="20"/>
        <v>-464</v>
      </c>
      <c r="AL32" s="297"/>
      <c r="AM32" s="1">
        <f t="shared" si="21"/>
        <v>1.0968543046357615</v>
      </c>
      <c r="AN32" s="1">
        <f t="shared" si="22"/>
        <v>0</v>
      </c>
      <c r="AO32" s="1">
        <f t="shared" si="23"/>
        <v>4.8427152317880792E-2</v>
      </c>
      <c r="AP32" s="1">
        <f t="shared" si="24"/>
        <v>2.2764900662251654E-2</v>
      </c>
      <c r="AQ32" s="1"/>
      <c r="AR32" s="1">
        <f>AI32+Cement!Q32-Clinker!E32</f>
        <v>3059.5999999999995</v>
      </c>
      <c r="AS32" s="1"/>
      <c r="AT32" s="52">
        <f>AI32-Production2!N32</f>
        <v>464</v>
      </c>
      <c r="AU32" s="175">
        <f t="shared" si="11"/>
        <v>2880</v>
      </c>
      <c r="AV32">
        <v>30</v>
      </c>
      <c r="AY32">
        <v>0</v>
      </c>
      <c r="AZ32">
        <f>(AI32-Production2!N32)/'Mines (2)'!AI32</f>
        <v>0.16111111111111112</v>
      </c>
    </row>
    <row r="33" spans="2:48" s="160" customFormat="1" x14ac:dyDescent="0.25">
      <c r="B33" s="155">
        <v>31</v>
      </c>
      <c r="C33" s="156">
        <f t="shared" si="30"/>
        <v>7272.7831800029708</v>
      </c>
      <c r="D33" s="1">
        <v>0</v>
      </c>
      <c r="E33" s="271">
        <f>F33+'RAW MILL 2'!C33</f>
        <v>0</v>
      </c>
      <c r="F33" s="1">
        <v>0</v>
      </c>
      <c r="G33" s="9">
        <f t="shared" si="1"/>
        <v>7272.7831800029708</v>
      </c>
      <c r="H33" s="156">
        <f t="shared" si="31"/>
        <v>5298.9685246186336</v>
      </c>
      <c r="I33" s="1">
        <v>0</v>
      </c>
      <c r="J33" s="1">
        <v>0</v>
      </c>
      <c r="K33" s="9">
        <f>H33+I33-J33-Cement!Q33</f>
        <v>5298.9685246186336</v>
      </c>
      <c r="L33" s="156">
        <f t="shared" si="32"/>
        <v>946.5</v>
      </c>
      <c r="M33" s="1">
        <v>0</v>
      </c>
      <c r="N33" s="271">
        <f>O33+'RAW MILL 2'!D33</f>
        <v>0</v>
      </c>
      <c r="O33" s="1">
        <v>0</v>
      </c>
      <c r="P33" s="9">
        <f t="shared" si="4"/>
        <v>946.5</v>
      </c>
      <c r="Q33" s="156">
        <f t="shared" si="33"/>
        <v>191.03999999999996</v>
      </c>
      <c r="R33" s="1">
        <v>0</v>
      </c>
      <c r="S33" s="271">
        <f>T33+'RAW MILL 2'!E33</f>
        <v>0</v>
      </c>
      <c r="T33" s="1">
        <v>0</v>
      </c>
      <c r="U33" s="9">
        <f t="shared" si="6"/>
        <v>191.03999999999996</v>
      </c>
      <c r="V33" s="159">
        <f t="shared" ref="V33" si="34">Y32</f>
        <v>0</v>
      </c>
      <c r="W33" s="1">
        <v>0</v>
      </c>
      <c r="X33" s="1">
        <v>0</v>
      </c>
      <c r="Y33" s="27">
        <f t="shared" si="26"/>
        <v>0</v>
      </c>
      <c r="Z33" s="159">
        <f t="shared" si="27"/>
        <v>0</v>
      </c>
      <c r="AA33" s="1">
        <v>0</v>
      </c>
      <c r="AB33" s="1">
        <v>0</v>
      </c>
      <c r="AC33" s="27">
        <f t="shared" si="8"/>
        <v>0</v>
      </c>
      <c r="AD33" s="159">
        <f t="shared" si="28"/>
        <v>0</v>
      </c>
      <c r="AE33" s="1">
        <v>0</v>
      </c>
      <c r="AF33" s="1">
        <v>0</v>
      </c>
      <c r="AG33" s="27">
        <f t="shared" si="9"/>
        <v>0</v>
      </c>
      <c r="AH33" s="31">
        <f>D33+I33+M33+R33+W33+AA33+Cement!P33+Cement!T33+AE33</f>
        <v>0</v>
      </c>
      <c r="AI33" s="31">
        <f>E33+J33+N33+S33+X33+AB33+Clinker!E33+AF33</f>
        <v>0</v>
      </c>
      <c r="AJ33" s="157"/>
      <c r="AK33" s="157"/>
      <c r="AL33" s="297"/>
      <c r="AM33" s="157"/>
      <c r="AN33" s="157"/>
      <c r="AO33" s="157"/>
      <c r="AP33" s="157"/>
      <c r="AQ33" s="157"/>
      <c r="AR33" s="157"/>
      <c r="AS33" s="157"/>
      <c r="AT33" s="175">
        <f>AI33-Production2!N33</f>
        <v>0</v>
      </c>
    </row>
    <row r="34" spans="2:48" ht="15.75" thickBot="1" x14ac:dyDescent="0.3">
      <c r="B34" s="5" t="s">
        <v>26</v>
      </c>
      <c r="C34" s="8"/>
      <c r="D34" s="8">
        <f>SUM(D3:D33)</f>
        <v>32065.72</v>
      </c>
      <c r="E34" s="8">
        <f>SUM(E3:E33)</f>
        <v>34299</v>
      </c>
      <c r="F34" s="8"/>
      <c r="G34" s="10"/>
      <c r="H34" s="8"/>
      <c r="I34" s="8">
        <f>SUM(I3:I33)</f>
        <v>32919.979999999996</v>
      </c>
      <c r="J34" s="8">
        <f>SUM(J3:J33)</f>
        <v>32588</v>
      </c>
      <c r="K34" s="9"/>
      <c r="L34" s="8"/>
      <c r="M34" s="8">
        <f>SUM(M3:M33)</f>
        <v>1351.4600000000003</v>
      </c>
      <c r="N34" s="8">
        <f>SUM(N3:N33)</f>
        <v>529</v>
      </c>
      <c r="O34" s="8">
        <f>SUM(O3:O33)</f>
        <v>492</v>
      </c>
      <c r="P34" s="10"/>
      <c r="Q34" s="8"/>
      <c r="R34" s="8">
        <f>SUM(R3:R33)</f>
        <v>137.76</v>
      </c>
      <c r="S34" s="8">
        <f>SUM(S3:S33)</f>
        <v>547</v>
      </c>
      <c r="T34" s="8">
        <f>SUM(T3:T33)</f>
        <v>517</v>
      </c>
      <c r="U34" s="8">
        <f t="shared" ref="U34:Y34" si="35">SUM(U3:U33)</f>
        <v>15093.120000000006</v>
      </c>
      <c r="V34" s="8">
        <f t="shared" si="35"/>
        <v>0</v>
      </c>
      <c r="W34" s="8">
        <f t="shared" si="35"/>
        <v>0</v>
      </c>
      <c r="X34" s="8">
        <f t="shared" si="35"/>
        <v>0</v>
      </c>
      <c r="Y34" s="8">
        <f t="shared" si="35"/>
        <v>0</v>
      </c>
      <c r="Z34" s="8">
        <f t="shared" ref="Z34:AC34" si="36">SUM(Z3:Z33)</f>
        <v>0</v>
      </c>
      <c r="AA34" s="8">
        <f t="shared" si="36"/>
        <v>0</v>
      </c>
      <c r="AB34" s="8">
        <f t="shared" si="36"/>
        <v>0</v>
      </c>
      <c r="AC34" s="8">
        <f t="shared" si="36"/>
        <v>0</v>
      </c>
      <c r="AD34" s="8">
        <f t="shared" ref="AD34:AG34" si="37">SUM(AD3:AD33)</f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1"/>
      <c r="AI34" s="1">
        <f>SUM(AI3:AI33)</f>
        <v>69400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8" x14ac:dyDescent="0.25">
      <c r="B35" t="s">
        <v>27</v>
      </c>
      <c r="D35" s="17">
        <f>D36+SUM(D3:D33)</f>
        <v>32065.72</v>
      </c>
      <c r="E35" s="17">
        <f>E36+SUM(E3:E33)</f>
        <v>34299</v>
      </c>
      <c r="F35" s="17"/>
      <c r="G35" s="17"/>
      <c r="H35" s="17"/>
      <c r="I35" s="17">
        <f>I36+SUM(I3:I33)</f>
        <v>32919.979999999996</v>
      </c>
      <c r="J35" s="17">
        <f>J36+SUM(J3:J33)</f>
        <v>32588</v>
      </c>
      <c r="K35" s="17"/>
      <c r="L35" s="17"/>
      <c r="M35" s="17">
        <f>M36+SUM(M3:M33)</f>
        <v>1351.4600000000003</v>
      </c>
      <c r="N35" s="17">
        <f>N36+SUM(N3:N33)</f>
        <v>529</v>
      </c>
      <c r="O35" s="17">
        <f>O36+SUM(O3:O33)</f>
        <v>492</v>
      </c>
      <c r="P35" s="17"/>
      <c r="Q35" s="17"/>
      <c r="R35" s="17">
        <f>R36+SUM(R3:R33)</f>
        <v>137.76</v>
      </c>
      <c r="S35" s="17">
        <f>S36+SUM(S3:S33)</f>
        <v>547</v>
      </c>
      <c r="T35" s="17">
        <f>T36+SUM(T3:T33)</f>
        <v>517</v>
      </c>
      <c r="W35" s="17">
        <f>W36+SUM(W3:W33)</f>
        <v>0</v>
      </c>
      <c r="X35" s="17">
        <f>X36+SUM(X3:X33)</f>
        <v>0</v>
      </c>
      <c r="AA35" s="17">
        <f>AA36+SUM(AA3:AA33)</f>
        <v>0</v>
      </c>
      <c r="AB35" s="17">
        <f>AB36+SUM(AB3:AB33)</f>
        <v>0</v>
      </c>
      <c r="AE35" s="17">
        <f>AE36+SUM(AE3:AE33)</f>
        <v>0</v>
      </c>
      <c r="AF35" s="17">
        <f>AF36+SUM(AF3:AF33)</f>
        <v>0</v>
      </c>
      <c r="AK35" s="1"/>
      <c r="AL35" s="1"/>
    </row>
    <row r="36" spans="2:48" x14ac:dyDescent="0.25">
      <c r="B36" t="s">
        <v>27</v>
      </c>
      <c r="D36" s="17">
        <v>0</v>
      </c>
      <c r="E36" s="17">
        <v>0</v>
      </c>
      <c r="F36" s="17"/>
      <c r="G36" s="17"/>
      <c r="H36" s="17"/>
      <c r="I36" s="17">
        <v>0</v>
      </c>
      <c r="J36" s="17">
        <v>0</v>
      </c>
      <c r="K36" s="17"/>
      <c r="L36" s="17"/>
      <c r="M36" s="17">
        <v>0</v>
      </c>
      <c r="N36" s="17">
        <v>0</v>
      </c>
      <c r="O36" s="17">
        <v>0</v>
      </c>
      <c r="P36" s="17"/>
      <c r="Q36" s="17"/>
      <c r="R36" s="17">
        <v>0</v>
      </c>
      <c r="S36" s="17">
        <v>0</v>
      </c>
      <c r="T36" s="17">
        <v>0</v>
      </c>
      <c r="W36" s="17">
        <v>0</v>
      </c>
      <c r="X36" s="17">
        <v>0</v>
      </c>
      <c r="AA36" s="17">
        <v>0</v>
      </c>
      <c r="AB36" s="17">
        <v>0</v>
      </c>
      <c r="AE36" s="17">
        <v>0</v>
      </c>
      <c r="AF36" s="17">
        <v>0</v>
      </c>
      <c r="AK36" s="1"/>
      <c r="AL36" s="1"/>
      <c r="AN36">
        <f>G33+G33</f>
        <v>14545.566360005942</v>
      </c>
    </row>
    <row r="39" spans="2:48" x14ac:dyDescent="0.25">
      <c r="I39">
        <f>D36+I36+W36+AA36+Cement!P36+Cement!T36</f>
        <v>0</v>
      </c>
      <c r="J39">
        <f>E36+J36+X36+AB36+Cement!Q36+Cement!U36</f>
        <v>0</v>
      </c>
      <c r="Q39" s="296">
        <v>3103</v>
      </c>
      <c r="R39" s="297">
        <v>3286</v>
      </c>
      <c r="S39" s="297">
        <v>2899</v>
      </c>
      <c r="T39" s="297">
        <v>2899</v>
      </c>
      <c r="U39" s="297">
        <v>3290</v>
      </c>
      <c r="V39" s="297">
        <v>3245</v>
      </c>
      <c r="W39" s="297">
        <v>3139</v>
      </c>
      <c r="X39" s="297">
        <v>1732</v>
      </c>
      <c r="Y39" s="297">
        <v>1959</v>
      </c>
      <c r="Z39" s="297">
        <v>3119</v>
      </c>
      <c r="AA39" s="297">
        <v>3017</v>
      </c>
      <c r="AB39" s="297">
        <v>3256</v>
      </c>
      <c r="AC39" s="297">
        <v>3209</v>
      </c>
      <c r="AD39" s="297">
        <v>3075</v>
      </c>
      <c r="AE39" s="297">
        <v>2456</v>
      </c>
      <c r="AF39" s="297">
        <v>2956</v>
      </c>
      <c r="AG39" s="297">
        <v>3022</v>
      </c>
      <c r="AH39" s="298">
        <v>2379</v>
      </c>
      <c r="AI39" s="297">
        <v>3157</v>
      </c>
      <c r="AJ39" s="297">
        <v>2838</v>
      </c>
      <c r="AK39" s="297">
        <v>3051</v>
      </c>
      <c r="AL39" s="297">
        <v>2232</v>
      </c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</row>
  </sheetData>
  <mergeCells count="7">
    <mergeCell ref="AD1:AG1"/>
    <mergeCell ref="Z1:AC1"/>
    <mergeCell ref="C1:G1"/>
    <mergeCell ref="H1:K1"/>
    <mergeCell ref="L1:P1"/>
    <mergeCell ref="Q1:U1"/>
    <mergeCell ref="V1:Y1"/>
  </mergeCells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EX40"/>
  <sheetViews>
    <sheetView zoomScale="60" zoomScaleNormal="60" workbookViewId="0">
      <pane xSplit="2" ySplit="2" topLeftCell="DX3" activePane="bottomRight" state="frozen"/>
      <selection pane="topRight" activeCell="C1" sqref="C1"/>
      <selection pane="bottomLeft" activeCell="A3" sqref="A3"/>
      <selection pane="bottomRight" activeCell="EJ7" sqref="EJ7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style="270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8.42578125" bestFit="1" customWidth="1"/>
    <col min="11" max="11" width="15.140625" bestFit="1" customWidth="1"/>
    <col min="12" max="12" width="16.28515625" bestFit="1" customWidth="1"/>
    <col min="13" max="13" width="12.7109375" bestFit="1" customWidth="1"/>
    <col min="14" max="15" width="12.7109375" customWidth="1"/>
    <col min="16" max="16" width="15.140625" bestFit="1" customWidth="1"/>
    <col min="17" max="17" width="15.5703125" bestFit="1" customWidth="1"/>
    <col min="18" max="18" width="16.28515625" bestFit="1" customWidth="1"/>
    <col min="19" max="19" width="12.7109375" bestFit="1" customWidth="1"/>
    <col min="20" max="20" width="21.140625" bestFit="1" customWidth="1"/>
    <col min="21" max="21" width="15.42578125" bestFit="1" customWidth="1"/>
    <col min="22" max="22" width="21.28515625" bestFit="1" customWidth="1"/>
    <col min="23" max="23" width="15.5703125" bestFit="1" customWidth="1"/>
    <col min="24" max="24" width="16.28515625" bestFit="1" customWidth="1"/>
    <col min="25" max="25" width="12.7109375" bestFit="1" customWidth="1"/>
    <col min="26" max="26" width="12.7109375" customWidth="1"/>
    <col min="27" max="27" width="15.140625" bestFit="1" customWidth="1"/>
    <col min="28" max="28" width="15.5703125" bestFit="1" customWidth="1"/>
    <col min="29" max="29" width="16.28515625" bestFit="1" customWidth="1"/>
    <col min="30" max="30" width="12.7109375" bestFit="1" customWidth="1"/>
    <col min="31" max="31" width="15.140625" bestFit="1" customWidth="1"/>
    <col min="32" max="32" width="15.5703125" bestFit="1" customWidth="1"/>
    <col min="33" max="33" width="16.28515625" bestFit="1" customWidth="1"/>
    <col min="34" max="34" width="12.7109375" bestFit="1" customWidth="1"/>
    <col min="35" max="35" width="15.140625" bestFit="1" customWidth="1"/>
    <col min="36" max="36" width="15.5703125" bestFit="1" customWidth="1"/>
    <col min="37" max="138" width="15.5703125" customWidth="1"/>
    <col min="139" max="139" width="16.28515625" bestFit="1" customWidth="1"/>
    <col min="140" max="140" width="12.7109375" bestFit="1" customWidth="1"/>
    <col min="141" max="141" width="15.140625" bestFit="1" customWidth="1"/>
    <col min="142" max="142" width="15.5703125" bestFit="1" customWidth="1"/>
    <col min="143" max="143" width="12" customWidth="1"/>
    <col min="144" max="144" width="9.140625" customWidth="1"/>
    <col min="145" max="146" width="18" customWidth="1"/>
    <col min="147" max="147" width="9.7109375" bestFit="1" customWidth="1"/>
  </cols>
  <sheetData>
    <row r="1" spans="2:154" x14ac:dyDescent="0.25">
      <c r="B1" s="3" t="s">
        <v>28</v>
      </c>
      <c r="C1" s="622" t="s">
        <v>36</v>
      </c>
      <c r="D1" s="623"/>
      <c r="E1" s="623"/>
      <c r="F1" s="625"/>
      <c r="G1" s="624"/>
      <c r="H1" s="622" t="s">
        <v>37</v>
      </c>
      <c r="I1" s="623"/>
      <c r="J1" s="623"/>
      <c r="K1" s="623"/>
      <c r="L1" s="622" t="s">
        <v>38</v>
      </c>
      <c r="M1" s="623"/>
      <c r="N1" s="623"/>
      <c r="O1" s="623"/>
      <c r="P1" s="623"/>
      <c r="Q1" s="624"/>
      <c r="R1" s="622" t="s">
        <v>39</v>
      </c>
      <c r="S1" s="623"/>
      <c r="T1" s="623"/>
      <c r="U1" s="625"/>
      <c r="V1" s="625"/>
      <c r="W1" s="624"/>
      <c r="X1" s="631" t="s">
        <v>40</v>
      </c>
      <c r="Y1" s="632"/>
      <c r="Z1" s="632"/>
      <c r="AA1" s="632"/>
      <c r="AB1" s="633"/>
      <c r="AC1" s="626" t="s">
        <v>41</v>
      </c>
      <c r="AD1" s="627"/>
      <c r="AE1" s="627"/>
      <c r="AF1" s="628"/>
      <c r="AG1" s="631" t="s">
        <v>42</v>
      </c>
      <c r="AH1" s="632"/>
      <c r="AI1" s="632"/>
      <c r="AJ1" s="633"/>
      <c r="AK1" s="626" t="s">
        <v>43</v>
      </c>
      <c r="AL1" s="627"/>
      <c r="AM1" s="627"/>
      <c r="AN1" s="628"/>
      <c r="AO1" s="626" t="s">
        <v>44</v>
      </c>
      <c r="AP1" s="627"/>
      <c r="AQ1" s="627"/>
      <c r="AR1" s="627"/>
      <c r="AS1" s="628"/>
      <c r="AT1" s="626" t="s">
        <v>45</v>
      </c>
      <c r="AU1" s="627"/>
      <c r="AV1" s="627"/>
      <c r="AW1" s="627"/>
      <c r="AX1" s="628"/>
      <c r="AY1" s="634" t="s">
        <v>46</v>
      </c>
      <c r="AZ1" s="635"/>
      <c r="BA1" s="635"/>
      <c r="BB1" s="635"/>
      <c r="BC1" s="636"/>
      <c r="BD1" s="626" t="s">
        <v>47</v>
      </c>
      <c r="BE1" s="627"/>
      <c r="BF1" s="627"/>
      <c r="BG1" s="627"/>
      <c r="BH1" s="628"/>
      <c r="BI1" s="626" t="s">
        <v>48</v>
      </c>
      <c r="BJ1" s="627"/>
      <c r="BK1" s="627"/>
      <c r="BL1" s="627"/>
      <c r="BM1" s="628"/>
      <c r="BN1" s="626" t="s">
        <v>49</v>
      </c>
      <c r="BO1" s="627"/>
      <c r="BP1" s="627"/>
      <c r="BQ1" s="628"/>
      <c r="BR1" s="173"/>
      <c r="BS1" s="627" t="s">
        <v>50</v>
      </c>
      <c r="BT1" s="627"/>
      <c r="BU1" s="627"/>
      <c r="BV1" s="627"/>
      <c r="BW1" s="627"/>
      <c r="BX1" s="627" t="s">
        <v>51</v>
      </c>
      <c r="BY1" s="627"/>
      <c r="BZ1" s="627"/>
      <c r="CA1" s="627"/>
      <c r="CB1" s="627"/>
      <c r="CC1" s="629" t="s">
        <v>52</v>
      </c>
      <c r="CD1" s="629"/>
      <c r="CE1" s="629"/>
      <c r="CF1" s="629"/>
      <c r="CG1" s="629"/>
      <c r="CH1" s="627" t="s">
        <v>53</v>
      </c>
      <c r="CI1" s="627"/>
      <c r="CJ1" s="627"/>
      <c r="CK1" s="627"/>
      <c r="CL1" s="627"/>
      <c r="CM1" s="630" t="s">
        <v>54</v>
      </c>
      <c r="CN1" s="630"/>
      <c r="CO1" s="630"/>
      <c r="CP1" s="630"/>
      <c r="CQ1" s="630"/>
      <c r="CR1" s="627" t="s">
        <v>55</v>
      </c>
      <c r="CS1" s="627"/>
      <c r="CT1" s="627"/>
      <c r="CU1" s="627"/>
      <c r="CV1" s="627"/>
      <c r="CW1" s="627" t="s">
        <v>56</v>
      </c>
      <c r="CX1" s="627"/>
      <c r="CY1" s="627"/>
      <c r="CZ1" s="627"/>
      <c r="DA1" s="627"/>
      <c r="DB1" s="627" t="s">
        <v>57</v>
      </c>
      <c r="DC1" s="627"/>
      <c r="DD1" s="627"/>
      <c r="DE1" s="627"/>
      <c r="DF1" s="627"/>
      <c r="DG1" s="627" t="s">
        <v>58</v>
      </c>
      <c r="DH1" s="627"/>
      <c r="DI1" s="627"/>
      <c r="DJ1" s="627"/>
      <c r="DK1" s="627"/>
      <c r="DL1" s="627" t="s">
        <v>59</v>
      </c>
      <c r="DM1" s="627"/>
      <c r="DN1" s="627"/>
      <c r="DO1" s="627"/>
      <c r="DP1" s="627"/>
      <c r="DQ1" s="639" t="s">
        <v>60</v>
      </c>
      <c r="DR1" s="639"/>
      <c r="DS1" s="639"/>
      <c r="DT1" s="639"/>
      <c r="DU1" s="639"/>
      <c r="DV1" s="627" t="s">
        <v>61</v>
      </c>
      <c r="DW1" s="627"/>
      <c r="DX1" s="627"/>
      <c r="DY1" s="627"/>
      <c r="DZ1" s="627"/>
      <c r="EA1" s="627" t="s">
        <v>62</v>
      </c>
      <c r="EB1" s="627"/>
      <c r="EC1" s="627"/>
      <c r="ED1" s="628"/>
      <c r="EE1" s="626" t="s">
        <v>63</v>
      </c>
      <c r="EF1" s="627"/>
      <c r="EG1" s="627"/>
      <c r="EH1" s="628"/>
      <c r="EI1" s="11" t="s">
        <v>64</v>
      </c>
      <c r="EJ1" s="12"/>
      <c r="EK1" s="12"/>
      <c r="EL1" s="13"/>
      <c r="EM1" s="1"/>
      <c r="EN1" s="1"/>
      <c r="EO1" s="637" t="s">
        <v>65</v>
      </c>
      <c r="EP1" s="638"/>
    </row>
    <row r="2" spans="2:154" x14ac:dyDescent="0.25">
      <c r="B2" s="4" t="s">
        <v>9</v>
      </c>
      <c r="C2" s="6" t="s">
        <v>10</v>
      </c>
      <c r="D2" s="1" t="s">
        <v>11</v>
      </c>
      <c r="E2" s="271" t="s">
        <v>66</v>
      </c>
      <c r="F2" s="26"/>
      <c r="G2" s="7" t="s">
        <v>14</v>
      </c>
      <c r="H2" s="6" t="s">
        <v>10</v>
      </c>
      <c r="I2" s="1" t="s">
        <v>11</v>
      </c>
      <c r="J2" s="1" t="s">
        <v>67</v>
      </c>
      <c r="K2" s="1" t="s">
        <v>14</v>
      </c>
      <c r="L2" s="6" t="s">
        <v>10</v>
      </c>
      <c r="M2" s="1" t="s">
        <v>11</v>
      </c>
      <c r="N2" s="1" t="s">
        <v>68</v>
      </c>
      <c r="O2" s="1" t="s">
        <v>69</v>
      </c>
      <c r="P2" s="1" t="s">
        <v>15</v>
      </c>
      <c r="Q2" s="7" t="s">
        <v>14</v>
      </c>
      <c r="R2" s="6" t="s">
        <v>10</v>
      </c>
      <c r="S2" s="1" t="s">
        <v>11</v>
      </c>
      <c r="T2" s="1" t="s">
        <v>70</v>
      </c>
      <c r="U2" s="26" t="s">
        <v>71</v>
      </c>
      <c r="V2" s="26" t="s">
        <v>12</v>
      </c>
      <c r="W2" s="7" t="s">
        <v>14</v>
      </c>
      <c r="X2" s="6" t="s">
        <v>10</v>
      </c>
      <c r="Y2" s="1" t="s">
        <v>11</v>
      </c>
      <c r="Z2" s="1" t="s">
        <v>68</v>
      </c>
      <c r="AA2" s="1" t="s">
        <v>15</v>
      </c>
      <c r="AB2" s="7" t="s">
        <v>14</v>
      </c>
      <c r="AC2" s="6" t="s">
        <v>10</v>
      </c>
      <c r="AD2" s="1" t="s">
        <v>11</v>
      </c>
      <c r="AE2" s="1" t="s">
        <v>15</v>
      </c>
      <c r="AF2" s="7" t="s">
        <v>14</v>
      </c>
      <c r="AG2" s="6" t="s">
        <v>10</v>
      </c>
      <c r="AH2" s="192" t="s">
        <v>11</v>
      </c>
      <c r="AI2" s="1" t="s">
        <v>15</v>
      </c>
      <c r="AJ2" s="7" t="s">
        <v>14</v>
      </c>
      <c r="AK2" s="6" t="s">
        <v>10</v>
      </c>
      <c r="AL2" s="1" t="s">
        <v>11</v>
      </c>
      <c r="AM2" s="1" t="s">
        <v>15</v>
      </c>
      <c r="AN2" s="7" t="s">
        <v>14</v>
      </c>
      <c r="AO2" s="6" t="s">
        <v>10</v>
      </c>
      <c r="AP2" s="1" t="s">
        <v>11</v>
      </c>
      <c r="AQ2" s="1" t="s">
        <v>15</v>
      </c>
      <c r="AR2" s="26" t="s">
        <v>72</v>
      </c>
      <c r="AS2" s="7" t="s">
        <v>14</v>
      </c>
      <c r="AT2" s="6" t="s">
        <v>10</v>
      </c>
      <c r="AU2" s="1" t="s">
        <v>11</v>
      </c>
      <c r="AV2" s="1" t="s">
        <v>15</v>
      </c>
      <c r="AW2" s="26" t="s">
        <v>72</v>
      </c>
      <c r="AX2" s="7" t="s">
        <v>14</v>
      </c>
      <c r="AY2" s="6" t="s">
        <v>10</v>
      </c>
      <c r="AZ2" s="192" t="s">
        <v>11</v>
      </c>
      <c r="BA2" s="1" t="s">
        <v>15</v>
      </c>
      <c r="BB2" s="26" t="s">
        <v>72</v>
      </c>
      <c r="BC2" s="7" t="s">
        <v>14</v>
      </c>
      <c r="BD2" s="6" t="s">
        <v>10</v>
      </c>
      <c r="BE2" s="1" t="s">
        <v>11</v>
      </c>
      <c r="BF2" s="1" t="s">
        <v>15</v>
      </c>
      <c r="BG2" s="26" t="s">
        <v>72</v>
      </c>
      <c r="BH2" s="7" t="s">
        <v>14</v>
      </c>
      <c r="BI2" s="6" t="s">
        <v>10</v>
      </c>
      <c r="BJ2" s="1" t="s">
        <v>11</v>
      </c>
      <c r="BK2" s="1" t="s">
        <v>15</v>
      </c>
      <c r="BL2" s="26" t="s">
        <v>72</v>
      </c>
      <c r="BM2" s="7" t="s">
        <v>14</v>
      </c>
      <c r="BN2" s="6" t="s">
        <v>10</v>
      </c>
      <c r="BO2" s="1" t="s">
        <v>11</v>
      </c>
      <c r="BP2" s="1" t="s">
        <v>15</v>
      </c>
      <c r="BQ2" s="26" t="s">
        <v>72</v>
      </c>
      <c r="BR2" s="7" t="s">
        <v>14</v>
      </c>
      <c r="BS2" s="6" t="s">
        <v>10</v>
      </c>
      <c r="BT2" s="1" t="s">
        <v>11</v>
      </c>
      <c r="BU2" s="1" t="s">
        <v>15</v>
      </c>
      <c r="BV2" s="26" t="s">
        <v>72</v>
      </c>
      <c r="BW2" s="7" t="s">
        <v>14</v>
      </c>
      <c r="BX2" s="6" t="s">
        <v>10</v>
      </c>
      <c r="BY2" s="1" t="s">
        <v>11</v>
      </c>
      <c r="BZ2" s="1" t="s">
        <v>15</v>
      </c>
      <c r="CA2" s="26" t="s">
        <v>72</v>
      </c>
      <c r="CB2" s="26" t="s">
        <v>14</v>
      </c>
      <c r="CC2" s="6" t="s">
        <v>10</v>
      </c>
      <c r="CD2" s="1" t="s">
        <v>11</v>
      </c>
      <c r="CE2" s="1" t="s">
        <v>15</v>
      </c>
      <c r="CF2" s="26" t="s">
        <v>72</v>
      </c>
      <c r="CG2" s="7" t="s">
        <v>14</v>
      </c>
      <c r="CH2" s="6" t="s">
        <v>10</v>
      </c>
      <c r="CI2" s="1" t="s">
        <v>11</v>
      </c>
      <c r="CJ2" s="1" t="s">
        <v>15</v>
      </c>
      <c r="CK2" s="26" t="s">
        <v>72</v>
      </c>
      <c r="CL2" s="7" t="s">
        <v>14</v>
      </c>
      <c r="CM2" s="6" t="s">
        <v>10</v>
      </c>
      <c r="CN2" s="1" t="s">
        <v>11</v>
      </c>
      <c r="CO2" s="192" t="s">
        <v>15</v>
      </c>
      <c r="CP2" s="26" t="s">
        <v>72</v>
      </c>
      <c r="CQ2" s="7" t="s">
        <v>14</v>
      </c>
      <c r="CR2" s="6" t="s">
        <v>10</v>
      </c>
      <c r="CS2" s="1" t="s">
        <v>11</v>
      </c>
      <c r="CT2" s="1" t="s">
        <v>15</v>
      </c>
      <c r="CU2" s="26" t="s">
        <v>72</v>
      </c>
      <c r="CV2" s="7" t="s">
        <v>14</v>
      </c>
      <c r="CW2" s="6" t="s">
        <v>10</v>
      </c>
      <c r="CX2" s="1" t="s">
        <v>11</v>
      </c>
      <c r="CY2" s="1" t="s">
        <v>15</v>
      </c>
      <c r="CZ2" s="26" t="s">
        <v>72</v>
      </c>
      <c r="DA2" s="7" t="s">
        <v>14</v>
      </c>
      <c r="DB2" s="6" t="s">
        <v>10</v>
      </c>
      <c r="DC2" s="1" t="s">
        <v>11</v>
      </c>
      <c r="DD2" s="1" t="s">
        <v>15</v>
      </c>
      <c r="DE2" s="26" t="s">
        <v>72</v>
      </c>
      <c r="DF2" s="7" t="s">
        <v>14</v>
      </c>
      <c r="DG2" s="6" t="s">
        <v>10</v>
      </c>
      <c r="DH2" s="1" t="s">
        <v>11</v>
      </c>
      <c r="DI2" s="1" t="s">
        <v>15</v>
      </c>
      <c r="DJ2" s="26" t="s">
        <v>72</v>
      </c>
      <c r="DK2" s="7" t="s">
        <v>14</v>
      </c>
      <c r="DL2" s="6" t="s">
        <v>10</v>
      </c>
      <c r="DM2" s="1" t="s">
        <v>11</v>
      </c>
      <c r="DN2" s="1" t="s">
        <v>15</v>
      </c>
      <c r="DO2" s="26" t="s">
        <v>72</v>
      </c>
      <c r="DP2" s="7" t="s">
        <v>14</v>
      </c>
      <c r="DQ2" s="6" t="s">
        <v>10</v>
      </c>
      <c r="DR2" s="1" t="s">
        <v>11</v>
      </c>
      <c r="DS2" s="1" t="s">
        <v>15</v>
      </c>
      <c r="DT2" s="26" t="s">
        <v>72</v>
      </c>
      <c r="DU2" s="7" t="s">
        <v>14</v>
      </c>
      <c r="DV2" s="6" t="s">
        <v>10</v>
      </c>
      <c r="DW2" s="1" t="s">
        <v>11</v>
      </c>
      <c r="DX2" s="1" t="s">
        <v>15</v>
      </c>
      <c r="DY2" s="26" t="s">
        <v>72</v>
      </c>
      <c r="DZ2" s="7" t="s">
        <v>14</v>
      </c>
      <c r="EA2" s="178" t="s">
        <v>14</v>
      </c>
      <c r="EB2" s="1" t="s">
        <v>11</v>
      </c>
      <c r="EC2" s="1" t="s">
        <v>15</v>
      </c>
      <c r="ED2" s="7" t="s">
        <v>14</v>
      </c>
      <c r="EE2" s="6" t="s">
        <v>10</v>
      </c>
      <c r="EF2" s="1" t="s">
        <v>11</v>
      </c>
      <c r="EG2" s="1" t="s">
        <v>15</v>
      </c>
      <c r="EH2" s="7" t="s">
        <v>14</v>
      </c>
      <c r="EI2" s="6" t="s">
        <v>10</v>
      </c>
      <c r="EJ2" s="192" t="s">
        <v>11</v>
      </c>
      <c r="EK2" s="1" t="s">
        <v>15</v>
      </c>
      <c r="EL2" s="7" t="s">
        <v>14</v>
      </c>
      <c r="EM2" s="1" t="s">
        <v>73</v>
      </c>
      <c r="EN2" s="1" t="s">
        <v>74</v>
      </c>
      <c r="EO2" s="1" t="s">
        <v>75</v>
      </c>
      <c r="EP2" s="1" t="s">
        <v>76</v>
      </c>
      <c r="EQ2" t="s">
        <v>77</v>
      </c>
    </row>
    <row r="3" spans="2:154" x14ac:dyDescent="0.25">
      <c r="B3" s="4">
        <v>1</v>
      </c>
      <c r="C3" s="48">
        <f>5364.45+1.19</f>
        <v>5365.6399999999994</v>
      </c>
      <c r="D3" s="1">
        <v>0</v>
      </c>
      <c r="E3" s="271">
        <f>F3+'RAW MILL 2'!F3</f>
        <v>0</v>
      </c>
      <c r="F3" s="1">
        <v>0</v>
      </c>
      <c r="G3" s="9">
        <f>C3+D3-E3</f>
        <v>5365.6399999999994</v>
      </c>
      <c r="H3" s="48">
        <v>1996.00001683752</v>
      </c>
      <c r="I3" s="33">
        <f>Production2!N3</f>
        <v>0</v>
      </c>
      <c r="J3" s="33">
        <f>Production2!K3</f>
        <v>0</v>
      </c>
      <c r="K3" s="18">
        <f>H3+I3-J3</f>
        <v>1996.00001683752</v>
      </c>
      <c r="L3" s="48">
        <v>0</v>
      </c>
      <c r="M3" s="1">
        <v>0</v>
      </c>
      <c r="N3" s="33">
        <f>CPP!D3</f>
        <v>0</v>
      </c>
      <c r="O3" s="1">
        <v>0</v>
      </c>
      <c r="P3" s="33">
        <f t="shared" ref="P3:P26" si="0">N3+O3</f>
        <v>0</v>
      </c>
      <c r="Q3" s="9">
        <f>L3+M3-O3-N3</f>
        <v>0</v>
      </c>
      <c r="R3" s="48">
        <v>0</v>
      </c>
      <c r="S3" s="1">
        <v>0</v>
      </c>
      <c r="T3" s="33">
        <f>CPP!E3</f>
        <v>0</v>
      </c>
      <c r="U3" s="26">
        <v>0</v>
      </c>
      <c r="V3" s="38">
        <f>T3+U3</f>
        <v>0</v>
      </c>
      <c r="W3" s="9">
        <f>R3+S3-V3</f>
        <v>0</v>
      </c>
      <c r="X3" s="48">
        <v>10013.879999999997</v>
      </c>
      <c r="Y3" s="1">
        <v>0</v>
      </c>
      <c r="Z3" s="33">
        <f>CPP!H3</f>
        <v>0</v>
      </c>
      <c r="AA3" s="1">
        <v>0</v>
      </c>
      <c r="AB3" s="9">
        <f>X3+Y3-AA3-Z3</f>
        <v>10013.879999999997</v>
      </c>
      <c r="AC3" s="48">
        <v>0</v>
      </c>
      <c r="AD3" s="1">
        <v>0</v>
      </c>
      <c r="AE3" s="1">
        <v>0</v>
      </c>
      <c r="AF3" s="9">
        <f t="shared" ref="AF3:AF26" si="1">AC3+AD3-AE3</f>
        <v>0</v>
      </c>
      <c r="AG3" s="158">
        <v>12785.599999999997</v>
      </c>
      <c r="AH3" s="1">
        <v>33.35</v>
      </c>
      <c r="AI3" s="170">
        <f>CPP!G3</f>
        <v>22</v>
      </c>
      <c r="AJ3" s="9">
        <f t="shared" ref="AJ3:AJ26" si="2">AG3+AH3-AI3</f>
        <v>12796.949999999997</v>
      </c>
      <c r="AK3" s="129">
        <v>0</v>
      </c>
      <c r="AL3" s="1">
        <v>0</v>
      </c>
      <c r="AM3" s="1">
        <v>0</v>
      </c>
      <c r="AN3" s="18">
        <f>AK3+AL3-AM3</f>
        <v>0</v>
      </c>
      <c r="AO3" s="129">
        <v>0</v>
      </c>
      <c r="AP3" s="1">
        <v>0</v>
      </c>
      <c r="AQ3" s="1">
        <v>0</v>
      </c>
      <c r="AR3" s="171">
        <f>CPP!I3</f>
        <v>0</v>
      </c>
      <c r="AS3" s="129">
        <f>AO3+AP3-AQ3-AR3</f>
        <v>0</v>
      </c>
      <c r="AT3" s="1">
        <v>0</v>
      </c>
      <c r="AU3" s="1">
        <v>0</v>
      </c>
      <c r="AV3" s="1">
        <v>0</v>
      </c>
      <c r="AW3" s="170">
        <f>CPP!J3</f>
        <v>0</v>
      </c>
      <c r="AX3" s="1">
        <f>AT3+AU3-AV3-AW3</f>
        <v>0</v>
      </c>
      <c r="AY3" s="1">
        <f>0.296999999990248-0.01</f>
        <v>0.286999999990248</v>
      </c>
      <c r="AZ3" s="1">
        <v>0</v>
      </c>
      <c r="BA3" s="1">
        <v>0</v>
      </c>
      <c r="BB3" s="170">
        <f>CPP!K3</f>
        <v>0</v>
      </c>
      <c r="BC3" s="1">
        <f>AY3+AZ3-BA3-BB3</f>
        <v>0.286999999990248</v>
      </c>
      <c r="BD3" s="1">
        <v>0</v>
      </c>
      <c r="BE3" s="1">
        <v>0</v>
      </c>
      <c r="BF3" s="1">
        <v>0</v>
      </c>
      <c r="BG3" s="170">
        <f>CPP!L3</f>
        <v>0</v>
      </c>
      <c r="BH3" s="1">
        <f>BD3+BE3-BF3-BG3</f>
        <v>0</v>
      </c>
      <c r="BI3" s="1">
        <v>0</v>
      </c>
      <c r="BJ3" s="1">
        <v>0</v>
      </c>
      <c r="BK3" s="1">
        <v>0</v>
      </c>
      <c r="BL3" s="170">
        <f>CPP!M3</f>
        <v>0</v>
      </c>
      <c r="BM3" s="1">
        <f>BI3+BJ3-BK3-BL3</f>
        <v>0</v>
      </c>
      <c r="BN3" s="1">
        <v>0</v>
      </c>
      <c r="BO3" s="1">
        <v>0</v>
      </c>
      <c r="BP3" s="1">
        <v>0</v>
      </c>
      <c r="BQ3" s="170">
        <f>CPP!N3</f>
        <v>0</v>
      </c>
      <c r="BR3" s="1">
        <f>BN3+BO3-BP3-BQ3</f>
        <v>0</v>
      </c>
      <c r="BS3" s="1">
        <v>0</v>
      </c>
      <c r="BT3" s="1">
        <v>0</v>
      </c>
      <c r="BU3" s="1">
        <v>0</v>
      </c>
      <c r="BV3" s="170">
        <f>CPP!O3</f>
        <v>0</v>
      </c>
      <c r="BW3" s="1">
        <f>BS3+BT3-BU3-BV3</f>
        <v>0</v>
      </c>
      <c r="BX3" s="174">
        <v>9.9999999999909051E-3</v>
      </c>
      <c r="BY3" s="1">
        <v>0</v>
      </c>
      <c r="BZ3" s="1">
        <v>0</v>
      </c>
      <c r="CA3" s="170"/>
      <c r="CB3" s="26">
        <v>0</v>
      </c>
      <c r="CC3" s="1">
        <v>0</v>
      </c>
      <c r="CD3" s="1">
        <v>0</v>
      </c>
      <c r="CE3" s="1">
        <v>0</v>
      </c>
      <c r="CF3" s="170">
        <f>CPP!P3</f>
        <v>0</v>
      </c>
      <c r="CG3" s="26">
        <f>CC3+CD3-CE3-CF3</f>
        <v>0</v>
      </c>
      <c r="CH3" s="1">
        <v>0</v>
      </c>
      <c r="CI3" s="1">
        <v>0</v>
      </c>
      <c r="CJ3" s="1">
        <v>0</v>
      </c>
      <c r="CK3" s="170">
        <f>CPP!Q3</f>
        <v>0</v>
      </c>
      <c r="CL3" s="1">
        <f>CH3+CI3-CJ3-CK3</f>
        <v>0</v>
      </c>
      <c r="CM3" s="1">
        <v>5.0000000000181899E-2</v>
      </c>
      <c r="CN3" s="1">
        <v>0</v>
      </c>
      <c r="CO3" s="1">
        <v>0</v>
      </c>
      <c r="CP3" s="170">
        <f>CPP!R3</f>
        <v>0</v>
      </c>
      <c r="CQ3" s="1">
        <f>CM3+CN3-CO3-CP3</f>
        <v>5.0000000000181899E-2</v>
      </c>
      <c r="CR3" s="129">
        <v>0</v>
      </c>
      <c r="CS3" s="1">
        <v>0</v>
      </c>
      <c r="CT3" s="1">
        <v>0</v>
      </c>
      <c r="CU3" s="171">
        <f>CPP!S3</f>
        <v>0</v>
      </c>
      <c r="CV3" s="129">
        <f>CR3+CS3-CT3-CU3</f>
        <v>0</v>
      </c>
      <c r="CW3" s="129">
        <v>0</v>
      </c>
      <c r="CX3" s="1">
        <v>0</v>
      </c>
      <c r="CY3" s="1">
        <v>0</v>
      </c>
      <c r="CZ3" s="171">
        <f>CPP!T3</f>
        <v>0</v>
      </c>
      <c r="DA3" s="129">
        <f>CW3+CX3-CY3-CZ3</f>
        <v>0</v>
      </c>
      <c r="DB3" s="129">
        <v>306</v>
      </c>
      <c r="DC3" s="1">
        <v>0</v>
      </c>
      <c r="DD3" s="1">
        <v>0</v>
      </c>
      <c r="DE3" s="171">
        <f>CPP!U3</f>
        <v>0</v>
      </c>
      <c r="DF3" s="129">
        <f>DB3+DC3-DD3-DE3</f>
        <v>306</v>
      </c>
      <c r="DG3" s="129">
        <v>0</v>
      </c>
      <c r="DH3" s="1">
        <v>0</v>
      </c>
      <c r="DI3" s="1">
        <v>0</v>
      </c>
      <c r="DJ3" s="171">
        <f>CPP!V3</f>
        <v>0</v>
      </c>
      <c r="DK3" s="129">
        <f>DG3+DH3-DI3-DJ3</f>
        <v>0</v>
      </c>
      <c r="DL3" s="129">
        <v>0</v>
      </c>
      <c r="DM3" s="1">
        <v>0</v>
      </c>
      <c r="DN3" s="1">
        <v>0</v>
      </c>
      <c r="DO3" s="171">
        <f>CPP!W3</f>
        <v>0</v>
      </c>
      <c r="DP3" s="129">
        <f>DL3+DM3-DN3-DO3</f>
        <v>0</v>
      </c>
      <c r="DQ3" s="129">
        <v>5514.1000000000022</v>
      </c>
      <c r="DR3" s="1">
        <v>60</v>
      </c>
      <c r="DS3" s="1">
        <v>0</v>
      </c>
      <c r="DT3" s="171">
        <f>CPP!X3</f>
        <v>0</v>
      </c>
      <c r="DU3" s="129">
        <f>DQ3+DR3-DS3-DT3</f>
        <v>5574.1000000000022</v>
      </c>
      <c r="DV3" s="129">
        <v>0</v>
      </c>
      <c r="DW3" s="1">
        <v>0</v>
      </c>
      <c r="DX3" s="1">
        <v>0</v>
      </c>
      <c r="DY3" s="171">
        <f>CPP!Y3</f>
        <v>0</v>
      </c>
      <c r="DZ3" s="129">
        <f>DV3+DW3-DX3-DY3</f>
        <v>0</v>
      </c>
      <c r="EA3" s="129">
        <f>L3+AO3+AT3+AY3+BD3+BI3+BS3+BX3+CC3+CH3+CR3+CW3+DB3+DG3+DL3+DV3+X3+DQ3</f>
        <v>15834.276999999989</v>
      </c>
      <c r="EB3" s="170">
        <f>M3+Y3+AL3+AP3+AU3+AZ3+BE3+BJ3+BO3+BT3+BY3+CS3+CX3+DC3+DH3+DM3+DW3+DR3</f>
        <v>60</v>
      </c>
      <c r="EC3" s="170">
        <f>O3+AA3+AM3+AQ3+AV3+BA3+BF3+BK3+BP3+BU3+BZ3+CT3+CY3+DD3+DI3+DN3+DX3+DS3</f>
        <v>0</v>
      </c>
      <c r="ED3" s="129">
        <f>EA3+EB3-EC3-N3-Z3-AR3-AW3-BB3-BG3-BL3-BQ3-BV3-CU3-CZ3-DE3-DJ3-DO3-DY3-DT3</f>
        <v>15894.276999999989</v>
      </c>
      <c r="EE3" s="18">
        <f>R3+AC3+AG3+AK3+CM3</f>
        <v>12785.649999999998</v>
      </c>
      <c r="EF3" s="170">
        <f>S3+AD3+AH3+CD3+CI3+CN3</f>
        <v>33.35</v>
      </c>
      <c r="EG3" s="170">
        <f>CPP!D3+CPP!E3+CPP!F3+CPP!G3+CPP!H3+CPP!I3+CPP!J3+CPP!K3+CPP!L3+CPP!M3+CPP!N3+CPP!O3+CPP!P3+CPP!Q3+CPP!R3+CPP!S3+CZ3+DE3+DJ3+CPP!W3+DT3</f>
        <v>22</v>
      </c>
      <c r="EH3" s="18">
        <f>EE3+EF3-CPP!G3-CPP!E3-CPP!F3-CPP!P3-CPP!Q3-CK3-CP3-DT3</f>
        <v>12796.999999999998</v>
      </c>
      <c r="EI3" s="130">
        <f>3283.86009962673-2.32</f>
        <v>3281.5400996267299</v>
      </c>
      <c r="EJ3" s="1">
        <v>0</v>
      </c>
      <c r="EK3" s="249">
        <f>'Daily CEM-1'!AG4+'Daily  CEM - 2'!AF4-EP3</f>
        <v>4.9999832480807527E-2</v>
      </c>
      <c r="EL3" s="40">
        <f>EI3+EJ3-EK3-EM3</f>
        <v>3281.4900997942491</v>
      </c>
      <c r="EM3" s="1">
        <v>0</v>
      </c>
      <c r="EN3" s="18">
        <v>8849.5490080001382</v>
      </c>
      <c r="EO3" s="1">
        <v>657.16</v>
      </c>
      <c r="EP3" s="1">
        <v>1857.1</v>
      </c>
      <c r="EQ3" s="17">
        <f>EN3+EO3-EP3</f>
        <v>7649.6090080001377</v>
      </c>
      <c r="ER3">
        <f>ES3-EO3</f>
        <v>1065.4099999999999</v>
      </c>
      <c r="ES3">
        <v>1722.57</v>
      </c>
      <c r="ET3" s="51">
        <f>EK3+EP3</f>
        <v>1857.1499998324807</v>
      </c>
      <c r="EU3" s="51">
        <f>EK3+EP3</f>
        <v>1857.1499998324807</v>
      </c>
      <c r="EV3">
        <f>EU3/Production2!CG3</f>
        <v>0.76363075651006607</v>
      </c>
      <c r="EW3" t="e">
        <v>#DIV/0!</v>
      </c>
      <c r="EX3" t="e">
        <f>EW3*100</f>
        <v>#DIV/0!</v>
      </c>
    </row>
    <row r="4" spans="2:154" x14ac:dyDescent="0.25">
      <c r="B4" s="4">
        <v>2</v>
      </c>
      <c r="C4" s="39">
        <f t="shared" ref="C4:C27" si="3">G3</f>
        <v>5365.6399999999994</v>
      </c>
      <c r="D4" s="1">
        <v>0</v>
      </c>
      <c r="E4" s="271">
        <f>F4+'RAW MILL 2'!F4</f>
        <v>0</v>
      </c>
      <c r="F4" s="1">
        <v>0</v>
      </c>
      <c r="G4" s="9">
        <f t="shared" ref="G4:G33" si="4">C4+D4-E4</f>
        <v>5365.6399999999994</v>
      </c>
      <c r="H4" s="39">
        <f t="shared" ref="H4:H27" si="5">K3</f>
        <v>1996.00001683752</v>
      </c>
      <c r="I4" s="33">
        <f>Production2!N4</f>
        <v>0</v>
      </c>
      <c r="J4" s="33">
        <f>Production2!K4</f>
        <v>0</v>
      </c>
      <c r="K4" s="18">
        <f t="shared" ref="K4:K33" si="6">H4+I4-J4</f>
        <v>1996.00001683752</v>
      </c>
      <c r="L4" s="39">
        <f t="shared" ref="L4:L27" si="7">Q3</f>
        <v>0</v>
      </c>
      <c r="M4" s="1">
        <v>0</v>
      </c>
      <c r="N4" s="33">
        <f>CPP!D4</f>
        <v>0</v>
      </c>
      <c r="O4" s="1">
        <v>0</v>
      </c>
      <c r="P4" s="33">
        <f t="shared" si="0"/>
        <v>0</v>
      </c>
      <c r="Q4" s="9">
        <f>L4+M4-O4-N4</f>
        <v>0</v>
      </c>
      <c r="R4" s="39">
        <f t="shared" ref="R4:R27" si="8">W3</f>
        <v>0</v>
      </c>
      <c r="S4" s="1">
        <v>0</v>
      </c>
      <c r="T4" s="33">
        <f>CPP!E4</f>
        <v>0</v>
      </c>
      <c r="U4" s="26">
        <v>0</v>
      </c>
      <c r="V4" s="38">
        <f t="shared" ref="V4:V33" si="9">T4+U4</f>
        <v>0</v>
      </c>
      <c r="W4" s="9">
        <f t="shared" ref="W4:W33" si="10">R4+S4-V4</f>
        <v>0</v>
      </c>
      <c r="X4" s="39">
        <f t="shared" ref="X4:X27" si="11">AB3</f>
        <v>10013.879999999997</v>
      </c>
      <c r="Y4" s="1">
        <v>0</v>
      </c>
      <c r="Z4" s="33">
        <f>CPP!H4</f>
        <v>0</v>
      </c>
      <c r="AA4" s="1">
        <v>0</v>
      </c>
      <c r="AB4" s="9">
        <f t="shared" ref="AB4:AB33" si="12">X4+Y4-AA4-Z4</f>
        <v>10013.879999999997</v>
      </c>
      <c r="AC4" s="39">
        <f t="shared" ref="AC4:AC33" si="13">AF3</f>
        <v>0</v>
      </c>
      <c r="AD4" s="1">
        <v>0</v>
      </c>
      <c r="AE4" s="1">
        <v>0</v>
      </c>
      <c r="AF4" s="9">
        <f t="shared" si="1"/>
        <v>0</v>
      </c>
      <c r="AG4" s="39">
        <f t="shared" ref="AG4:AG33" si="14">AJ3</f>
        <v>12796.949999999997</v>
      </c>
      <c r="AH4" s="1">
        <v>61.7</v>
      </c>
      <c r="AI4" s="170">
        <f>CPP!G4</f>
        <v>138</v>
      </c>
      <c r="AJ4" s="9">
        <f t="shared" si="2"/>
        <v>12720.649999999998</v>
      </c>
      <c r="AK4" s="129">
        <f>AN3</f>
        <v>0</v>
      </c>
      <c r="AL4" s="1">
        <v>0</v>
      </c>
      <c r="AM4" s="1">
        <v>0</v>
      </c>
      <c r="AN4" s="18">
        <f t="shared" ref="AN4:AN33" si="15">AK4+AL4-AM4</f>
        <v>0</v>
      </c>
      <c r="AO4" s="129">
        <f>AS3</f>
        <v>0</v>
      </c>
      <c r="AP4" s="1">
        <v>0</v>
      </c>
      <c r="AQ4" s="1">
        <v>0</v>
      </c>
      <c r="AR4" s="171">
        <f>CPP!I4</f>
        <v>0</v>
      </c>
      <c r="AS4" s="129">
        <f t="shared" ref="AS4:AS33" si="16">AO4+AP4-AQ4-AR4</f>
        <v>0</v>
      </c>
      <c r="AT4" s="1">
        <f>AX3</f>
        <v>0</v>
      </c>
      <c r="AU4" s="1">
        <v>0</v>
      </c>
      <c r="AV4" s="1">
        <v>0</v>
      </c>
      <c r="AW4" s="170">
        <f>CPP!J4</f>
        <v>0</v>
      </c>
      <c r="AX4" s="1">
        <f t="shared" ref="AX4:AX33" si="17">AT4+AU4-AV4-AW4</f>
        <v>0</v>
      </c>
      <c r="AY4" s="1">
        <f>BC3</f>
        <v>0.286999999990248</v>
      </c>
      <c r="AZ4" s="1">
        <v>0</v>
      </c>
      <c r="BA4" s="1">
        <v>0</v>
      </c>
      <c r="BB4" s="170">
        <f>CPP!K4</f>
        <v>0</v>
      </c>
      <c r="BC4" s="1">
        <f t="shared" ref="BC4:BC33" si="18">AY4+AZ4-BA4-BB4</f>
        <v>0.286999999990248</v>
      </c>
      <c r="BD4" s="1">
        <f>BH3</f>
        <v>0</v>
      </c>
      <c r="BE4" s="1">
        <v>0</v>
      </c>
      <c r="BF4" s="1">
        <v>0</v>
      </c>
      <c r="BG4" s="170">
        <f>CPP!L4</f>
        <v>0</v>
      </c>
      <c r="BH4" s="1">
        <f t="shared" ref="BH4:BH33" si="19">BD4+BE4-BF4-BG4</f>
        <v>0</v>
      </c>
      <c r="BI4" s="1">
        <f>BM3</f>
        <v>0</v>
      </c>
      <c r="BJ4" s="1">
        <v>0</v>
      </c>
      <c r="BK4" s="1">
        <v>0</v>
      </c>
      <c r="BL4" s="170">
        <f>CPP!M4</f>
        <v>0</v>
      </c>
      <c r="BM4" s="1">
        <f>BI4+BJ4-BK4-BL4</f>
        <v>0</v>
      </c>
      <c r="BN4" s="1">
        <f t="shared" ref="BN4:BN33" si="20">BR3</f>
        <v>0</v>
      </c>
      <c r="BO4" s="1">
        <v>0</v>
      </c>
      <c r="BP4" s="1">
        <v>0</v>
      </c>
      <c r="BQ4" s="170">
        <f>CPP!N4</f>
        <v>0</v>
      </c>
      <c r="BR4" s="1">
        <f t="shared" ref="BR4:BR33" si="21">BN4+BO4-BP4-BQ4</f>
        <v>0</v>
      </c>
      <c r="BS4" s="1">
        <f t="shared" ref="BS4:BS33" si="22">BW3</f>
        <v>0</v>
      </c>
      <c r="BT4" s="1">
        <v>0</v>
      </c>
      <c r="BU4" s="1">
        <v>0</v>
      </c>
      <c r="BV4" s="170">
        <f>CPP!O4</f>
        <v>0</v>
      </c>
      <c r="BW4" s="1">
        <f t="shared" ref="BW4:BW33" si="23">BS4+BT4-BU4-BV4</f>
        <v>0</v>
      </c>
      <c r="BX4" s="174">
        <f>CB3</f>
        <v>0</v>
      </c>
      <c r="BY4" s="1">
        <v>0</v>
      </c>
      <c r="BZ4" s="1">
        <v>0</v>
      </c>
      <c r="CA4" s="170"/>
      <c r="CB4" s="26">
        <f t="shared" ref="CB4:CB33" si="24">BX4+BY4-BZ4-CA4</f>
        <v>0</v>
      </c>
      <c r="CC4" s="1">
        <f>CG3</f>
        <v>0</v>
      </c>
      <c r="CD4" s="1">
        <v>0</v>
      </c>
      <c r="CE4" s="1">
        <v>0</v>
      </c>
      <c r="CF4" s="170">
        <f>CPP!P4</f>
        <v>0</v>
      </c>
      <c r="CG4" s="26">
        <f t="shared" ref="CG4:CG33" si="25">CC4+CD4-CE4-CF4</f>
        <v>0</v>
      </c>
      <c r="CH4" s="1">
        <f>CL3</f>
        <v>0</v>
      </c>
      <c r="CI4" s="1">
        <v>0</v>
      </c>
      <c r="CJ4" s="1">
        <v>0</v>
      </c>
      <c r="CK4" s="170">
        <f>CPP!Q4</f>
        <v>0</v>
      </c>
      <c r="CL4" s="1">
        <f t="shared" ref="CL4:CL33" si="26">CH4+CI4-CJ4-CK4</f>
        <v>0</v>
      </c>
      <c r="CM4" s="1">
        <f>CQ3</f>
        <v>5.0000000000181899E-2</v>
      </c>
      <c r="CN4" s="1">
        <v>0</v>
      </c>
      <c r="CO4" s="1">
        <v>0</v>
      </c>
      <c r="CP4" s="170">
        <f>CPP!R4</f>
        <v>0</v>
      </c>
      <c r="CQ4" s="1">
        <f t="shared" ref="CQ4:CQ33" si="27">CM4+CN4-CO4-CP4</f>
        <v>5.0000000000181899E-2</v>
      </c>
      <c r="CR4" s="129">
        <f>CV3</f>
        <v>0</v>
      </c>
      <c r="CS4" s="1">
        <v>0</v>
      </c>
      <c r="CT4" s="1">
        <v>0</v>
      </c>
      <c r="CU4" s="171">
        <f>CPP!S4</f>
        <v>0</v>
      </c>
      <c r="CV4" s="129">
        <f t="shared" ref="CV4:CV33" si="28">CR4+CS4-CT4-CU4</f>
        <v>0</v>
      </c>
      <c r="CW4" s="129">
        <f>DA3</f>
        <v>0</v>
      </c>
      <c r="CX4" s="1">
        <v>0</v>
      </c>
      <c r="CY4" s="1">
        <v>0</v>
      </c>
      <c r="CZ4" s="171">
        <f>CPP!T4</f>
        <v>0</v>
      </c>
      <c r="DA4" s="129">
        <f t="shared" ref="DA4:DA33" si="29">CW4+CX4-CY4-CZ4</f>
        <v>0</v>
      </c>
      <c r="DB4" s="129">
        <f>DF3</f>
        <v>306</v>
      </c>
      <c r="DC4" s="1">
        <v>0</v>
      </c>
      <c r="DD4" s="1">
        <v>0</v>
      </c>
      <c r="DE4" s="171">
        <f>CPP!U4</f>
        <v>0</v>
      </c>
      <c r="DF4" s="129">
        <f t="shared" ref="DF4:DF33" si="30">DB4+DC4-DD4-DE4</f>
        <v>306</v>
      </c>
      <c r="DG4" s="129">
        <f>DK3</f>
        <v>0</v>
      </c>
      <c r="DH4" s="1">
        <v>0</v>
      </c>
      <c r="DI4" s="1">
        <v>0</v>
      </c>
      <c r="DJ4" s="171">
        <f>CPP!V4</f>
        <v>0</v>
      </c>
      <c r="DK4" s="129">
        <f t="shared" ref="DK4:DK33" si="31">DG4+DH4-DI4-DJ4</f>
        <v>0</v>
      </c>
      <c r="DL4" s="129">
        <f>DP3</f>
        <v>0</v>
      </c>
      <c r="DM4" s="1">
        <v>0</v>
      </c>
      <c r="DN4" s="1">
        <v>0</v>
      </c>
      <c r="DO4" s="171">
        <f>CPP!W4</f>
        <v>0</v>
      </c>
      <c r="DP4" s="129">
        <f t="shared" ref="DP4:DP33" si="32">DL4+DM4-DN4-DO4</f>
        <v>0</v>
      </c>
      <c r="DQ4" s="129">
        <f>DU3</f>
        <v>5574.1000000000022</v>
      </c>
      <c r="DR4" s="1">
        <v>60.5</v>
      </c>
      <c r="DS4" s="1">
        <v>11.11</v>
      </c>
      <c r="DT4" s="171">
        <f>CPP!X4</f>
        <v>0</v>
      </c>
      <c r="DU4" s="129">
        <f t="shared" ref="DU4:DU33" si="33">DQ4+DR4-DS4-DT4</f>
        <v>5623.4900000000025</v>
      </c>
      <c r="DV4" s="129">
        <f>DZ3</f>
        <v>0</v>
      </c>
      <c r="DW4" s="1">
        <v>0</v>
      </c>
      <c r="DX4" s="1">
        <v>0</v>
      </c>
      <c r="DY4" s="171">
        <f>CPP!Y4</f>
        <v>0</v>
      </c>
      <c r="DZ4" s="129">
        <f t="shared" ref="DZ4:DZ33" si="34">DV4+DW4-DX4-DY4</f>
        <v>0</v>
      </c>
      <c r="EA4" s="129">
        <f t="shared" ref="EA4:EA33" si="35">L4+AO4+AT4+AY4+BD4+BI4+BS4+BX4+CC4+CH4+CR4+CW4+DB4+DG4+DL4+DV4+X4+DQ4</f>
        <v>15894.266999999989</v>
      </c>
      <c r="EB4" s="170">
        <f t="shared" ref="EB4:EB33" si="36">M4+Y4+AL4+AP4+AU4+AZ4+BE4+BJ4+BO4+BT4+BY4+CS4+CX4+DC4+DH4+DM4+DW4+DR4</f>
        <v>60.5</v>
      </c>
      <c r="EC4" s="170">
        <f t="shared" ref="EC4:EC33" si="37">O4+AA4+AM4+AQ4+AV4+BA4+BF4+BK4+BP4+BU4+BZ4+CT4+CY4+DD4+DI4+DN4+DX4+DS4</f>
        <v>11.11</v>
      </c>
      <c r="ED4" s="129">
        <f t="shared" ref="ED4:ED33" si="38">EA4+EB4-EC4-N4-Z4-AR4-AW4-BB4-BG4-BL4-BQ4-BV4-CU4-CZ4-DE4-DJ4-DO4-DY4-DT4</f>
        <v>15943.656999999988</v>
      </c>
      <c r="EE4" s="18">
        <f t="shared" ref="EE4:EE33" si="39">R4+AC4+AG4+AK4+CM4</f>
        <v>12796.999999999996</v>
      </c>
      <c r="EF4" s="170">
        <f t="shared" ref="EF4:EF33" si="40">S4+AD4+AH4+CD4+CI4+CN4</f>
        <v>61.7</v>
      </c>
      <c r="EG4" s="170">
        <f>CPP!D4+CPP!E4+CPP!F4+CPP!G4+CPP!H4+CPP!I4+CPP!J4+CPP!K4+CPP!L4+CPP!M4+CPP!N4+CPP!O4+CPP!P4+CPP!Q4+CPP!R4+CPP!S4+CZ4+DE4+DJ4+CPP!W4+DT4</f>
        <v>138</v>
      </c>
      <c r="EH4" s="18">
        <f>EE4+EF4-CPP!G4-CPP!E4-CPP!F4-CPP!P4-CPP!Q4-CK4-CP4-DT4</f>
        <v>12720.699999999997</v>
      </c>
      <c r="EI4" s="16">
        <f t="shared" ref="EI4:EI27" si="41">EL3</f>
        <v>3281.4900997942491</v>
      </c>
      <c r="EJ4" s="1">
        <v>0</v>
      </c>
      <c r="EK4" s="249">
        <f>'Daily CEM-1'!AG5+'Daily  CEM - 2'!AF5-EP4</f>
        <v>2.6725001589511521E-6</v>
      </c>
      <c r="EL4" s="9">
        <f t="shared" ref="EL4:EL32" si="42">EI4+EJ4-EK4-EM4</f>
        <v>3281.4900971217489</v>
      </c>
      <c r="EM4" s="1">
        <v>0</v>
      </c>
      <c r="EN4" s="18">
        <f>EQ3</f>
        <v>7649.6090080001377</v>
      </c>
      <c r="EO4" s="1">
        <v>1503.82</v>
      </c>
      <c r="EP4" s="1">
        <v>2110.1999999999998</v>
      </c>
      <c r="EQ4" s="17">
        <f t="shared" ref="EQ4:EQ33" si="43">EN4+EO4-EP4</f>
        <v>7043.2290080001376</v>
      </c>
      <c r="ER4">
        <f t="shared" ref="ER4:ER32" si="44">ES4-EO4</f>
        <v>-332.72</v>
      </c>
      <c r="ES4">
        <v>1171.0999999999999</v>
      </c>
      <c r="ET4" s="51">
        <f t="shared" ref="ET4:ET32" si="45">EK4+EP4</f>
        <v>2110.2000026725</v>
      </c>
      <c r="EU4" s="51">
        <f t="shared" ref="EU4:EU15" si="46">EK4+EP4</f>
        <v>2110.2000026725</v>
      </c>
      <c r="EV4">
        <f>EU4/Production2!CG4</f>
        <v>0.77580882451194855</v>
      </c>
      <c r="EW4" t="e">
        <v>#DIV/0!</v>
      </c>
      <c r="EX4" t="e">
        <f t="shared" ref="EX4:EX13" si="47">EW4*100</f>
        <v>#DIV/0!</v>
      </c>
    </row>
    <row r="5" spans="2:154" x14ac:dyDescent="0.25">
      <c r="B5" s="4">
        <v>3</v>
      </c>
      <c r="C5" s="39">
        <f t="shared" si="3"/>
        <v>5365.6399999999994</v>
      </c>
      <c r="D5" s="1">
        <v>0</v>
      </c>
      <c r="E5" s="271">
        <f>F5+'RAW MILL 2'!F5</f>
        <v>10</v>
      </c>
      <c r="F5" s="1">
        <v>10</v>
      </c>
      <c r="G5" s="9">
        <f t="shared" si="4"/>
        <v>5355.6399999999994</v>
      </c>
      <c r="H5" s="39">
        <f t="shared" si="5"/>
        <v>1996.00001683752</v>
      </c>
      <c r="I5" s="33">
        <f>Production2!N5</f>
        <v>448.5</v>
      </c>
      <c r="J5" s="33">
        <f>Production2!K5</f>
        <v>852.5</v>
      </c>
      <c r="K5" s="18">
        <f t="shared" si="6"/>
        <v>1592.00001683752</v>
      </c>
      <c r="L5" s="39">
        <f t="shared" si="7"/>
        <v>0</v>
      </c>
      <c r="M5" s="1">
        <v>0</v>
      </c>
      <c r="N5" s="33">
        <f>CPP!D5</f>
        <v>0</v>
      </c>
      <c r="O5" s="1">
        <v>0</v>
      </c>
      <c r="P5" s="33">
        <f t="shared" si="0"/>
        <v>0</v>
      </c>
      <c r="Q5" s="9">
        <f t="shared" ref="Q5:Q33" si="48">L5+M5-O5-N5</f>
        <v>0</v>
      </c>
      <c r="R5" s="39">
        <f t="shared" si="8"/>
        <v>0</v>
      </c>
      <c r="S5" s="1">
        <v>0</v>
      </c>
      <c r="T5" s="33">
        <f>CPP!E5</f>
        <v>0</v>
      </c>
      <c r="U5" s="26">
        <v>0</v>
      </c>
      <c r="V5" s="38">
        <f t="shared" si="9"/>
        <v>0</v>
      </c>
      <c r="W5" s="9">
        <f t="shared" si="10"/>
        <v>0</v>
      </c>
      <c r="X5" s="39">
        <f t="shared" si="11"/>
        <v>10013.879999999997</v>
      </c>
      <c r="Y5" s="1">
        <v>0</v>
      </c>
      <c r="Z5" s="33">
        <f>CPP!H5</f>
        <v>34</v>
      </c>
      <c r="AA5" s="1">
        <v>0</v>
      </c>
      <c r="AB5" s="9">
        <f t="shared" si="12"/>
        <v>9979.8799999999974</v>
      </c>
      <c r="AC5" s="39">
        <f t="shared" si="13"/>
        <v>0</v>
      </c>
      <c r="AD5" s="1">
        <v>0</v>
      </c>
      <c r="AE5" s="1">
        <v>0</v>
      </c>
      <c r="AF5" s="9">
        <f t="shared" si="1"/>
        <v>0</v>
      </c>
      <c r="AG5" s="39">
        <f t="shared" si="14"/>
        <v>12720.649999999998</v>
      </c>
      <c r="AH5" s="1">
        <v>0</v>
      </c>
      <c r="AI5" s="170">
        <f>CPP!G5</f>
        <v>92</v>
      </c>
      <c r="AJ5" s="9">
        <f t="shared" si="2"/>
        <v>12628.649999999998</v>
      </c>
      <c r="AK5" s="129">
        <f t="shared" ref="AK5:AK33" si="49">AN4</f>
        <v>0</v>
      </c>
      <c r="AL5" s="1">
        <v>0</v>
      </c>
      <c r="AM5" s="1">
        <v>0</v>
      </c>
      <c r="AN5" s="18">
        <f t="shared" si="15"/>
        <v>0</v>
      </c>
      <c r="AO5" s="129">
        <f t="shared" ref="AO5:AO33" si="50">AS4</f>
        <v>0</v>
      </c>
      <c r="AP5" s="1">
        <v>0</v>
      </c>
      <c r="AQ5" s="1">
        <v>0</v>
      </c>
      <c r="AR5" s="171">
        <f>CPP!I5</f>
        <v>0</v>
      </c>
      <c r="AS5" s="129">
        <f t="shared" si="16"/>
        <v>0</v>
      </c>
      <c r="AT5" s="1">
        <f t="shared" ref="AT5:AT33" si="51">AX4</f>
        <v>0</v>
      </c>
      <c r="AU5" s="1">
        <v>0</v>
      </c>
      <c r="AV5" s="1">
        <v>0</v>
      </c>
      <c r="AW5" s="170">
        <f>CPP!J5</f>
        <v>0</v>
      </c>
      <c r="AX5" s="1">
        <f t="shared" si="17"/>
        <v>0</v>
      </c>
      <c r="AY5" s="1">
        <f t="shared" ref="AY5:AY33" si="52">BC4</f>
        <v>0.286999999990248</v>
      </c>
      <c r="AZ5" s="1">
        <v>0</v>
      </c>
      <c r="BA5" s="1">
        <v>0</v>
      </c>
      <c r="BB5" s="170">
        <f>CPP!K5</f>
        <v>0</v>
      </c>
      <c r="BC5" s="1">
        <f t="shared" si="18"/>
        <v>0.286999999990248</v>
      </c>
      <c r="BD5" s="1">
        <f t="shared" ref="BD5:BD33" si="53">BH4</f>
        <v>0</v>
      </c>
      <c r="BE5" s="1">
        <v>0</v>
      </c>
      <c r="BF5" s="1">
        <v>0</v>
      </c>
      <c r="BG5" s="170">
        <f>CPP!L5</f>
        <v>0</v>
      </c>
      <c r="BH5" s="1">
        <f t="shared" si="19"/>
        <v>0</v>
      </c>
      <c r="BI5" s="1">
        <f t="shared" ref="BI5:BI33" si="54">BM4</f>
        <v>0</v>
      </c>
      <c r="BJ5" s="1">
        <v>0</v>
      </c>
      <c r="BK5" s="1">
        <v>0</v>
      </c>
      <c r="BL5" s="170">
        <f>CPP!M5</f>
        <v>0</v>
      </c>
      <c r="BM5" s="1">
        <f t="shared" ref="BM5:BM33" si="55">BI5+BJ5-BK5-BL5</f>
        <v>0</v>
      </c>
      <c r="BN5" s="1">
        <f t="shared" si="20"/>
        <v>0</v>
      </c>
      <c r="BO5" s="1">
        <v>0</v>
      </c>
      <c r="BP5" s="1">
        <v>0</v>
      </c>
      <c r="BQ5" s="170">
        <f>CPP!N5</f>
        <v>0</v>
      </c>
      <c r="BR5" s="1">
        <f t="shared" si="21"/>
        <v>0</v>
      </c>
      <c r="BS5" s="1">
        <f t="shared" si="22"/>
        <v>0</v>
      </c>
      <c r="BT5" s="1">
        <v>0</v>
      </c>
      <c r="BU5" s="1">
        <v>0</v>
      </c>
      <c r="BV5" s="170">
        <f>CPP!O5</f>
        <v>0</v>
      </c>
      <c r="BW5" s="1">
        <f t="shared" si="23"/>
        <v>0</v>
      </c>
      <c r="BX5" s="174">
        <f t="shared" ref="BX5:BX33" si="56">CB4</f>
        <v>0</v>
      </c>
      <c r="BY5" s="1">
        <v>0</v>
      </c>
      <c r="BZ5" s="1">
        <v>0</v>
      </c>
      <c r="CA5" s="170"/>
      <c r="CB5" s="26">
        <f t="shared" si="24"/>
        <v>0</v>
      </c>
      <c r="CC5" s="1">
        <f t="shared" ref="CC5:CC33" si="57">CG4</f>
        <v>0</v>
      </c>
      <c r="CD5" s="1">
        <v>0</v>
      </c>
      <c r="CE5" s="1">
        <v>0</v>
      </c>
      <c r="CF5" s="170">
        <f>CPP!P5</f>
        <v>0</v>
      </c>
      <c r="CG5" s="26">
        <f t="shared" si="25"/>
        <v>0</v>
      </c>
      <c r="CH5" s="1">
        <f t="shared" ref="CH5:CH33" si="58">CL4</f>
        <v>0</v>
      </c>
      <c r="CI5" s="1">
        <v>0</v>
      </c>
      <c r="CJ5" s="1">
        <v>0</v>
      </c>
      <c r="CK5" s="170">
        <f>CPP!Q5</f>
        <v>0</v>
      </c>
      <c r="CL5" s="1">
        <f t="shared" si="26"/>
        <v>0</v>
      </c>
      <c r="CM5" s="1">
        <f t="shared" ref="CM5:CM33" si="59">CQ4</f>
        <v>5.0000000000181899E-2</v>
      </c>
      <c r="CN5" s="1">
        <v>0</v>
      </c>
      <c r="CO5" s="1">
        <v>0</v>
      </c>
      <c r="CP5" s="170">
        <f>CPP!R5</f>
        <v>0</v>
      </c>
      <c r="CQ5" s="1">
        <f t="shared" si="27"/>
        <v>5.0000000000181899E-2</v>
      </c>
      <c r="CR5" s="129">
        <f t="shared" ref="CR5:CR33" si="60">CV4</f>
        <v>0</v>
      </c>
      <c r="CS5" s="1">
        <v>0</v>
      </c>
      <c r="CT5" s="1">
        <v>0</v>
      </c>
      <c r="CU5" s="171">
        <f>CPP!S5</f>
        <v>0</v>
      </c>
      <c r="CV5" s="129">
        <f t="shared" si="28"/>
        <v>0</v>
      </c>
      <c r="CW5" s="129">
        <f t="shared" ref="CW5:CW33" si="61">DA4</f>
        <v>0</v>
      </c>
      <c r="CX5" s="1">
        <v>0</v>
      </c>
      <c r="CY5" s="1">
        <v>0</v>
      </c>
      <c r="CZ5" s="171">
        <f>CPP!T5</f>
        <v>0</v>
      </c>
      <c r="DA5" s="129">
        <f t="shared" si="29"/>
        <v>0</v>
      </c>
      <c r="DB5" s="129">
        <f t="shared" ref="DB5:DB33" si="62">DF4</f>
        <v>306</v>
      </c>
      <c r="DC5" s="1">
        <v>0</v>
      </c>
      <c r="DD5" s="1">
        <v>0</v>
      </c>
      <c r="DE5" s="171">
        <f>CPP!U5</f>
        <v>0</v>
      </c>
      <c r="DF5" s="129">
        <f t="shared" si="30"/>
        <v>306</v>
      </c>
      <c r="DG5" s="129">
        <f t="shared" ref="DG5:DG33" si="63">DK4</f>
        <v>0</v>
      </c>
      <c r="DH5" s="1">
        <v>0</v>
      </c>
      <c r="DI5" s="1">
        <v>0</v>
      </c>
      <c r="DJ5" s="171">
        <f>CPP!V5</f>
        <v>0</v>
      </c>
      <c r="DK5" s="129">
        <f t="shared" si="31"/>
        <v>0</v>
      </c>
      <c r="DL5" s="129">
        <f t="shared" ref="DL5:DL33" si="64">DP4</f>
        <v>0</v>
      </c>
      <c r="DM5" s="1">
        <v>0</v>
      </c>
      <c r="DN5" s="1">
        <v>0</v>
      </c>
      <c r="DO5" s="171">
        <f>CPP!W5</f>
        <v>0</v>
      </c>
      <c r="DP5" s="129">
        <f t="shared" si="32"/>
        <v>0</v>
      </c>
      <c r="DQ5" s="129">
        <f t="shared" ref="DQ5:DQ33" si="65">DU4</f>
        <v>5623.4900000000025</v>
      </c>
      <c r="DR5" s="1">
        <v>0</v>
      </c>
      <c r="DS5" s="1">
        <v>133.33000000000001</v>
      </c>
      <c r="DT5" s="171">
        <f>CPP!X5</f>
        <v>0</v>
      </c>
      <c r="DU5" s="129">
        <f t="shared" si="33"/>
        <v>5490.1600000000026</v>
      </c>
      <c r="DV5" s="129">
        <f t="shared" ref="DV5:DV33" si="66">DZ4</f>
        <v>0</v>
      </c>
      <c r="DW5" s="1">
        <v>0</v>
      </c>
      <c r="DX5" s="1">
        <v>0</v>
      </c>
      <c r="DY5" s="171">
        <f>CPP!Y5</f>
        <v>0</v>
      </c>
      <c r="DZ5" s="129">
        <f t="shared" si="34"/>
        <v>0</v>
      </c>
      <c r="EA5" s="129">
        <f t="shared" si="35"/>
        <v>15943.656999999988</v>
      </c>
      <c r="EB5" s="170">
        <f t="shared" si="36"/>
        <v>0</v>
      </c>
      <c r="EC5" s="170">
        <f t="shared" si="37"/>
        <v>133.33000000000001</v>
      </c>
      <c r="ED5" s="129">
        <f t="shared" si="38"/>
        <v>15776.326999999988</v>
      </c>
      <c r="EE5" s="18">
        <f t="shared" si="39"/>
        <v>12720.699999999997</v>
      </c>
      <c r="EF5" s="170">
        <f t="shared" si="40"/>
        <v>0</v>
      </c>
      <c r="EG5" s="170">
        <f>CPP!D5+CPP!E5+CPP!F5+CPP!G5+CPP!H5+CPP!I5+CPP!J5+CPP!K5+CPP!L5+CPP!M5+CPP!N5+CPP!O5+CPP!P5+CPP!Q5+CPP!R5+CPP!S5+CZ5+DE5+DJ5+CPP!W5+DT5</f>
        <v>126</v>
      </c>
      <c r="EH5" s="18">
        <f>EE5+EF5-CPP!G5-CPP!E5-CPP!F5-CPP!P5-CPP!Q5-CK5-CP5-DT5</f>
        <v>12628.699999999997</v>
      </c>
      <c r="EI5" s="16">
        <f t="shared" si="41"/>
        <v>3281.4900971217489</v>
      </c>
      <c r="EJ5" s="1">
        <v>550</v>
      </c>
      <c r="EK5" s="249">
        <f>'Daily CEM-1'!AG6+'Daily  CEM - 2'!AF6-EP5</f>
        <v>1.6123999557748903E-6</v>
      </c>
      <c r="EL5" s="9">
        <f t="shared" si="42"/>
        <v>3831.490095509349</v>
      </c>
      <c r="EM5" s="1">
        <v>0</v>
      </c>
      <c r="EN5" s="18">
        <f t="shared" ref="EN5:EN33" si="67">EQ4</f>
        <v>7043.2290080001376</v>
      </c>
      <c r="EO5" s="1">
        <v>0</v>
      </c>
      <c r="EP5" s="1">
        <v>1934.3</v>
      </c>
      <c r="EQ5" s="17">
        <f t="shared" si="43"/>
        <v>5108.9290080001374</v>
      </c>
      <c r="ER5">
        <f t="shared" si="44"/>
        <v>1446.55</v>
      </c>
      <c r="ES5">
        <v>1446.55</v>
      </c>
      <c r="ET5" s="51">
        <f t="shared" si="45"/>
        <v>1934.3000016123999</v>
      </c>
      <c r="EU5" s="51">
        <f t="shared" si="46"/>
        <v>1934.3000016123999</v>
      </c>
      <c r="EV5">
        <f>EU5/Production2!CG5</f>
        <v>0.77063745084159363</v>
      </c>
      <c r="EW5" t="e">
        <v>#DIV/0!</v>
      </c>
      <c r="EX5" t="e">
        <f t="shared" si="47"/>
        <v>#DIV/0!</v>
      </c>
    </row>
    <row r="6" spans="2:154" x14ac:dyDescent="0.25">
      <c r="B6" s="4">
        <v>4</v>
      </c>
      <c r="C6" s="39">
        <f t="shared" si="3"/>
        <v>5355.6399999999994</v>
      </c>
      <c r="D6" s="1">
        <v>0</v>
      </c>
      <c r="E6" s="271">
        <f>F6+'RAW MILL 2'!F6</f>
        <v>23</v>
      </c>
      <c r="F6" s="1">
        <v>23</v>
      </c>
      <c r="G6" s="9">
        <f t="shared" si="4"/>
        <v>5332.6399999999994</v>
      </c>
      <c r="H6" s="39">
        <f t="shared" si="5"/>
        <v>1592.00001683752</v>
      </c>
      <c r="I6" s="33">
        <f>Production2!N6</f>
        <v>1044.69</v>
      </c>
      <c r="J6" s="33">
        <f>Production2!K6</f>
        <v>1162.5</v>
      </c>
      <c r="K6" s="18">
        <f t="shared" si="6"/>
        <v>1474.19001683752</v>
      </c>
      <c r="L6" s="39">
        <f t="shared" si="7"/>
        <v>0</v>
      </c>
      <c r="M6" s="1">
        <v>0</v>
      </c>
      <c r="N6" s="33">
        <f>CPP!D6</f>
        <v>0</v>
      </c>
      <c r="O6" s="1">
        <v>0</v>
      </c>
      <c r="P6" s="33">
        <f t="shared" si="0"/>
        <v>0</v>
      </c>
      <c r="Q6" s="9">
        <f t="shared" si="48"/>
        <v>0</v>
      </c>
      <c r="R6" s="39">
        <f t="shared" si="8"/>
        <v>0</v>
      </c>
      <c r="S6" s="1">
        <v>0</v>
      </c>
      <c r="T6" s="33">
        <f>CPP!E6</f>
        <v>0</v>
      </c>
      <c r="U6" s="26">
        <v>0</v>
      </c>
      <c r="V6" s="38">
        <f t="shared" si="9"/>
        <v>0</v>
      </c>
      <c r="W6" s="9">
        <f t="shared" si="10"/>
        <v>0</v>
      </c>
      <c r="X6" s="39">
        <f t="shared" si="11"/>
        <v>9979.8799999999974</v>
      </c>
      <c r="Y6" s="1">
        <v>0</v>
      </c>
      <c r="Z6" s="33">
        <f>CPP!H6</f>
        <v>0</v>
      </c>
      <c r="AA6" s="1">
        <v>0</v>
      </c>
      <c r="AB6" s="9">
        <f t="shared" si="12"/>
        <v>9979.8799999999974</v>
      </c>
      <c r="AC6" s="39">
        <f t="shared" si="13"/>
        <v>0</v>
      </c>
      <c r="AD6" s="1">
        <v>0</v>
      </c>
      <c r="AE6" s="1">
        <v>0</v>
      </c>
      <c r="AF6" s="9">
        <f t="shared" si="1"/>
        <v>0</v>
      </c>
      <c r="AG6" s="39">
        <f t="shared" si="14"/>
        <v>12628.649999999998</v>
      </c>
      <c r="AH6" s="1">
        <v>0</v>
      </c>
      <c r="AI6" s="170">
        <f>CPP!G6</f>
        <v>97</v>
      </c>
      <c r="AJ6" s="9">
        <f t="shared" si="2"/>
        <v>12531.649999999998</v>
      </c>
      <c r="AK6" s="129">
        <f t="shared" si="49"/>
        <v>0</v>
      </c>
      <c r="AL6" s="1">
        <v>0</v>
      </c>
      <c r="AM6" s="1">
        <v>0</v>
      </c>
      <c r="AN6" s="18">
        <f t="shared" si="15"/>
        <v>0</v>
      </c>
      <c r="AO6" s="129">
        <f t="shared" si="50"/>
        <v>0</v>
      </c>
      <c r="AP6" s="1">
        <v>0</v>
      </c>
      <c r="AQ6" s="1">
        <v>0</v>
      </c>
      <c r="AR6" s="171">
        <f>CPP!I6</f>
        <v>0</v>
      </c>
      <c r="AS6" s="129">
        <f t="shared" si="16"/>
        <v>0</v>
      </c>
      <c r="AT6" s="1">
        <f t="shared" si="51"/>
        <v>0</v>
      </c>
      <c r="AU6" s="1">
        <v>0</v>
      </c>
      <c r="AV6" s="1">
        <v>0</v>
      </c>
      <c r="AW6" s="170">
        <f>CPP!J6</f>
        <v>0</v>
      </c>
      <c r="AX6" s="1">
        <f t="shared" si="17"/>
        <v>0</v>
      </c>
      <c r="AY6" s="1">
        <f t="shared" si="52"/>
        <v>0.286999999990248</v>
      </c>
      <c r="AZ6" s="1">
        <v>0</v>
      </c>
      <c r="BA6" s="1">
        <v>0</v>
      </c>
      <c r="BB6" s="170">
        <f>CPP!K6</f>
        <v>0</v>
      </c>
      <c r="BC6" s="1">
        <f t="shared" si="18"/>
        <v>0.286999999990248</v>
      </c>
      <c r="BD6" s="1">
        <f t="shared" si="53"/>
        <v>0</v>
      </c>
      <c r="BE6" s="1">
        <v>0</v>
      </c>
      <c r="BF6" s="1">
        <v>0</v>
      </c>
      <c r="BG6" s="170">
        <f>CPP!L6</f>
        <v>0</v>
      </c>
      <c r="BH6" s="1">
        <f t="shared" si="19"/>
        <v>0</v>
      </c>
      <c r="BI6" s="1">
        <f t="shared" si="54"/>
        <v>0</v>
      </c>
      <c r="BJ6" s="1">
        <v>0</v>
      </c>
      <c r="BK6" s="1">
        <v>0</v>
      </c>
      <c r="BL6" s="170">
        <f>CPP!M6</f>
        <v>0</v>
      </c>
      <c r="BM6" s="1">
        <f t="shared" si="55"/>
        <v>0</v>
      </c>
      <c r="BN6" s="1">
        <f t="shared" si="20"/>
        <v>0</v>
      </c>
      <c r="BO6" s="1">
        <v>0</v>
      </c>
      <c r="BP6" s="1">
        <v>0</v>
      </c>
      <c r="BQ6" s="170">
        <f>CPP!N6</f>
        <v>0</v>
      </c>
      <c r="BR6" s="1">
        <f t="shared" si="21"/>
        <v>0</v>
      </c>
      <c r="BS6" s="1">
        <f t="shared" si="22"/>
        <v>0</v>
      </c>
      <c r="BT6" s="1">
        <v>0</v>
      </c>
      <c r="BU6" s="1">
        <v>0</v>
      </c>
      <c r="BV6" s="170">
        <f>CPP!O6</f>
        <v>0</v>
      </c>
      <c r="BW6" s="1">
        <f t="shared" si="23"/>
        <v>0</v>
      </c>
      <c r="BX6" s="174">
        <f t="shared" si="56"/>
        <v>0</v>
      </c>
      <c r="BY6" s="1">
        <v>0</v>
      </c>
      <c r="BZ6" s="1">
        <v>0</v>
      </c>
      <c r="CA6" s="170"/>
      <c r="CB6" s="26">
        <f t="shared" si="24"/>
        <v>0</v>
      </c>
      <c r="CC6" s="1">
        <f t="shared" si="57"/>
        <v>0</v>
      </c>
      <c r="CD6" s="1">
        <v>0</v>
      </c>
      <c r="CE6" s="1">
        <v>0</v>
      </c>
      <c r="CF6" s="170">
        <f>CPP!P6</f>
        <v>0</v>
      </c>
      <c r="CG6" s="26">
        <f t="shared" si="25"/>
        <v>0</v>
      </c>
      <c r="CH6" s="1">
        <f t="shared" si="58"/>
        <v>0</v>
      </c>
      <c r="CI6" s="1">
        <v>0</v>
      </c>
      <c r="CJ6" s="1">
        <v>0</v>
      </c>
      <c r="CK6" s="170">
        <f>CPP!Q6</f>
        <v>0</v>
      </c>
      <c r="CL6" s="1">
        <f t="shared" si="26"/>
        <v>0</v>
      </c>
      <c r="CM6" s="1">
        <f t="shared" si="59"/>
        <v>5.0000000000181899E-2</v>
      </c>
      <c r="CN6" s="1">
        <v>0</v>
      </c>
      <c r="CO6" s="1">
        <v>0</v>
      </c>
      <c r="CP6" s="170">
        <f>CPP!R6</f>
        <v>0</v>
      </c>
      <c r="CQ6" s="1">
        <f t="shared" si="27"/>
        <v>5.0000000000181899E-2</v>
      </c>
      <c r="CR6" s="129">
        <f t="shared" si="60"/>
        <v>0</v>
      </c>
      <c r="CS6" s="1">
        <v>0</v>
      </c>
      <c r="CT6" s="1">
        <v>0</v>
      </c>
      <c r="CU6" s="171">
        <f>CPP!S6</f>
        <v>0</v>
      </c>
      <c r="CV6" s="129">
        <f t="shared" si="28"/>
        <v>0</v>
      </c>
      <c r="CW6" s="129">
        <f t="shared" si="61"/>
        <v>0</v>
      </c>
      <c r="CX6" s="1">
        <v>0</v>
      </c>
      <c r="CY6" s="1">
        <v>0</v>
      </c>
      <c r="CZ6" s="171">
        <f>CPP!T6</f>
        <v>0</v>
      </c>
      <c r="DA6" s="129">
        <f t="shared" si="29"/>
        <v>0</v>
      </c>
      <c r="DB6" s="129">
        <f t="shared" si="62"/>
        <v>306</v>
      </c>
      <c r="DC6" s="1">
        <v>0</v>
      </c>
      <c r="DD6" s="1">
        <v>0</v>
      </c>
      <c r="DE6" s="171">
        <f>CPP!U6</f>
        <v>0</v>
      </c>
      <c r="DF6" s="129">
        <f t="shared" si="30"/>
        <v>306</v>
      </c>
      <c r="DG6" s="129">
        <f t="shared" si="63"/>
        <v>0</v>
      </c>
      <c r="DH6" s="1">
        <v>0</v>
      </c>
      <c r="DI6" s="1">
        <v>0</v>
      </c>
      <c r="DJ6" s="171">
        <f>CPP!V6</f>
        <v>0</v>
      </c>
      <c r="DK6" s="129">
        <f t="shared" si="31"/>
        <v>0</v>
      </c>
      <c r="DL6" s="129">
        <f t="shared" si="64"/>
        <v>0</v>
      </c>
      <c r="DM6" s="1">
        <v>0</v>
      </c>
      <c r="DN6" s="1">
        <v>0</v>
      </c>
      <c r="DO6" s="171">
        <f>CPP!W6</f>
        <v>0</v>
      </c>
      <c r="DP6" s="129">
        <f t="shared" si="32"/>
        <v>0</v>
      </c>
      <c r="DQ6" s="129">
        <f t="shared" si="65"/>
        <v>5490.1600000000026</v>
      </c>
      <c r="DR6" s="1">
        <v>31</v>
      </c>
      <c r="DS6" s="1">
        <v>137.78</v>
      </c>
      <c r="DT6" s="171">
        <f>CPP!X6</f>
        <v>0</v>
      </c>
      <c r="DU6" s="129">
        <f t="shared" si="33"/>
        <v>5383.3800000000028</v>
      </c>
      <c r="DV6" s="129">
        <f t="shared" si="66"/>
        <v>0</v>
      </c>
      <c r="DW6" s="1">
        <v>0</v>
      </c>
      <c r="DX6" s="1">
        <v>0</v>
      </c>
      <c r="DY6" s="171">
        <f>CPP!Y6</f>
        <v>0</v>
      </c>
      <c r="DZ6" s="129">
        <f t="shared" si="34"/>
        <v>0</v>
      </c>
      <c r="EA6" s="129">
        <f t="shared" si="35"/>
        <v>15776.32699999999</v>
      </c>
      <c r="EB6" s="170">
        <f t="shared" si="36"/>
        <v>31</v>
      </c>
      <c r="EC6" s="170">
        <f t="shared" si="37"/>
        <v>137.78</v>
      </c>
      <c r="ED6" s="129">
        <f t="shared" si="38"/>
        <v>15669.54699999999</v>
      </c>
      <c r="EE6" s="18">
        <f t="shared" si="39"/>
        <v>12628.699999999997</v>
      </c>
      <c r="EF6" s="170">
        <f t="shared" si="40"/>
        <v>0</v>
      </c>
      <c r="EG6" s="170">
        <f>CPP!D6+CPP!E6+CPP!F6+CPP!G6+CPP!H6+CPP!I6+CPP!J6+CPP!K6+CPP!L6+CPP!M6+CPP!N6+CPP!O6+CPP!P6+CPP!Q6+CPP!R6+CPP!S6+CZ6+DE6+DJ6+CPP!W6+DT6</f>
        <v>97</v>
      </c>
      <c r="EH6" s="18">
        <f>EE6+EF6-CPP!G6-CPP!E6-CPP!F6-CPP!P6-CPP!Q6-CK6-CP6-DT6</f>
        <v>12531.699999999997</v>
      </c>
      <c r="EI6" s="16">
        <f t="shared" si="41"/>
        <v>3831.490095509349</v>
      </c>
      <c r="EJ6" s="1">
        <v>750</v>
      </c>
      <c r="EK6" s="255">
        <f>'Daily CEM-1'!AG7+'Daily  CEM - 2'!AF7-EP6</f>
        <v>1.7293998553213896E-6</v>
      </c>
      <c r="EL6" s="9">
        <f t="shared" si="42"/>
        <v>4581.4900937799493</v>
      </c>
      <c r="EM6" s="1">
        <v>0</v>
      </c>
      <c r="EN6" s="18">
        <f t="shared" si="67"/>
        <v>5108.9290080001374</v>
      </c>
      <c r="EO6" s="1">
        <v>1617.32</v>
      </c>
      <c r="EP6" s="1">
        <v>1714.2</v>
      </c>
      <c r="EQ6" s="17">
        <f t="shared" si="43"/>
        <v>5012.0490080001373</v>
      </c>
      <c r="ER6">
        <f t="shared" si="44"/>
        <v>-117.02999999999997</v>
      </c>
      <c r="ES6">
        <v>1500.29</v>
      </c>
      <c r="ET6" s="51">
        <f t="shared" si="45"/>
        <v>1714.2000017293999</v>
      </c>
      <c r="EU6" s="51">
        <f t="shared" si="46"/>
        <v>1714.2000017293999</v>
      </c>
      <c r="EV6">
        <f>EU6/Production2!CG6</f>
        <v>0.77008086331060188</v>
      </c>
      <c r="EW6">
        <v>0.77</v>
      </c>
      <c r="EX6">
        <f t="shared" si="47"/>
        <v>77</v>
      </c>
    </row>
    <row r="7" spans="2:154" x14ac:dyDescent="0.25">
      <c r="B7" s="4">
        <v>5</v>
      </c>
      <c r="C7" s="39">
        <f t="shared" si="3"/>
        <v>5332.6399999999994</v>
      </c>
      <c r="D7" s="1">
        <v>0</v>
      </c>
      <c r="E7" s="271">
        <f>F7+'RAW MILL 2'!F7</f>
        <v>0</v>
      </c>
      <c r="F7" s="1">
        <v>0</v>
      </c>
      <c r="G7" s="9">
        <f t="shared" si="4"/>
        <v>5332.6399999999994</v>
      </c>
      <c r="H7" s="39">
        <f t="shared" si="5"/>
        <v>1474.19001683752</v>
      </c>
      <c r="I7" s="33">
        <f>Production2!N7</f>
        <v>0</v>
      </c>
      <c r="J7" s="33">
        <f>Production2!K7</f>
        <v>0</v>
      </c>
      <c r="K7" s="18">
        <f t="shared" si="6"/>
        <v>1474.19001683752</v>
      </c>
      <c r="L7" s="39">
        <f t="shared" si="7"/>
        <v>0</v>
      </c>
      <c r="M7" s="1">
        <v>0</v>
      </c>
      <c r="N7" s="33">
        <f>CPP!D7</f>
        <v>0</v>
      </c>
      <c r="O7" s="1">
        <v>0</v>
      </c>
      <c r="P7" s="33">
        <f t="shared" si="0"/>
        <v>0</v>
      </c>
      <c r="Q7" s="9">
        <f t="shared" si="48"/>
        <v>0</v>
      </c>
      <c r="R7" s="39">
        <f t="shared" si="8"/>
        <v>0</v>
      </c>
      <c r="S7" s="1">
        <v>0</v>
      </c>
      <c r="T7" s="33">
        <f>CPP!E7</f>
        <v>0</v>
      </c>
      <c r="U7" s="26">
        <v>0</v>
      </c>
      <c r="V7" s="38">
        <f t="shared" si="9"/>
        <v>0</v>
      </c>
      <c r="W7" s="9">
        <f t="shared" si="10"/>
        <v>0</v>
      </c>
      <c r="X7" s="39">
        <f t="shared" si="11"/>
        <v>9979.8799999999974</v>
      </c>
      <c r="Y7" s="1">
        <v>0</v>
      </c>
      <c r="Z7" s="33">
        <f>CPP!H7</f>
        <v>0</v>
      </c>
      <c r="AA7" s="1">
        <v>0</v>
      </c>
      <c r="AB7" s="9">
        <f t="shared" si="12"/>
        <v>9979.8799999999974</v>
      </c>
      <c r="AC7" s="39">
        <f t="shared" si="13"/>
        <v>0</v>
      </c>
      <c r="AD7" s="1">
        <v>0</v>
      </c>
      <c r="AE7" s="1">
        <v>0</v>
      </c>
      <c r="AF7" s="9">
        <f t="shared" si="1"/>
        <v>0</v>
      </c>
      <c r="AG7" s="39">
        <f t="shared" si="14"/>
        <v>12531.649999999998</v>
      </c>
      <c r="AH7" s="1">
        <v>0</v>
      </c>
      <c r="AI7" s="170">
        <f>CPP!G7</f>
        <v>91</v>
      </c>
      <c r="AJ7" s="9">
        <f t="shared" si="2"/>
        <v>12440.649999999998</v>
      </c>
      <c r="AK7" s="129">
        <f t="shared" si="49"/>
        <v>0</v>
      </c>
      <c r="AL7" s="1">
        <v>0</v>
      </c>
      <c r="AM7" s="1">
        <v>0</v>
      </c>
      <c r="AN7" s="18">
        <f t="shared" si="15"/>
        <v>0</v>
      </c>
      <c r="AO7" s="129">
        <f t="shared" si="50"/>
        <v>0</v>
      </c>
      <c r="AP7" s="1">
        <v>0</v>
      </c>
      <c r="AQ7" s="1">
        <v>0</v>
      </c>
      <c r="AR7" s="171">
        <f>CPP!I7</f>
        <v>0</v>
      </c>
      <c r="AS7" s="129">
        <f t="shared" si="16"/>
        <v>0</v>
      </c>
      <c r="AT7" s="1">
        <f t="shared" si="51"/>
        <v>0</v>
      </c>
      <c r="AU7" s="1">
        <v>0</v>
      </c>
      <c r="AV7" s="1">
        <v>0</v>
      </c>
      <c r="AW7" s="170">
        <f>CPP!J7</f>
        <v>0</v>
      </c>
      <c r="AX7" s="1">
        <f t="shared" si="17"/>
        <v>0</v>
      </c>
      <c r="AY7" s="1">
        <f t="shared" si="52"/>
        <v>0.286999999990248</v>
      </c>
      <c r="AZ7" s="1">
        <v>0</v>
      </c>
      <c r="BA7" s="1">
        <v>0</v>
      </c>
      <c r="BB7" s="170">
        <f>CPP!K7</f>
        <v>0</v>
      </c>
      <c r="BC7" s="1">
        <f t="shared" si="18"/>
        <v>0.286999999990248</v>
      </c>
      <c r="BD7" s="1">
        <f t="shared" si="53"/>
        <v>0</v>
      </c>
      <c r="BE7" s="1">
        <v>0</v>
      </c>
      <c r="BF7" s="1">
        <v>0</v>
      </c>
      <c r="BG7" s="170">
        <f>CPP!L7</f>
        <v>0</v>
      </c>
      <c r="BH7" s="1">
        <f t="shared" si="19"/>
        <v>0</v>
      </c>
      <c r="BI7" s="1">
        <f t="shared" si="54"/>
        <v>0</v>
      </c>
      <c r="BJ7" s="1">
        <v>0</v>
      </c>
      <c r="BK7" s="1">
        <v>0</v>
      </c>
      <c r="BL7" s="170">
        <f>CPP!M7</f>
        <v>0</v>
      </c>
      <c r="BM7" s="1">
        <f t="shared" si="55"/>
        <v>0</v>
      </c>
      <c r="BN7" s="1">
        <f t="shared" si="20"/>
        <v>0</v>
      </c>
      <c r="BO7" s="1">
        <v>0</v>
      </c>
      <c r="BP7" s="1">
        <v>0</v>
      </c>
      <c r="BQ7" s="170">
        <f>CPP!N7</f>
        <v>0</v>
      </c>
      <c r="BR7" s="1">
        <f t="shared" si="21"/>
        <v>0</v>
      </c>
      <c r="BS7" s="1">
        <f t="shared" si="22"/>
        <v>0</v>
      </c>
      <c r="BT7" s="1">
        <v>0</v>
      </c>
      <c r="BU7" s="1">
        <v>0</v>
      </c>
      <c r="BV7" s="170">
        <f>CPP!O7</f>
        <v>0</v>
      </c>
      <c r="BW7" s="1">
        <f t="shared" si="23"/>
        <v>0</v>
      </c>
      <c r="BX7" s="174">
        <f t="shared" si="56"/>
        <v>0</v>
      </c>
      <c r="BY7" s="1">
        <v>0</v>
      </c>
      <c r="BZ7" s="1">
        <v>0</v>
      </c>
      <c r="CA7" s="170"/>
      <c r="CB7" s="26">
        <f t="shared" si="24"/>
        <v>0</v>
      </c>
      <c r="CC7" s="1">
        <f t="shared" si="57"/>
        <v>0</v>
      </c>
      <c r="CD7" s="1">
        <v>0</v>
      </c>
      <c r="CE7" s="1">
        <v>0</v>
      </c>
      <c r="CF7" s="170">
        <f>CPP!P7</f>
        <v>0</v>
      </c>
      <c r="CG7" s="26">
        <f t="shared" si="25"/>
        <v>0</v>
      </c>
      <c r="CH7" s="1">
        <f t="shared" si="58"/>
        <v>0</v>
      </c>
      <c r="CI7" s="1">
        <v>0</v>
      </c>
      <c r="CJ7" s="1">
        <v>0</v>
      </c>
      <c r="CK7" s="170">
        <f>CPP!Q7</f>
        <v>0</v>
      </c>
      <c r="CL7" s="1">
        <f t="shared" si="26"/>
        <v>0</v>
      </c>
      <c r="CM7" s="1">
        <f t="shared" si="59"/>
        <v>5.0000000000181899E-2</v>
      </c>
      <c r="CN7" s="1">
        <v>0</v>
      </c>
      <c r="CO7" s="1">
        <v>0</v>
      </c>
      <c r="CP7" s="170">
        <f>CPP!R7</f>
        <v>0</v>
      </c>
      <c r="CQ7" s="1">
        <f t="shared" si="27"/>
        <v>5.0000000000181899E-2</v>
      </c>
      <c r="CR7" s="129">
        <f t="shared" si="60"/>
        <v>0</v>
      </c>
      <c r="CS7" s="1">
        <v>0</v>
      </c>
      <c r="CT7" s="1">
        <v>0</v>
      </c>
      <c r="CU7" s="171">
        <f>CPP!S7</f>
        <v>0</v>
      </c>
      <c r="CV7" s="129">
        <f t="shared" si="28"/>
        <v>0</v>
      </c>
      <c r="CW7" s="129">
        <f t="shared" si="61"/>
        <v>0</v>
      </c>
      <c r="CX7" s="1">
        <v>0</v>
      </c>
      <c r="CY7" s="1">
        <v>0</v>
      </c>
      <c r="CZ7" s="171">
        <f>CPP!T7</f>
        <v>0</v>
      </c>
      <c r="DA7" s="129">
        <f t="shared" si="29"/>
        <v>0</v>
      </c>
      <c r="DB7" s="129">
        <f t="shared" si="62"/>
        <v>306</v>
      </c>
      <c r="DC7" s="1">
        <v>0</v>
      </c>
      <c r="DD7" s="1">
        <v>0</v>
      </c>
      <c r="DE7" s="171">
        <f>CPP!U7</f>
        <v>0</v>
      </c>
      <c r="DF7" s="129">
        <f t="shared" si="30"/>
        <v>306</v>
      </c>
      <c r="DG7" s="129">
        <f t="shared" si="63"/>
        <v>0</v>
      </c>
      <c r="DH7" s="1">
        <v>0</v>
      </c>
      <c r="DI7" s="1">
        <v>0</v>
      </c>
      <c r="DJ7" s="171">
        <f>CPP!V7</f>
        <v>0</v>
      </c>
      <c r="DK7" s="129">
        <f t="shared" si="31"/>
        <v>0</v>
      </c>
      <c r="DL7" s="129">
        <f t="shared" si="64"/>
        <v>0</v>
      </c>
      <c r="DM7" s="1">
        <v>0</v>
      </c>
      <c r="DN7" s="1">
        <v>0</v>
      </c>
      <c r="DO7" s="171">
        <f>CPP!W7</f>
        <v>0</v>
      </c>
      <c r="DP7" s="129">
        <f t="shared" si="32"/>
        <v>0</v>
      </c>
      <c r="DQ7" s="129">
        <f t="shared" si="65"/>
        <v>5383.3800000000028</v>
      </c>
      <c r="DR7" s="1">
        <v>0</v>
      </c>
      <c r="DS7" s="1">
        <v>0</v>
      </c>
      <c r="DT7" s="171">
        <f>CPP!X7</f>
        <v>0</v>
      </c>
      <c r="DU7" s="129">
        <f t="shared" si="33"/>
        <v>5383.3800000000028</v>
      </c>
      <c r="DV7" s="129">
        <f t="shared" si="66"/>
        <v>0</v>
      </c>
      <c r="DW7" s="1">
        <v>0</v>
      </c>
      <c r="DX7" s="1">
        <v>0</v>
      </c>
      <c r="DY7" s="171">
        <f>CPP!Y7</f>
        <v>0</v>
      </c>
      <c r="DZ7" s="129">
        <f t="shared" si="34"/>
        <v>0</v>
      </c>
      <c r="EA7" s="129">
        <f t="shared" si="35"/>
        <v>15669.54699999999</v>
      </c>
      <c r="EB7" s="170">
        <f t="shared" si="36"/>
        <v>0</v>
      </c>
      <c r="EC7" s="170">
        <f t="shared" si="37"/>
        <v>0</v>
      </c>
      <c r="ED7" s="129">
        <f t="shared" si="38"/>
        <v>15669.54699999999</v>
      </c>
      <c r="EE7" s="18">
        <f t="shared" si="39"/>
        <v>12531.699999999997</v>
      </c>
      <c r="EF7" s="170">
        <f t="shared" si="40"/>
        <v>0</v>
      </c>
      <c r="EG7" s="170">
        <f>CPP!D7+CPP!E7+CPP!F7+CPP!G7+CPP!H7+CPP!I7+CPP!J7+CPP!K7+CPP!L7+CPP!M7+CPP!N7+CPP!O7+CPP!P7+CPP!Q7+CPP!R7+CPP!S7+CZ7+DE7+DJ7+CPP!W7+DT7</f>
        <v>91</v>
      </c>
      <c r="EH7" s="18">
        <f>EE7+EF7-CPP!G7-CPP!E7-CPP!F7-CPP!P7-CPP!Q7-CK7-CP7-DT7</f>
        <v>12440.699999999997</v>
      </c>
      <c r="EI7" s="16">
        <f t="shared" si="41"/>
        <v>4581.4900937799493</v>
      </c>
      <c r="EJ7" s="1">
        <v>0</v>
      </c>
      <c r="EK7" s="255">
        <f>'Daily CEM-1'!AG8+'Daily  CEM - 2'!AF8-EP7</f>
        <v>217.50000257580018</v>
      </c>
      <c r="EL7" s="9">
        <f t="shared" si="42"/>
        <v>4363.9900912041494</v>
      </c>
      <c r="EM7" s="1">
        <v>0</v>
      </c>
      <c r="EN7" s="18">
        <f t="shared" si="67"/>
        <v>5012.0490080001373</v>
      </c>
      <c r="EO7" s="1">
        <v>0</v>
      </c>
      <c r="EP7" s="1">
        <v>1958.8</v>
      </c>
      <c r="EQ7" s="17">
        <f t="shared" si="43"/>
        <v>3053.2490080001371</v>
      </c>
      <c r="ER7">
        <f t="shared" si="44"/>
        <v>0</v>
      </c>
      <c r="ET7" s="51">
        <f t="shared" si="45"/>
        <v>2176.3000025758001</v>
      </c>
      <c r="EU7" s="51">
        <f t="shared" si="46"/>
        <v>2176.3000025758001</v>
      </c>
      <c r="EV7">
        <f>EU7/Production2!CG7</f>
        <v>0.74786941669271478</v>
      </c>
      <c r="EW7">
        <v>0.78583916083916083</v>
      </c>
      <c r="EX7">
        <f t="shared" si="47"/>
        <v>78.58391608391608</v>
      </c>
    </row>
    <row r="8" spans="2:154" x14ac:dyDescent="0.25">
      <c r="B8" s="4">
        <v>6</v>
      </c>
      <c r="C8" s="39">
        <f t="shared" si="3"/>
        <v>5332.6399999999994</v>
      </c>
      <c r="D8" s="1">
        <v>0</v>
      </c>
      <c r="E8" s="271">
        <f>F8+'RAW MILL 2'!F8</f>
        <v>56</v>
      </c>
      <c r="F8" s="1">
        <v>56</v>
      </c>
      <c r="G8" s="9">
        <f t="shared" si="4"/>
        <v>5276.6399999999994</v>
      </c>
      <c r="H8" s="39">
        <f t="shared" si="5"/>
        <v>1474.19001683752</v>
      </c>
      <c r="I8" s="33">
        <f>Production2!N8</f>
        <v>2294.1</v>
      </c>
      <c r="J8" s="33">
        <f>Production2!K8</f>
        <v>2139</v>
      </c>
      <c r="K8" s="18">
        <f t="shared" si="6"/>
        <v>1629.2900168375199</v>
      </c>
      <c r="L8" s="39">
        <f t="shared" si="7"/>
        <v>0</v>
      </c>
      <c r="M8" s="1">
        <v>0</v>
      </c>
      <c r="N8" s="33">
        <f>CPP!D8</f>
        <v>0</v>
      </c>
      <c r="O8" s="1">
        <v>0</v>
      </c>
      <c r="P8" s="33">
        <f t="shared" si="0"/>
        <v>0</v>
      </c>
      <c r="Q8" s="9">
        <f t="shared" si="48"/>
        <v>0</v>
      </c>
      <c r="R8" s="39">
        <f t="shared" si="8"/>
        <v>0</v>
      </c>
      <c r="S8" s="1">
        <v>0</v>
      </c>
      <c r="T8" s="33">
        <f>CPP!E8</f>
        <v>0</v>
      </c>
      <c r="U8" s="26">
        <v>0</v>
      </c>
      <c r="V8" s="38">
        <f t="shared" si="9"/>
        <v>0</v>
      </c>
      <c r="W8" s="9">
        <f t="shared" si="10"/>
        <v>0</v>
      </c>
      <c r="X8" s="39">
        <f t="shared" si="11"/>
        <v>9979.8799999999974</v>
      </c>
      <c r="Y8" s="1">
        <v>0</v>
      </c>
      <c r="Z8" s="33">
        <f>CPP!H8</f>
        <v>0</v>
      </c>
      <c r="AA8" s="1">
        <v>217</v>
      </c>
      <c r="AB8" s="9">
        <f t="shared" si="12"/>
        <v>9762.8799999999974</v>
      </c>
      <c r="AC8" s="39">
        <f t="shared" si="13"/>
        <v>0</v>
      </c>
      <c r="AD8" s="1">
        <v>0</v>
      </c>
      <c r="AE8" s="1">
        <v>0</v>
      </c>
      <c r="AF8" s="9">
        <f t="shared" si="1"/>
        <v>0</v>
      </c>
      <c r="AG8" s="39">
        <f t="shared" si="14"/>
        <v>12440.649999999998</v>
      </c>
      <c r="AH8" s="1">
        <v>0</v>
      </c>
      <c r="AI8" s="170">
        <f>CPP!G8</f>
        <v>122</v>
      </c>
      <c r="AJ8" s="9">
        <f t="shared" si="2"/>
        <v>12318.649999999998</v>
      </c>
      <c r="AK8" s="129">
        <f t="shared" si="49"/>
        <v>0</v>
      </c>
      <c r="AL8" s="1">
        <v>0</v>
      </c>
      <c r="AM8" s="1">
        <v>0</v>
      </c>
      <c r="AN8" s="18">
        <f t="shared" si="15"/>
        <v>0</v>
      </c>
      <c r="AO8" s="129">
        <f t="shared" si="50"/>
        <v>0</v>
      </c>
      <c r="AP8" s="1">
        <v>0</v>
      </c>
      <c r="AQ8" s="1">
        <v>0</v>
      </c>
      <c r="AR8" s="171">
        <f>CPP!I8</f>
        <v>0</v>
      </c>
      <c r="AS8" s="129">
        <f t="shared" si="16"/>
        <v>0</v>
      </c>
      <c r="AT8" s="1">
        <f t="shared" si="51"/>
        <v>0</v>
      </c>
      <c r="AU8" s="1">
        <v>0</v>
      </c>
      <c r="AV8" s="1">
        <v>0</v>
      </c>
      <c r="AW8" s="170">
        <f>CPP!J8</f>
        <v>0</v>
      </c>
      <c r="AX8" s="1">
        <f t="shared" si="17"/>
        <v>0</v>
      </c>
      <c r="AY8" s="1">
        <f t="shared" si="52"/>
        <v>0.286999999990248</v>
      </c>
      <c r="AZ8" s="1">
        <v>0</v>
      </c>
      <c r="BA8" s="1">
        <v>0</v>
      </c>
      <c r="BB8" s="170">
        <f>CPP!K8</f>
        <v>0</v>
      </c>
      <c r="BC8" s="1">
        <f t="shared" si="18"/>
        <v>0.286999999990248</v>
      </c>
      <c r="BD8" s="1">
        <f t="shared" si="53"/>
        <v>0</v>
      </c>
      <c r="BE8" s="1">
        <v>0</v>
      </c>
      <c r="BF8" s="1">
        <v>0</v>
      </c>
      <c r="BG8" s="170">
        <f>CPP!L8</f>
        <v>0</v>
      </c>
      <c r="BH8" s="1">
        <f t="shared" si="19"/>
        <v>0</v>
      </c>
      <c r="BI8" s="1">
        <f t="shared" si="54"/>
        <v>0</v>
      </c>
      <c r="BJ8" s="1">
        <v>0</v>
      </c>
      <c r="BK8" s="1">
        <v>0</v>
      </c>
      <c r="BL8" s="170">
        <f>CPP!M8</f>
        <v>0</v>
      </c>
      <c r="BM8" s="1">
        <f t="shared" si="55"/>
        <v>0</v>
      </c>
      <c r="BN8" s="1">
        <f t="shared" si="20"/>
        <v>0</v>
      </c>
      <c r="BO8" s="1">
        <v>0</v>
      </c>
      <c r="BP8" s="1">
        <v>0</v>
      </c>
      <c r="BQ8" s="170">
        <f>CPP!N8</f>
        <v>0</v>
      </c>
      <c r="BR8" s="1">
        <f t="shared" si="21"/>
        <v>0</v>
      </c>
      <c r="BS8" s="1">
        <f t="shared" si="22"/>
        <v>0</v>
      </c>
      <c r="BT8" s="1">
        <v>0</v>
      </c>
      <c r="BU8" s="1">
        <v>0</v>
      </c>
      <c r="BV8" s="170">
        <f>CPP!O8</f>
        <v>0</v>
      </c>
      <c r="BW8" s="1">
        <f t="shared" si="23"/>
        <v>0</v>
      </c>
      <c r="BX8" s="174">
        <f t="shared" si="56"/>
        <v>0</v>
      </c>
      <c r="BY8" s="1">
        <v>0</v>
      </c>
      <c r="BZ8" s="1">
        <v>0</v>
      </c>
      <c r="CA8" s="170"/>
      <c r="CB8" s="26">
        <f t="shared" si="24"/>
        <v>0</v>
      </c>
      <c r="CC8" s="1">
        <f t="shared" si="57"/>
        <v>0</v>
      </c>
      <c r="CD8" s="1">
        <v>0</v>
      </c>
      <c r="CE8" s="1">
        <v>0</v>
      </c>
      <c r="CF8" s="170">
        <f>CPP!P8</f>
        <v>0</v>
      </c>
      <c r="CG8" s="26">
        <f t="shared" si="25"/>
        <v>0</v>
      </c>
      <c r="CH8" s="1">
        <f t="shared" si="58"/>
        <v>0</v>
      </c>
      <c r="CI8" s="1">
        <v>0</v>
      </c>
      <c r="CJ8" s="1">
        <v>0</v>
      </c>
      <c r="CK8" s="170">
        <f>CPP!Q8</f>
        <v>0</v>
      </c>
      <c r="CL8" s="1">
        <f t="shared" si="26"/>
        <v>0</v>
      </c>
      <c r="CM8" s="1">
        <f t="shared" si="59"/>
        <v>5.0000000000181899E-2</v>
      </c>
      <c r="CN8" s="1">
        <v>0</v>
      </c>
      <c r="CO8" s="1">
        <v>0</v>
      </c>
      <c r="CP8" s="170">
        <f>CPP!R8</f>
        <v>0</v>
      </c>
      <c r="CQ8" s="1">
        <f t="shared" si="27"/>
        <v>5.0000000000181899E-2</v>
      </c>
      <c r="CR8" s="129">
        <f t="shared" si="60"/>
        <v>0</v>
      </c>
      <c r="CS8" s="1">
        <v>0</v>
      </c>
      <c r="CT8" s="1">
        <v>0</v>
      </c>
      <c r="CU8" s="171">
        <f>CPP!S8</f>
        <v>0</v>
      </c>
      <c r="CV8" s="129">
        <f t="shared" si="28"/>
        <v>0</v>
      </c>
      <c r="CW8" s="129">
        <f t="shared" si="61"/>
        <v>0</v>
      </c>
      <c r="CX8" s="1">
        <v>0</v>
      </c>
      <c r="CY8" s="1">
        <v>0</v>
      </c>
      <c r="CZ8" s="171">
        <f>CPP!T8</f>
        <v>0</v>
      </c>
      <c r="DA8" s="129">
        <f t="shared" si="29"/>
        <v>0</v>
      </c>
      <c r="DB8" s="129">
        <f t="shared" si="62"/>
        <v>306</v>
      </c>
      <c r="DC8" s="1">
        <v>0</v>
      </c>
      <c r="DD8" s="1">
        <v>0</v>
      </c>
      <c r="DE8" s="171">
        <f>CPP!U8</f>
        <v>0</v>
      </c>
      <c r="DF8" s="129">
        <f t="shared" si="30"/>
        <v>306</v>
      </c>
      <c r="DG8" s="129">
        <f t="shared" si="63"/>
        <v>0</v>
      </c>
      <c r="DH8" s="1">
        <v>0</v>
      </c>
      <c r="DI8" s="1">
        <v>0</v>
      </c>
      <c r="DJ8" s="171">
        <f>CPP!V8</f>
        <v>0</v>
      </c>
      <c r="DK8" s="129">
        <f t="shared" si="31"/>
        <v>0</v>
      </c>
      <c r="DL8" s="129">
        <f t="shared" si="64"/>
        <v>0</v>
      </c>
      <c r="DM8" s="1">
        <v>0</v>
      </c>
      <c r="DN8" s="1">
        <v>0</v>
      </c>
      <c r="DO8" s="171">
        <f>CPP!W8</f>
        <v>0</v>
      </c>
      <c r="DP8" s="129">
        <f t="shared" si="32"/>
        <v>0</v>
      </c>
      <c r="DQ8" s="129">
        <f t="shared" si="65"/>
        <v>5383.3800000000028</v>
      </c>
      <c r="DR8" s="1">
        <v>0</v>
      </c>
      <c r="DS8" s="1">
        <v>55.22</v>
      </c>
      <c r="DT8" s="171">
        <f>CPP!X8</f>
        <v>0</v>
      </c>
      <c r="DU8" s="129">
        <f t="shared" si="33"/>
        <v>5328.1600000000026</v>
      </c>
      <c r="DV8" s="129">
        <f t="shared" si="66"/>
        <v>0</v>
      </c>
      <c r="DW8" s="1">
        <v>0</v>
      </c>
      <c r="DX8" s="1">
        <v>0</v>
      </c>
      <c r="DY8" s="171">
        <f>CPP!Y8</f>
        <v>0</v>
      </c>
      <c r="DZ8" s="129">
        <f t="shared" si="34"/>
        <v>0</v>
      </c>
      <c r="EA8" s="129">
        <f t="shared" si="35"/>
        <v>15669.54699999999</v>
      </c>
      <c r="EB8" s="170">
        <f t="shared" si="36"/>
        <v>0</v>
      </c>
      <c r="EC8" s="170">
        <f t="shared" si="37"/>
        <v>272.22000000000003</v>
      </c>
      <c r="ED8" s="129">
        <f t="shared" si="38"/>
        <v>15397.32699999999</v>
      </c>
      <c r="EE8" s="18">
        <f t="shared" si="39"/>
        <v>12440.699999999997</v>
      </c>
      <c r="EF8" s="170">
        <f t="shared" si="40"/>
        <v>0</v>
      </c>
      <c r="EG8" s="170">
        <f>CPP!D8+CPP!E8+CPP!F8+CPP!G8+CPP!H8+CPP!I8+CPP!J8+CPP!K8+CPP!L8+CPP!M8+CPP!N8+CPP!O8+CPP!P8+CPP!Q8+CPP!R8+CPP!S8+CZ8+DE8+DJ8+CPP!W8+DT8</f>
        <v>122</v>
      </c>
      <c r="EH8" s="18">
        <f>EE8+EF8-CPP!G8-CPP!E8-CPP!F8-CPP!P8-CPP!Q8-CK8-CP8-DT8</f>
        <v>12318.699999999997</v>
      </c>
      <c r="EI8" s="16">
        <f t="shared" si="41"/>
        <v>4363.9900912041494</v>
      </c>
      <c r="EJ8" s="1">
        <v>1380</v>
      </c>
      <c r="EK8" s="255">
        <f>'Daily CEM-1'!AG9+'Daily  CEM - 2'!AF9-EP8</f>
        <v>440.27</v>
      </c>
      <c r="EL8" s="9">
        <f t="shared" si="42"/>
        <v>5303.7200912041499</v>
      </c>
      <c r="EM8" s="1">
        <v>0</v>
      </c>
      <c r="EN8" s="18">
        <f t="shared" si="67"/>
        <v>3053.2490080001371</v>
      </c>
      <c r="EO8" s="1">
        <v>0</v>
      </c>
      <c r="EP8" s="1">
        <v>1339.75</v>
      </c>
      <c r="EQ8" s="17">
        <f t="shared" si="43"/>
        <v>1713.4990080001371</v>
      </c>
      <c r="ER8">
        <f t="shared" si="44"/>
        <v>2036.63</v>
      </c>
      <c r="ES8">
        <v>2036.63</v>
      </c>
      <c r="ET8" s="51">
        <f t="shared" si="45"/>
        <v>1780.02</v>
      </c>
      <c r="EU8" s="51">
        <f t="shared" si="46"/>
        <v>1780.02</v>
      </c>
      <c r="EV8">
        <f>EU8/Production2!CG8</f>
        <v>0.77866141732283467</v>
      </c>
      <c r="EW8">
        <v>0.77</v>
      </c>
      <c r="EX8">
        <f t="shared" si="47"/>
        <v>77</v>
      </c>
    </row>
    <row r="9" spans="2:154" ht="16.5" customHeight="1" x14ac:dyDescent="0.25">
      <c r="B9" s="4">
        <v>7</v>
      </c>
      <c r="C9" s="39">
        <f t="shared" si="3"/>
        <v>5276.6399999999994</v>
      </c>
      <c r="D9" s="1">
        <v>0</v>
      </c>
      <c r="E9" s="271">
        <f>F9+'RAW MILL 2'!F9</f>
        <v>68</v>
      </c>
      <c r="F9" s="1">
        <v>63</v>
      </c>
      <c r="G9" s="9">
        <f t="shared" si="4"/>
        <v>5208.6399999999994</v>
      </c>
      <c r="H9" s="39">
        <f t="shared" si="5"/>
        <v>1629.2900168375199</v>
      </c>
      <c r="I9" s="33">
        <f>Production2!N9</f>
        <v>2838</v>
      </c>
      <c r="J9" s="33">
        <f>Production2!K9</f>
        <v>2929.5</v>
      </c>
      <c r="K9" s="18">
        <f t="shared" si="6"/>
        <v>1537.7900168375199</v>
      </c>
      <c r="L9" s="39">
        <f t="shared" si="7"/>
        <v>0</v>
      </c>
      <c r="M9" s="1">
        <v>0</v>
      </c>
      <c r="N9" s="33">
        <f>CPP!D9</f>
        <v>0</v>
      </c>
      <c r="O9" s="1">
        <v>0</v>
      </c>
      <c r="P9" s="33">
        <f t="shared" si="0"/>
        <v>0</v>
      </c>
      <c r="Q9" s="9">
        <f t="shared" si="48"/>
        <v>0</v>
      </c>
      <c r="R9" s="39">
        <f t="shared" si="8"/>
        <v>0</v>
      </c>
      <c r="S9" s="1">
        <v>0</v>
      </c>
      <c r="T9" s="33">
        <f>CPP!E9</f>
        <v>0</v>
      </c>
      <c r="U9" s="26">
        <v>0</v>
      </c>
      <c r="V9" s="38">
        <f t="shared" si="9"/>
        <v>0</v>
      </c>
      <c r="W9" s="9">
        <f t="shared" si="10"/>
        <v>0</v>
      </c>
      <c r="X9" s="39">
        <f t="shared" si="11"/>
        <v>9762.8799999999974</v>
      </c>
      <c r="Y9" s="1">
        <v>0</v>
      </c>
      <c r="Z9" s="33">
        <f>CPP!H9</f>
        <v>0</v>
      </c>
      <c r="AA9" s="1">
        <v>242</v>
      </c>
      <c r="AB9" s="9">
        <f t="shared" si="12"/>
        <v>9520.8799999999974</v>
      </c>
      <c r="AC9" s="39">
        <f t="shared" si="13"/>
        <v>0</v>
      </c>
      <c r="AD9" s="1">
        <v>0</v>
      </c>
      <c r="AE9" s="1">
        <v>0</v>
      </c>
      <c r="AF9" s="9">
        <f t="shared" si="1"/>
        <v>0</v>
      </c>
      <c r="AG9" s="39">
        <f t="shared" si="14"/>
        <v>12318.649999999998</v>
      </c>
      <c r="AH9" s="1">
        <v>0</v>
      </c>
      <c r="AI9" s="170">
        <f>CPP!G9</f>
        <v>142</v>
      </c>
      <c r="AJ9" s="9">
        <f t="shared" si="2"/>
        <v>12176.649999999998</v>
      </c>
      <c r="AK9" s="129">
        <f t="shared" si="49"/>
        <v>0</v>
      </c>
      <c r="AL9" s="1">
        <v>0</v>
      </c>
      <c r="AM9" s="1">
        <v>0</v>
      </c>
      <c r="AN9" s="18">
        <f t="shared" si="15"/>
        <v>0</v>
      </c>
      <c r="AO9" s="129">
        <f t="shared" si="50"/>
        <v>0</v>
      </c>
      <c r="AP9" s="1">
        <v>0</v>
      </c>
      <c r="AQ9" s="1">
        <v>0</v>
      </c>
      <c r="AR9" s="171">
        <f>CPP!I9</f>
        <v>0</v>
      </c>
      <c r="AS9" s="129">
        <f t="shared" si="16"/>
        <v>0</v>
      </c>
      <c r="AT9" s="1">
        <f t="shared" si="51"/>
        <v>0</v>
      </c>
      <c r="AU9" s="1">
        <v>0</v>
      </c>
      <c r="AV9" s="1">
        <v>0</v>
      </c>
      <c r="AW9" s="170">
        <f>CPP!J9</f>
        <v>0</v>
      </c>
      <c r="AX9" s="1">
        <f t="shared" si="17"/>
        <v>0</v>
      </c>
      <c r="AY9" s="1">
        <f t="shared" si="52"/>
        <v>0.286999999990248</v>
      </c>
      <c r="AZ9" s="1">
        <v>0</v>
      </c>
      <c r="BA9" s="1">
        <v>0</v>
      </c>
      <c r="BB9" s="170">
        <f>CPP!K9</f>
        <v>0</v>
      </c>
      <c r="BC9" s="1">
        <f t="shared" si="18"/>
        <v>0.286999999990248</v>
      </c>
      <c r="BD9" s="1">
        <f t="shared" si="53"/>
        <v>0</v>
      </c>
      <c r="BE9" s="1">
        <v>0</v>
      </c>
      <c r="BF9" s="1">
        <v>0</v>
      </c>
      <c r="BG9" s="170">
        <f>CPP!L9</f>
        <v>0</v>
      </c>
      <c r="BH9" s="1">
        <f t="shared" si="19"/>
        <v>0</v>
      </c>
      <c r="BI9" s="1">
        <f t="shared" si="54"/>
        <v>0</v>
      </c>
      <c r="BJ9" s="1">
        <v>0</v>
      </c>
      <c r="BK9" s="1">
        <v>0</v>
      </c>
      <c r="BL9" s="170">
        <f>CPP!M9</f>
        <v>0</v>
      </c>
      <c r="BM9" s="1">
        <f t="shared" si="55"/>
        <v>0</v>
      </c>
      <c r="BN9" s="1">
        <f t="shared" si="20"/>
        <v>0</v>
      </c>
      <c r="BO9" s="1">
        <v>0</v>
      </c>
      <c r="BP9" s="1">
        <v>0</v>
      </c>
      <c r="BQ9" s="170">
        <f>CPP!N9</f>
        <v>0</v>
      </c>
      <c r="BR9" s="1">
        <f t="shared" si="21"/>
        <v>0</v>
      </c>
      <c r="BS9" s="1">
        <f t="shared" si="22"/>
        <v>0</v>
      </c>
      <c r="BT9" s="1">
        <v>0</v>
      </c>
      <c r="BU9" s="1">
        <v>0</v>
      </c>
      <c r="BV9" s="170">
        <f>CPP!O9</f>
        <v>0</v>
      </c>
      <c r="BW9" s="1">
        <f t="shared" si="23"/>
        <v>0</v>
      </c>
      <c r="BX9" s="174">
        <f t="shared" si="56"/>
        <v>0</v>
      </c>
      <c r="BY9" s="1">
        <v>0</v>
      </c>
      <c r="BZ9" s="1">
        <v>0</v>
      </c>
      <c r="CA9" s="170"/>
      <c r="CB9" s="26">
        <f t="shared" si="24"/>
        <v>0</v>
      </c>
      <c r="CC9" s="1">
        <f t="shared" si="57"/>
        <v>0</v>
      </c>
      <c r="CD9" s="1">
        <v>0</v>
      </c>
      <c r="CE9" s="1">
        <v>0</v>
      </c>
      <c r="CF9" s="170">
        <f>CPP!P9</f>
        <v>0</v>
      </c>
      <c r="CG9" s="26">
        <f t="shared" si="25"/>
        <v>0</v>
      </c>
      <c r="CH9" s="1">
        <f t="shared" si="58"/>
        <v>0</v>
      </c>
      <c r="CI9" s="1">
        <v>0</v>
      </c>
      <c r="CJ9" s="1">
        <v>0</v>
      </c>
      <c r="CK9" s="170">
        <f>CPP!Q9</f>
        <v>0</v>
      </c>
      <c r="CL9" s="1">
        <f t="shared" si="26"/>
        <v>0</v>
      </c>
      <c r="CM9" s="1">
        <f t="shared" si="59"/>
        <v>5.0000000000181899E-2</v>
      </c>
      <c r="CN9" s="1">
        <v>0</v>
      </c>
      <c r="CO9" s="1">
        <v>0</v>
      </c>
      <c r="CP9" s="170">
        <f>CPP!R9</f>
        <v>0</v>
      </c>
      <c r="CQ9" s="1">
        <f t="shared" si="27"/>
        <v>5.0000000000181899E-2</v>
      </c>
      <c r="CR9" s="129">
        <f t="shared" si="60"/>
        <v>0</v>
      </c>
      <c r="CS9" s="1">
        <v>0</v>
      </c>
      <c r="CT9" s="1">
        <v>0</v>
      </c>
      <c r="CU9" s="171">
        <f>CPP!S9</f>
        <v>0</v>
      </c>
      <c r="CV9" s="129">
        <f t="shared" si="28"/>
        <v>0</v>
      </c>
      <c r="CW9" s="129">
        <f t="shared" si="61"/>
        <v>0</v>
      </c>
      <c r="CX9" s="1">
        <v>0</v>
      </c>
      <c r="CY9" s="1">
        <v>0</v>
      </c>
      <c r="CZ9" s="171">
        <f>CPP!T9</f>
        <v>0</v>
      </c>
      <c r="DA9" s="129">
        <f t="shared" si="29"/>
        <v>0</v>
      </c>
      <c r="DB9" s="129">
        <f t="shared" si="62"/>
        <v>306</v>
      </c>
      <c r="DC9" s="1">
        <v>0</v>
      </c>
      <c r="DD9" s="1">
        <v>0</v>
      </c>
      <c r="DE9" s="171">
        <f>CPP!U9</f>
        <v>0</v>
      </c>
      <c r="DF9" s="129">
        <f t="shared" si="30"/>
        <v>306</v>
      </c>
      <c r="DG9" s="129">
        <f t="shared" si="63"/>
        <v>0</v>
      </c>
      <c r="DH9" s="1">
        <v>0</v>
      </c>
      <c r="DI9" s="1">
        <v>0</v>
      </c>
      <c r="DJ9" s="171">
        <f>CPP!V9</f>
        <v>0</v>
      </c>
      <c r="DK9" s="129">
        <f t="shared" si="31"/>
        <v>0</v>
      </c>
      <c r="DL9" s="129">
        <f t="shared" si="64"/>
        <v>0</v>
      </c>
      <c r="DM9" s="1">
        <v>0</v>
      </c>
      <c r="DN9" s="1">
        <v>0</v>
      </c>
      <c r="DO9" s="171">
        <f>CPP!W9</f>
        <v>0</v>
      </c>
      <c r="DP9" s="129">
        <f t="shared" si="32"/>
        <v>0</v>
      </c>
      <c r="DQ9" s="129">
        <f t="shared" si="65"/>
        <v>5328.1600000000026</v>
      </c>
      <c r="DR9" s="1">
        <v>0</v>
      </c>
      <c r="DS9" s="1">
        <v>60.22</v>
      </c>
      <c r="DT9" s="171">
        <f>CPP!X9</f>
        <v>0</v>
      </c>
      <c r="DU9" s="129">
        <f t="shared" si="33"/>
        <v>5267.9400000000023</v>
      </c>
      <c r="DV9" s="129">
        <f t="shared" si="66"/>
        <v>0</v>
      </c>
      <c r="DW9" s="1">
        <v>0</v>
      </c>
      <c r="DX9" s="1">
        <v>0</v>
      </c>
      <c r="DY9" s="171">
        <f>CPP!Y9</f>
        <v>0</v>
      </c>
      <c r="DZ9" s="129">
        <f t="shared" si="34"/>
        <v>0</v>
      </c>
      <c r="EA9" s="129">
        <f t="shared" si="35"/>
        <v>15397.32699999999</v>
      </c>
      <c r="EB9" s="170">
        <f t="shared" si="36"/>
        <v>0</v>
      </c>
      <c r="EC9" s="170">
        <f t="shared" si="37"/>
        <v>302.22000000000003</v>
      </c>
      <c r="ED9" s="129">
        <f t="shared" si="38"/>
        <v>15095.106999999991</v>
      </c>
      <c r="EE9" s="18">
        <f t="shared" si="39"/>
        <v>12318.699999999997</v>
      </c>
      <c r="EF9" s="170">
        <f t="shared" si="40"/>
        <v>0</v>
      </c>
      <c r="EG9" s="170">
        <f>CPP!D9+CPP!E9+CPP!F9+CPP!G9+CPP!H9+CPP!I9+CPP!J9+CPP!K9+CPP!L9+CPP!M9+CPP!N9+CPP!O9+CPP!P9+CPP!Q9+CPP!R9+CPP!S9+CZ9+DE9+DJ9+CPP!W9+DT9</f>
        <v>142</v>
      </c>
      <c r="EH9" s="18">
        <f>EE9+EF9-CPP!G9-CPP!E9-CPP!F9-CPP!P9-CPP!Q9-CK9-CP9-DT9</f>
        <v>12176.699999999997</v>
      </c>
      <c r="EI9" s="16">
        <f t="shared" si="41"/>
        <v>5303.7200912041499</v>
      </c>
      <c r="EJ9" s="1">
        <v>1890</v>
      </c>
      <c r="EK9" s="255">
        <f>'Daily CEM-1'!AG10+'Daily  CEM - 2'!AF10-EP9</f>
        <v>1727.8000000000011</v>
      </c>
      <c r="EL9" s="9">
        <f t="shared" si="42"/>
        <v>5465.9200912041488</v>
      </c>
      <c r="EM9" s="1">
        <v>0</v>
      </c>
      <c r="EN9" s="18">
        <f t="shared" si="67"/>
        <v>1713.4990080001371</v>
      </c>
      <c r="EO9" s="1">
        <v>0</v>
      </c>
      <c r="EP9" s="1">
        <v>95</v>
      </c>
      <c r="EQ9" s="17">
        <f t="shared" si="43"/>
        <v>1618.4990080001371</v>
      </c>
      <c r="ER9">
        <f t="shared" si="44"/>
        <v>0</v>
      </c>
      <c r="ET9" s="51">
        <f t="shared" si="45"/>
        <v>1822.8000000000011</v>
      </c>
      <c r="EU9" s="51">
        <f t="shared" si="46"/>
        <v>1822.8000000000011</v>
      </c>
      <c r="EV9">
        <f>EU9/Production2!CG9</f>
        <v>0.77731343283582133</v>
      </c>
      <c r="EW9">
        <v>0.79222566381726556</v>
      </c>
      <c r="EX9">
        <f t="shared" si="47"/>
        <v>79.222566381726551</v>
      </c>
    </row>
    <row r="10" spans="2:154" x14ac:dyDescent="0.25">
      <c r="B10" s="4">
        <v>8</v>
      </c>
      <c r="C10" s="39">
        <f t="shared" si="3"/>
        <v>5208.6399999999994</v>
      </c>
      <c r="D10" s="1">
        <v>0</v>
      </c>
      <c r="E10" s="271">
        <f>F10+'RAW MILL 2'!F10</f>
        <v>51</v>
      </c>
      <c r="F10" s="1">
        <v>48</v>
      </c>
      <c r="G10" s="9">
        <f t="shared" si="4"/>
        <v>5157.6399999999994</v>
      </c>
      <c r="H10" s="39">
        <f t="shared" si="5"/>
        <v>1537.7900168375199</v>
      </c>
      <c r="I10" s="33">
        <f>Production2!N10</f>
        <v>2860</v>
      </c>
      <c r="J10" s="33">
        <f>Production2!K10</f>
        <v>3107.75</v>
      </c>
      <c r="K10" s="18">
        <f t="shared" si="6"/>
        <v>1290.0400168375199</v>
      </c>
      <c r="L10" s="39">
        <f t="shared" si="7"/>
        <v>0</v>
      </c>
      <c r="M10" s="1">
        <v>0</v>
      </c>
      <c r="N10" s="33">
        <f>CPP!D10</f>
        <v>0</v>
      </c>
      <c r="O10" s="1">
        <v>0</v>
      </c>
      <c r="P10" s="33">
        <f t="shared" si="0"/>
        <v>0</v>
      </c>
      <c r="Q10" s="9">
        <f t="shared" si="48"/>
        <v>0</v>
      </c>
      <c r="R10" s="39">
        <f t="shared" si="8"/>
        <v>0</v>
      </c>
      <c r="S10" s="1">
        <v>0</v>
      </c>
      <c r="T10" s="33">
        <f>CPP!E10</f>
        <v>0</v>
      </c>
      <c r="U10" s="26">
        <v>0</v>
      </c>
      <c r="V10" s="38">
        <f t="shared" si="9"/>
        <v>0</v>
      </c>
      <c r="W10" s="9">
        <f t="shared" si="10"/>
        <v>0</v>
      </c>
      <c r="X10" s="39">
        <f t="shared" si="11"/>
        <v>9520.8799999999974</v>
      </c>
      <c r="Y10" s="1">
        <v>0</v>
      </c>
      <c r="Z10" s="33">
        <f>CPP!H10</f>
        <v>0</v>
      </c>
      <c r="AA10" s="1">
        <v>264</v>
      </c>
      <c r="AB10" s="9">
        <f t="shared" si="12"/>
        <v>9256.8799999999974</v>
      </c>
      <c r="AC10" s="39">
        <f t="shared" si="13"/>
        <v>0</v>
      </c>
      <c r="AD10" s="1">
        <v>0</v>
      </c>
      <c r="AE10" s="1">
        <v>0</v>
      </c>
      <c r="AF10" s="9">
        <f t="shared" si="1"/>
        <v>0</v>
      </c>
      <c r="AG10" s="39">
        <f t="shared" si="14"/>
        <v>12176.649999999998</v>
      </c>
      <c r="AH10" s="1">
        <v>30</v>
      </c>
      <c r="AI10" s="170">
        <f>CPP!G10</f>
        <v>149</v>
      </c>
      <c r="AJ10" s="9">
        <f t="shared" si="2"/>
        <v>12057.649999999998</v>
      </c>
      <c r="AK10" s="129">
        <f t="shared" si="49"/>
        <v>0</v>
      </c>
      <c r="AL10" s="1">
        <v>0</v>
      </c>
      <c r="AM10" s="1">
        <v>0</v>
      </c>
      <c r="AN10" s="18">
        <f t="shared" si="15"/>
        <v>0</v>
      </c>
      <c r="AO10" s="129">
        <f t="shared" si="50"/>
        <v>0</v>
      </c>
      <c r="AP10" s="1">
        <v>0</v>
      </c>
      <c r="AQ10" s="1">
        <v>0</v>
      </c>
      <c r="AR10" s="171">
        <f>CPP!I10</f>
        <v>0</v>
      </c>
      <c r="AS10" s="129">
        <f t="shared" si="16"/>
        <v>0</v>
      </c>
      <c r="AT10" s="1">
        <f t="shared" si="51"/>
        <v>0</v>
      </c>
      <c r="AU10" s="1">
        <v>0</v>
      </c>
      <c r="AV10" s="1">
        <v>0</v>
      </c>
      <c r="AW10" s="170">
        <f>CPP!J10</f>
        <v>0</v>
      </c>
      <c r="AX10" s="1">
        <f t="shared" si="17"/>
        <v>0</v>
      </c>
      <c r="AY10" s="1">
        <f t="shared" si="52"/>
        <v>0.286999999990248</v>
      </c>
      <c r="AZ10" s="1">
        <v>0</v>
      </c>
      <c r="BA10" s="1">
        <v>0</v>
      </c>
      <c r="BB10" s="170">
        <f>CPP!K10</f>
        <v>0</v>
      </c>
      <c r="BC10" s="1">
        <f t="shared" si="18"/>
        <v>0.286999999990248</v>
      </c>
      <c r="BD10" s="1">
        <f t="shared" si="53"/>
        <v>0</v>
      </c>
      <c r="BE10" s="1">
        <v>0</v>
      </c>
      <c r="BF10" s="1">
        <v>0</v>
      </c>
      <c r="BG10" s="170">
        <f>CPP!L10</f>
        <v>0</v>
      </c>
      <c r="BH10" s="1">
        <f t="shared" si="19"/>
        <v>0</v>
      </c>
      <c r="BI10" s="1">
        <f t="shared" si="54"/>
        <v>0</v>
      </c>
      <c r="BJ10" s="1">
        <v>0</v>
      </c>
      <c r="BK10" s="1">
        <v>0</v>
      </c>
      <c r="BL10" s="170">
        <f>CPP!M10</f>
        <v>0</v>
      </c>
      <c r="BM10" s="1">
        <f t="shared" si="55"/>
        <v>0</v>
      </c>
      <c r="BN10" s="1">
        <f t="shared" si="20"/>
        <v>0</v>
      </c>
      <c r="BO10" s="1">
        <v>0</v>
      </c>
      <c r="BP10" s="1">
        <v>0</v>
      </c>
      <c r="BQ10" s="170">
        <f>CPP!N10</f>
        <v>0</v>
      </c>
      <c r="BR10" s="1">
        <f t="shared" si="21"/>
        <v>0</v>
      </c>
      <c r="BS10" s="1">
        <f t="shared" si="22"/>
        <v>0</v>
      </c>
      <c r="BT10" s="1">
        <v>0</v>
      </c>
      <c r="BU10" s="1">
        <v>0</v>
      </c>
      <c r="BV10" s="170">
        <f>CPP!O10</f>
        <v>0</v>
      </c>
      <c r="BW10" s="1">
        <f t="shared" si="23"/>
        <v>0</v>
      </c>
      <c r="BX10" s="174">
        <f t="shared" si="56"/>
        <v>0</v>
      </c>
      <c r="BY10" s="1">
        <v>0</v>
      </c>
      <c r="BZ10" s="1">
        <v>0</v>
      </c>
      <c r="CA10" s="170"/>
      <c r="CB10" s="26">
        <f t="shared" si="24"/>
        <v>0</v>
      </c>
      <c r="CC10" s="1">
        <f t="shared" si="57"/>
        <v>0</v>
      </c>
      <c r="CD10" s="1">
        <v>0</v>
      </c>
      <c r="CE10" s="1">
        <v>0</v>
      </c>
      <c r="CF10" s="170">
        <f>CPP!P10</f>
        <v>0</v>
      </c>
      <c r="CG10" s="26">
        <f t="shared" si="25"/>
        <v>0</v>
      </c>
      <c r="CH10" s="1">
        <f t="shared" si="58"/>
        <v>0</v>
      </c>
      <c r="CI10" s="1">
        <v>0</v>
      </c>
      <c r="CJ10" s="1">
        <v>0</v>
      </c>
      <c r="CK10" s="170">
        <f>CPP!Q10</f>
        <v>0</v>
      </c>
      <c r="CL10" s="1">
        <f t="shared" si="26"/>
        <v>0</v>
      </c>
      <c r="CM10" s="1">
        <f t="shared" si="59"/>
        <v>5.0000000000181899E-2</v>
      </c>
      <c r="CN10" s="1">
        <v>0</v>
      </c>
      <c r="CO10" s="1">
        <v>0</v>
      </c>
      <c r="CP10" s="170">
        <f>CPP!R10</f>
        <v>0</v>
      </c>
      <c r="CQ10" s="1">
        <f t="shared" si="27"/>
        <v>5.0000000000181899E-2</v>
      </c>
      <c r="CR10" s="129">
        <f t="shared" si="60"/>
        <v>0</v>
      </c>
      <c r="CS10" s="1">
        <v>0</v>
      </c>
      <c r="CT10" s="1">
        <v>0</v>
      </c>
      <c r="CU10" s="171">
        <f>CPP!S10</f>
        <v>0</v>
      </c>
      <c r="CV10" s="129">
        <f t="shared" si="28"/>
        <v>0</v>
      </c>
      <c r="CW10" s="129">
        <f t="shared" si="61"/>
        <v>0</v>
      </c>
      <c r="CX10" s="1">
        <v>0</v>
      </c>
      <c r="CY10" s="1">
        <v>0</v>
      </c>
      <c r="CZ10" s="171">
        <f>CPP!T10</f>
        <v>0</v>
      </c>
      <c r="DA10" s="129">
        <f t="shared" si="29"/>
        <v>0</v>
      </c>
      <c r="DB10" s="129">
        <f t="shared" si="62"/>
        <v>306</v>
      </c>
      <c r="DC10" s="1">
        <v>0</v>
      </c>
      <c r="DD10" s="1">
        <v>0</v>
      </c>
      <c r="DE10" s="171">
        <f>CPP!U10</f>
        <v>0</v>
      </c>
      <c r="DF10" s="129">
        <f t="shared" si="30"/>
        <v>306</v>
      </c>
      <c r="DG10" s="129">
        <f t="shared" si="63"/>
        <v>0</v>
      </c>
      <c r="DH10" s="1">
        <v>0</v>
      </c>
      <c r="DI10" s="1">
        <v>0</v>
      </c>
      <c r="DJ10" s="171">
        <f>CPP!V10</f>
        <v>0</v>
      </c>
      <c r="DK10" s="129">
        <f t="shared" si="31"/>
        <v>0</v>
      </c>
      <c r="DL10" s="129">
        <f t="shared" si="64"/>
        <v>0</v>
      </c>
      <c r="DM10" s="1">
        <v>0</v>
      </c>
      <c r="DN10" s="1">
        <v>0</v>
      </c>
      <c r="DO10" s="171">
        <f>CPP!W10</f>
        <v>0</v>
      </c>
      <c r="DP10" s="129">
        <f t="shared" si="32"/>
        <v>0</v>
      </c>
      <c r="DQ10" s="129">
        <f t="shared" si="65"/>
        <v>5267.9400000000023</v>
      </c>
      <c r="DR10" s="1">
        <v>0</v>
      </c>
      <c r="DS10" s="1">
        <v>66</v>
      </c>
      <c r="DT10" s="171">
        <f>CPP!X10</f>
        <v>0</v>
      </c>
      <c r="DU10" s="129">
        <f t="shared" si="33"/>
        <v>5201.9400000000023</v>
      </c>
      <c r="DV10" s="129">
        <f t="shared" si="66"/>
        <v>0</v>
      </c>
      <c r="DW10" s="1">
        <v>0</v>
      </c>
      <c r="DX10" s="1">
        <v>0</v>
      </c>
      <c r="DY10" s="171">
        <f>CPP!Y10</f>
        <v>0</v>
      </c>
      <c r="DZ10" s="129">
        <f t="shared" si="34"/>
        <v>0</v>
      </c>
      <c r="EA10" s="129">
        <f t="shared" si="35"/>
        <v>15095.106999999989</v>
      </c>
      <c r="EB10" s="170">
        <f t="shared" si="36"/>
        <v>0</v>
      </c>
      <c r="EC10" s="170">
        <f t="shared" si="37"/>
        <v>330</v>
      </c>
      <c r="ED10" s="129">
        <f t="shared" si="38"/>
        <v>14765.106999999989</v>
      </c>
      <c r="EE10" s="18">
        <f t="shared" si="39"/>
        <v>12176.699999999997</v>
      </c>
      <c r="EF10" s="170">
        <f t="shared" si="40"/>
        <v>30</v>
      </c>
      <c r="EG10" s="170">
        <f>CPP!D10+CPP!E10+CPP!F10+CPP!G10+CPP!H10+CPP!I10+CPP!J10+CPP!K10+CPP!L10+CPP!M10+CPP!N10+CPP!O10+CPP!P10+CPP!Q10+CPP!R10+CPP!S10+CZ10+DE10+DJ10+CPP!W10+DT10</f>
        <v>149</v>
      </c>
      <c r="EH10" s="18">
        <f>EE10+EF10-CPP!G10-CPP!E10-CPP!F10-CPP!P10-CPP!Q10-CK10-CP10-DT10</f>
        <v>12057.699999999997</v>
      </c>
      <c r="EI10" s="16">
        <f t="shared" si="41"/>
        <v>5465.9200912041488</v>
      </c>
      <c r="EJ10" s="1">
        <v>2005</v>
      </c>
      <c r="EK10" s="255">
        <f>'Daily CEM-1'!AG11+'Daily  CEM - 2'!AF11-EP10</f>
        <v>135.95000000000005</v>
      </c>
      <c r="EL10" s="9">
        <f t="shared" si="42"/>
        <v>7334.970091204149</v>
      </c>
      <c r="EM10" s="1">
        <v>0</v>
      </c>
      <c r="EN10" s="18">
        <f>EQ9</f>
        <v>1618.4990080001371</v>
      </c>
      <c r="EO10" s="1">
        <v>1486.03</v>
      </c>
      <c r="EP10" s="1">
        <v>1076.55</v>
      </c>
      <c r="EQ10" s="17">
        <f>EN10+EO10-EP10</f>
        <v>2027.9790080001369</v>
      </c>
      <c r="ER10">
        <f t="shared" si="44"/>
        <v>665.66000000000008</v>
      </c>
      <c r="ES10">
        <v>2151.69</v>
      </c>
      <c r="ET10" s="51">
        <f t="shared" si="45"/>
        <v>1212.5</v>
      </c>
      <c r="EU10" s="51">
        <f t="shared" si="46"/>
        <v>1212.5</v>
      </c>
      <c r="EV10">
        <f>EU10/Production2!CG10</f>
        <v>0.77229299363057324</v>
      </c>
      <c r="EW10">
        <v>0.786798245614036</v>
      </c>
      <c r="EX10">
        <f t="shared" si="47"/>
        <v>78.679824561403606</v>
      </c>
    </row>
    <row r="11" spans="2:154" x14ac:dyDescent="0.25">
      <c r="B11" s="4">
        <v>9</v>
      </c>
      <c r="C11" s="39">
        <f t="shared" si="3"/>
        <v>5157.6399999999994</v>
      </c>
      <c r="D11" s="1">
        <v>0</v>
      </c>
      <c r="E11" s="271">
        <f>F11+'RAW MILL 2'!F11</f>
        <v>56</v>
      </c>
      <c r="F11" s="1">
        <v>54</v>
      </c>
      <c r="G11" s="9">
        <f t="shared" si="4"/>
        <v>5101.6399999999994</v>
      </c>
      <c r="H11" s="39">
        <f t="shared" si="5"/>
        <v>1290.0400168375199</v>
      </c>
      <c r="I11" s="33">
        <f>Production2!N11</f>
        <v>2453</v>
      </c>
      <c r="J11" s="33">
        <f>Production2!K11</f>
        <v>2774.5</v>
      </c>
      <c r="K11" s="18">
        <f t="shared" si="6"/>
        <v>968.54001683751994</v>
      </c>
      <c r="L11" s="39">
        <f t="shared" si="7"/>
        <v>0</v>
      </c>
      <c r="M11" s="1">
        <v>0</v>
      </c>
      <c r="N11" s="33">
        <f>CPP!D11</f>
        <v>0</v>
      </c>
      <c r="O11" s="1">
        <v>0</v>
      </c>
      <c r="P11" s="33">
        <f t="shared" si="0"/>
        <v>0</v>
      </c>
      <c r="Q11" s="9">
        <f t="shared" si="48"/>
        <v>0</v>
      </c>
      <c r="R11" s="39">
        <f t="shared" si="8"/>
        <v>0</v>
      </c>
      <c r="S11" s="1">
        <v>0</v>
      </c>
      <c r="T11" s="33">
        <f>CPP!E11</f>
        <v>0</v>
      </c>
      <c r="U11" s="26">
        <v>0</v>
      </c>
      <c r="V11" s="38">
        <f t="shared" si="9"/>
        <v>0</v>
      </c>
      <c r="W11" s="9">
        <f t="shared" si="10"/>
        <v>0</v>
      </c>
      <c r="X11" s="39">
        <f t="shared" si="11"/>
        <v>9256.8799999999974</v>
      </c>
      <c r="Y11" s="1">
        <v>0</v>
      </c>
      <c r="Z11" s="33">
        <f>CPP!H11</f>
        <v>0</v>
      </c>
      <c r="AA11" s="1">
        <v>244</v>
      </c>
      <c r="AB11" s="9">
        <f t="shared" si="12"/>
        <v>9012.8799999999974</v>
      </c>
      <c r="AC11" s="39">
        <f t="shared" si="13"/>
        <v>0</v>
      </c>
      <c r="AD11" s="1">
        <v>0</v>
      </c>
      <c r="AE11" s="1">
        <v>0</v>
      </c>
      <c r="AF11" s="9">
        <f t="shared" si="1"/>
        <v>0</v>
      </c>
      <c r="AG11" s="39">
        <f t="shared" si="14"/>
        <v>12057.649999999998</v>
      </c>
      <c r="AH11" s="1">
        <v>0</v>
      </c>
      <c r="AI11" s="170">
        <f>CPP!G11</f>
        <v>137</v>
      </c>
      <c r="AJ11" s="9">
        <f t="shared" si="2"/>
        <v>11920.649999999998</v>
      </c>
      <c r="AK11" s="129">
        <f t="shared" si="49"/>
        <v>0</v>
      </c>
      <c r="AL11" s="1">
        <v>0</v>
      </c>
      <c r="AM11" s="1">
        <v>0</v>
      </c>
      <c r="AN11" s="18">
        <f t="shared" si="15"/>
        <v>0</v>
      </c>
      <c r="AO11" s="129">
        <f t="shared" si="50"/>
        <v>0</v>
      </c>
      <c r="AP11" s="1">
        <v>0</v>
      </c>
      <c r="AQ11" s="1">
        <v>0</v>
      </c>
      <c r="AR11" s="171">
        <f>CPP!I11</f>
        <v>0</v>
      </c>
      <c r="AS11" s="129">
        <f t="shared" si="16"/>
        <v>0</v>
      </c>
      <c r="AT11" s="1">
        <f t="shared" si="51"/>
        <v>0</v>
      </c>
      <c r="AU11" s="1">
        <v>0</v>
      </c>
      <c r="AV11" s="1">
        <v>0</v>
      </c>
      <c r="AW11" s="170">
        <f>CPP!J11</f>
        <v>0</v>
      </c>
      <c r="AX11" s="1">
        <f t="shared" si="17"/>
        <v>0</v>
      </c>
      <c r="AY11" s="1">
        <f t="shared" si="52"/>
        <v>0.286999999990248</v>
      </c>
      <c r="AZ11" s="1">
        <v>0</v>
      </c>
      <c r="BA11" s="1">
        <v>0</v>
      </c>
      <c r="BB11" s="170">
        <f>CPP!K11</f>
        <v>0</v>
      </c>
      <c r="BC11" s="1">
        <f t="shared" si="18"/>
        <v>0.286999999990248</v>
      </c>
      <c r="BD11" s="1">
        <f t="shared" si="53"/>
        <v>0</v>
      </c>
      <c r="BE11" s="1">
        <v>0</v>
      </c>
      <c r="BF11" s="1">
        <v>0</v>
      </c>
      <c r="BG11" s="170">
        <f>CPP!L11</f>
        <v>0</v>
      </c>
      <c r="BH11" s="1">
        <f t="shared" si="19"/>
        <v>0</v>
      </c>
      <c r="BI11" s="1">
        <f t="shared" si="54"/>
        <v>0</v>
      </c>
      <c r="BJ11" s="1">
        <v>0</v>
      </c>
      <c r="BK11" s="1">
        <v>0</v>
      </c>
      <c r="BL11" s="170">
        <f>CPP!M11</f>
        <v>0</v>
      </c>
      <c r="BM11" s="1">
        <f t="shared" si="55"/>
        <v>0</v>
      </c>
      <c r="BN11" s="1">
        <f t="shared" si="20"/>
        <v>0</v>
      </c>
      <c r="BO11" s="1">
        <v>0</v>
      </c>
      <c r="BP11" s="1">
        <v>0</v>
      </c>
      <c r="BQ11" s="170">
        <f>CPP!N11</f>
        <v>0</v>
      </c>
      <c r="BR11" s="1">
        <f t="shared" si="21"/>
        <v>0</v>
      </c>
      <c r="BS11" s="1">
        <f t="shared" si="22"/>
        <v>0</v>
      </c>
      <c r="BT11" s="1">
        <v>0</v>
      </c>
      <c r="BU11" s="1">
        <v>0</v>
      </c>
      <c r="BV11" s="170">
        <f>CPP!O11</f>
        <v>0</v>
      </c>
      <c r="BW11" s="1">
        <f t="shared" si="23"/>
        <v>0</v>
      </c>
      <c r="BX11" s="174">
        <f t="shared" si="56"/>
        <v>0</v>
      </c>
      <c r="BY11" s="1">
        <v>0</v>
      </c>
      <c r="BZ11" s="1">
        <v>0</v>
      </c>
      <c r="CA11" s="170"/>
      <c r="CB11" s="26">
        <f t="shared" si="24"/>
        <v>0</v>
      </c>
      <c r="CC11" s="1">
        <f t="shared" si="57"/>
        <v>0</v>
      </c>
      <c r="CD11" s="1">
        <v>0</v>
      </c>
      <c r="CE11" s="1">
        <v>0</v>
      </c>
      <c r="CF11" s="170">
        <f>CPP!P11</f>
        <v>0</v>
      </c>
      <c r="CG11" s="26">
        <f t="shared" si="25"/>
        <v>0</v>
      </c>
      <c r="CH11" s="1">
        <f t="shared" si="58"/>
        <v>0</v>
      </c>
      <c r="CI11" s="1">
        <v>0</v>
      </c>
      <c r="CJ11" s="1">
        <v>0</v>
      </c>
      <c r="CK11" s="170">
        <f>CPP!Q11</f>
        <v>0</v>
      </c>
      <c r="CL11" s="1">
        <f t="shared" si="26"/>
        <v>0</v>
      </c>
      <c r="CM11" s="1">
        <f t="shared" si="59"/>
        <v>5.0000000000181899E-2</v>
      </c>
      <c r="CN11" s="1">
        <v>0</v>
      </c>
      <c r="CO11" s="1">
        <v>0</v>
      </c>
      <c r="CP11" s="170">
        <f>CPP!R11</f>
        <v>0</v>
      </c>
      <c r="CQ11" s="1">
        <f t="shared" si="27"/>
        <v>5.0000000000181899E-2</v>
      </c>
      <c r="CR11" s="129">
        <f t="shared" si="60"/>
        <v>0</v>
      </c>
      <c r="CS11" s="1">
        <v>0</v>
      </c>
      <c r="CT11" s="1">
        <v>0</v>
      </c>
      <c r="CU11" s="171">
        <f>CPP!S11</f>
        <v>0</v>
      </c>
      <c r="CV11" s="129">
        <f t="shared" si="28"/>
        <v>0</v>
      </c>
      <c r="CW11" s="129">
        <f t="shared" si="61"/>
        <v>0</v>
      </c>
      <c r="CX11" s="1">
        <v>0</v>
      </c>
      <c r="CY11" s="1">
        <v>0</v>
      </c>
      <c r="CZ11" s="171">
        <f>CPP!T11</f>
        <v>0</v>
      </c>
      <c r="DA11" s="129">
        <f t="shared" si="29"/>
        <v>0</v>
      </c>
      <c r="DB11" s="129">
        <f t="shared" si="62"/>
        <v>306</v>
      </c>
      <c r="DC11" s="1">
        <v>0</v>
      </c>
      <c r="DD11" s="1">
        <v>0</v>
      </c>
      <c r="DE11" s="171">
        <f>CPP!U11</f>
        <v>0</v>
      </c>
      <c r="DF11" s="129">
        <f t="shared" si="30"/>
        <v>306</v>
      </c>
      <c r="DG11" s="129">
        <f t="shared" si="63"/>
        <v>0</v>
      </c>
      <c r="DH11" s="1">
        <v>0</v>
      </c>
      <c r="DI11" s="1">
        <v>0</v>
      </c>
      <c r="DJ11" s="171">
        <f>CPP!V11</f>
        <v>0</v>
      </c>
      <c r="DK11" s="129">
        <f t="shared" si="31"/>
        <v>0</v>
      </c>
      <c r="DL11" s="129">
        <f t="shared" si="64"/>
        <v>0</v>
      </c>
      <c r="DM11" s="1">
        <v>0</v>
      </c>
      <c r="DN11" s="1">
        <v>0</v>
      </c>
      <c r="DO11" s="171">
        <f>CPP!W11</f>
        <v>0</v>
      </c>
      <c r="DP11" s="129">
        <f t="shared" si="32"/>
        <v>0</v>
      </c>
      <c r="DQ11" s="129">
        <f t="shared" si="65"/>
        <v>5201.9400000000023</v>
      </c>
      <c r="DR11" s="1">
        <v>0</v>
      </c>
      <c r="DS11" s="1">
        <v>60.44</v>
      </c>
      <c r="DT11" s="171">
        <f>CPP!X11</f>
        <v>0</v>
      </c>
      <c r="DU11" s="129">
        <f>DQ11+DR11-DS11-DT11</f>
        <v>5141.5000000000027</v>
      </c>
      <c r="DV11" s="129">
        <f t="shared" si="66"/>
        <v>0</v>
      </c>
      <c r="DW11" s="1">
        <v>0</v>
      </c>
      <c r="DX11" s="1">
        <v>0</v>
      </c>
      <c r="DY11" s="171">
        <f>CPP!Y11</f>
        <v>0</v>
      </c>
      <c r="DZ11" s="129">
        <f t="shared" si="34"/>
        <v>0</v>
      </c>
      <c r="EA11" s="129">
        <f t="shared" si="35"/>
        <v>14765.106999999989</v>
      </c>
      <c r="EB11" s="170">
        <f t="shared" si="36"/>
        <v>0</v>
      </c>
      <c r="EC11" s="170">
        <f t="shared" si="37"/>
        <v>304.44</v>
      </c>
      <c r="ED11" s="129">
        <f t="shared" si="38"/>
        <v>14460.666999999989</v>
      </c>
      <c r="EE11" s="18">
        <f t="shared" si="39"/>
        <v>12057.699999999997</v>
      </c>
      <c r="EF11" s="170">
        <f t="shared" si="40"/>
        <v>0</v>
      </c>
      <c r="EG11" s="170">
        <f>CPP!D11+CPP!E11+CPP!F11+CPP!G11+CPP!H11+CPP!I11+CPP!J11+CPP!K11+CPP!L11+CPP!M11+CPP!N11+CPP!O11+CPP!P11+CPP!Q11+CPP!R11+CPP!S11+CZ11+DE11+DJ11+CPP!W11+DT11</f>
        <v>137</v>
      </c>
      <c r="EH11" s="18">
        <f>EE11+EF11-CPP!G11-CPP!E11-CPP!F11-CPP!P11-CPP!Q11-CK11-CP11-DT11</f>
        <v>11920.699999999997</v>
      </c>
      <c r="EI11" s="16">
        <f t="shared" si="41"/>
        <v>7334.970091204149</v>
      </c>
      <c r="EJ11" s="1">
        <v>1790</v>
      </c>
      <c r="EK11" s="255">
        <f>'Daily CEM-1'!AG12+'Daily  CEM - 2'!AF12-EP11</f>
        <v>924.55000060459997</v>
      </c>
      <c r="EL11" s="9">
        <f t="shared" si="42"/>
        <v>8200.4200905995476</v>
      </c>
      <c r="EM11" s="1">
        <v>0</v>
      </c>
      <c r="EN11" s="18">
        <f>EQ10</f>
        <v>2027.9790080001369</v>
      </c>
      <c r="EO11" s="1">
        <v>506.38</v>
      </c>
      <c r="EP11" s="1">
        <v>275.75</v>
      </c>
      <c r="EQ11" s="17">
        <f>EN11+EO11-EP11</f>
        <v>2258.6090080001368</v>
      </c>
      <c r="ER11">
        <f t="shared" si="44"/>
        <v>181.65999999999997</v>
      </c>
      <c r="ES11">
        <v>688.04</v>
      </c>
      <c r="ET11" s="51">
        <f t="shared" si="45"/>
        <v>1200.3000006046</v>
      </c>
      <c r="EU11" s="51">
        <f>EK11+EP11</f>
        <v>1200.3000006046</v>
      </c>
      <c r="EV11">
        <f>EU11/Production2!CG11</f>
        <v>0.76991661360141117</v>
      </c>
      <c r="EW11">
        <v>0.78031167980068961</v>
      </c>
      <c r="EX11">
        <f t="shared" si="47"/>
        <v>78.031167980068957</v>
      </c>
    </row>
    <row r="12" spans="2:154" x14ac:dyDescent="0.25">
      <c r="B12" s="4">
        <v>10</v>
      </c>
      <c r="C12" s="39">
        <f t="shared" si="3"/>
        <v>5101.6399999999994</v>
      </c>
      <c r="D12" s="1">
        <v>0</v>
      </c>
      <c r="E12" s="271">
        <f>F12+'RAW MILL 2'!F12</f>
        <v>64</v>
      </c>
      <c r="F12" s="1">
        <v>59</v>
      </c>
      <c r="G12" s="9">
        <f t="shared" si="4"/>
        <v>5037.6399999999994</v>
      </c>
      <c r="H12" s="39">
        <f t="shared" si="5"/>
        <v>968.54001683751994</v>
      </c>
      <c r="I12" s="33">
        <f>Production2!N12</f>
        <v>2669</v>
      </c>
      <c r="J12" s="33">
        <f>Production2!K12</f>
        <v>2960.5</v>
      </c>
      <c r="K12" s="18">
        <f t="shared" si="6"/>
        <v>677.04001683751994</v>
      </c>
      <c r="L12" s="39">
        <f t="shared" si="7"/>
        <v>0</v>
      </c>
      <c r="M12" s="1">
        <v>0</v>
      </c>
      <c r="N12" s="33">
        <f>CPP!D12</f>
        <v>0</v>
      </c>
      <c r="O12" s="1">
        <v>0</v>
      </c>
      <c r="P12" s="33">
        <f t="shared" si="0"/>
        <v>0</v>
      </c>
      <c r="Q12" s="9">
        <f t="shared" si="48"/>
        <v>0</v>
      </c>
      <c r="R12" s="39">
        <f t="shared" si="8"/>
        <v>0</v>
      </c>
      <c r="S12" s="1">
        <v>0</v>
      </c>
      <c r="T12" s="33">
        <f>CPP!E12</f>
        <v>0</v>
      </c>
      <c r="U12" s="26">
        <v>0</v>
      </c>
      <c r="V12" s="38">
        <f t="shared" si="9"/>
        <v>0</v>
      </c>
      <c r="W12" s="9">
        <f t="shared" si="10"/>
        <v>0</v>
      </c>
      <c r="X12" s="39">
        <f t="shared" si="11"/>
        <v>9012.8799999999974</v>
      </c>
      <c r="Y12" s="1">
        <v>0</v>
      </c>
      <c r="Z12" s="33">
        <f>CPP!H12</f>
        <v>35</v>
      </c>
      <c r="AA12" s="1">
        <v>250</v>
      </c>
      <c r="AB12" s="9">
        <f t="shared" si="12"/>
        <v>8727.8799999999974</v>
      </c>
      <c r="AC12" s="39">
        <f t="shared" si="13"/>
        <v>0</v>
      </c>
      <c r="AD12" s="1">
        <v>0</v>
      </c>
      <c r="AE12" s="1">
        <v>0</v>
      </c>
      <c r="AF12" s="9">
        <f t="shared" si="1"/>
        <v>0</v>
      </c>
      <c r="AG12" s="39">
        <f t="shared" si="14"/>
        <v>11920.649999999998</v>
      </c>
      <c r="AH12" s="1">
        <v>0</v>
      </c>
      <c r="AI12" s="170">
        <f>CPP!G12</f>
        <v>108</v>
      </c>
      <c r="AJ12" s="9">
        <f t="shared" si="2"/>
        <v>11812.649999999998</v>
      </c>
      <c r="AK12" s="129">
        <f t="shared" si="49"/>
        <v>0</v>
      </c>
      <c r="AL12" s="1">
        <v>0</v>
      </c>
      <c r="AM12" s="1">
        <v>0</v>
      </c>
      <c r="AN12" s="18">
        <f t="shared" si="15"/>
        <v>0</v>
      </c>
      <c r="AO12" s="129">
        <f t="shared" si="50"/>
        <v>0</v>
      </c>
      <c r="AP12" s="1">
        <v>0</v>
      </c>
      <c r="AQ12" s="1">
        <v>0</v>
      </c>
      <c r="AR12" s="171">
        <f>CPP!I12</f>
        <v>0</v>
      </c>
      <c r="AS12" s="129">
        <f t="shared" si="16"/>
        <v>0</v>
      </c>
      <c r="AT12" s="1">
        <f t="shared" si="51"/>
        <v>0</v>
      </c>
      <c r="AU12" s="1">
        <v>0</v>
      </c>
      <c r="AV12" s="1">
        <v>0</v>
      </c>
      <c r="AW12" s="170">
        <f>CPP!J12</f>
        <v>0</v>
      </c>
      <c r="AX12" s="1">
        <f t="shared" si="17"/>
        <v>0</v>
      </c>
      <c r="AY12" s="1">
        <f t="shared" si="52"/>
        <v>0.286999999990248</v>
      </c>
      <c r="AZ12" s="1">
        <v>0</v>
      </c>
      <c r="BA12" s="1">
        <v>0</v>
      </c>
      <c r="BB12" s="170">
        <f>CPP!K12</f>
        <v>0</v>
      </c>
      <c r="BC12" s="1">
        <f t="shared" si="18"/>
        <v>0.286999999990248</v>
      </c>
      <c r="BD12" s="1">
        <f t="shared" si="53"/>
        <v>0</v>
      </c>
      <c r="BE12" s="1">
        <v>0</v>
      </c>
      <c r="BF12" s="1">
        <v>0</v>
      </c>
      <c r="BG12" s="170">
        <f>CPP!L12</f>
        <v>0</v>
      </c>
      <c r="BH12" s="1">
        <f>BD12+BE12-BF12-BG12</f>
        <v>0</v>
      </c>
      <c r="BI12" s="1">
        <f t="shared" si="54"/>
        <v>0</v>
      </c>
      <c r="BJ12" s="1">
        <v>0</v>
      </c>
      <c r="BK12" s="1">
        <v>0</v>
      </c>
      <c r="BL12" s="170">
        <f>CPP!M12</f>
        <v>0</v>
      </c>
      <c r="BM12" s="1">
        <f t="shared" si="55"/>
        <v>0</v>
      </c>
      <c r="BN12" s="1">
        <f t="shared" si="20"/>
        <v>0</v>
      </c>
      <c r="BO12" s="1">
        <v>0</v>
      </c>
      <c r="BP12" s="1">
        <v>0</v>
      </c>
      <c r="BQ12" s="170">
        <f>CPP!N12</f>
        <v>0</v>
      </c>
      <c r="BR12" s="1">
        <f t="shared" si="21"/>
        <v>0</v>
      </c>
      <c r="BS12" s="1">
        <f t="shared" si="22"/>
        <v>0</v>
      </c>
      <c r="BT12" s="1">
        <v>0</v>
      </c>
      <c r="BU12" s="1">
        <v>0</v>
      </c>
      <c r="BV12" s="170">
        <f>CPP!O12</f>
        <v>0</v>
      </c>
      <c r="BW12" s="1">
        <f t="shared" si="23"/>
        <v>0</v>
      </c>
      <c r="BX12" s="174">
        <f t="shared" si="56"/>
        <v>0</v>
      </c>
      <c r="BY12" s="1">
        <v>0</v>
      </c>
      <c r="BZ12" s="1">
        <v>0</v>
      </c>
      <c r="CA12" s="170"/>
      <c r="CB12" s="26">
        <f t="shared" si="24"/>
        <v>0</v>
      </c>
      <c r="CC12" s="1">
        <f t="shared" si="57"/>
        <v>0</v>
      </c>
      <c r="CD12" s="1">
        <v>0</v>
      </c>
      <c r="CE12" s="1">
        <v>0</v>
      </c>
      <c r="CF12" s="170">
        <f>CPP!P12</f>
        <v>0</v>
      </c>
      <c r="CG12" s="26">
        <f t="shared" si="25"/>
        <v>0</v>
      </c>
      <c r="CH12" s="1">
        <f t="shared" si="58"/>
        <v>0</v>
      </c>
      <c r="CI12" s="1">
        <v>0</v>
      </c>
      <c r="CJ12" s="1">
        <v>0</v>
      </c>
      <c r="CK12" s="170">
        <f>CPP!Q12</f>
        <v>0</v>
      </c>
      <c r="CL12" s="1">
        <f t="shared" si="26"/>
        <v>0</v>
      </c>
      <c r="CM12" s="1">
        <f t="shared" si="59"/>
        <v>5.0000000000181899E-2</v>
      </c>
      <c r="CN12" s="1">
        <v>0</v>
      </c>
      <c r="CO12" s="1">
        <v>0</v>
      </c>
      <c r="CP12" s="170">
        <f>CPP!R12</f>
        <v>0</v>
      </c>
      <c r="CQ12" s="1">
        <f t="shared" si="27"/>
        <v>5.0000000000181899E-2</v>
      </c>
      <c r="CR12" s="129">
        <f t="shared" si="60"/>
        <v>0</v>
      </c>
      <c r="CS12" s="1">
        <v>0</v>
      </c>
      <c r="CT12" s="1">
        <v>0</v>
      </c>
      <c r="CU12" s="171">
        <f>CPP!S12</f>
        <v>0</v>
      </c>
      <c r="CV12" s="129">
        <f t="shared" si="28"/>
        <v>0</v>
      </c>
      <c r="CW12" s="129">
        <f t="shared" si="61"/>
        <v>0</v>
      </c>
      <c r="CX12" s="1">
        <v>0</v>
      </c>
      <c r="CY12" s="1">
        <v>0</v>
      </c>
      <c r="CZ12" s="171">
        <f>CPP!T12</f>
        <v>0</v>
      </c>
      <c r="DA12" s="129">
        <f t="shared" si="29"/>
        <v>0</v>
      </c>
      <c r="DB12" s="129">
        <f t="shared" si="62"/>
        <v>306</v>
      </c>
      <c r="DC12" s="1">
        <v>0</v>
      </c>
      <c r="DD12" s="1">
        <v>0</v>
      </c>
      <c r="DE12" s="171">
        <f>CPP!U12</f>
        <v>0</v>
      </c>
      <c r="DF12" s="129">
        <f t="shared" si="30"/>
        <v>306</v>
      </c>
      <c r="DG12" s="129">
        <f t="shared" si="63"/>
        <v>0</v>
      </c>
      <c r="DH12" s="1">
        <v>0</v>
      </c>
      <c r="DI12" s="1">
        <v>0</v>
      </c>
      <c r="DJ12" s="171">
        <f>CPP!V12</f>
        <v>0</v>
      </c>
      <c r="DK12" s="129">
        <f t="shared" si="31"/>
        <v>0</v>
      </c>
      <c r="DL12" s="129">
        <f t="shared" si="64"/>
        <v>0</v>
      </c>
      <c r="DM12" s="1">
        <v>0</v>
      </c>
      <c r="DN12" s="1">
        <v>0</v>
      </c>
      <c r="DO12" s="171">
        <f>CPP!W12</f>
        <v>0</v>
      </c>
      <c r="DP12" s="129">
        <f t="shared" si="32"/>
        <v>0</v>
      </c>
      <c r="DQ12" s="129">
        <f t="shared" si="65"/>
        <v>5141.5000000000027</v>
      </c>
      <c r="DR12" s="1">
        <v>0</v>
      </c>
      <c r="DS12" s="1">
        <v>50</v>
      </c>
      <c r="DT12" s="171">
        <f>CPP!X12</f>
        <v>0</v>
      </c>
      <c r="DU12" s="129">
        <f t="shared" si="33"/>
        <v>5091.5000000000027</v>
      </c>
      <c r="DV12" s="129">
        <f t="shared" si="66"/>
        <v>0</v>
      </c>
      <c r="DW12" s="1">
        <v>0</v>
      </c>
      <c r="DX12" s="1">
        <v>0</v>
      </c>
      <c r="DY12" s="171">
        <f>CPP!Y12</f>
        <v>0</v>
      </c>
      <c r="DZ12" s="129">
        <f t="shared" si="34"/>
        <v>0</v>
      </c>
      <c r="EA12" s="129">
        <f t="shared" si="35"/>
        <v>14460.66699999999</v>
      </c>
      <c r="EB12" s="170">
        <f t="shared" si="36"/>
        <v>0</v>
      </c>
      <c r="EC12" s="170">
        <f t="shared" si="37"/>
        <v>300</v>
      </c>
      <c r="ED12" s="129">
        <f t="shared" si="38"/>
        <v>14125.66699999999</v>
      </c>
      <c r="EE12" s="18">
        <f t="shared" si="39"/>
        <v>11920.699999999997</v>
      </c>
      <c r="EF12" s="170">
        <f t="shared" si="40"/>
        <v>0</v>
      </c>
      <c r="EG12" s="170">
        <f>CPP!D12+CPP!E12+CPP!F12+CPP!G12+CPP!H12+CPP!I12+CPP!J12+CPP!K12+CPP!L12+CPP!M12+CPP!N12+CPP!O12+CPP!P12+CPP!Q12+CPP!R12+CPP!S12+CZ12+DE12+DJ12+CPP!W12+DT12</f>
        <v>143</v>
      </c>
      <c r="EH12" s="18">
        <f>EE12+EF12-CPP!G12-CPP!E12-CPP!F12-CPP!P12-CPP!Q12-CK12-CP12-DT12</f>
        <v>11812.699999999997</v>
      </c>
      <c r="EI12" s="16">
        <f t="shared" si="41"/>
        <v>8200.4200905995476</v>
      </c>
      <c r="EJ12" s="1">
        <v>1910</v>
      </c>
      <c r="EK12" s="255">
        <f>'Daily CEM-1'!AG13+'Daily  CEM - 2'!AF13-EP12</f>
        <v>1105.7500010395001</v>
      </c>
      <c r="EL12" s="9">
        <f t="shared" si="42"/>
        <v>9004.6700895600479</v>
      </c>
      <c r="EM12" s="1">
        <v>0</v>
      </c>
      <c r="EN12" s="18">
        <f t="shared" si="67"/>
        <v>2258.6090080001368</v>
      </c>
      <c r="EO12" s="1">
        <v>477.99</v>
      </c>
      <c r="EP12" s="1">
        <v>0</v>
      </c>
      <c r="EQ12" s="17">
        <f t="shared" si="43"/>
        <v>2736.5990080001366</v>
      </c>
      <c r="ER12">
        <f t="shared" si="44"/>
        <v>808.54</v>
      </c>
      <c r="ES12">
        <v>1286.53</v>
      </c>
      <c r="ET12" s="51">
        <f t="shared" si="45"/>
        <v>1105.7500010395001</v>
      </c>
      <c r="EU12" s="51">
        <f t="shared" si="46"/>
        <v>1105.7500010395001</v>
      </c>
      <c r="EV12">
        <f>EU12/Production2!CG12</f>
        <v>0.74211409465738265</v>
      </c>
      <c r="EW12" t="e">
        <v>#DIV/0!</v>
      </c>
      <c r="EX12" t="e">
        <f t="shared" si="47"/>
        <v>#DIV/0!</v>
      </c>
    </row>
    <row r="13" spans="2:154" x14ac:dyDescent="0.25">
      <c r="B13" s="4">
        <v>11</v>
      </c>
      <c r="C13" s="39">
        <f t="shared" si="3"/>
        <v>5037.6399999999994</v>
      </c>
      <c r="D13" s="1">
        <v>0</v>
      </c>
      <c r="E13" s="271">
        <f>F13+'RAW MILL 2'!F13</f>
        <v>58</v>
      </c>
      <c r="F13" s="1">
        <v>55</v>
      </c>
      <c r="G13" s="9">
        <f t="shared" si="4"/>
        <v>4979.6399999999994</v>
      </c>
      <c r="H13" s="39">
        <f t="shared" si="5"/>
        <v>677.04001683751994</v>
      </c>
      <c r="I13" s="33">
        <f>Production2!N13</f>
        <v>2451</v>
      </c>
      <c r="J13" s="33">
        <f>Production2!K13</f>
        <v>2797.75</v>
      </c>
      <c r="K13" s="18">
        <f t="shared" si="6"/>
        <v>330.29001683751994</v>
      </c>
      <c r="L13" s="39">
        <f t="shared" si="7"/>
        <v>0</v>
      </c>
      <c r="M13" s="1">
        <v>0</v>
      </c>
      <c r="N13" s="33">
        <f>CPP!D13</f>
        <v>0</v>
      </c>
      <c r="O13" s="1">
        <v>0</v>
      </c>
      <c r="P13" s="33">
        <f t="shared" si="0"/>
        <v>0</v>
      </c>
      <c r="Q13" s="9">
        <f t="shared" si="48"/>
        <v>0</v>
      </c>
      <c r="R13" s="39">
        <f t="shared" si="8"/>
        <v>0</v>
      </c>
      <c r="S13" s="1">
        <v>0</v>
      </c>
      <c r="T13" s="33">
        <f>CPP!E13</f>
        <v>0</v>
      </c>
      <c r="U13" s="26">
        <v>0</v>
      </c>
      <c r="V13" s="38">
        <f t="shared" si="9"/>
        <v>0</v>
      </c>
      <c r="W13" s="9">
        <f t="shared" si="10"/>
        <v>0</v>
      </c>
      <c r="X13" s="39">
        <f t="shared" si="11"/>
        <v>8727.8799999999974</v>
      </c>
      <c r="Y13" s="1">
        <v>0</v>
      </c>
      <c r="Z13" s="33">
        <f>CPP!H13</f>
        <v>20</v>
      </c>
      <c r="AA13" s="1">
        <v>300</v>
      </c>
      <c r="AB13" s="9">
        <f t="shared" si="12"/>
        <v>8407.8799999999974</v>
      </c>
      <c r="AC13" s="39">
        <f t="shared" si="13"/>
        <v>0</v>
      </c>
      <c r="AD13" s="1">
        <v>0</v>
      </c>
      <c r="AE13" s="1">
        <v>0</v>
      </c>
      <c r="AF13" s="9">
        <f t="shared" si="1"/>
        <v>0</v>
      </c>
      <c r="AG13" s="39">
        <f t="shared" si="14"/>
        <v>11812.649999999998</v>
      </c>
      <c r="AH13" s="1">
        <v>0</v>
      </c>
      <c r="AI13" s="170">
        <f>CPP!G13</f>
        <v>119</v>
      </c>
      <c r="AJ13" s="9">
        <f t="shared" si="2"/>
        <v>11693.649999999998</v>
      </c>
      <c r="AK13" s="129">
        <f t="shared" si="49"/>
        <v>0</v>
      </c>
      <c r="AL13" s="1">
        <v>0</v>
      </c>
      <c r="AM13" s="1">
        <v>0</v>
      </c>
      <c r="AN13" s="18">
        <f t="shared" si="15"/>
        <v>0</v>
      </c>
      <c r="AO13" s="129">
        <f t="shared" si="50"/>
        <v>0</v>
      </c>
      <c r="AP13" s="1">
        <v>0</v>
      </c>
      <c r="AQ13" s="1">
        <v>0</v>
      </c>
      <c r="AR13" s="171">
        <f>CPP!I13</f>
        <v>0</v>
      </c>
      <c r="AS13" s="129">
        <f t="shared" si="16"/>
        <v>0</v>
      </c>
      <c r="AT13" s="1">
        <f t="shared" si="51"/>
        <v>0</v>
      </c>
      <c r="AU13" s="1">
        <v>0</v>
      </c>
      <c r="AV13" s="1">
        <v>0</v>
      </c>
      <c r="AW13" s="170">
        <f>CPP!J13</f>
        <v>0</v>
      </c>
      <c r="AX13" s="1">
        <f t="shared" si="17"/>
        <v>0</v>
      </c>
      <c r="AY13" s="1">
        <f t="shared" si="52"/>
        <v>0.286999999990248</v>
      </c>
      <c r="AZ13" s="1">
        <v>0</v>
      </c>
      <c r="BA13" s="1">
        <v>0</v>
      </c>
      <c r="BB13" s="170">
        <f>CPP!K13</f>
        <v>0</v>
      </c>
      <c r="BC13" s="1">
        <f t="shared" si="18"/>
        <v>0.286999999990248</v>
      </c>
      <c r="BD13" s="1">
        <f t="shared" si="53"/>
        <v>0</v>
      </c>
      <c r="BE13" s="1">
        <v>0</v>
      </c>
      <c r="BF13" s="1">
        <v>0</v>
      </c>
      <c r="BG13" s="170">
        <f>CPP!L13</f>
        <v>0</v>
      </c>
      <c r="BH13" s="1">
        <f>BD13+BE13-BF13-BG13</f>
        <v>0</v>
      </c>
      <c r="BI13" s="1">
        <f t="shared" si="54"/>
        <v>0</v>
      </c>
      <c r="BJ13" s="1">
        <v>0</v>
      </c>
      <c r="BK13" s="1">
        <v>0</v>
      </c>
      <c r="BL13" s="170">
        <f>CPP!M13</f>
        <v>0</v>
      </c>
      <c r="BM13" s="1">
        <f t="shared" si="55"/>
        <v>0</v>
      </c>
      <c r="BN13" s="1">
        <f t="shared" si="20"/>
        <v>0</v>
      </c>
      <c r="BO13" s="1">
        <v>0</v>
      </c>
      <c r="BP13" s="1">
        <v>0</v>
      </c>
      <c r="BQ13" s="170">
        <f>CPP!N13</f>
        <v>0</v>
      </c>
      <c r="BR13" s="1">
        <f t="shared" si="21"/>
        <v>0</v>
      </c>
      <c r="BS13" s="1">
        <f t="shared" si="22"/>
        <v>0</v>
      </c>
      <c r="BT13" s="1">
        <v>0</v>
      </c>
      <c r="BU13" s="1">
        <v>0</v>
      </c>
      <c r="BV13" s="170">
        <f>CPP!O13</f>
        <v>0</v>
      </c>
      <c r="BW13" s="1">
        <f t="shared" si="23"/>
        <v>0</v>
      </c>
      <c r="BX13" s="174">
        <f t="shared" si="56"/>
        <v>0</v>
      </c>
      <c r="BY13" s="1">
        <v>0</v>
      </c>
      <c r="BZ13" s="1">
        <v>0</v>
      </c>
      <c r="CA13" s="170"/>
      <c r="CB13" s="26">
        <f t="shared" si="24"/>
        <v>0</v>
      </c>
      <c r="CC13" s="1">
        <f t="shared" si="57"/>
        <v>0</v>
      </c>
      <c r="CD13" s="1">
        <v>0</v>
      </c>
      <c r="CE13" s="1">
        <v>0</v>
      </c>
      <c r="CF13" s="170">
        <f>CPP!P13</f>
        <v>0</v>
      </c>
      <c r="CG13" s="26">
        <f t="shared" si="25"/>
        <v>0</v>
      </c>
      <c r="CH13" s="1">
        <f t="shared" si="58"/>
        <v>0</v>
      </c>
      <c r="CI13" s="1">
        <v>0</v>
      </c>
      <c r="CJ13" s="1">
        <v>0</v>
      </c>
      <c r="CK13" s="170">
        <f>CPP!Q13</f>
        <v>0</v>
      </c>
      <c r="CL13" s="1">
        <f t="shared" si="26"/>
        <v>0</v>
      </c>
      <c r="CM13" s="1">
        <f t="shared" si="59"/>
        <v>5.0000000000181899E-2</v>
      </c>
      <c r="CN13" s="1">
        <v>0</v>
      </c>
      <c r="CO13" s="1">
        <v>0</v>
      </c>
      <c r="CP13" s="170">
        <f>CPP!R13</f>
        <v>0</v>
      </c>
      <c r="CQ13" s="1">
        <f t="shared" si="27"/>
        <v>5.0000000000181899E-2</v>
      </c>
      <c r="CR13" s="129">
        <f t="shared" si="60"/>
        <v>0</v>
      </c>
      <c r="CS13" s="1">
        <v>0</v>
      </c>
      <c r="CT13" s="1">
        <v>0</v>
      </c>
      <c r="CU13" s="171">
        <f>CPP!S13</f>
        <v>0</v>
      </c>
      <c r="CV13" s="129">
        <f t="shared" si="28"/>
        <v>0</v>
      </c>
      <c r="CW13" s="129">
        <f t="shared" si="61"/>
        <v>0</v>
      </c>
      <c r="CX13" s="1">
        <v>0</v>
      </c>
      <c r="CY13" s="1">
        <v>0</v>
      </c>
      <c r="CZ13" s="171">
        <f>CPP!T13</f>
        <v>0</v>
      </c>
      <c r="DA13" s="129">
        <f t="shared" si="29"/>
        <v>0</v>
      </c>
      <c r="DB13" s="129">
        <f t="shared" si="62"/>
        <v>306</v>
      </c>
      <c r="DC13" s="1">
        <v>0</v>
      </c>
      <c r="DD13" s="1">
        <v>0</v>
      </c>
      <c r="DE13" s="171">
        <f>CPP!U13</f>
        <v>0</v>
      </c>
      <c r="DF13" s="129">
        <f t="shared" si="30"/>
        <v>306</v>
      </c>
      <c r="DG13" s="129">
        <f t="shared" si="63"/>
        <v>0</v>
      </c>
      <c r="DH13" s="1">
        <v>0</v>
      </c>
      <c r="DI13" s="1">
        <v>0</v>
      </c>
      <c r="DJ13" s="171">
        <f>CPP!V13</f>
        <v>0</v>
      </c>
      <c r="DK13" s="129">
        <f t="shared" si="31"/>
        <v>0</v>
      </c>
      <c r="DL13" s="129">
        <f t="shared" si="64"/>
        <v>0</v>
      </c>
      <c r="DM13" s="1">
        <v>0</v>
      </c>
      <c r="DN13" s="1">
        <v>0</v>
      </c>
      <c r="DO13" s="171">
        <f>CPP!W13</f>
        <v>0</v>
      </c>
      <c r="DP13" s="129">
        <f t="shared" si="32"/>
        <v>0</v>
      </c>
      <c r="DQ13" s="129">
        <f t="shared" si="65"/>
        <v>5091.5000000000027</v>
      </c>
      <c r="DR13" s="1">
        <v>0</v>
      </c>
      <c r="DS13" s="1">
        <v>28.89</v>
      </c>
      <c r="DT13" s="171">
        <f>CPP!X13</f>
        <v>0</v>
      </c>
      <c r="DU13" s="129">
        <f t="shared" si="33"/>
        <v>5062.6100000000024</v>
      </c>
      <c r="DV13" s="129">
        <f t="shared" si="66"/>
        <v>0</v>
      </c>
      <c r="DW13" s="1">
        <v>0</v>
      </c>
      <c r="DX13" s="1">
        <v>0</v>
      </c>
      <c r="DY13" s="171">
        <f>CPP!Y13</f>
        <v>0</v>
      </c>
      <c r="DZ13" s="129">
        <f t="shared" si="34"/>
        <v>0</v>
      </c>
      <c r="EA13" s="129">
        <f t="shared" si="35"/>
        <v>14125.66699999999</v>
      </c>
      <c r="EB13" s="170">
        <f t="shared" si="36"/>
        <v>0</v>
      </c>
      <c r="EC13" s="170">
        <f t="shared" si="37"/>
        <v>328.89</v>
      </c>
      <c r="ED13" s="129">
        <f t="shared" si="38"/>
        <v>13776.776999999991</v>
      </c>
      <c r="EE13" s="18">
        <f t="shared" si="39"/>
        <v>11812.699999999997</v>
      </c>
      <c r="EF13" s="170">
        <f t="shared" si="40"/>
        <v>0</v>
      </c>
      <c r="EG13" s="170">
        <f>CPP!D13+CPP!E13+CPP!F13+CPP!G13+CPP!H13+CPP!I13+CPP!J13+CPP!K13+CPP!L13+CPP!M13+CPP!N13+CPP!O13+CPP!P13+CPP!Q13+CPP!R13+CPP!S13+CZ13+DE13+DJ13+CPP!W13+DT13</f>
        <v>139</v>
      </c>
      <c r="EH13" s="18">
        <f>EE13+EF13-CPP!G13-CPP!E13-CPP!F13-CPP!P13-CPP!Q13-CK13-CP13-DT13</f>
        <v>11693.699999999997</v>
      </c>
      <c r="EI13" s="16">
        <f t="shared" si="41"/>
        <v>9004.6700895600479</v>
      </c>
      <c r="EJ13" s="1">
        <v>1805</v>
      </c>
      <c r="EK13" s="255">
        <f>'Daily CEM-1'!AG14+'Daily  CEM - 2'!AF14-EP13</f>
        <v>931.50000079400002</v>
      </c>
      <c r="EL13" s="9">
        <f t="shared" si="42"/>
        <v>9878.1700887660481</v>
      </c>
      <c r="EM13" s="1">
        <v>0</v>
      </c>
      <c r="EN13" s="18">
        <f t="shared" si="67"/>
        <v>2736.5990080001366</v>
      </c>
      <c r="EO13" s="1">
        <v>0</v>
      </c>
      <c r="EP13" s="1">
        <v>0</v>
      </c>
      <c r="EQ13" s="17">
        <f t="shared" si="43"/>
        <v>2736.5990080001366</v>
      </c>
      <c r="ER13">
        <f t="shared" si="44"/>
        <v>1675.23</v>
      </c>
      <c r="ES13">
        <v>1675.23</v>
      </c>
      <c r="ET13" s="51">
        <f t="shared" si="45"/>
        <v>931.50000079400002</v>
      </c>
      <c r="EU13" s="51">
        <f t="shared" si="46"/>
        <v>931.50000079400002</v>
      </c>
      <c r="EV13">
        <f>EU13/Production2!CG13</f>
        <v>0.76983471140000004</v>
      </c>
      <c r="EW13" t="e">
        <v>#DIV/0!</v>
      </c>
      <c r="EX13" t="e">
        <f t="shared" si="47"/>
        <v>#DIV/0!</v>
      </c>
    </row>
    <row r="14" spans="2:154" x14ac:dyDescent="0.25">
      <c r="B14" s="4">
        <v>12</v>
      </c>
      <c r="C14" s="39">
        <f t="shared" si="3"/>
        <v>4979.6399999999994</v>
      </c>
      <c r="D14" s="1">
        <v>0</v>
      </c>
      <c r="E14" s="271">
        <f>F14+'RAW MILL 2'!F14</f>
        <v>80</v>
      </c>
      <c r="F14" s="1">
        <v>77</v>
      </c>
      <c r="G14" s="9">
        <f t="shared" si="4"/>
        <v>4899.6399999999994</v>
      </c>
      <c r="H14" s="39">
        <f t="shared" si="5"/>
        <v>330.29001683751994</v>
      </c>
      <c r="I14" s="33">
        <f>Production2!N14</f>
        <v>2790</v>
      </c>
      <c r="J14" s="33">
        <f>Production2!K14</f>
        <v>2790</v>
      </c>
      <c r="K14" s="18">
        <f t="shared" si="6"/>
        <v>330.29001683751994</v>
      </c>
      <c r="L14" s="39">
        <f t="shared" si="7"/>
        <v>0</v>
      </c>
      <c r="M14" s="1">
        <v>0</v>
      </c>
      <c r="N14" s="33">
        <f>CPP!D14</f>
        <v>0</v>
      </c>
      <c r="O14" s="1">
        <v>0</v>
      </c>
      <c r="P14" s="33">
        <f t="shared" si="0"/>
        <v>0</v>
      </c>
      <c r="Q14" s="9">
        <f t="shared" si="48"/>
        <v>0</v>
      </c>
      <c r="R14" s="39">
        <f t="shared" si="8"/>
        <v>0</v>
      </c>
      <c r="S14" s="1">
        <v>0</v>
      </c>
      <c r="T14" s="33">
        <f>CPP!E14</f>
        <v>0</v>
      </c>
      <c r="U14" s="26">
        <v>0</v>
      </c>
      <c r="V14" s="38">
        <f t="shared" si="9"/>
        <v>0</v>
      </c>
      <c r="W14" s="9">
        <f t="shared" si="10"/>
        <v>0</v>
      </c>
      <c r="X14" s="39">
        <f t="shared" si="11"/>
        <v>8407.8799999999974</v>
      </c>
      <c r="Y14" s="1">
        <v>0</v>
      </c>
      <c r="Z14" s="33">
        <f>CPP!H14</f>
        <v>0</v>
      </c>
      <c r="AA14" s="1">
        <v>232</v>
      </c>
      <c r="AB14" s="9">
        <f t="shared" si="12"/>
        <v>8175.8799999999974</v>
      </c>
      <c r="AC14" s="39">
        <f t="shared" si="13"/>
        <v>0</v>
      </c>
      <c r="AD14" s="1">
        <v>0</v>
      </c>
      <c r="AE14" s="1">
        <v>0</v>
      </c>
      <c r="AF14" s="9">
        <f t="shared" si="1"/>
        <v>0</v>
      </c>
      <c r="AG14" s="39">
        <f t="shared" si="14"/>
        <v>11693.649999999998</v>
      </c>
      <c r="AH14" s="1">
        <v>0</v>
      </c>
      <c r="AI14" s="170">
        <f>CPP!G14</f>
        <v>148</v>
      </c>
      <c r="AJ14" s="9">
        <f t="shared" si="2"/>
        <v>11545.649999999998</v>
      </c>
      <c r="AK14" s="129">
        <f t="shared" si="49"/>
        <v>0</v>
      </c>
      <c r="AL14" s="1">
        <v>0</v>
      </c>
      <c r="AM14" s="1">
        <v>0</v>
      </c>
      <c r="AN14" s="18">
        <f t="shared" si="15"/>
        <v>0</v>
      </c>
      <c r="AO14" s="129">
        <f t="shared" si="50"/>
        <v>0</v>
      </c>
      <c r="AP14" s="1">
        <v>0</v>
      </c>
      <c r="AQ14" s="1">
        <v>0</v>
      </c>
      <c r="AR14" s="171">
        <f>CPP!I14</f>
        <v>0</v>
      </c>
      <c r="AS14" s="129">
        <f t="shared" si="16"/>
        <v>0</v>
      </c>
      <c r="AT14" s="1">
        <f t="shared" si="51"/>
        <v>0</v>
      </c>
      <c r="AU14" s="1">
        <v>0</v>
      </c>
      <c r="AV14" s="1">
        <v>0</v>
      </c>
      <c r="AW14" s="170">
        <f>CPP!J14</f>
        <v>0</v>
      </c>
      <c r="AX14" s="1">
        <f t="shared" si="17"/>
        <v>0</v>
      </c>
      <c r="AY14" s="1">
        <f t="shared" si="52"/>
        <v>0.286999999990248</v>
      </c>
      <c r="AZ14" s="1">
        <v>0</v>
      </c>
      <c r="BA14" s="1">
        <v>0</v>
      </c>
      <c r="BB14" s="170">
        <f>CPP!K14</f>
        <v>0</v>
      </c>
      <c r="BC14" s="1">
        <f t="shared" si="18"/>
        <v>0.286999999990248</v>
      </c>
      <c r="BD14" s="1">
        <f t="shared" si="53"/>
        <v>0</v>
      </c>
      <c r="BE14" s="1">
        <v>0</v>
      </c>
      <c r="BF14" s="1">
        <v>0</v>
      </c>
      <c r="BG14" s="170">
        <f>CPP!L14</f>
        <v>0</v>
      </c>
      <c r="BH14" s="1">
        <f t="shared" si="19"/>
        <v>0</v>
      </c>
      <c r="BI14" s="1">
        <f t="shared" si="54"/>
        <v>0</v>
      </c>
      <c r="BJ14" s="1">
        <v>0</v>
      </c>
      <c r="BK14" s="1">
        <v>0</v>
      </c>
      <c r="BL14" s="170">
        <f>CPP!M14</f>
        <v>0</v>
      </c>
      <c r="BM14" s="1">
        <f t="shared" si="55"/>
        <v>0</v>
      </c>
      <c r="BN14" s="1">
        <f t="shared" si="20"/>
        <v>0</v>
      </c>
      <c r="BO14" s="1">
        <v>0</v>
      </c>
      <c r="BP14" s="1">
        <v>0</v>
      </c>
      <c r="BQ14" s="170">
        <f>CPP!N14</f>
        <v>0</v>
      </c>
      <c r="BR14" s="1">
        <f t="shared" si="21"/>
        <v>0</v>
      </c>
      <c r="BS14" s="1">
        <f t="shared" si="22"/>
        <v>0</v>
      </c>
      <c r="BT14" s="1">
        <v>0</v>
      </c>
      <c r="BU14" s="1">
        <v>0</v>
      </c>
      <c r="BV14" s="170">
        <f>CPP!O14</f>
        <v>0</v>
      </c>
      <c r="BW14" s="1">
        <f t="shared" si="23"/>
        <v>0</v>
      </c>
      <c r="BX14" s="174">
        <f t="shared" si="56"/>
        <v>0</v>
      </c>
      <c r="BY14" s="1">
        <v>0</v>
      </c>
      <c r="BZ14" s="1">
        <v>0</v>
      </c>
      <c r="CA14" s="170"/>
      <c r="CB14" s="26">
        <f t="shared" si="24"/>
        <v>0</v>
      </c>
      <c r="CC14" s="1">
        <f t="shared" si="57"/>
        <v>0</v>
      </c>
      <c r="CD14" s="1">
        <v>0</v>
      </c>
      <c r="CE14" s="1">
        <v>0</v>
      </c>
      <c r="CF14" s="170">
        <f>CPP!P14</f>
        <v>0</v>
      </c>
      <c r="CG14" s="26">
        <f t="shared" si="25"/>
        <v>0</v>
      </c>
      <c r="CH14" s="1">
        <f t="shared" si="58"/>
        <v>0</v>
      </c>
      <c r="CI14" s="1">
        <v>0</v>
      </c>
      <c r="CJ14" s="1">
        <v>0</v>
      </c>
      <c r="CK14" s="170">
        <f>CPP!Q14</f>
        <v>0</v>
      </c>
      <c r="CL14" s="1">
        <f t="shared" si="26"/>
        <v>0</v>
      </c>
      <c r="CM14" s="1">
        <f t="shared" si="59"/>
        <v>5.0000000000181899E-2</v>
      </c>
      <c r="CN14" s="1">
        <v>0</v>
      </c>
      <c r="CO14" s="1">
        <v>0</v>
      </c>
      <c r="CP14" s="170">
        <f>CPP!R14</f>
        <v>0</v>
      </c>
      <c r="CQ14" s="1">
        <f t="shared" si="27"/>
        <v>5.0000000000181899E-2</v>
      </c>
      <c r="CR14" s="129">
        <f t="shared" si="60"/>
        <v>0</v>
      </c>
      <c r="CS14" s="1">
        <v>0</v>
      </c>
      <c r="CT14" s="1">
        <v>0</v>
      </c>
      <c r="CU14" s="171">
        <f>CPP!S14</f>
        <v>0</v>
      </c>
      <c r="CV14" s="129">
        <f t="shared" si="28"/>
        <v>0</v>
      </c>
      <c r="CW14" s="129">
        <f t="shared" si="61"/>
        <v>0</v>
      </c>
      <c r="CX14" s="1">
        <v>0</v>
      </c>
      <c r="CY14" s="1">
        <v>0</v>
      </c>
      <c r="CZ14" s="171">
        <f>CPP!T14</f>
        <v>0</v>
      </c>
      <c r="DA14" s="129">
        <f t="shared" si="29"/>
        <v>0</v>
      </c>
      <c r="DB14" s="129">
        <f t="shared" si="62"/>
        <v>306</v>
      </c>
      <c r="DC14" s="1">
        <v>0</v>
      </c>
      <c r="DD14" s="1">
        <v>0</v>
      </c>
      <c r="DE14" s="171">
        <f>CPP!U14</f>
        <v>0</v>
      </c>
      <c r="DF14" s="129">
        <f t="shared" si="30"/>
        <v>306</v>
      </c>
      <c r="DG14" s="129">
        <f t="shared" si="63"/>
        <v>0</v>
      </c>
      <c r="DH14" s="1">
        <v>0</v>
      </c>
      <c r="DI14" s="1">
        <v>0</v>
      </c>
      <c r="DJ14" s="171">
        <f>CPP!V14</f>
        <v>0</v>
      </c>
      <c r="DK14" s="129">
        <f t="shared" si="31"/>
        <v>0</v>
      </c>
      <c r="DL14" s="129">
        <f t="shared" si="64"/>
        <v>0</v>
      </c>
      <c r="DM14" s="1">
        <v>0</v>
      </c>
      <c r="DN14" s="1">
        <v>0</v>
      </c>
      <c r="DO14" s="171">
        <f>CPP!W14</f>
        <v>0</v>
      </c>
      <c r="DP14" s="129">
        <f t="shared" si="32"/>
        <v>0</v>
      </c>
      <c r="DQ14" s="129">
        <f t="shared" si="65"/>
        <v>5062.6100000000024</v>
      </c>
      <c r="DR14" s="1">
        <v>0</v>
      </c>
      <c r="DS14" s="1">
        <v>58</v>
      </c>
      <c r="DT14" s="171">
        <f>CPP!X14</f>
        <v>0</v>
      </c>
      <c r="DU14" s="129">
        <f>DQ14+DR14-DS14-DT14</f>
        <v>5004.6100000000024</v>
      </c>
      <c r="DV14" s="129">
        <f t="shared" si="66"/>
        <v>0</v>
      </c>
      <c r="DW14" s="1">
        <v>0</v>
      </c>
      <c r="DX14" s="1">
        <v>0</v>
      </c>
      <c r="DY14" s="171">
        <f>CPP!Y14</f>
        <v>0</v>
      </c>
      <c r="DZ14" s="129">
        <f t="shared" si="34"/>
        <v>0</v>
      </c>
      <c r="EA14" s="129">
        <f t="shared" si="35"/>
        <v>13776.776999999989</v>
      </c>
      <c r="EB14" s="170">
        <f t="shared" si="36"/>
        <v>0</v>
      </c>
      <c r="EC14" s="170">
        <f t="shared" si="37"/>
        <v>290</v>
      </c>
      <c r="ED14" s="129">
        <f t="shared" si="38"/>
        <v>13486.776999999989</v>
      </c>
      <c r="EE14" s="18">
        <f t="shared" si="39"/>
        <v>11693.699999999997</v>
      </c>
      <c r="EF14" s="170">
        <f t="shared" si="40"/>
        <v>0</v>
      </c>
      <c r="EG14" s="170">
        <f>CPP!D14+CPP!E14+CPP!F14+CPP!G14+CPP!H14+CPP!I14+CPP!J14+CPP!K14+CPP!L14+CPP!M14+CPP!N14+CPP!O14+CPP!P14+CPP!Q14+CPP!R14+CPP!S14+CZ14+DE14+DJ14+CPP!W14+DT14</f>
        <v>148</v>
      </c>
      <c r="EH14" s="18">
        <f>EE14+EF14-CPP!G14-CPP!E14-CPP!F14-CPP!P14-CPP!Q14-CK14-CP14-DT14</f>
        <v>11545.699999999997</v>
      </c>
      <c r="EI14" s="16">
        <f t="shared" si="41"/>
        <v>9878.1700887660481</v>
      </c>
      <c r="EJ14" s="1">
        <v>1800</v>
      </c>
      <c r="EK14" s="255">
        <f>'Daily CEM-1'!AG15+'Daily  CEM - 2'!AF15-EP14</f>
        <v>992</v>
      </c>
      <c r="EL14" s="9">
        <f t="shared" si="42"/>
        <v>10686.170088766048</v>
      </c>
      <c r="EM14" s="1">
        <v>0</v>
      </c>
      <c r="EN14" s="18">
        <f t="shared" si="67"/>
        <v>2736.5990080001366</v>
      </c>
      <c r="EO14" s="1">
        <v>0</v>
      </c>
      <c r="EP14" s="1">
        <v>100.5</v>
      </c>
      <c r="EQ14" s="17">
        <f t="shared" si="43"/>
        <v>2636.0990080001366</v>
      </c>
      <c r="ER14">
        <f t="shared" si="44"/>
        <v>483.51</v>
      </c>
      <c r="ES14">
        <v>483.51</v>
      </c>
      <c r="ET14" s="51">
        <f t="shared" si="45"/>
        <v>1092.5</v>
      </c>
      <c r="EU14" s="51">
        <f t="shared" si="46"/>
        <v>1092.5</v>
      </c>
      <c r="EV14">
        <f>EU14/Production2!CG14</f>
        <v>0.76666666666666672</v>
      </c>
    </row>
    <row r="15" spans="2:154" x14ac:dyDescent="0.25">
      <c r="B15" s="4">
        <v>13</v>
      </c>
      <c r="C15" s="39">
        <f t="shared" si="3"/>
        <v>4899.6399999999994</v>
      </c>
      <c r="D15" s="1">
        <v>0</v>
      </c>
      <c r="E15" s="271">
        <f>F15+'RAW MILL 2'!F15</f>
        <v>60</v>
      </c>
      <c r="F15" s="1">
        <v>55</v>
      </c>
      <c r="G15" s="9">
        <f t="shared" si="4"/>
        <v>4839.6399999999994</v>
      </c>
      <c r="H15" s="39">
        <f t="shared" si="5"/>
        <v>330.29001683751994</v>
      </c>
      <c r="I15" s="33">
        <f>Production2!N15</f>
        <v>2460</v>
      </c>
      <c r="J15" s="33">
        <f>Production2!K15</f>
        <v>2852</v>
      </c>
      <c r="K15" s="18">
        <f t="shared" si="6"/>
        <v>-61.709983162480057</v>
      </c>
      <c r="L15" s="39">
        <f t="shared" si="7"/>
        <v>0</v>
      </c>
      <c r="M15" s="1">
        <v>0</v>
      </c>
      <c r="N15" s="33">
        <f>CPP!D15</f>
        <v>0</v>
      </c>
      <c r="O15" s="1">
        <v>0</v>
      </c>
      <c r="P15" s="33">
        <f t="shared" si="0"/>
        <v>0</v>
      </c>
      <c r="Q15" s="9">
        <f t="shared" si="48"/>
        <v>0</v>
      </c>
      <c r="R15" s="39">
        <f t="shared" si="8"/>
        <v>0</v>
      </c>
      <c r="S15" s="1">
        <v>0</v>
      </c>
      <c r="T15" s="33">
        <f>CPP!E15</f>
        <v>0</v>
      </c>
      <c r="U15" s="26">
        <v>0</v>
      </c>
      <c r="V15" s="38">
        <f t="shared" si="9"/>
        <v>0</v>
      </c>
      <c r="W15" s="9">
        <f t="shared" si="10"/>
        <v>0</v>
      </c>
      <c r="X15" s="39">
        <f t="shared" si="11"/>
        <v>8175.8799999999974</v>
      </c>
      <c r="Y15" s="1">
        <v>0</v>
      </c>
      <c r="Z15" s="33">
        <f>CPP!H15</f>
        <v>10</v>
      </c>
      <c r="AA15" s="1">
        <v>240</v>
      </c>
      <c r="AB15" s="9">
        <f t="shared" si="12"/>
        <v>7925.8799999999974</v>
      </c>
      <c r="AC15" s="39">
        <f t="shared" si="13"/>
        <v>0</v>
      </c>
      <c r="AD15" s="1">
        <v>0</v>
      </c>
      <c r="AE15" s="1">
        <v>0</v>
      </c>
      <c r="AF15" s="9">
        <f t="shared" si="1"/>
        <v>0</v>
      </c>
      <c r="AG15" s="39">
        <f t="shared" si="14"/>
        <v>11545.649999999998</v>
      </c>
      <c r="AH15" s="1">
        <v>0</v>
      </c>
      <c r="AI15" s="170">
        <f>CPP!G15</f>
        <v>138</v>
      </c>
      <c r="AJ15" s="9">
        <f t="shared" si="2"/>
        <v>11407.649999999998</v>
      </c>
      <c r="AK15" s="129">
        <f t="shared" si="49"/>
        <v>0</v>
      </c>
      <c r="AL15" s="1">
        <v>0</v>
      </c>
      <c r="AM15" s="1">
        <v>0</v>
      </c>
      <c r="AN15" s="18">
        <f t="shared" si="15"/>
        <v>0</v>
      </c>
      <c r="AO15" s="129">
        <f t="shared" si="50"/>
        <v>0</v>
      </c>
      <c r="AP15" s="1">
        <v>0</v>
      </c>
      <c r="AQ15" s="1">
        <v>0</v>
      </c>
      <c r="AR15" s="171">
        <f>CPP!I15</f>
        <v>0</v>
      </c>
      <c r="AS15" s="129">
        <f t="shared" si="16"/>
        <v>0</v>
      </c>
      <c r="AT15" s="1">
        <f t="shared" si="51"/>
        <v>0</v>
      </c>
      <c r="AU15" s="1">
        <v>0</v>
      </c>
      <c r="AV15" s="1">
        <v>0</v>
      </c>
      <c r="AW15" s="170">
        <f>CPP!J15</f>
        <v>0</v>
      </c>
      <c r="AX15" s="1">
        <f t="shared" si="17"/>
        <v>0</v>
      </c>
      <c r="AY15" s="1">
        <f t="shared" si="52"/>
        <v>0.286999999990248</v>
      </c>
      <c r="AZ15" s="1">
        <v>0</v>
      </c>
      <c r="BA15" s="1">
        <v>0</v>
      </c>
      <c r="BB15" s="170">
        <f>CPP!K15</f>
        <v>0</v>
      </c>
      <c r="BC15" s="1">
        <f t="shared" si="18"/>
        <v>0.286999999990248</v>
      </c>
      <c r="BD15" s="1">
        <f t="shared" si="53"/>
        <v>0</v>
      </c>
      <c r="BE15" s="1">
        <v>0</v>
      </c>
      <c r="BF15" s="1">
        <v>0</v>
      </c>
      <c r="BG15" s="170">
        <f>CPP!L15</f>
        <v>0</v>
      </c>
      <c r="BH15" s="1">
        <f t="shared" si="19"/>
        <v>0</v>
      </c>
      <c r="BI15" s="1">
        <f t="shared" si="54"/>
        <v>0</v>
      </c>
      <c r="BJ15" s="1">
        <v>0</v>
      </c>
      <c r="BK15" s="1">
        <v>0</v>
      </c>
      <c r="BL15" s="170">
        <f>CPP!M15</f>
        <v>0</v>
      </c>
      <c r="BM15" s="1">
        <f t="shared" si="55"/>
        <v>0</v>
      </c>
      <c r="BN15" s="1">
        <f t="shared" si="20"/>
        <v>0</v>
      </c>
      <c r="BO15" s="1">
        <v>0</v>
      </c>
      <c r="BP15" s="1">
        <v>0</v>
      </c>
      <c r="BQ15" s="170">
        <f>CPP!N15</f>
        <v>0</v>
      </c>
      <c r="BR15" s="1">
        <f t="shared" si="21"/>
        <v>0</v>
      </c>
      <c r="BS15" s="1">
        <f t="shared" si="22"/>
        <v>0</v>
      </c>
      <c r="BT15" s="1">
        <v>0</v>
      </c>
      <c r="BU15" s="1">
        <v>0</v>
      </c>
      <c r="BV15" s="170">
        <f>CPP!O15</f>
        <v>0</v>
      </c>
      <c r="BW15" s="1">
        <f t="shared" si="23"/>
        <v>0</v>
      </c>
      <c r="BX15" s="174">
        <f t="shared" si="56"/>
        <v>0</v>
      </c>
      <c r="BY15" s="1">
        <v>0</v>
      </c>
      <c r="BZ15" s="1">
        <v>0</v>
      </c>
      <c r="CA15" s="170"/>
      <c r="CB15" s="26">
        <f t="shared" si="24"/>
        <v>0</v>
      </c>
      <c r="CC15" s="1">
        <f t="shared" si="57"/>
        <v>0</v>
      </c>
      <c r="CD15" s="1">
        <v>0</v>
      </c>
      <c r="CE15" s="1">
        <v>0</v>
      </c>
      <c r="CF15" s="170">
        <f>CPP!P15</f>
        <v>0</v>
      </c>
      <c r="CG15" s="26">
        <f t="shared" si="25"/>
        <v>0</v>
      </c>
      <c r="CH15" s="1">
        <f t="shared" si="58"/>
        <v>0</v>
      </c>
      <c r="CI15" s="1">
        <v>0</v>
      </c>
      <c r="CJ15" s="1">
        <v>0</v>
      </c>
      <c r="CK15" s="170">
        <f>CPP!Q15</f>
        <v>0</v>
      </c>
      <c r="CL15" s="1">
        <f t="shared" si="26"/>
        <v>0</v>
      </c>
      <c r="CM15" s="1">
        <f t="shared" si="59"/>
        <v>5.0000000000181899E-2</v>
      </c>
      <c r="CN15" s="1">
        <v>0</v>
      </c>
      <c r="CO15" s="1">
        <v>0</v>
      </c>
      <c r="CP15" s="170">
        <f>CPP!R15</f>
        <v>0</v>
      </c>
      <c r="CQ15" s="1">
        <f t="shared" si="27"/>
        <v>5.0000000000181899E-2</v>
      </c>
      <c r="CR15" s="129">
        <f t="shared" si="60"/>
        <v>0</v>
      </c>
      <c r="CS15" s="1">
        <v>0</v>
      </c>
      <c r="CT15" s="1">
        <v>0</v>
      </c>
      <c r="CU15" s="171">
        <f>CPP!S15</f>
        <v>0</v>
      </c>
      <c r="CV15" s="129">
        <f t="shared" si="28"/>
        <v>0</v>
      </c>
      <c r="CW15" s="129">
        <f t="shared" si="61"/>
        <v>0</v>
      </c>
      <c r="CX15" s="1">
        <v>0</v>
      </c>
      <c r="CY15" s="1">
        <v>0</v>
      </c>
      <c r="CZ15" s="171">
        <f>CPP!T15</f>
        <v>0</v>
      </c>
      <c r="DA15" s="129">
        <f t="shared" si="29"/>
        <v>0</v>
      </c>
      <c r="DB15" s="129">
        <f t="shared" si="62"/>
        <v>306</v>
      </c>
      <c r="DC15" s="1">
        <v>0</v>
      </c>
      <c r="DD15" s="1">
        <v>0</v>
      </c>
      <c r="DE15" s="171">
        <f>CPP!U15</f>
        <v>0</v>
      </c>
      <c r="DF15" s="129">
        <f t="shared" si="30"/>
        <v>306</v>
      </c>
      <c r="DG15" s="129">
        <f t="shared" si="63"/>
        <v>0</v>
      </c>
      <c r="DH15" s="1">
        <v>0</v>
      </c>
      <c r="DI15" s="1">
        <v>0</v>
      </c>
      <c r="DJ15" s="171">
        <f>CPP!V15</f>
        <v>0</v>
      </c>
      <c r="DK15" s="129">
        <f t="shared" si="31"/>
        <v>0</v>
      </c>
      <c r="DL15" s="129">
        <f t="shared" si="64"/>
        <v>0</v>
      </c>
      <c r="DM15" s="1">
        <v>0</v>
      </c>
      <c r="DN15" s="1">
        <v>0</v>
      </c>
      <c r="DO15" s="171">
        <f>CPP!W15</f>
        <v>0</v>
      </c>
      <c r="DP15" s="129">
        <f t="shared" si="32"/>
        <v>0</v>
      </c>
      <c r="DQ15" s="129">
        <f t="shared" si="65"/>
        <v>5004.6100000000024</v>
      </c>
      <c r="DR15" s="1">
        <v>0</v>
      </c>
      <c r="DS15" s="1">
        <v>60</v>
      </c>
      <c r="DT15" s="171">
        <f>CPP!X15</f>
        <v>0</v>
      </c>
      <c r="DU15" s="129">
        <f t="shared" si="33"/>
        <v>4944.6100000000024</v>
      </c>
      <c r="DV15" s="129">
        <f t="shared" si="66"/>
        <v>0</v>
      </c>
      <c r="DW15" s="1">
        <v>0</v>
      </c>
      <c r="DX15" s="1">
        <v>0</v>
      </c>
      <c r="DY15" s="171">
        <f>CPP!Y15</f>
        <v>0</v>
      </c>
      <c r="DZ15" s="129">
        <f t="shared" si="34"/>
        <v>0</v>
      </c>
      <c r="EA15" s="129">
        <f t="shared" si="35"/>
        <v>13486.776999999989</v>
      </c>
      <c r="EB15" s="170">
        <f t="shared" si="36"/>
        <v>0</v>
      </c>
      <c r="EC15" s="170">
        <f t="shared" si="37"/>
        <v>300</v>
      </c>
      <c r="ED15" s="129">
        <f t="shared" si="38"/>
        <v>13176.776999999989</v>
      </c>
      <c r="EE15" s="18">
        <f t="shared" si="39"/>
        <v>11545.699999999997</v>
      </c>
      <c r="EF15" s="170">
        <f t="shared" si="40"/>
        <v>0</v>
      </c>
      <c r="EG15" s="170">
        <f>CPP!D15+CPP!E15+CPP!F15+CPP!G15+CPP!H15+CPP!I15+CPP!J15+CPP!K15+CPP!L15+CPP!M15+CPP!N15+CPP!O15+CPP!P15+CPP!Q15+CPP!R15+CPP!S15+CZ15+DE15+DJ15+CPP!W15+DT15</f>
        <v>148</v>
      </c>
      <c r="EH15" s="18">
        <f>EE15+EF15-CPP!G15-CPP!E15-CPP!F15-CPP!P15-CPP!Q15-CK15-CP15-DT15</f>
        <v>11407.699999999997</v>
      </c>
      <c r="EI15" s="16">
        <f t="shared" si="41"/>
        <v>10686.170088766048</v>
      </c>
      <c r="EJ15" s="1">
        <v>1840</v>
      </c>
      <c r="EK15" s="255">
        <f>'Daily CEM-1'!AG16+'Daily  CEM - 2'!AF16-EP15</f>
        <v>104.50000000000057</v>
      </c>
      <c r="EL15" s="9">
        <f t="shared" si="42"/>
        <v>12421.670088766048</v>
      </c>
      <c r="EM15" s="1">
        <v>0</v>
      </c>
      <c r="EN15" s="18">
        <f t="shared" si="67"/>
        <v>2636.0990080001366</v>
      </c>
      <c r="EO15" s="1">
        <v>1927.44</v>
      </c>
      <c r="EP15" s="1">
        <v>792.2</v>
      </c>
      <c r="EQ15" s="17">
        <f t="shared" si="43"/>
        <v>3771.3390080001363</v>
      </c>
      <c r="ER15">
        <f t="shared" si="44"/>
        <v>-1927.44</v>
      </c>
      <c r="ET15" s="51">
        <f t="shared" si="45"/>
        <v>896.70000000000061</v>
      </c>
      <c r="EU15" s="51">
        <f t="shared" si="46"/>
        <v>896.70000000000061</v>
      </c>
      <c r="EV15">
        <f>EU15/Production2!CG15</f>
        <v>0.77301724137931083</v>
      </c>
    </row>
    <row r="16" spans="2:154" x14ac:dyDescent="0.25">
      <c r="B16" s="4">
        <v>14</v>
      </c>
      <c r="C16" s="39">
        <f t="shared" si="3"/>
        <v>4839.6399999999994</v>
      </c>
      <c r="D16" s="1">
        <v>0</v>
      </c>
      <c r="E16" s="271">
        <f>F16+'RAW MILL 2'!F16</f>
        <v>60</v>
      </c>
      <c r="F16" s="1">
        <v>56</v>
      </c>
      <c r="G16" s="9">
        <f t="shared" si="4"/>
        <v>4779.6399999999994</v>
      </c>
      <c r="H16" s="39">
        <f t="shared" si="5"/>
        <v>-61.709983162480057</v>
      </c>
      <c r="I16" s="33">
        <f>Production2!N16</f>
        <v>2501</v>
      </c>
      <c r="J16" s="33">
        <f>Production2!K16</f>
        <v>2712.5</v>
      </c>
      <c r="K16" s="18">
        <f t="shared" si="6"/>
        <v>-273.20998316248006</v>
      </c>
      <c r="L16" s="39">
        <f t="shared" si="7"/>
        <v>0</v>
      </c>
      <c r="M16" s="1">
        <v>0</v>
      </c>
      <c r="N16" s="33">
        <f>CPP!D16</f>
        <v>0</v>
      </c>
      <c r="O16" s="1">
        <v>0</v>
      </c>
      <c r="P16" s="33">
        <f t="shared" si="0"/>
        <v>0</v>
      </c>
      <c r="Q16" s="9">
        <f t="shared" si="48"/>
        <v>0</v>
      </c>
      <c r="R16" s="39">
        <f t="shared" si="8"/>
        <v>0</v>
      </c>
      <c r="S16" s="1">
        <v>0</v>
      </c>
      <c r="T16" s="33">
        <f>CPP!E16</f>
        <v>0</v>
      </c>
      <c r="U16" s="26">
        <v>0</v>
      </c>
      <c r="V16" s="38">
        <f t="shared" si="9"/>
        <v>0</v>
      </c>
      <c r="W16" s="9">
        <f t="shared" si="10"/>
        <v>0</v>
      </c>
      <c r="X16" s="39">
        <f t="shared" si="11"/>
        <v>7925.8799999999974</v>
      </c>
      <c r="Y16" s="1">
        <v>0</v>
      </c>
      <c r="Z16" s="33">
        <f>CPP!H16</f>
        <v>18</v>
      </c>
      <c r="AA16" s="1">
        <v>222.22</v>
      </c>
      <c r="AB16" s="9">
        <f t="shared" si="12"/>
        <v>7685.6599999999971</v>
      </c>
      <c r="AC16" s="39">
        <f t="shared" si="13"/>
        <v>0</v>
      </c>
      <c r="AD16" s="1">
        <v>0</v>
      </c>
      <c r="AE16" s="1">
        <v>0</v>
      </c>
      <c r="AF16" s="9">
        <f t="shared" si="1"/>
        <v>0</v>
      </c>
      <c r="AG16" s="39">
        <f t="shared" si="14"/>
        <v>11407.649999999998</v>
      </c>
      <c r="AH16" s="1">
        <v>0</v>
      </c>
      <c r="AI16" s="170">
        <f>CPP!G16</f>
        <v>140</v>
      </c>
      <c r="AJ16" s="9">
        <f>AG16+AH16-AI16</f>
        <v>11267.649999999998</v>
      </c>
      <c r="AK16" s="129">
        <f t="shared" si="49"/>
        <v>0</v>
      </c>
      <c r="AL16" s="1">
        <v>0</v>
      </c>
      <c r="AM16" s="1">
        <v>0</v>
      </c>
      <c r="AN16" s="18">
        <f t="shared" si="15"/>
        <v>0</v>
      </c>
      <c r="AO16" s="129">
        <f t="shared" si="50"/>
        <v>0</v>
      </c>
      <c r="AP16" s="1">
        <v>0</v>
      </c>
      <c r="AQ16" s="1">
        <v>0</v>
      </c>
      <c r="AR16" s="171">
        <f>CPP!I16</f>
        <v>0</v>
      </c>
      <c r="AS16" s="129">
        <f t="shared" si="16"/>
        <v>0</v>
      </c>
      <c r="AT16" s="1">
        <f t="shared" si="51"/>
        <v>0</v>
      </c>
      <c r="AU16" s="1">
        <v>0</v>
      </c>
      <c r="AV16" s="1">
        <v>0</v>
      </c>
      <c r="AW16" s="170">
        <f>CPP!J16</f>
        <v>0</v>
      </c>
      <c r="AX16" s="1">
        <f t="shared" si="17"/>
        <v>0</v>
      </c>
      <c r="AY16" s="1">
        <f t="shared" si="52"/>
        <v>0.286999999990248</v>
      </c>
      <c r="AZ16" s="1">
        <v>0</v>
      </c>
      <c r="BA16" s="1">
        <v>0</v>
      </c>
      <c r="BB16" s="170">
        <f>CPP!K16</f>
        <v>0</v>
      </c>
      <c r="BC16" s="1">
        <f t="shared" si="18"/>
        <v>0.286999999990248</v>
      </c>
      <c r="BD16" s="1">
        <f t="shared" si="53"/>
        <v>0</v>
      </c>
      <c r="BE16" s="1">
        <v>0</v>
      </c>
      <c r="BF16" s="1">
        <v>0</v>
      </c>
      <c r="BG16" s="170">
        <f>CPP!L16</f>
        <v>0</v>
      </c>
      <c r="BH16" s="1">
        <f t="shared" si="19"/>
        <v>0</v>
      </c>
      <c r="BI16" s="1">
        <f t="shared" si="54"/>
        <v>0</v>
      </c>
      <c r="BJ16" s="1">
        <v>0</v>
      </c>
      <c r="BK16" s="1">
        <v>0</v>
      </c>
      <c r="BL16" s="170">
        <f>CPP!M16</f>
        <v>0</v>
      </c>
      <c r="BM16" s="1">
        <f t="shared" si="55"/>
        <v>0</v>
      </c>
      <c r="BN16" s="1">
        <f t="shared" si="20"/>
        <v>0</v>
      </c>
      <c r="BO16" s="1">
        <v>0</v>
      </c>
      <c r="BP16" s="1">
        <v>0</v>
      </c>
      <c r="BQ16" s="170">
        <f>CPP!N16</f>
        <v>0</v>
      </c>
      <c r="BR16" s="1">
        <f t="shared" si="21"/>
        <v>0</v>
      </c>
      <c r="BS16" s="1">
        <f t="shared" si="22"/>
        <v>0</v>
      </c>
      <c r="BT16" s="1">
        <v>0</v>
      </c>
      <c r="BU16" s="1">
        <v>0</v>
      </c>
      <c r="BV16" s="170">
        <f>CPP!O16</f>
        <v>0</v>
      </c>
      <c r="BW16" s="1">
        <f t="shared" si="23"/>
        <v>0</v>
      </c>
      <c r="BX16" s="174">
        <f t="shared" si="56"/>
        <v>0</v>
      </c>
      <c r="BY16" s="1">
        <v>0</v>
      </c>
      <c r="BZ16" s="1">
        <v>0</v>
      </c>
      <c r="CA16" s="170"/>
      <c r="CB16" s="26">
        <f t="shared" si="24"/>
        <v>0</v>
      </c>
      <c r="CC16" s="1">
        <f t="shared" si="57"/>
        <v>0</v>
      </c>
      <c r="CD16" s="1">
        <v>0</v>
      </c>
      <c r="CE16" s="1">
        <v>0</v>
      </c>
      <c r="CF16" s="170">
        <f>CPP!P16</f>
        <v>0</v>
      </c>
      <c r="CG16" s="26">
        <f t="shared" si="25"/>
        <v>0</v>
      </c>
      <c r="CH16" s="1">
        <f t="shared" si="58"/>
        <v>0</v>
      </c>
      <c r="CI16" s="1">
        <v>0</v>
      </c>
      <c r="CJ16" s="1">
        <v>0</v>
      </c>
      <c r="CK16" s="170">
        <f>CPP!Q16</f>
        <v>0</v>
      </c>
      <c r="CL16" s="1">
        <f t="shared" si="26"/>
        <v>0</v>
      </c>
      <c r="CM16" s="1">
        <f t="shared" si="59"/>
        <v>5.0000000000181899E-2</v>
      </c>
      <c r="CN16" s="1">
        <v>0</v>
      </c>
      <c r="CO16" s="1">
        <v>0</v>
      </c>
      <c r="CP16" s="170">
        <f>CPP!R16</f>
        <v>0</v>
      </c>
      <c r="CQ16" s="1">
        <f t="shared" si="27"/>
        <v>5.0000000000181899E-2</v>
      </c>
      <c r="CR16" s="129">
        <f t="shared" si="60"/>
        <v>0</v>
      </c>
      <c r="CS16" s="1">
        <v>0</v>
      </c>
      <c r="CT16" s="1">
        <v>0</v>
      </c>
      <c r="CU16" s="171">
        <f>CPP!S16</f>
        <v>0</v>
      </c>
      <c r="CV16" s="129">
        <f t="shared" si="28"/>
        <v>0</v>
      </c>
      <c r="CW16" s="129">
        <f t="shared" si="61"/>
        <v>0</v>
      </c>
      <c r="CX16" s="1">
        <v>0</v>
      </c>
      <c r="CY16" s="1">
        <v>0</v>
      </c>
      <c r="CZ16" s="171">
        <f>CPP!T16</f>
        <v>0</v>
      </c>
      <c r="DA16" s="129">
        <f t="shared" si="29"/>
        <v>0</v>
      </c>
      <c r="DB16" s="129">
        <f t="shared" si="62"/>
        <v>306</v>
      </c>
      <c r="DC16" s="1">
        <v>0</v>
      </c>
      <c r="DD16" s="1">
        <v>0</v>
      </c>
      <c r="DE16" s="171">
        <f>CPP!U16</f>
        <v>0</v>
      </c>
      <c r="DF16" s="129">
        <f t="shared" si="30"/>
        <v>306</v>
      </c>
      <c r="DG16" s="129">
        <f t="shared" si="63"/>
        <v>0</v>
      </c>
      <c r="DH16" s="1">
        <v>0</v>
      </c>
      <c r="DI16" s="1">
        <v>0</v>
      </c>
      <c r="DJ16" s="171">
        <f>CPP!V16</f>
        <v>0</v>
      </c>
      <c r="DK16" s="129">
        <f t="shared" si="31"/>
        <v>0</v>
      </c>
      <c r="DL16" s="129">
        <f t="shared" si="64"/>
        <v>0</v>
      </c>
      <c r="DM16" s="1">
        <v>0</v>
      </c>
      <c r="DN16" s="1">
        <v>0</v>
      </c>
      <c r="DO16" s="171">
        <f>CPP!W16</f>
        <v>0</v>
      </c>
      <c r="DP16" s="129">
        <f t="shared" si="32"/>
        <v>0</v>
      </c>
      <c r="DQ16" s="129">
        <f t="shared" si="65"/>
        <v>4944.6100000000024</v>
      </c>
      <c r="DR16" s="1">
        <v>30</v>
      </c>
      <c r="DS16" s="1">
        <v>55.56</v>
      </c>
      <c r="DT16" s="171">
        <f>CPP!X16</f>
        <v>0</v>
      </c>
      <c r="DU16" s="129">
        <f t="shared" si="33"/>
        <v>4919.050000000002</v>
      </c>
      <c r="DV16" s="129">
        <f t="shared" si="66"/>
        <v>0</v>
      </c>
      <c r="DW16" s="1">
        <v>0</v>
      </c>
      <c r="DX16" s="1">
        <v>0</v>
      </c>
      <c r="DY16" s="171">
        <f>CPP!Y16</f>
        <v>0</v>
      </c>
      <c r="DZ16" s="129">
        <f t="shared" si="34"/>
        <v>0</v>
      </c>
      <c r="EA16" s="129">
        <f t="shared" si="35"/>
        <v>13176.776999999989</v>
      </c>
      <c r="EB16" s="170">
        <f t="shared" si="36"/>
        <v>30</v>
      </c>
      <c r="EC16" s="170">
        <f t="shared" si="37"/>
        <v>277.77999999999997</v>
      </c>
      <c r="ED16" s="129">
        <f t="shared" si="38"/>
        <v>12910.996999999988</v>
      </c>
      <c r="EE16" s="18">
        <f t="shared" si="39"/>
        <v>11407.699999999997</v>
      </c>
      <c r="EF16" s="170">
        <f t="shared" si="40"/>
        <v>0</v>
      </c>
      <c r="EG16" s="170">
        <f>CPP!D16+CPP!E16+CPP!F16+CPP!G16+CPP!H16+CPP!I16+CPP!J16+CPP!K16+CPP!L16+CPP!M16+CPP!N16+CPP!O16+CPP!P16+CPP!Q16+CPP!R16+CPP!S16+CZ16+DE16+DJ16+CPP!W16+DT16</f>
        <v>158</v>
      </c>
      <c r="EH16" s="18">
        <f>EE16+EF16-CPP!G16-CPP!E16-CPP!F16-CPP!P16-CPP!Q16-CK16-CP16-DT16</f>
        <v>11267.699999999997</v>
      </c>
      <c r="EI16" s="16">
        <f t="shared" si="41"/>
        <v>12421.670088766048</v>
      </c>
      <c r="EJ16" s="1">
        <v>1750</v>
      </c>
      <c r="EK16" s="255">
        <f>'Daily CEM-1'!AG17+'Daily  CEM - 2'!AF17-EP16</f>
        <v>654.49999999650015</v>
      </c>
      <c r="EL16" s="9">
        <f t="shared" si="42"/>
        <v>13517.170088769548</v>
      </c>
      <c r="EM16" s="1">
        <v>0</v>
      </c>
      <c r="EN16" s="18">
        <f t="shared" si="67"/>
        <v>3771.3390080001363</v>
      </c>
      <c r="EO16" s="1">
        <v>508.11</v>
      </c>
      <c r="EP16" s="1">
        <v>472.6</v>
      </c>
      <c r="EQ16" s="17">
        <f t="shared" si="43"/>
        <v>3806.8490080001361</v>
      </c>
      <c r="ER16">
        <f t="shared" si="44"/>
        <v>-508.11</v>
      </c>
      <c r="ET16" s="51">
        <f t="shared" si="45"/>
        <v>1127.0999999965002</v>
      </c>
    </row>
    <row r="17" spans="2:150" x14ac:dyDescent="0.25">
      <c r="B17" s="4">
        <v>15</v>
      </c>
      <c r="C17" s="39">
        <f t="shared" si="3"/>
        <v>4779.6399999999994</v>
      </c>
      <c r="D17" s="1">
        <v>0</v>
      </c>
      <c r="E17" s="271">
        <f>F17+'RAW MILL 2'!F17</f>
        <v>68</v>
      </c>
      <c r="F17" s="1">
        <v>62</v>
      </c>
      <c r="G17" s="9">
        <f t="shared" si="4"/>
        <v>4711.6399999999994</v>
      </c>
      <c r="H17" s="39">
        <f t="shared" si="5"/>
        <v>-273.20998316248006</v>
      </c>
      <c r="I17" s="33">
        <f>Production2!N17</f>
        <v>2232</v>
      </c>
      <c r="J17" s="33">
        <f>Production2!K17</f>
        <v>2604</v>
      </c>
      <c r="K17" s="18">
        <f t="shared" si="6"/>
        <v>-645.20998316248006</v>
      </c>
      <c r="L17" s="39">
        <f t="shared" si="7"/>
        <v>0</v>
      </c>
      <c r="M17" s="1">
        <v>0</v>
      </c>
      <c r="N17" s="33">
        <f>CPP!D17</f>
        <v>0</v>
      </c>
      <c r="O17" s="1">
        <v>0</v>
      </c>
      <c r="P17" s="33">
        <f t="shared" si="0"/>
        <v>0</v>
      </c>
      <c r="Q17" s="9">
        <f t="shared" si="48"/>
        <v>0</v>
      </c>
      <c r="R17" s="39">
        <f t="shared" si="8"/>
        <v>0</v>
      </c>
      <c r="S17" s="1">
        <v>0</v>
      </c>
      <c r="T17" s="33">
        <f>CPP!E17</f>
        <v>0</v>
      </c>
      <c r="U17" s="26">
        <v>0</v>
      </c>
      <c r="V17" s="38">
        <f t="shared" si="9"/>
        <v>0</v>
      </c>
      <c r="W17" s="9">
        <f t="shared" si="10"/>
        <v>0</v>
      </c>
      <c r="X17" s="39">
        <f t="shared" si="11"/>
        <v>7685.6599999999971</v>
      </c>
      <c r="Y17" s="1">
        <v>0</v>
      </c>
      <c r="Z17" s="33">
        <f>CPP!H17</f>
        <v>26</v>
      </c>
      <c r="AA17" s="1">
        <v>226</v>
      </c>
      <c r="AB17" s="9">
        <f t="shared" si="12"/>
        <v>7433.6599999999971</v>
      </c>
      <c r="AC17" s="39">
        <f t="shared" si="13"/>
        <v>0</v>
      </c>
      <c r="AD17" s="1">
        <v>0</v>
      </c>
      <c r="AE17" s="1">
        <v>0</v>
      </c>
      <c r="AF17" s="9">
        <f t="shared" si="1"/>
        <v>0</v>
      </c>
      <c r="AG17" s="39">
        <f t="shared" si="14"/>
        <v>11267.649999999998</v>
      </c>
      <c r="AH17" s="1">
        <v>0</v>
      </c>
      <c r="AI17" s="170">
        <f>CPP!G17</f>
        <v>118</v>
      </c>
      <c r="AJ17" s="9">
        <f>AG17+AH17-AI17</f>
        <v>11149.649999999998</v>
      </c>
      <c r="AK17" s="129">
        <f t="shared" si="49"/>
        <v>0</v>
      </c>
      <c r="AL17" s="1">
        <v>0</v>
      </c>
      <c r="AM17" s="1">
        <v>0</v>
      </c>
      <c r="AN17" s="18">
        <f t="shared" si="15"/>
        <v>0</v>
      </c>
      <c r="AO17" s="129">
        <f t="shared" si="50"/>
        <v>0</v>
      </c>
      <c r="AP17" s="1">
        <v>0</v>
      </c>
      <c r="AQ17" s="1">
        <v>0</v>
      </c>
      <c r="AR17" s="171">
        <f>CPP!I17</f>
        <v>0</v>
      </c>
      <c r="AS17" s="129">
        <f t="shared" si="16"/>
        <v>0</v>
      </c>
      <c r="AT17" s="1">
        <f t="shared" si="51"/>
        <v>0</v>
      </c>
      <c r="AU17" s="1">
        <v>0</v>
      </c>
      <c r="AV17" s="1">
        <v>0</v>
      </c>
      <c r="AW17" s="170">
        <f>CPP!J17</f>
        <v>0</v>
      </c>
      <c r="AX17" s="1">
        <f t="shared" si="17"/>
        <v>0</v>
      </c>
      <c r="AY17" s="1">
        <f t="shared" si="52"/>
        <v>0.286999999990248</v>
      </c>
      <c r="AZ17" s="1">
        <v>0</v>
      </c>
      <c r="BA17" s="1">
        <v>0</v>
      </c>
      <c r="BB17" s="170">
        <f>CPP!K17</f>
        <v>0</v>
      </c>
      <c r="BC17" s="1">
        <f t="shared" si="18"/>
        <v>0.286999999990248</v>
      </c>
      <c r="BD17" s="1">
        <f t="shared" si="53"/>
        <v>0</v>
      </c>
      <c r="BE17" s="1">
        <v>0</v>
      </c>
      <c r="BF17" s="1">
        <v>0</v>
      </c>
      <c r="BG17" s="170">
        <f>CPP!L17</f>
        <v>0</v>
      </c>
      <c r="BH17" s="1">
        <f t="shared" si="19"/>
        <v>0</v>
      </c>
      <c r="BI17" s="1">
        <f t="shared" si="54"/>
        <v>0</v>
      </c>
      <c r="BJ17" s="1">
        <v>0</v>
      </c>
      <c r="BK17" s="1">
        <v>0</v>
      </c>
      <c r="BL17" s="170">
        <f>CPP!M17</f>
        <v>0</v>
      </c>
      <c r="BM17" s="1">
        <f t="shared" si="55"/>
        <v>0</v>
      </c>
      <c r="BN17" s="1">
        <f t="shared" si="20"/>
        <v>0</v>
      </c>
      <c r="BO17" s="1">
        <v>0</v>
      </c>
      <c r="BP17" s="1">
        <v>0</v>
      </c>
      <c r="BQ17" s="170">
        <f>CPP!N17</f>
        <v>0</v>
      </c>
      <c r="BR17" s="1">
        <f t="shared" si="21"/>
        <v>0</v>
      </c>
      <c r="BS17" s="1">
        <f t="shared" si="22"/>
        <v>0</v>
      </c>
      <c r="BT17" s="1">
        <v>0</v>
      </c>
      <c r="BU17" s="1">
        <v>0</v>
      </c>
      <c r="BV17" s="170">
        <f>CPP!O17</f>
        <v>0</v>
      </c>
      <c r="BW17" s="1">
        <f t="shared" si="23"/>
        <v>0</v>
      </c>
      <c r="BX17" s="174">
        <f t="shared" si="56"/>
        <v>0</v>
      </c>
      <c r="BY17" s="1">
        <v>0</v>
      </c>
      <c r="BZ17" s="1">
        <v>0</v>
      </c>
      <c r="CA17" s="170"/>
      <c r="CB17" s="26">
        <f t="shared" si="24"/>
        <v>0</v>
      </c>
      <c r="CC17" s="1">
        <f t="shared" si="57"/>
        <v>0</v>
      </c>
      <c r="CD17" s="1">
        <v>0</v>
      </c>
      <c r="CE17" s="1">
        <v>0</v>
      </c>
      <c r="CF17" s="170">
        <f>CPP!P17</f>
        <v>0</v>
      </c>
      <c r="CG17" s="26">
        <f t="shared" si="25"/>
        <v>0</v>
      </c>
      <c r="CH17" s="1">
        <f t="shared" si="58"/>
        <v>0</v>
      </c>
      <c r="CI17" s="1">
        <v>0</v>
      </c>
      <c r="CJ17" s="1">
        <v>0</v>
      </c>
      <c r="CK17" s="170">
        <f>CPP!Q17</f>
        <v>0</v>
      </c>
      <c r="CL17" s="1">
        <f t="shared" si="26"/>
        <v>0</v>
      </c>
      <c r="CM17" s="1">
        <f t="shared" si="59"/>
        <v>5.0000000000181899E-2</v>
      </c>
      <c r="CN17" s="1">
        <v>0</v>
      </c>
      <c r="CO17" s="1">
        <v>0</v>
      </c>
      <c r="CP17" s="170">
        <f>CPP!R17</f>
        <v>0</v>
      </c>
      <c r="CQ17" s="1">
        <f t="shared" si="27"/>
        <v>5.0000000000181899E-2</v>
      </c>
      <c r="CR17" s="129">
        <f t="shared" si="60"/>
        <v>0</v>
      </c>
      <c r="CS17" s="1">
        <v>0</v>
      </c>
      <c r="CT17" s="1">
        <v>0</v>
      </c>
      <c r="CU17" s="171">
        <f>CPP!S17</f>
        <v>0</v>
      </c>
      <c r="CV17" s="129">
        <f t="shared" si="28"/>
        <v>0</v>
      </c>
      <c r="CW17" s="129">
        <f t="shared" si="61"/>
        <v>0</v>
      </c>
      <c r="CX17" s="1">
        <v>0</v>
      </c>
      <c r="CY17" s="1">
        <v>0</v>
      </c>
      <c r="CZ17" s="171">
        <f>CPP!T17</f>
        <v>0</v>
      </c>
      <c r="DA17" s="129">
        <f t="shared" si="29"/>
        <v>0</v>
      </c>
      <c r="DB17" s="129">
        <f t="shared" si="62"/>
        <v>306</v>
      </c>
      <c r="DC17" s="1">
        <v>0</v>
      </c>
      <c r="DD17" s="1">
        <v>0</v>
      </c>
      <c r="DE17" s="171">
        <f>CPP!U17</f>
        <v>0</v>
      </c>
      <c r="DF17" s="129">
        <f t="shared" si="30"/>
        <v>306</v>
      </c>
      <c r="DG17" s="129">
        <f t="shared" si="63"/>
        <v>0</v>
      </c>
      <c r="DH17" s="1">
        <v>0</v>
      </c>
      <c r="DI17" s="1">
        <v>0</v>
      </c>
      <c r="DJ17" s="171">
        <f>CPP!V17</f>
        <v>0</v>
      </c>
      <c r="DK17" s="129">
        <f t="shared" si="31"/>
        <v>0</v>
      </c>
      <c r="DL17" s="129">
        <f t="shared" si="64"/>
        <v>0</v>
      </c>
      <c r="DM17" s="1">
        <v>0</v>
      </c>
      <c r="DN17" s="1">
        <v>0</v>
      </c>
      <c r="DO17" s="171">
        <f>CPP!W17</f>
        <v>0</v>
      </c>
      <c r="DP17" s="129">
        <f t="shared" si="32"/>
        <v>0</v>
      </c>
      <c r="DQ17" s="129">
        <f t="shared" si="65"/>
        <v>4919.050000000002</v>
      </c>
      <c r="DR17" s="1">
        <v>0</v>
      </c>
      <c r="DS17" s="1">
        <v>57.33</v>
      </c>
      <c r="DT17" s="171">
        <f>CPP!X17</f>
        <v>0</v>
      </c>
      <c r="DU17" s="129">
        <f t="shared" si="33"/>
        <v>4861.7200000000021</v>
      </c>
      <c r="DV17" s="129">
        <f t="shared" si="66"/>
        <v>0</v>
      </c>
      <c r="DW17" s="1">
        <v>0</v>
      </c>
      <c r="DX17" s="1">
        <v>0</v>
      </c>
      <c r="DY17" s="171">
        <f>CPP!Y17</f>
        <v>0</v>
      </c>
      <c r="DZ17" s="129">
        <f t="shared" si="34"/>
        <v>0</v>
      </c>
      <c r="EA17" s="129">
        <f t="shared" si="35"/>
        <v>12910.996999999988</v>
      </c>
      <c r="EB17" s="170">
        <f t="shared" si="36"/>
        <v>0</v>
      </c>
      <c r="EC17" s="170">
        <f t="shared" si="37"/>
        <v>283.33</v>
      </c>
      <c r="ED17" s="129">
        <f t="shared" si="38"/>
        <v>12601.666999999989</v>
      </c>
      <c r="EE17" s="18">
        <f t="shared" si="39"/>
        <v>11267.699999999997</v>
      </c>
      <c r="EF17" s="170">
        <f t="shared" si="40"/>
        <v>0</v>
      </c>
      <c r="EG17" s="170">
        <f>CPP!D17+CPP!E17+CPP!F17+CPP!G17+CPP!H17+CPP!I17+CPP!J17+CPP!K17+CPP!L17+CPP!M17+CPP!N17+CPP!O17+CPP!P17+CPP!Q17+CPP!R17+CPP!S17+CZ17+DE17+DJ17+CPP!W17+DT17</f>
        <v>144</v>
      </c>
      <c r="EH17" s="18">
        <f>EE17+EF17-CPP!G17-CPP!E17-CPP!F17-CPP!P17-CPP!Q17-CK17-CP17-DT17</f>
        <v>11149.699999999997</v>
      </c>
      <c r="EI17" s="16">
        <f t="shared" si="41"/>
        <v>13517.170088769548</v>
      </c>
      <c r="EJ17" s="1">
        <v>1680</v>
      </c>
      <c r="EK17" s="255">
        <f>'Daily CEM-1'!AG18+'Daily  CEM - 2'!AF18-EP17</f>
        <v>242.50000000000068</v>
      </c>
      <c r="EL17" s="9">
        <f t="shared" si="42"/>
        <v>14954.670088769548</v>
      </c>
      <c r="EM17" s="1">
        <v>0</v>
      </c>
      <c r="EN17" s="18">
        <f t="shared" si="67"/>
        <v>3806.8490080001361</v>
      </c>
      <c r="EO17" s="1">
        <v>416.85</v>
      </c>
      <c r="EP17" s="1">
        <v>1381.05</v>
      </c>
      <c r="EQ17" s="17">
        <f>EN17+EO17-EP17</f>
        <v>2842.6490080001358</v>
      </c>
      <c r="ER17">
        <f t="shared" si="44"/>
        <v>2786.02</v>
      </c>
      <c r="ES17">
        <v>3202.87</v>
      </c>
      <c r="ET17" s="51">
        <f t="shared" si="45"/>
        <v>1623.5500000000006</v>
      </c>
    </row>
    <row r="18" spans="2:150" x14ac:dyDescent="0.25">
      <c r="B18" s="4">
        <v>16</v>
      </c>
      <c r="C18" s="39">
        <f t="shared" si="3"/>
        <v>4711.6399999999994</v>
      </c>
      <c r="D18" s="1">
        <v>0</v>
      </c>
      <c r="E18" s="271">
        <f>F18+'RAW MILL 2'!F18</f>
        <v>52</v>
      </c>
      <c r="F18" s="1">
        <v>48</v>
      </c>
      <c r="G18" s="9">
        <f t="shared" si="4"/>
        <v>4659.6399999999994</v>
      </c>
      <c r="H18" s="39">
        <f>K17</f>
        <v>-645.20998316248006</v>
      </c>
      <c r="I18" s="33">
        <f>Production2!N18</f>
        <v>2150</v>
      </c>
      <c r="J18" s="33">
        <f>Production2!K18</f>
        <v>2340.5</v>
      </c>
      <c r="K18" s="18">
        <f t="shared" si="6"/>
        <v>-835.70998316248006</v>
      </c>
      <c r="L18" s="49">
        <f t="shared" si="7"/>
        <v>0</v>
      </c>
      <c r="M18" s="1">
        <v>0</v>
      </c>
      <c r="N18" s="33">
        <f>CPP!D18</f>
        <v>0</v>
      </c>
      <c r="O18" s="1">
        <v>0</v>
      </c>
      <c r="P18" s="33">
        <f t="shared" si="0"/>
        <v>0</v>
      </c>
      <c r="Q18" s="9">
        <f t="shared" si="48"/>
        <v>0</v>
      </c>
      <c r="R18" s="39">
        <f t="shared" si="8"/>
        <v>0</v>
      </c>
      <c r="S18" s="1">
        <v>0</v>
      </c>
      <c r="T18" s="33">
        <f>CPP!E18</f>
        <v>0</v>
      </c>
      <c r="U18" s="26">
        <v>0</v>
      </c>
      <c r="V18" s="38">
        <f t="shared" si="9"/>
        <v>0</v>
      </c>
      <c r="W18" s="9">
        <f t="shared" si="10"/>
        <v>0</v>
      </c>
      <c r="X18" s="39">
        <f t="shared" si="11"/>
        <v>7433.6599999999971</v>
      </c>
      <c r="Y18" s="1">
        <v>0</v>
      </c>
      <c r="Z18" s="33">
        <f>CPP!H18</f>
        <v>0</v>
      </c>
      <c r="AA18" s="1">
        <v>195</v>
      </c>
      <c r="AB18" s="9">
        <f t="shared" si="12"/>
        <v>7238.6599999999971</v>
      </c>
      <c r="AC18" s="39">
        <f t="shared" si="13"/>
        <v>0</v>
      </c>
      <c r="AD18" s="1">
        <v>0</v>
      </c>
      <c r="AE18" s="1">
        <v>0</v>
      </c>
      <c r="AF18" s="9">
        <f t="shared" si="1"/>
        <v>0</v>
      </c>
      <c r="AG18" s="39">
        <f t="shared" si="14"/>
        <v>11149.649999999998</v>
      </c>
      <c r="AH18" s="1">
        <v>30</v>
      </c>
      <c r="AI18" s="170">
        <f>CPP!G18</f>
        <v>143</v>
      </c>
      <c r="AJ18" s="9">
        <f t="shared" si="2"/>
        <v>11036.649999999998</v>
      </c>
      <c r="AK18" s="129">
        <f t="shared" si="49"/>
        <v>0</v>
      </c>
      <c r="AL18" s="1">
        <v>0</v>
      </c>
      <c r="AM18" s="1">
        <v>0</v>
      </c>
      <c r="AN18" s="18">
        <f t="shared" si="15"/>
        <v>0</v>
      </c>
      <c r="AO18" s="129">
        <f t="shared" si="50"/>
        <v>0</v>
      </c>
      <c r="AP18" s="1">
        <v>0</v>
      </c>
      <c r="AQ18" s="1">
        <v>0</v>
      </c>
      <c r="AR18" s="171">
        <f>CPP!I18</f>
        <v>0</v>
      </c>
      <c r="AS18" s="129">
        <f t="shared" si="16"/>
        <v>0</v>
      </c>
      <c r="AT18" s="1">
        <f t="shared" si="51"/>
        <v>0</v>
      </c>
      <c r="AU18" s="1">
        <v>0</v>
      </c>
      <c r="AV18" s="1">
        <v>0</v>
      </c>
      <c r="AW18" s="170">
        <f>CPP!J18</f>
        <v>0</v>
      </c>
      <c r="AX18" s="1">
        <f t="shared" si="17"/>
        <v>0</v>
      </c>
      <c r="AY18" s="1">
        <f t="shared" si="52"/>
        <v>0.286999999990248</v>
      </c>
      <c r="AZ18" s="1">
        <v>0</v>
      </c>
      <c r="BA18" s="1">
        <v>0</v>
      </c>
      <c r="BB18" s="170">
        <f>CPP!K18</f>
        <v>0</v>
      </c>
      <c r="BC18" s="1">
        <f t="shared" si="18"/>
        <v>0.286999999990248</v>
      </c>
      <c r="BD18" s="1">
        <f t="shared" si="53"/>
        <v>0</v>
      </c>
      <c r="BE18" s="1">
        <v>0</v>
      </c>
      <c r="BF18" s="1">
        <v>0</v>
      </c>
      <c r="BG18" s="170">
        <f>CPP!L18</f>
        <v>0</v>
      </c>
      <c r="BH18" s="1">
        <f t="shared" si="19"/>
        <v>0</v>
      </c>
      <c r="BI18" s="1">
        <f t="shared" si="54"/>
        <v>0</v>
      </c>
      <c r="BJ18" s="1">
        <v>0</v>
      </c>
      <c r="BK18" s="1">
        <v>0</v>
      </c>
      <c r="BL18" s="170">
        <f>CPP!M18</f>
        <v>0</v>
      </c>
      <c r="BM18" s="1">
        <f t="shared" si="55"/>
        <v>0</v>
      </c>
      <c r="BN18" s="1">
        <f t="shared" si="20"/>
        <v>0</v>
      </c>
      <c r="BO18" s="1">
        <v>0</v>
      </c>
      <c r="BP18" s="1">
        <v>0</v>
      </c>
      <c r="BQ18" s="170">
        <f>CPP!N18</f>
        <v>0</v>
      </c>
      <c r="BR18" s="1">
        <f t="shared" si="21"/>
        <v>0</v>
      </c>
      <c r="BS18" s="1">
        <f t="shared" si="22"/>
        <v>0</v>
      </c>
      <c r="BT18" s="1">
        <v>0</v>
      </c>
      <c r="BU18" s="1">
        <v>0</v>
      </c>
      <c r="BV18" s="170">
        <f>CPP!O18</f>
        <v>0</v>
      </c>
      <c r="BW18" s="1">
        <f t="shared" si="23"/>
        <v>0</v>
      </c>
      <c r="BX18" s="174">
        <f t="shared" si="56"/>
        <v>0</v>
      </c>
      <c r="BY18" s="1">
        <v>0</v>
      </c>
      <c r="BZ18" s="1">
        <v>0</v>
      </c>
      <c r="CA18" s="170"/>
      <c r="CB18" s="26">
        <f t="shared" si="24"/>
        <v>0</v>
      </c>
      <c r="CC18" s="1">
        <f t="shared" si="57"/>
        <v>0</v>
      </c>
      <c r="CD18" s="1">
        <v>0</v>
      </c>
      <c r="CE18" s="1">
        <v>0</v>
      </c>
      <c r="CF18" s="170">
        <f>CPP!P18</f>
        <v>0</v>
      </c>
      <c r="CG18" s="26">
        <f t="shared" si="25"/>
        <v>0</v>
      </c>
      <c r="CH18" s="1">
        <f t="shared" si="58"/>
        <v>0</v>
      </c>
      <c r="CI18" s="1">
        <v>0</v>
      </c>
      <c r="CJ18" s="1">
        <v>0</v>
      </c>
      <c r="CK18" s="170">
        <f>CPP!Q18</f>
        <v>0</v>
      </c>
      <c r="CL18" s="1">
        <f t="shared" si="26"/>
        <v>0</v>
      </c>
      <c r="CM18" s="1">
        <f t="shared" si="59"/>
        <v>5.0000000000181899E-2</v>
      </c>
      <c r="CN18" s="1">
        <v>0</v>
      </c>
      <c r="CO18" s="1">
        <v>0</v>
      </c>
      <c r="CP18" s="170">
        <f>CPP!R18</f>
        <v>0</v>
      </c>
      <c r="CQ18" s="1">
        <f t="shared" si="27"/>
        <v>5.0000000000181899E-2</v>
      </c>
      <c r="CR18" s="129">
        <f t="shared" si="60"/>
        <v>0</v>
      </c>
      <c r="CS18" s="1">
        <v>0</v>
      </c>
      <c r="CT18" s="1">
        <v>0</v>
      </c>
      <c r="CU18" s="171">
        <f>CPP!S18</f>
        <v>0</v>
      </c>
      <c r="CV18" s="129">
        <f t="shared" si="28"/>
        <v>0</v>
      </c>
      <c r="CW18" s="129">
        <f t="shared" si="61"/>
        <v>0</v>
      </c>
      <c r="CX18" s="1">
        <v>0</v>
      </c>
      <c r="CY18" s="1">
        <v>0</v>
      </c>
      <c r="CZ18" s="171">
        <f>CPP!T18</f>
        <v>0</v>
      </c>
      <c r="DA18" s="129">
        <f t="shared" si="29"/>
        <v>0</v>
      </c>
      <c r="DB18" s="129">
        <f t="shared" si="62"/>
        <v>306</v>
      </c>
      <c r="DC18" s="1">
        <v>0</v>
      </c>
      <c r="DD18" s="1">
        <v>0</v>
      </c>
      <c r="DE18" s="171">
        <f>CPP!U18</f>
        <v>0</v>
      </c>
      <c r="DF18" s="129">
        <f t="shared" si="30"/>
        <v>306</v>
      </c>
      <c r="DG18" s="129">
        <f t="shared" si="63"/>
        <v>0</v>
      </c>
      <c r="DH18" s="1">
        <v>0</v>
      </c>
      <c r="DI18" s="1">
        <v>0</v>
      </c>
      <c r="DJ18" s="171">
        <f>CPP!V18</f>
        <v>0</v>
      </c>
      <c r="DK18" s="129">
        <f t="shared" si="31"/>
        <v>0</v>
      </c>
      <c r="DL18" s="129">
        <f t="shared" si="64"/>
        <v>0</v>
      </c>
      <c r="DM18" s="1">
        <v>0</v>
      </c>
      <c r="DN18" s="1">
        <v>0</v>
      </c>
      <c r="DO18" s="171">
        <f>CPP!W18</f>
        <v>0</v>
      </c>
      <c r="DP18" s="129">
        <f t="shared" si="32"/>
        <v>0</v>
      </c>
      <c r="DQ18" s="129">
        <f t="shared" si="65"/>
        <v>4861.7200000000021</v>
      </c>
      <c r="DR18" s="1">
        <v>0</v>
      </c>
      <c r="DS18" s="1">
        <v>49.44</v>
      </c>
      <c r="DT18" s="171">
        <f>CPP!X18</f>
        <v>0</v>
      </c>
      <c r="DU18" s="129">
        <f t="shared" si="33"/>
        <v>4812.2800000000025</v>
      </c>
      <c r="DV18" s="129">
        <f t="shared" si="66"/>
        <v>0</v>
      </c>
      <c r="DW18" s="1">
        <v>0</v>
      </c>
      <c r="DX18" s="1">
        <v>0</v>
      </c>
      <c r="DY18" s="171">
        <f>CPP!Y18</f>
        <v>0</v>
      </c>
      <c r="DZ18" s="129">
        <f t="shared" si="34"/>
        <v>0</v>
      </c>
      <c r="EA18" s="129">
        <f t="shared" si="35"/>
        <v>12601.66699999999</v>
      </c>
      <c r="EB18" s="170">
        <f t="shared" si="36"/>
        <v>0</v>
      </c>
      <c r="EC18" s="170">
        <f t="shared" si="37"/>
        <v>244.44</v>
      </c>
      <c r="ED18" s="129">
        <f t="shared" si="38"/>
        <v>12357.22699999999</v>
      </c>
      <c r="EE18" s="18">
        <f t="shared" si="39"/>
        <v>11149.699999999997</v>
      </c>
      <c r="EF18" s="170">
        <f t="shared" si="40"/>
        <v>30</v>
      </c>
      <c r="EG18" s="170">
        <f>CPP!D18+CPP!E18+CPP!F18+CPP!G18+CPP!H18+CPP!I18+CPP!J18+CPP!K18+CPP!L18+CPP!M18+CPP!N18+CPP!O18+CPP!P18+CPP!Q18+CPP!R18+CPP!S18+CZ18+DE18+DJ18+CPP!W18+DT18</f>
        <v>143</v>
      </c>
      <c r="EH18" s="18">
        <f>EE18+EF18-CPP!G18-CPP!E18-CPP!F18-CPP!P18-CPP!Q18-CK18-CP18-DT18</f>
        <v>11036.699999999997</v>
      </c>
      <c r="EI18" s="16">
        <f t="shared" si="41"/>
        <v>14954.670088769548</v>
      </c>
      <c r="EJ18" s="1">
        <v>1510</v>
      </c>
      <c r="EK18" s="255">
        <f>'Daily CEM-1'!AG19+'Daily  CEM - 2'!AF19-EP18</f>
        <v>271.75</v>
      </c>
      <c r="EL18" s="9">
        <f t="shared" si="42"/>
        <v>16192.920088769548</v>
      </c>
      <c r="EM18" s="1">
        <v>0</v>
      </c>
      <c r="EN18" s="18">
        <f>EQ17</f>
        <v>2842.6490080001358</v>
      </c>
      <c r="EO18" s="1">
        <v>419.11</v>
      </c>
      <c r="EP18" s="1">
        <v>1131.9000000000001</v>
      </c>
      <c r="EQ18" s="17">
        <f>EN18+EO18-EP18</f>
        <v>2129.8590080001359</v>
      </c>
      <c r="ER18">
        <f t="shared" si="44"/>
        <v>370.87</v>
      </c>
      <c r="ES18">
        <v>789.98</v>
      </c>
      <c r="ET18" s="51">
        <f t="shared" si="45"/>
        <v>1403.65</v>
      </c>
    </row>
    <row r="19" spans="2:150" s="324" customFormat="1" x14ac:dyDescent="0.25">
      <c r="B19" s="351">
        <v>17</v>
      </c>
      <c r="C19" s="352">
        <f t="shared" si="3"/>
        <v>4659.6399999999994</v>
      </c>
      <c r="D19" s="1">
        <v>0</v>
      </c>
      <c r="E19" s="353">
        <f>F19+'RAW MILL 2'!F19</f>
        <v>53</v>
      </c>
      <c r="F19" s="1">
        <v>49</v>
      </c>
      <c r="G19" s="354">
        <f t="shared" si="4"/>
        <v>4606.6399999999994</v>
      </c>
      <c r="H19" s="352">
        <f t="shared" si="5"/>
        <v>-835.70998316248006</v>
      </c>
      <c r="I19" s="355">
        <f>Production2!N19</f>
        <v>2214</v>
      </c>
      <c r="J19" s="355">
        <f>Production2!K19</f>
        <v>2332.75</v>
      </c>
      <c r="K19" s="18">
        <f t="shared" si="6"/>
        <v>-954.45998316248006</v>
      </c>
      <c r="L19" s="357">
        <f t="shared" si="7"/>
        <v>0</v>
      </c>
      <c r="M19" s="325">
        <v>0</v>
      </c>
      <c r="N19" s="355">
        <f>CPP!D19</f>
        <v>0</v>
      </c>
      <c r="O19" s="325">
        <v>0</v>
      </c>
      <c r="P19" s="355">
        <f t="shared" si="0"/>
        <v>0</v>
      </c>
      <c r="Q19" s="354">
        <f t="shared" si="48"/>
        <v>0</v>
      </c>
      <c r="R19" s="352">
        <f t="shared" si="8"/>
        <v>0</v>
      </c>
      <c r="S19" s="325">
        <v>0</v>
      </c>
      <c r="T19" s="355">
        <f>CPP!E19</f>
        <v>0</v>
      </c>
      <c r="U19" s="358">
        <v>0</v>
      </c>
      <c r="V19" s="359">
        <f t="shared" si="9"/>
        <v>0</v>
      </c>
      <c r="W19" s="354">
        <f t="shared" si="10"/>
        <v>0</v>
      </c>
      <c r="X19" s="352">
        <f t="shared" si="11"/>
        <v>7238.6599999999971</v>
      </c>
      <c r="Y19" s="1">
        <v>0</v>
      </c>
      <c r="Z19" s="355">
        <f>CPP!H19</f>
        <v>0</v>
      </c>
      <c r="AA19" s="1">
        <v>243.33</v>
      </c>
      <c r="AB19" s="354">
        <f t="shared" si="12"/>
        <v>6995.3299999999972</v>
      </c>
      <c r="AC19" s="352">
        <f t="shared" si="13"/>
        <v>0</v>
      </c>
      <c r="AD19" s="325">
        <v>0</v>
      </c>
      <c r="AE19" s="325">
        <v>0</v>
      </c>
      <c r="AF19" s="354">
        <f t="shared" si="1"/>
        <v>0</v>
      </c>
      <c r="AG19" s="352">
        <f t="shared" si="14"/>
        <v>11036.649999999998</v>
      </c>
      <c r="AH19" s="1">
        <v>0</v>
      </c>
      <c r="AI19" s="343">
        <f>CPP!G19</f>
        <v>138</v>
      </c>
      <c r="AJ19" s="354">
        <f t="shared" si="2"/>
        <v>10898.649999999998</v>
      </c>
      <c r="AK19" s="360">
        <f t="shared" si="49"/>
        <v>0</v>
      </c>
      <c r="AL19" s="325">
        <v>0</v>
      </c>
      <c r="AM19" s="325">
        <v>0</v>
      </c>
      <c r="AN19" s="356">
        <f t="shared" si="15"/>
        <v>0</v>
      </c>
      <c r="AO19" s="360">
        <f t="shared" si="50"/>
        <v>0</v>
      </c>
      <c r="AP19" s="325">
        <v>0</v>
      </c>
      <c r="AQ19" s="325">
        <v>0</v>
      </c>
      <c r="AR19" s="361">
        <f>CPP!I19</f>
        <v>0</v>
      </c>
      <c r="AS19" s="360">
        <f t="shared" si="16"/>
        <v>0</v>
      </c>
      <c r="AT19" s="325">
        <f t="shared" si="51"/>
        <v>0</v>
      </c>
      <c r="AU19" s="325">
        <v>0</v>
      </c>
      <c r="AV19" s="325">
        <v>0</v>
      </c>
      <c r="AW19" s="343">
        <f>CPP!J19</f>
        <v>0</v>
      </c>
      <c r="AX19" s="325">
        <f t="shared" si="17"/>
        <v>0</v>
      </c>
      <c r="AY19" s="325">
        <f t="shared" si="52"/>
        <v>0.286999999990248</v>
      </c>
      <c r="AZ19" s="1">
        <v>0</v>
      </c>
      <c r="BA19" s="1">
        <v>0</v>
      </c>
      <c r="BB19" s="343">
        <f>CPP!K19</f>
        <v>0</v>
      </c>
      <c r="BC19" s="325">
        <f t="shared" si="18"/>
        <v>0.286999999990248</v>
      </c>
      <c r="BD19" s="325">
        <f t="shared" si="53"/>
        <v>0</v>
      </c>
      <c r="BE19" s="325">
        <v>0</v>
      </c>
      <c r="BF19" s="325">
        <v>0</v>
      </c>
      <c r="BG19" s="343">
        <f>CPP!L19</f>
        <v>0</v>
      </c>
      <c r="BH19" s="325">
        <f t="shared" si="19"/>
        <v>0</v>
      </c>
      <c r="BI19" s="325">
        <f t="shared" si="54"/>
        <v>0</v>
      </c>
      <c r="BJ19" s="325">
        <v>0</v>
      </c>
      <c r="BK19" s="325">
        <v>0</v>
      </c>
      <c r="BL19" s="343">
        <f>CPP!M19</f>
        <v>0</v>
      </c>
      <c r="BM19" s="325">
        <f t="shared" si="55"/>
        <v>0</v>
      </c>
      <c r="BN19" s="325">
        <f t="shared" si="20"/>
        <v>0</v>
      </c>
      <c r="BO19" s="325">
        <v>0</v>
      </c>
      <c r="BP19" s="325">
        <v>0</v>
      </c>
      <c r="BQ19" s="343">
        <f>CPP!N19</f>
        <v>0</v>
      </c>
      <c r="BR19" s="325">
        <f t="shared" si="21"/>
        <v>0</v>
      </c>
      <c r="BS19" s="325">
        <f t="shared" si="22"/>
        <v>0</v>
      </c>
      <c r="BT19" s="325">
        <v>0</v>
      </c>
      <c r="BU19" s="325">
        <v>0</v>
      </c>
      <c r="BV19" s="343">
        <f>CPP!O19</f>
        <v>0</v>
      </c>
      <c r="BW19" s="325">
        <f t="shared" si="23"/>
        <v>0</v>
      </c>
      <c r="BX19" s="362">
        <f t="shared" si="56"/>
        <v>0</v>
      </c>
      <c r="BY19" s="325">
        <v>0</v>
      </c>
      <c r="BZ19" s="325">
        <v>0</v>
      </c>
      <c r="CA19" s="343"/>
      <c r="CB19" s="358">
        <f t="shared" si="24"/>
        <v>0</v>
      </c>
      <c r="CC19" s="325">
        <f t="shared" si="57"/>
        <v>0</v>
      </c>
      <c r="CD19" s="325">
        <v>0</v>
      </c>
      <c r="CE19" s="325">
        <v>0</v>
      </c>
      <c r="CF19" s="343">
        <f>CPP!P19</f>
        <v>0</v>
      </c>
      <c r="CG19" s="358">
        <f t="shared" si="25"/>
        <v>0</v>
      </c>
      <c r="CH19" s="325">
        <f t="shared" si="58"/>
        <v>0</v>
      </c>
      <c r="CI19" s="325">
        <v>0</v>
      </c>
      <c r="CJ19" s="325">
        <v>0</v>
      </c>
      <c r="CK19" s="343">
        <f>CPP!Q19</f>
        <v>0</v>
      </c>
      <c r="CL19" s="325">
        <f t="shared" si="26"/>
        <v>0</v>
      </c>
      <c r="CM19" s="325">
        <f t="shared" si="59"/>
        <v>5.0000000000181899E-2</v>
      </c>
      <c r="CN19" s="325">
        <v>0</v>
      </c>
      <c r="CO19" s="325">
        <v>0</v>
      </c>
      <c r="CP19" s="343">
        <f>CPP!R19</f>
        <v>0</v>
      </c>
      <c r="CQ19" s="325">
        <f t="shared" si="27"/>
        <v>5.0000000000181899E-2</v>
      </c>
      <c r="CR19" s="360">
        <f t="shared" si="60"/>
        <v>0</v>
      </c>
      <c r="CS19" s="325">
        <v>0</v>
      </c>
      <c r="CT19" s="325">
        <v>0</v>
      </c>
      <c r="CU19" s="361">
        <f>CPP!S19</f>
        <v>0</v>
      </c>
      <c r="CV19" s="360">
        <f t="shared" si="28"/>
        <v>0</v>
      </c>
      <c r="CW19" s="360">
        <f t="shared" si="61"/>
        <v>0</v>
      </c>
      <c r="CX19" s="325">
        <v>0</v>
      </c>
      <c r="CY19" s="325">
        <v>0</v>
      </c>
      <c r="CZ19" s="361">
        <f>CPP!T19</f>
        <v>0</v>
      </c>
      <c r="DA19" s="360">
        <f t="shared" si="29"/>
        <v>0</v>
      </c>
      <c r="DB19" s="360">
        <f t="shared" si="62"/>
        <v>306</v>
      </c>
      <c r="DC19" s="325">
        <v>0</v>
      </c>
      <c r="DD19" s="325">
        <v>0</v>
      </c>
      <c r="DE19" s="361">
        <f>CPP!U19</f>
        <v>0</v>
      </c>
      <c r="DF19" s="360">
        <f t="shared" si="30"/>
        <v>306</v>
      </c>
      <c r="DG19" s="360">
        <f t="shared" si="63"/>
        <v>0</v>
      </c>
      <c r="DH19" s="325">
        <v>0</v>
      </c>
      <c r="DI19" s="325">
        <v>0</v>
      </c>
      <c r="DJ19" s="361">
        <f>CPP!V19</f>
        <v>0</v>
      </c>
      <c r="DK19" s="360">
        <f t="shared" si="31"/>
        <v>0</v>
      </c>
      <c r="DL19" s="360">
        <f t="shared" si="64"/>
        <v>0</v>
      </c>
      <c r="DM19" s="325">
        <v>0</v>
      </c>
      <c r="DN19" s="325">
        <v>0</v>
      </c>
      <c r="DO19" s="361">
        <f>CPP!W19</f>
        <v>0</v>
      </c>
      <c r="DP19" s="360">
        <f t="shared" si="32"/>
        <v>0</v>
      </c>
      <c r="DQ19" s="360">
        <f t="shared" si="65"/>
        <v>4812.2800000000025</v>
      </c>
      <c r="DR19" s="1">
        <v>0</v>
      </c>
      <c r="DS19" s="1">
        <v>0</v>
      </c>
      <c r="DT19" s="361">
        <f>CPP!X19</f>
        <v>10</v>
      </c>
      <c r="DU19" s="360">
        <f t="shared" si="33"/>
        <v>4802.2800000000025</v>
      </c>
      <c r="DV19" s="360">
        <f t="shared" si="66"/>
        <v>0</v>
      </c>
      <c r="DW19" s="325">
        <v>0</v>
      </c>
      <c r="DX19" s="325">
        <v>0</v>
      </c>
      <c r="DY19" s="361">
        <f>CPP!Y19</f>
        <v>0</v>
      </c>
      <c r="DZ19" s="360">
        <f t="shared" si="34"/>
        <v>0</v>
      </c>
      <c r="EA19" s="129">
        <f t="shared" si="35"/>
        <v>12357.22699999999</v>
      </c>
      <c r="EB19" s="170">
        <f t="shared" si="36"/>
        <v>0</v>
      </c>
      <c r="EC19" s="170">
        <f t="shared" si="37"/>
        <v>243.33</v>
      </c>
      <c r="ED19" s="129">
        <f t="shared" si="38"/>
        <v>12103.89699999999</v>
      </c>
      <c r="EE19" s="18">
        <f t="shared" si="39"/>
        <v>11036.699999999997</v>
      </c>
      <c r="EF19" s="170">
        <f t="shared" si="40"/>
        <v>0</v>
      </c>
      <c r="EG19" s="343">
        <f>CPP!D19+CPP!E19+CPP!F19+CPP!G19+CPP!H19+CPP!I19+CPP!J19+CPP!K19+CPP!L19+CPP!M19+CPP!N19+CPP!O19+CPP!P19+CPP!Q19+CPP!R19+CPP!S19+CZ19+DE19+DJ19+CPP!W19+DT19</f>
        <v>148</v>
      </c>
      <c r="EH19" s="356">
        <f>EE19+EF19-CPP!G19-CPP!E19-CPP!F19-CPP!P19-CPP!Q19-CK19-CP19-DT19</f>
        <v>10888.699999999997</v>
      </c>
      <c r="EI19" s="363">
        <f t="shared" si="41"/>
        <v>16192.920088769548</v>
      </c>
      <c r="EJ19" s="1">
        <v>1505</v>
      </c>
      <c r="EK19" s="364">
        <f>'Daily CEM-1'!AG20+'Daily  CEM - 2'!AF20-EP19</f>
        <v>685.00000019200002</v>
      </c>
      <c r="EL19" s="354">
        <f t="shared" si="42"/>
        <v>17012.920088577546</v>
      </c>
      <c r="EM19" s="325">
        <v>0</v>
      </c>
      <c r="EN19" s="356">
        <f t="shared" si="67"/>
        <v>2129.8590080001359</v>
      </c>
      <c r="EO19" s="1">
        <v>0</v>
      </c>
      <c r="EP19" s="1">
        <v>0</v>
      </c>
      <c r="EQ19" s="365">
        <f t="shared" si="43"/>
        <v>2129.8590080001359</v>
      </c>
      <c r="ER19" s="324">
        <f t="shared" si="44"/>
        <v>1597.29</v>
      </c>
      <c r="ES19" s="324">
        <v>1597.29</v>
      </c>
      <c r="ET19" s="366">
        <f t="shared" si="45"/>
        <v>685.00000019200002</v>
      </c>
    </row>
    <row r="20" spans="2:150" x14ac:dyDescent="0.25">
      <c r="B20" s="4">
        <v>18</v>
      </c>
      <c r="C20" s="39">
        <f t="shared" si="3"/>
        <v>4606.6399999999994</v>
      </c>
      <c r="D20" s="1">
        <v>0</v>
      </c>
      <c r="E20" s="271">
        <f>F20+'RAW MILL 2'!F20</f>
        <v>43</v>
      </c>
      <c r="F20" s="1">
        <v>39</v>
      </c>
      <c r="G20" s="9">
        <f t="shared" si="4"/>
        <v>4563.6399999999994</v>
      </c>
      <c r="H20" s="39">
        <f t="shared" si="5"/>
        <v>-954.45998316248006</v>
      </c>
      <c r="I20" s="33">
        <f>Production2!N20</f>
        <v>1729</v>
      </c>
      <c r="J20" s="33">
        <f>Production2!K20</f>
        <v>2123.5</v>
      </c>
      <c r="K20" s="18">
        <f t="shared" si="6"/>
        <v>-1348.9599831624801</v>
      </c>
      <c r="L20" s="49">
        <f t="shared" si="7"/>
        <v>0</v>
      </c>
      <c r="M20" s="1">
        <v>0</v>
      </c>
      <c r="N20" s="33">
        <f>CPP!D20</f>
        <v>0</v>
      </c>
      <c r="O20" s="1">
        <v>0</v>
      </c>
      <c r="P20" s="33">
        <f t="shared" si="0"/>
        <v>0</v>
      </c>
      <c r="Q20" s="9">
        <f t="shared" si="48"/>
        <v>0</v>
      </c>
      <c r="R20" s="39">
        <f t="shared" si="8"/>
        <v>0</v>
      </c>
      <c r="S20" s="1">
        <v>0</v>
      </c>
      <c r="T20" s="33">
        <f>CPP!E20</f>
        <v>0</v>
      </c>
      <c r="U20" s="26">
        <v>0</v>
      </c>
      <c r="V20" s="38">
        <f t="shared" si="9"/>
        <v>0</v>
      </c>
      <c r="W20" s="9">
        <f t="shared" si="10"/>
        <v>0</v>
      </c>
      <c r="X20" s="39">
        <f t="shared" si="11"/>
        <v>6995.3299999999972</v>
      </c>
      <c r="Y20" s="1">
        <v>0</v>
      </c>
      <c r="Z20" s="33">
        <f>CPP!H20</f>
        <v>0</v>
      </c>
      <c r="AA20" s="1">
        <v>244.44</v>
      </c>
      <c r="AB20" s="9">
        <f t="shared" si="12"/>
        <v>6750.8899999999976</v>
      </c>
      <c r="AC20" s="39">
        <f t="shared" si="13"/>
        <v>0</v>
      </c>
      <c r="AD20" s="1">
        <v>0</v>
      </c>
      <c r="AE20" s="1">
        <v>0</v>
      </c>
      <c r="AF20" s="9">
        <f t="shared" si="1"/>
        <v>0</v>
      </c>
      <c r="AG20" s="39">
        <f t="shared" si="14"/>
        <v>10898.649999999998</v>
      </c>
      <c r="AH20" s="1">
        <v>0</v>
      </c>
      <c r="AI20" s="170">
        <f>CPP!G20</f>
        <v>127</v>
      </c>
      <c r="AJ20" s="9">
        <f t="shared" si="2"/>
        <v>10771.649999999998</v>
      </c>
      <c r="AK20" s="129">
        <f t="shared" si="49"/>
        <v>0</v>
      </c>
      <c r="AL20" s="1">
        <v>0</v>
      </c>
      <c r="AM20" s="1">
        <v>0</v>
      </c>
      <c r="AN20" s="18">
        <f t="shared" si="15"/>
        <v>0</v>
      </c>
      <c r="AO20" s="129">
        <f t="shared" si="50"/>
        <v>0</v>
      </c>
      <c r="AP20" s="1">
        <v>0</v>
      </c>
      <c r="AQ20" s="1">
        <v>0</v>
      </c>
      <c r="AR20" s="171">
        <f>CPP!I20</f>
        <v>0</v>
      </c>
      <c r="AS20" s="129">
        <f t="shared" si="16"/>
        <v>0</v>
      </c>
      <c r="AT20" s="1">
        <f t="shared" si="51"/>
        <v>0</v>
      </c>
      <c r="AU20" s="1">
        <v>0</v>
      </c>
      <c r="AV20" s="1">
        <v>0</v>
      </c>
      <c r="AW20" s="170">
        <f>CPP!J20</f>
        <v>0</v>
      </c>
      <c r="AX20" s="1">
        <f t="shared" si="17"/>
        <v>0</v>
      </c>
      <c r="AY20" s="1">
        <f t="shared" si="52"/>
        <v>0.286999999990248</v>
      </c>
      <c r="AZ20" s="1">
        <v>0</v>
      </c>
      <c r="BA20" s="1">
        <v>0</v>
      </c>
      <c r="BB20" s="170">
        <f>CPP!K20</f>
        <v>0</v>
      </c>
      <c r="BC20" s="1">
        <f t="shared" si="18"/>
        <v>0.286999999990248</v>
      </c>
      <c r="BD20" s="1">
        <f t="shared" si="53"/>
        <v>0</v>
      </c>
      <c r="BE20" s="1">
        <v>0</v>
      </c>
      <c r="BF20" s="1">
        <v>0</v>
      </c>
      <c r="BG20" s="170">
        <f>CPP!L20</f>
        <v>0</v>
      </c>
      <c r="BH20" s="1">
        <f t="shared" si="19"/>
        <v>0</v>
      </c>
      <c r="BI20" s="1">
        <f t="shared" si="54"/>
        <v>0</v>
      </c>
      <c r="BJ20" s="1">
        <v>0</v>
      </c>
      <c r="BK20" s="1">
        <v>0</v>
      </c>
      <c r="BL20" s="170">
        <f>CPP!M20</f>
        <v>0</v>
      </c>
      <c r="BM20" s="1">
        <f t="shared" si="55"/>
        <v>0</v>
      </c>
      <c r="BN20" s="1">
        <f t="shared" si="20"/>
        <v>0</v>
      </c>
      <c r="BO20" s="1">
        <v>0</v>
      </c>
      <c r="BP20" s="1">
        <v>0</v>
      </c>
      <c r="BQ20" s="170">
        <f>CPP!N20</f>
        <v>0</v>
      </c>
      <c r="BR20" s="1">
        <f t="shared" si="21"/>
        <v>0</v>
      </c>
      <c r="BS20" s="1">
        <f t="shared" si="22"/>
        <v>0</v>
      </c>
      <c r="BT20" s="1">
        <v>0</v>
      </c>
      <c r="BU20" s="1">
        <v>0</v>
      </c>
      <c r="BV20" s="170">
        <f>CPP!O20</f>
        <v>0</v>
      </c>
      <c r="BW20" s="1">
        <f t="shared" si="23"/>
        <v>0</v>
      </c>
      <c r="BX20" s="174">
        <f t="shared" si="56"/>
        <v>0</v>
      </c>
      <c r="BY20" s="1">
        <v>0</v>
      </c>
      <c r="BZ20" s="1">
        <v>0</v>
      </c>
      <c r="CA20" s="170"/>
      <c r="CB20" s="26">
        <f t="shared" si="24"/>
        <v>0</v>
      </c>
      <c r="CC20" s="1">
        <f t="shared" si="57"/>
        <v>0</v>
      </c>
      <c r="CD20" s="1">
        <v>0</v>
      </c>
      <c r="CE20" s="1">
        <v>0</v>
      </c>
      <c r="CF20" s="170">
        <f>CPP!P20</f>
        <v>0</v>
      </c>
      <c r="CG20" s="26">
        <f t="shared" si="25"/>
        <v>0</v>
      </c>
      <c r="CH20" s="1">
        <f t="shared" si="58"/>
        <v>0</v>
      </c>
      <c r="CI20" s="1">
        <v>0</v>
      </c>
      <c r="CJ20" s="1">
        <v>0</v>
      </c>
      <c r="CK20" s="170">
        <f>CPP!Q20</f>
        <v>0</v>
      </c>
      <c r="CL20" s="1">
        <f t="shared" si="26"/>
        <v>0</v>
      </c>
      <c r="CM20" s="1">
        <f t="shared" si="59"/>
        <v>5.0000000000181899E-2</v>
      </c>
      <c r="CN20" s="1">
        <v>0</v>
      </c>
      <c r="CO20" s="1">
        <v>0</v>
      </c>
      <c r="CP20" s="170">
        <f>CPP!R20</f>
        <v>0</v>
      </c>
      <c r="CQ20" s="1">
        <f t="shared" si="27"/>
        <v>5.0000000000181899E-2</v>
      </c>
      <c r="CR20" s="129">
        <f t="shared" si="60"/>
        <v>0</v>
      </c>
      <c r="CS20" s="1">
        <v>0</v>
      </c>
      <c r="CT20" s="1">
        <v>0</v>
      </c>
      <c r="CU20" s="171">
        <f>CPP!S20</f>
        <v>0</v>
      </c>
      <c r="CV20" s="129">
        <f t="shared" si="28"/>
        <v>0</v>
      </c>
      <c r="CW20" s="129">
        <f t="shared" si="61"/>
        <v>0</v>
      </c>
      <c r="CX20" s="1">
        <v>0</v>
      </c>
      <c r="CY20" s="1">
        <v>0</v>
      </c>
      <c r="CZ20" s="171">
        <f>CPP!T20</f>
        <v>0</v>
      </c>
      <c r="DA20" s="129">
        <f t="shared" si="29"/>
        <v>0</v>
      </c>
      <c r="DB20" s="129">
        <f t="shared" si="62"/>
        <v>306</v>
      </c>
      <c r="DC20" s="1">
        <v>0</v>
      </c>
      <c r="DD20" s="1">
        <v>0</v>
      </c>
      <c r="DE20" s="171">
        <f>CPP!U20</f>
        <v>0</v>
      </c>
      <c r="DF20" s="129">
        <f t="shared" si="30"/>
        <v>306</v>
      </c>
      <c r="DG20" s="129">
        <f t="shared" si="63"/>
        <v>0</v>
      </c>
      <c r="DH20" s="1">
        <v>0</v>
      </c>
      <c r="DI20" s="1">
        <v>0</v>
      </c>
      <c r="DJ20" s="171">
        <f>CPP!V20</f>
        <v>0</v>
      </c>
      <c r="DK20" s="129">
        <f t="shared" si="31"/>
        <v>0</v>
      </c>
      <c r="DL20" s="129">
        <f t="shared" si="64"/>
        <v>0</v>
      </c>
      <c r="DM20" s="1">
        <v>0</v>
      </c>
      <c r="DN20" s="1">
        <v>0</v>
      </c>
      <c r="DO20" s="171">
        <f>CPP!W20</f>
        <v>0</v>
      </c>
      <c r="DP20" s="129">
        <f t="shared" si="32"/>
        <v>0</v>
      </c>
      <c r="DQ20" s="129">
        <f t="shared" si="65"/>
        <v>4802.2800000000025</v>
      </c>
      <c r="DR20" s="1">
        <v>0</v>
      </c>
      <c r="DS20" s="1">
        <v>0</v>
      </c>
      <c r="DT20" s="171">
        <f>CPP!X20</f>
        <v>10</v>
      </c>
      <c r="DU20" s="129">
        <f t="shared" si="33"/>
        <v>4792.2800000000025</v>
      </c>
      <c r="DV20" s="129">
        <f t="shared" si="66"/>
        <v>0</v>
      </c>
      <c r="DW20" s="1">
        <v>0</v>
      </c>
      <c r="DX20" s="1">
        <v>0</v>
      </c>
      <c r="DY20" s="171">
        <f>CPP!Y20</f>
        <v>0</v>
      </c>
      <c r="DZ20" s="129">
        <f t="shared" si="34"/>
        <v>0</v>
      </c>
      <c r="EA20" s="129">
        <f t="shared" si="35"/>
        <v>12103.89699999999</v>
      </c>
      <c r="EB20" s="170">
        <f t="shared" si="36"/>
        <v>0</v>
      </c>
      <c r="EC20" s="170">
        <f t="shared" si="37"/>
        <v>244.44</v>
      </c>
      <c r="ED20" s="129">
        <f t="shared" si="38"/>
        <v>11849.456999999989</v>
      </c>
      <c r="EE20" s="18">
        <f t="shared" si="39"/>
        <v>10898.699999999997</v>
      </c>
      <c r="EF20" s="170">
        <f t="shared" si="40"/>
        <v>0</v>
      </c>
      <c r="EG20" s="170">
        <f>CPP!D20+CPP!E20+CPP!F20+CPP!G20+CPP!H20+CPP!I20+CPP!J20+CPP!K20+CPP!L20+CPP!M20+CPP!N20+CPP!O20+CPP!P20+CPP!Q20+CPP!R20+CPP!S20+CZ20+DE20+DJ20+CPP!W20+DT20</f>
        <v>137</v>
      </c>
      <c r="EH20" s="18">
        <f>EE20+EF20-CPP!G20-CPP!E20-CPP!F20-CPP!P20-CPP!Q20-CK20-CP20-DT20</f>
        <v>10761.699999999997</v>
      </c>
      <c r="EI20" s="16">
        <f t="shared" si="41"/>
        <v>17012.920088577546</v>
      </c>
      <c r="EJ20" s="1">
        <v>1370</v>
      </c>
      <c r="EK20" s="255">
        <f>'Daily CEM-1'!AG21+'Daily  CEM - 2'!AF21-EP20</f>
        <v>1306.2500003342998</v>
      </c>
      <c r="EL20" s="9">
        <f t="shared" si="42"/>
        <v>17076.670088243245</v>
      </c>
      <c r="EM20" s="1">
        <v>0</v>
      </c>
      <c r="EN20" s="18">
        <f t="shared" si="67"/>
        <v>2129.8590080001359</v>
      </c>
      <c r="EO20" s="1">
        <v>730.21</v>
      </c>
      <c r="EP20" s="1">
        <v>0</v>
      </c>
      <c r="EQ20" s="17">
        <f t="shared" si="43"/>
        <v>2860.0690080001359</v>
      </c>
      <c r="ER20">
        <f t="shared" si="44"/>
        <v>592.78</v>
      </c>
      <c r="ES20">
        <v>1322.99</v>
      </c>
      <c r="ET20" s="51">
        <f t="shared" si="45"/>
        <v>1306.2500003342998</v>
      </c>
    </row>
    <row r="21" spans="2:150" s="324" customFormat="1" x14ac:dyDescent="0.25">
      <c r="B21" s="351">
        <v>19</v>
      </c>
      <c r="C21" s="352">
        <f t="shared" si="3"/>
        <v>4563.6399999999994</v>
      </c>
      <c r="D21" s="1">
        <v>0</v>
      </c>
      <c r="E21" s="271">
        <f>F21+'RAW MILL 2'!F21</f>
        <v>42</v>
      </c>
      <c r="F21" s="1">
        <v>40</v>
      </c>
      <c r="G21" s="354">
        <f t="shared" si="4"/>
        <v>4521.6399999999994</v>
      </c>
      <c r="H21" s="352">
        <f t="shared" si="5"/>
        <v>-1348.9599831624801</v>
      </c>
      <c r="I21" s="355">
        <f>Production2!N21</f>
        <v>1730</v>
      </c>
      <c r="J21" s="355">
        <f>Production2!K21</f>
        <v>1953</v>
      </c>
      <c r="K21" s="18">
        <f t="shared" si="6"/>
        <v>-1571.9599831624801</v>
      </c>
      <c r="L21" s="357">
        <f t="shared" si="7"/>
        <v>0</v>
      </c>
      <c r="M21" s="325">
        <v>0</v>
      </c>
      <c r="N21" s="355">
        <f>CPP!D21</f>
        <v>0</v>
      </c>
      <c r="O21" s="325">
        <v>0</v>
      </c>
      <c r="P21" s="355">
        <f t="shared" si="0"/>
        <v>0</v>
      </c>
      <c r="Q21" s="354">
        <f t="shared" si="48"/>
        <v>0</v>
      </c>
      <c r="R21" s="352">
        <f t="shared" si="8"/>
        <v>0</v>
      </c>
      <c r="S21" s="325">
        <v>0</v>
      </c>
      <c r="T21" s="355">
        <f>CPP!E21</f>
        <v>0</v>
      </c>
      <c r="U21" s="358">
        <v>0</v>
      </c>
      <c r="V21" s="359">
        <f t="shared" si="9"/>
        <v>0</v>
      </c>
      <c r="W21" s="354">
        <f t="shared" si="10"/>
        <v>0</v>
      </c>
      <c r="X21" s="352">
        <f t="shared" si="11"/>
        <v>6750.8899999999976</v>
      </c>
      <c r="Y21" s="1">
        <v>0</v>
      </c>
      <c r="Z21" s="355">
        <f>CPP!H21</f>
        <v>0</v>
      </c>
      <c r="AA21" s="1">
        <v>172</v>
      </c>
      <c r="AB21" s="354">
        <f t="shared" si="12"/>
        <v>6578.8899999999976</v>
      </c>
      <c r="AC21" s="352">
        <f t="shared" si="13"/>
        <v>0</v>
      </c>
      <c r="AD21" s="325">
        <v>0</v>
      </c>
      <c r="AE21" s="325">
        <v>0</v>
      </c>
      <c r="AF21" s="354">
        <f t="shared" si="1"/>
        <v>0</v>
      </c>
      <c r="AG21" s="352">
        <f t="shared" si="14"/>
        <v>10771.649999999998</v>
      </c>
      <c r="AH21" s="1">
        <v>0</v>
      </c>
      <c r="AI21" s="343">
        <f>CPP!G21</f>
        <v>132</v>
      </c>
      <c r="AJ21" s="354">
        <f t="shared" si="2"/>
        <v>10639.649999999998</v>
      </c>
      <c r="AK21" s="360">
        <f t="shared" si="49"/>
        <v>0</v>
      </c>
      <c r="AL21" s="325">
        <v>0</v>
      </c>
      <c r="AM21" s="325">
        <v>0</v>
      </c>
      <c r="AN21" s="356">
        <f t="shared" si="15"/>
        <v>0</v>
      </c>
      <c r="AO21" s="360">
        <f t="shared" si="50"/>
        <v>0</v>
      </c>
      <c r="AP21" s="325">
        <v>0</v>
      </c>
      <c r="AQ21" s="325">
        <v>0</v>
      </c>
      <c r="AR21" s="361">
        <f>CPP!I21</f>
        <v>0</v>
      </c>
      <c r="AS21" s="360">
        <f t="shared" si="16"/>
        <v>0</v>
      </c>
      <c r="AT21" s="325">
        <f t="shared" si="51"/>
        <v>0</v>
      </c>
      <c r="AU21" s="325">
        <v>0</v>
      </c>
      <c r="AV21" s="325">
        <v>0</v>
      </c>
      <c r="AW21" s="343">
        <f>CPP!J21</f>
        <v>0</v>
      </c>
      <c r="AX21" s="325">
        <f t="shared" si="17"/>
        <v>0</v>
      </c>
      <c r="AY21" s="325">
        <f t="shared" si="52"/>
        <v>0.286999999990248</v>
      </c>
      <c r="AZ21" s="1">
        <v>0</v>
      </c>
      <c r="BA21" s="1">
        <v>0</v>
      </c>
      <c r="BB21" s="343">
        <f>CPP!K21</f>
        <v>0</v>
      </c>
      <c r="BC21" s="325">
        <f t="shared" si="18"/>
        <v>0.286999999990248</v>
      </c>
      <c r="BD21" s="325">
        <f t="shared" si="53"/>
        <v>0</v>
      </c>
      <c r="BE21" s="325">
        <v>0</v>
      </c>
      <c r="BF21" s="325">
        <v>0</v>
      </c>
      <c r="BG21" s="343">
        <f>CPP!L21</f>
        <v>0</v>
      </c>
      <c r="BH21" s="325">
        <f t="shared" si="19"/>
        <v>0</v>
      </c>
      <c r="BI21" s="325">
        <f t="shared" si="54"/>
        <v>0</v>
      </c>
      <c r="BJ21" s="325">
        <v>0</v>
      </c>
      <c r="BK21" s="325">
        <v>0</v>
      </c>
      <c r="BL21" s="343">
        <f>CPP!M21</f>
        <v>0</v>
      </c>
      <c r="BM21" s="325">
        <f t="shared" si="55"/>
        <v>0</v>
      </c>
      <c r="BN21" s="325">
        <f t="shared" si="20"/>
        <v>0</v>
      </c>
      <c r="BO21" s="325">
        <v>0</v>
      </c>
      <c r="BP21" s="325">
        <v>0</v>
      </c>
      <c r="BQ21" s="343">
        <f>CPP!N21</f>
        <v>0</v>
      </c>
      <c r="BR21" s="325">
        <f t="shared" si="21"/>
        <v>0</v>
      </c>
      <c r="BS21" s="325">
        <f t="shared" si="22"/>
        <v>0</v>
      </c>
      <c r="BT21" s="325">
        <v>0</v>
      </c>
      <c r="BU21" s="325">
        <v>0</v>
      </c>
      <c r="BV21" s="343">
        <f>CPP!O21</f>
        <v>0</v>
      </c>
      <c r="BW21" s="325">
        <f t="shared" si="23"/>
        <v>0</v>
      </c>
      <c r="BX21" s="362">
        <f t="shared" si="56"/>
        <v>0</v>
      </c>
      <c r="BY21" s="325">
        <v>0</v>
      </c>
      <c r="BZ21" s="325">
        <v>0</v>
      </c>
      <c r="CA21" s="343"/>
      <c r="CB21" s="358">
        <f t="shared" si="24"/>
        <v>0</v>
      </c>
      <c r="CC21" s="325">
        <f t="shared" si="57"/>
        <v>0</v>
      </c>
      <c r="CD21" s="325">
        <v>0</v>
      </c>
      <c r="CE21" s="325">
        <v>0</v>
      </c>
      <c r="CF21" s="343">
        <f>CPP!P21</f>
        <v>0</v>
      </c>
      <c r="CG21" s="358">
        <f t="shared" si="25"/>
        <v>0</v>
      </c>
      <c r="CH21" s="325">
        <f t="shared" si="58"/>
        <v>0</v>
      </c>
      <c r="CI21" s="325">
        <v>0</v>
      </c>
      <c r="CJ21" s="325">
        <v>0</v>
      </c>
      <c r="CK21" s="343">
        <f>CPP!Q21</f>
        <v>0</v>
      </c>
      <c r="CL21" s="325">
        <f t="shared" si="26"/>
        <v>0</v>
      </c>
      <c r="CM21" s="325">
        <f t="shared" si="59"/>
        <v>5.0000000000181899E-2</v>
      </c>
      <c r="CN21" s="325">
        <v>0</v>
      </c>
      <c r="CO21" s="325">
        <v>0</v>
      </c>
      <c r="CP21" s="343">
        <f>CPP!R21</f>
        <v>0</v>
      </c>
      <c r="CQ21" s="325">
        <f t="shared" si="27"/>
        <v>5.0000000000181899E-2</v>
      </c>
      <c r="CR21" s="360">
        <f t="shared" si="60"/>
        <v>0</v>
      </c>
      <c r="CS21" s="325">
        <v>0</v>
      </c>
      <c r="CT21" s="325">
        <v>0</v>
      </c>
      <c r="CU21" s="361">
        <f>CPP!S21</f>
        <v>0</v>
      </c>
      <c r="CV21" s="360">
        <f t="shared" si="28"/>
        <v>0</v>
      </c>
      <c r="CW21" s="360">
        <f t="shared" si="61"/>
        <v>0</v>
      </c>
      <c r="CX21" s="325">
        <v>0</v>
      </c>
      <c r="CY21" s="325">
        <v>0</v>
      </c>
      <c r="CZ21" s="361">
        <f>CPP!T21</f>
        <v>0</v>
      </c>
      <c r="DA21" s="360">
        <f t="shared" si="29"/>
        <v>0</v>
      </c>
      <c r="DB21" s="360">
        <f t="shared" si="62"/>
        <v>306</v>
      </c>
      <c r="DC21" s="325">
        <v>0</v>
      </c>
      <c r="DD21" s="325">
        <v>0</v>
      </c>
      <c r="DE21" s="361">
        <f>CPP!U21</f>
        <v>0</v>
      </c>
      <c r="DF21" s="360">
        <f t="shared" si="30"/>
        <v>306</v>
      </c>
      <c r="DG21" s="360">
        <f t="shared" si="63"/>
        <v>0</v>
      </c>
      <c r="DH21" s="325">
        <v>0</v>
      </c>
      <c r="DI21" s="325">
        <v>0</v>
      </c>
      <c r="DJ21" s="361">
        <f>CPP!V21</f>
        <v>0</v>
      </c>
      <c r="DK21" s="360">
        <f t="shared" si="31"/>
        <v>0</v>
      </c>
      <c r="DL21" s="360">
        <f t="shared" si="64"/>
        <v>0</v>
      </c>
      <c r="DM21" s="325">
        <v>0</v>
      </c>
      <c r="DN21" s="325">
        <v>0</v>
      </c>
      <c r="DO21" s="361">
        <f>CPP!W21</f>
        <v>0</v>
      </c>
      <c r="DP21" s="360">
        <f t="shared" si="32"/>
        <v>0</v>
      </c>
      <c r="DQ21" s="360">
        <f t="shared" si="65"/>
        <v>4792.2800000000025</v>
      </c>
      <c r="DR21" s="1">
        <v>0</v>
      </c>
      <c r="DS21" s="1">
        <v>43</v>
      </c>
      <c r="DT21" s="361">
        <f>CPP!X21</f>
        <v>0</v>
      </c>
      <c r="DU21" s="360">
        <f t="shared" si="33"/>
        <v>4749.2800000000025</v>
      </c>
      <c r="DV21" s="360">
        <f t="shared" si="66"/>
        <v>0</v>
      </c>
      <c r="DW21" s="325">
        <v>0</v>
      </c>
      <c r="DX21" s="325">
        <v>0</v>
      </c>
      <c r="DY21" s="361">
        <f>CPP!Y21</f>
        <v>0</v>
      </c>
      <c r="DZ21" s="360">
        <f t="shared" si="34"/>
        <v>0</v>
      </c>
      <c r="EA21" s="129">
        <f t="shared" si="35"/>
        <v>11849.456999999991</v>
      </c>
      <c r="EB21" s="170">
        <f t="shared" si="36"/>
        <v>0</v>
      </c>
      <c r="EC21" s="170">
        <f t="shared" si="37"/>
        <v>215</v>
      </c>
      <c r="ED21" s="129">
        <f t="shared" si="38"/>
        <v>11634.456999999991</v>
      </c>
      <c r="EE21" s="18">
        <f t="shared" si="39"/>
        <v>10771.699999999997</v>
      </c>
      <c r="EF21" s="170">
        <f t="shared" si="40"/>
        <v>0</v>
      </c>
      <c r="EG21" s="343">
        <f>CPP!D21+CPP!E21+CPP!F21+CPP!G21+CPP!H21+CPP!I21+CPP!J21+CPP!K21+CPP!L21+CPP!M21+CPP!N21+CPP!O21+CPP!P21+CPP!Q21+CPP!R21+CPP!S21+CZ21+DE21+DJ21+CPP!W21+DT21</f>
        <v>132</v>
      </c>
      <c r="EH21" s="356">
        <f>EE21+EF21-CPP!G21-CPP!E21-CPP!F21-CPP!P21-CPP!Q21-CK21-CP21-DT21</f>
        <v>10639.699999999997</v>
      </c>
      <c r="EI21" s="363">
        <f t="shared" si="41"/>
        <v>17076.670088243245</v>
      </c>
      <c r="EJ21" s="1">
        <v>1260</v>
      </c>
      <c r="EK21" s="364">
        <f>'Daily CEM-1'!AG22+'Daily  CEM - 2'!AF22-EP21</f>
        <v>0</v>
      </c>
      <c r="EL21" s="382">
        <f>EI21+EJ21-EK21-EM21</f>
        <v>18336.670088243245</v>
      </c>
      <c r="EM21" s="325">
        <v>0</v>
      </c>
      <c r="EN21" s="356">
        <f t="shared" si="67"/>
        <v>2860.0690080001359</v>
      </c>
      <c r="EO21" s="1">
        <v>0</v>
      </c>
      <c r="EP21" s="1">
        <v>694.2</v>
      </c>
      <c r="EQ21" s="365">
        <f t="shared" si="43"/>
        <v>2165.8690080001361</v>
      </c>
      <c r="ER21" s="324">
        <f t="shared" si="44"/>
        <v>1142.58</v>
      </c>
      <c r="ES21" s="324">
        <v>1142.58</v>
      </c>
      <c r="ET21" s="366">
        <f t="shared" si="45"/>
        <v>694.2</v>
      </c>
    </row>
    <row r="22" spans="2:150" s="400" customFormat="1" x14ac:dyDescent="0.25">
      <c r="B22" s="383">
        <v>20</v>
      </c>
      <c r="C22" s="384">
        <f t="shared" si="3"/>
        <v>4521.6399999999994</v>
      </c>
      <c r="D22" s="1">
        <v>0</v>
      </c>
      <c r="E22" s="271">
        <f>F22+'RAW MILL 2'!F22</f>
        <v>41</v>
      </c>
      <c r="F22" s="1">
        <v>39</v>
      </c>
      <c r="G22" s="387">
        <f t="shared" si="4"/>
        <v>4480.6399999999994</v>
      </c>
      <c r="H22" s="384">
        <f t="shared" si="5"/>
        <v>-1571.9599831624801</v>
      </c>
      <c r="I22" s="388">
        <f>Production2!N22</f>
        <v>1760</v>
      </c>
      <c r="J22" s="388">
        <f>Production2!K22</f>
        <v>1906.5</v>
      </c>
      <c r="K22" s="18">
        <f t="shared" si="6"/>
        <v>-1718.4599831624801</v>
      </c>
      <c r="L22" s="390">
        <f t="shared" si="7"/>
        <v>0</v>
      </c>
      <c r="M22" s="385">
        <v>0</v>
      </c>
      <c r="N22" s="388">
        <f>CPP!D22</f>
        <v>0</v>
      </c>
      <c r="O22" s="385">
        <v>0</v>
      </c>
      <c r="P22" s="388">
        <f t="shared" si="0"/>
        <v>0</v>
      </c>
      <c r="Q22" s="387">
        <f t="shared" si="48"/>
        <v>0</v>
      </c>
      <c r="R22" s="384">
        <f t="shared" si="8"/>
        <v>0</v>
      </c>
      <c r="S22" s="385">
        <v>0</v>
      </c>
      <c r="T22" s="388">
        <f>CPP!E22</f>
        <v>0</v>
      </c>
      <c r="U22" s="391">
        <v>0</v>
      </c>
      <c r="V22" s="392">
        <f t="shared" si="9"/>
        <v>0</v>
      </c>
      <c r="W22" s="387">
        <f t="shared" si="10"/>
        <v>0</v>
      </c>
      <c r="X22" s="384">
        <f t="shared" si="11"/>
        <v>6578.8899999999976</v>
      </c>
      <c r="Y22" s="1">
        <v>0</v>
      </c>
      <c r="Z22" s="388">
        <f>CPP!H22</f>
        <v>65</v>
      </c>
      <c r="AA22" s="1">
        <v>163</v>
      </c>
      <c r="AB22" s="387">
        <f t="shared" si="12"/>
        <v>6350.8899999999976</v>
      </c>
      <c r="AC22" s="384">
        <f t="shared" si="13"/>
        <v>0</v>
      </c>
      <c r="AD22" s="385">
        <v>0</v>
      </c>
      <c r="AE22" s="385">
        <v>0</v>
      </c>
      <c r="AF22" s="387">
        <f t="shared" si="1"/>
        <v>0</v>
      </c>
      <c r="AG22" s="384">
        <f t="shared" si="14"/>
        <v>10639.649999999998</v>
      </c>
      <c r="AH22" s="1">
        <v>0</v>
      </c>
      <c r="AI22" s="393">
        <f>CPP!G22</f>
        <v>65</v>
      </c>
      <c r="AJ22" s="387">
        <f t="shared" si="2"/>
        <v>10574.649999999998</v>
      </c>
      <c r="AK22" s="394">
        <f t="shared" si="49"/>
        <v>0</v>
      </c>
      <c r="AL22" s="385">
        <v>0</v>
      </c>
      <c r="AM22" s="385">
        <v>0</v>
      </c>
      <c r="AN22" s="389">
        <f t="shared" si="15"/>
        <v>0</v>
      </c>
      <c r="AO22" s="394">
        <f t="shared" si="50"/>
        <v>0</v>
      </c>
      <c r="AP22" s="385">
        <v>0</v>
      </c>
      <c r="AQ22" s="385">
        <v>0</v>
      </c>
      <c r="AR22" s="395">
        <f>CPP!I22</f>
        <v>0</v>
      </c>
      <c r="AS22" s="394">
        <f t="shared" si="16"/>
        <v>0</v>
      </c>
      <c r="AT22" s="385">
        <f t="shared" si="51"/>
        <v>0</v>
      </c>
      <c r="AU22" s="385">
        <v>0</v>
      </c>
      <c r="AV22" s="385">
        <v>0</v>
      </c>
      <c r="AW22" s="393">
        <f>CPP!J22</f>
        <v>0</v>
      </c>
      <c r="AX22" s="385">
        <f t="shared" si="17"/>
        <v>0</v>
      </c>
      <c r="AY22" s="385">
        <f t="shared" si="52"/>
        <v>0.286999999990248</v>
      </c>
      <c r="AZ22" s="1">
        <v>0</v>
      </c>
      <c r="BA22" s="1">
        <v>0</v>
      </c>
      <c r="BB22" s="393">
        <f>CPP!K22</f>
        <v>0</v>
      </c>
      <c r="BC22" s="385">
        <f t="shared" si="18"/>
        <v>0.286999999990248</v>
      </c>
      <c r="BD22" s="385">
        <f t="shared" si="53"/>
        <v>0</v>
      </c>
      <c r="BE22" s="385">
        <v>0</v>
      </c>
      <c r="BF22" s="385">
        <v>0</v>
      </c>
      <c r="BG22" s="393">
        <f>CPP!L22</f>
        <v>0</v>
      </c>
      <c r="BH22" s="385">
        <f t="shared" si="19"/>
        <v>0</v>
      </c>
      <c r="BI22" s="385">
        <f t="shared" si="54"/>
        <v>0</v>
      </c>
      <c r="BJ22" s="385">
        <v>0</v>
      </c>
      <c r="BK22" s="385">
        <v>0</v>
      </c>
      <c r="BL22" s="393">
        <f>CPP!M22</f>
        <v>0</v>
      </c>
      <c r="BM22" s="385">
        <f t="shared" si="55"/>
        <v>0</v>
      </c>
      <c r="BN22" s="385">
        <f t="shared" si="20"/>
        <v>0</v>
      </c>
      <c r="BO22" s="385">
        <v>0</v>
      </c>
      <c r="BP22" s="385">
        <v>0</v>
      </c>
      <c r="BQ22" s="393">
        <f>CPP!N22</f>
        <v>0</v>
      </c>
      <c r="BR22" s="385">
        <f t="shared" si="21"/>
        <v>0</v>
      </c>
      <c r="BS22" s="385">
        <f t="shared" si="22"/>
        <v>0</v>
      </c>
      <c r="BT22" s="385">
        <v>0</v>
      </c>
      <c r="BU22" s="385">
        <v>0</v>
      </c>
      <c r="BV22" s="393">
        <f>CPP!O22</f>
        <v>0</v>
      </c>
      <c r="BW22" s="385">
        <f t="shared" si="23"/>
        <v>0</v>
      </c>
      <c r="BX22" s="396">
        <f t="shared" si="56"/>
        <v>0</v>
      </c>
      <c r="BY22" s="385">
        <v>0</v>
      </c>
      <c r="BZ22" s="385">
        <v>0</v>
      </c>
      <c r="CA22" s="393"/>
      <c r="CB22" s="391">
        <f t="shared" si="24"/>
        <v>0</v>
      </c>
      <c r="CC22" s="385">
        <f t="shared" si="57"/>
        <v>0</v>
      </c>
      <c r="CD22" s="385">
        <v>0</v>
      </c>
      <c r="CE22" s="385">
        <v>0</v>
      </c>
      <c r="CF22" s="393">
        <f>CPP!P22</f>
        <v>0</v>
      </c>
      <c r="CG22" s="391">
        <f t="shared" si="25"/>
        <v>0</v>
      </c>
      <c r="CH22" s="385">
        <f t="shared" si="58"/>
        <v>0</v>
      </c>
      <c r="CI22" s="385">
        <v>0</v>
      </c>
      <c r="CJ22" s="385">
        <v>0</v>
      </c>
      <c r="CK22" s="393">
        <f>CPP!Q22</f>
        <v>0</v>
      </c>
      <c r="CL22" s="385">
        <f t="shared" si="26"/>
        <v>0</v>
      </c>
      <c r="CM22" s="385">
        <f t="shared" si="59"/>
        <v>5.0000000000181899E-2</v>
      </c>
      <c r="CN22" s="385">
        <v>0</v>
      </c>
      <c r="CO22" s="385">
        <v>0</v>
      </c>
      <c r="CP22" s="393">
        <f>CPP!R22</f>
        <v>0</v>
      </c>
      <c r="CQ22" s="385">
        <f t="shared" si="27"/>
        <v>5.0000000000181899E-2</v>
      </c>
      <c r="CR22" s="394">
        <f t="shared" si="60"/>
        <v>0</v>
      </c>
      <c r="CS22" s="385">
        <v>0</v>
      </c>
      <c r="CT22" s="385">
        <v>0</v>
      </c>
      <c r="CU22" s="395">
        <f>CPP!S22</f>
        <v>0</v>
      </c>
      <c r="CV22" s="394">
        <f t="shared" si="28"/>
        <v>0</v>
      </c>
      <c r="CW22" s="394">
        <f t="shared" si="61"/>
        <v>0</v>
      </c>
      <c r="CX22" s="385">
        <v>0</v>
      </c>
      <c r="CY22" s="385">
        <v>0</v>
      </c>
      <c r="CZ22" s="395">
        <f>CPP!T22</f>
        <v>0</v>
      </c>
      <c r="DA22" s="394">
        <f t="shared" si="29"/>
        <v>0</v>
      </c>
      <c r="DB22" s="394">
        <f t="shared" si="62"/>
        <v>306</v>
      </c>
      <c r="DC22" s="385">
        <v>0</v>
      </c>
      <c r="DD22" s="385">
        <v>0</v>
      </c>
      <c r="DE22" s="395">
        <f>CPP!U22</f>
        <v>0</v>
      </c>
      <c r="DF22" s="394">
        <f t="shared" si="30"/>
        <v>306</v>
      </c>
      <c r="DG22" s="394">
        <f t="shared" si="63"/>
        <v>0</v>
      </c>
      <c r="DH22" s="385">
        <v>0</v>
      </c>
      <c r="DI22" s="385">
        <v>0</v>
      </c>
      <c r="DJ22" s="395">
        <f>CPP!V22</f>
        <v>0</v>
      </c>
      <c r="DK22" s="394">
        <f t="shared" si="31"/>
        <v>0</v>
      </c>
      <c r="DL22" s="394">
        <f t="shared" si="64"/>
        <v>0</v>
      </c>
      <c r="DM22" s="385">
        <v>0</v>
      </c>
      <c r="DN22" s="385">
        <v>0</v>
      </c>
      <c r="DO22" s="395">
        <f>CPP!W22</f>
        <v>0</v>
      </c>
      <c r="DP22" s="394">
        <f t="shared" si="32"/>
        <v>0</v>
      </c>
      <c r="DQ22" s="394">
        <f t="shared" si="65"/>
        <v>4749.2800000000025</v>
      </c>
      <c r="DR22" s="1">
        <v>0</v>
      </c>
      <c r="DS22" s="1">
        <v>40.33</v>
      </c>
      <c r="DT22" s="395">
        <f>CPP!X22</f>
        <v>0</v>
      </c>
      <c r="DU22" s="394">
        <f t="shared" si="33"/>
        <v>4708.9500000000025</v>
      </c>
      <c r="DV22" s="394">
        <f t="shared" si="66"/>
        <v>0</v>
      </c>
      <c r="DW22" s="385">
        <v>0</v>
      </c>
      <c r="DX22" s="385">
        <v>0</v>
      </c>
      <c r="DY22" s="395">
        <f>CPP!Y22</f>
        <v>0</v>
      </c>
      <c r="DZ22" s="394">
        <f t="shared" si="34"/>
        <v>0</v>
      </c>
      <c r="EA22" s="129">
        <f t="shared" si="35"/>
        <v>11634.456999999991</v>
      </c>
      <c r="EB22" s="170">
        <f t="shared" si="36"/>
        <v>0</v>
      </c>
      <c r="EC22" s="170">
        <f t="shared" si="37"/>
        <v>203.32999999999998</v>
      </c>
      <c r="ED22" s="129">
        <f t="shared" si="38"/>
        <v>11366.126999999991</v>
      </c>
      <c r="EE22" s="18">
        <f t="shared" si="39"/>
        <v>10639.699999999997</v>
      </c>
      <c r="EF22" s="170">
        <f t="shared" si="40"/>
        <v>0</v>
      </c>
      <c r="EG22" s="393">
        <f>CPP!D22+CPP!E22+CPP!F22+CPP!G22+CPP!H22+CPP!I22+CPP!J22+CPP!K22+CPP!L22+CPP!M22+CPP!N22+CPP!O22+CPP!P22+CPP!Q22+CPP!R22+CPP!S22+CZ22+DE22+DJ22+CPP!W22+DT22</f>
        <v>130</v>
      </c>
      <c r="EH22" s="389">
        <f>EE22+EF22-CPP!G22-CPP!E22-CPP!F22-CPP!P22-CPP!Q22-CK22-CP22-DT22</f>
        <v>10574.699999999997</v>
      </c>
      <c r="EI22" s="397">
        <f t="shared" si="41"/>
        <v>18336.670088243245</v>
      </c>
      <c r="EJ22" s="1">
        <v>1230</v>
      </c>
      <c r="EK22" s="398">
        <f>'Daily CEM-1'!AG23+'Daily  CEM - 2'!AF23-EP22</f>
        <v>622.69000000000017</v>
      </c>
      <c r="EL22" s="387">
        <f t="shared" si="42"/>
        <v>18943.980088243246</v>
      </c>
      <c r="EM22" s="385">
        <v>0</v>
      </c>
      <c r="EN22" s="389">
        <f t="shared" si="67"/>
        <v>2165.8690080001361</v>
      </c>
      <c r="EO22" s="1">
        <v>419.57</v>
      </c>
      <c r="EP22" s="1">
        <v>0</v>
      </c>
      <c r="EQ22" s="399">
        <f t="shared" si="43"/>
        <v>2585.4390080001363</v>
      </c>
      <c r="ER22" s="400">
        <f t="shared" si="44"/>
        <v>692.38000000000011</v>
      </c>
      <c r="ES22" s="400">
        <v>1111.95</v>
      </c>
      <c r="ET22" s="401">
        <f t="shared" si="45"/>
        <v>622.69000000000017</v>
      </c>
    </row>
    <row r="23" spans="2:150" s="324" customFormat="1" x14ac:dyDescent="0.25">
      <c r="B23" s="351">
        <v>21</v>
      </c>
      <c r="C23" s="352">
        <f t="shared" si="3"/>
        <v>4480.6399999999994</v>
      </c>
      <c r="D23" s="1">
        <v>0</v>
      </c>
      <c r="E23" s="271">
        <f>F23+'RAW MILL 2'!F23</f>
        <v>47</v>
      </c>
      <c r="F23" s="1">
        <v>44</v>
      </c>
      <c r="G23" s="354">
        <f t="shared" si="4"/>
        <v>4433.6399999999994</v>
      </c>
      <c r="H23" s="352">
        <f t="shared" si="5"/>
        <v>-1718.4599831624801</v>
      </c>
      <c r="I23" s="355">
        <f>Production2!N23</f>
        <v>1720</v>
      </c>
      <c r="J23" s="355">
        <f>Production2!K23</f>
        <v>1875.5</v>
      </c>
      <c r="K23" s="18">
        <f t="shared" si="6"/>
        <v>-1873.9599831624801</v>
      </c>
      <c r="L23" s="357">
        <f t="shared" si="7"/>
        <v>0</v>
      </c>
      <c r="M23" s="325">
        <v>0</v>
      </c>
      <c r="N23" s="355">
        <f>CPP!D23</f>
        <v>0</v>
      </c>
      <c r="O23" s="325">
        <v>0</v>
      </c>
      <c r="P23" s="355">
        <f t="shared" si="0"/>
        <v>0</v>
      </c>
      <c r="Q23" s="354">
        <f t="shared" si="48"/>
        <v>0</v>
      </c>
      <c r="R23" s="352">
        <f t="shared" si="8"/>
        <v>0</v>
      </c>
      <c r="S23" s="325">
        <v>0</v>
      </c>
      <c r="T23" s="355">
        <f>CPP!E23</f>
        <v>0</v>
      </c>
      <c r="U23" s="358">
        <v>0</v>
      </c>
      <c r="V23" s="359">
        <f t="shared" si="9"/>
        <v>0</v>
      </c>
      <c r="W23" s="354">
        <f>R23+S23-V23</f>
        <v>0</v>
      </c>
      <c r="X23" s="352">
        <f t="shared" si="11"/>
        <v>6350.8899999999976</v>
      </c>
      <c r="Y23" s="1">
        <v>0</v>
      </c>
      <c r="Z23" s="355">
        <f>CPP!H23</f>
        <v>66</v>
      </c>
      <c r="AA23" s="1">
        <v>163</v>
      </c>
      <c r="AB23" s="354">
        <f t="shared" si="12"/>
        <v>6121.8899999999976</v>
      </c>
      <c r="AC23" s="352">
        <f t="shared" si="13"/>
        <v>0</v>
      </c>
      <c r="AD23" s="325">
        <v>0</v>
      </c>
      <c r="AE23" s="325">
        <v>0</v>
      </c>
      <c r="AF23" s="354">
        <f t="shared" si="1"/>
        <v>0</v>
      </c>
      <c r="AG23" s="352">
        <f t="shared" si="14"/>
        <v>10574.649999999998</v>
      </c>
      <c r="AH23" s="1">
        <v>0</v>
      </c>
      <c r="AI23" s="343">
        <f>CPP!G23</f>
        <v>66</v>
      </c>
      <c r="AJ23" s="354">
        <f t="shared" si="2"/>
        <v>10508.649999999998</v>
      </c>
      <c r="AK23" s="360">
        <f t="shared" si="49"/>
        <v>0</v>
      </c>
      <c r="AL23" s="325">
        <v>0</v>
      </c>
      <c r="AM23" s="325">
        <v>0</v>
      </c>
      <c r="AN23" s="356">
        <f t="shared" si="15"/>
        <v>0</v>
      </c>
      <c r="AO23" s="360">
        <f t="shared" si="50"/>
        <v>0</v>
      </c>
      <c r="AP23" s="325">
        <v>0</v>
      </c>
      <c r="AQ23" s="325">
        <v>0</v>
      </c>
      <c r="AR23" s="361">
        <f>CPP!I23</f>
        <v>0</v>
      </c>
      <c r="AS23" s="360">
        <f t="shared" si="16"/>
        <v>0</v>
      </c>
      <c r="AT23" s="325">
        <f t="shared" si="51"/>
        <v>0</v>
      </c>
      <c r="AU23" s="325">
        <v>0</v>
      </c>
      <c r="AV23" s="325">
        <v>0</v>
      </c>
      <c r="AW23" s="343">
        <f>CPP!J23</f>
        <v>0</v>
      </c>
      <c r="AX23" s="325">
        <f t="shared" si="17"/>
        <v>0</v>
      </c>
      <c r="AY23" s="325">
        <f t="shared" si="52"/>
        <v>0.286999999990248</v>
      </c>
      <c r="AZ23" s="1">
        <v>0</v>
      </c>
      <c r="BA23" s="1">
        <v>0</v>
      </c>
      <c r="BB23" s="343">
        <f>CPP!K23</f>
        <v>0</v>
      </c>
      <c r="BC23" s="325">
        <f t="shared" si="18"/>
        <v>0.286999999990248</v>
      </c>
      <c r="BD23" s="325">
        <f t="shared" si="53"/>
        <v>0</v>
      </c>
      <c r="BE23" s="325">
        <v>0</v>
      </c>
      <c r="BF23" s="325">
        <v>0</v>
      </c>
      <c r="BG23" s="343">
        <f>CPP!L23</f>
        <v>0</v>
      </c>
      <c r="BH23" s="325">
        <f t="shared" si="19"/>
        <v>0</v>
      </c>
      <c r="BI23" s="325">
        <f t="shared" si="54"/>
        <v>0</v>
      </c>
      <c r="BJ23" s="325">
        <v>0</v>
      </c>
      <c r="BK23" s="325">
        <v>0</v>
      </c>
      <c r="BL23" s="343">
        <f>CPP!M23</f>
        <v>0</v>
      </c>
      <c r="BM23" s="325">
        <f t="shared" si="55"/>
        <v>0</v>
      </c>
      <c r="BN23" s="325">
        <f t="shared" si="20"/>
        <v>0</v>
      </c>
      <c r="BO23" s="325">
        <v>0</v>
      </c>
      <c r="BP23" s="325">
        <v>0</v>
      </c>
      <c r="BQ23" s="343">
        <f>CPP!N23</f>
        <v>0</v>
      </c>
      <c r="BR23" s="325">
        <f t="shared" si="21"/>
        <v>0</v>
      </c>
      <c r="BS23" s="325">
        <f t="shared" si="22"/>
        <v>0</v>
      </c>
      <c r="BT23" s="325">
        <v>0</v>
      </c>
      <c r="BU23" s="325">
        <v>0</v>
      </c>
      <c r="BV23" s="343">
        <f>CPP!O23</f>
        <v>0</v>
      </c>
      <c r="BW23" s="325">
        <f t="shared" si="23"/>
        <v>0</v>
      </c>
      <c r="BX23" s="362">
        <f t="shared" si="56"/>
        <v>0</v>
      </c>
      <c r="BY23" s="325">
        <v>0</v>
      </c>
      <c r="BZ23" s="325">
        <v>0</v>
      </c>
      <c r="CA23" s="343"/>
      <c r="CB23" s="358">
        <f t="shared" si="24"/>
        <v>0</v>
      </c>
      <c r="CC23" s="325">
        <f t="shared" si="57"/>
        <v>0</v>
      </c>
      <c r="CD23" s="325">
        <v>0</v>
      </c>
      <c r="CE23" s="325">
        <v>0</v>
      </c>
      <c r="CF23" s="343">
        <f>CPP!P23</f>
        <v>0</v>
      </c>
      <c r="CG23" s="358">
        <f t="shared" si="25"/>
        <v>0</v>
      </c>
      <c r="CH23" s="325">
        <f t="shared" si="58"/>
        <v>0</v>
      </c>
      <c r="CI23" s="325">
        <v>0</v>
      </c>
      <c r="CJ23" s="325">
        <v>0</v>
      </c>
      <c r="CK23" s="343">
        <f>CPP!Q23</f>
        <v>0</v>
      </c>
      <c r="CL23" s="325">
        <f t="shared" si="26"/>
        <v>0</v>
      </c>
      <c r="CM23" s="325">
        <f t="shared" si="59"/>
        <v>5.0000000000181899E-2</v>
      </c>
      <c r="CN23" s="325">
        <v>0</v>
      </c>
      <c r="CO23" s="325">
        <v>0</v>
      </c>
      <c r="CP23" s="343">
        <f>CPP!R23</f>
        <v>0</v>
      </c>
      <c r="CQ23" s="325">
        <f t="shared" si="27"/>
        <v>5.0000000000181899E-2</v>
      </c>
      <c r="CR23" s="360">
        <f t="shared" si="60"/>
        <v>0</v>
      </c>
      <c r="CS23" s="325">
        <v>0</v>
      </c>
      <c r="CT23" s="325">
        <v>0</v>
      </c>
      <c r="CU23" s="361">
        <f>CPP!S23</f>
        <v>0</v>
      </c>
      <c r="CV23" s="360">
        <f t="shared" si="28"/>
        <v>0</v>
      </c>
      <c r="CW23" s="360">
        <f t="shared" si="61"/>
        <v>0</v>
      </c>
      <c r="CX23" s="325">
        <v>0</v>
      </c>
      <c r="CY23" s="325">
        <v>0</v>
      </c>
      <c r="CZ23" s="361">
        <f>CPP!T23</f>
        <v>0</v>
      </c>
      <c r="DA23" s="360">
        <f t="shared" si="29"/>
        <v>0</v>
      </c>
      <c r="DB23" s="360">
        <f t="shared" si="62"/>
        <v>306</v>
      </c>
      <c r="DC23" s="325">
        <v>0</v>
      </c>
      <c r="DD23" s="325">
        <v>0</v>
      </c>
      <c r="DE23" s="361">
        <f>CPP!U23</f>
        <v>0</v>
      </c>
      <c r="DF23" s="360">
        <f t="shared" si="30"/>
        <v>306</v>
      </c>
      <c r="DG23" s="360">
        <f t="shared" si="63"/>
        <v>0</v>
      </c>
      <c r="DH23" s="325">
        <v>0</v>
      </c>
      <c r="DI23" s="325">
        <v>0</v>
      </c>
      <c r="DJ23" s="361">
        <f>CPP!V23</f>
        <v>0</v>
      </c>
      <c r="DK23" s="360">
        <f t="shared" si="31"/>
        <v>0</v>
      </c>
      <c r="DL23" s="360">
        <f t="shared" si="64"/>
        <v>0</v>
      </c>
      <c r="DM23" s="325">
        <v>0</v>
      </c>
      <c r="DN23" s="325">
        <v>0</v>
      </c>
      <c r="DO23" s="361">
        <f>CPP!W23</f>
        <v>0</v>
      </c>
      <c r="DP23" s="360">
        <f t="shared" si="32"/>
        <v>0</v>
      </c>
      <c r="DQ23" s="360">
        <f t="shared" si="65"/>
        <v>4708.9500000000025</v>
      </c>
      <c r="DR23" s="1">
        <v>0</v>
      </c>
      <c r="DS23" s="1">
        <v>41</v>
      </c>
      <c r="DT23" s="361">
        <f>CPP!X23</f>
        <v>0</v>
      </c>
      <c r="DU23" s="360">
        <f t="shared" si="33"/>
        <v>4667.9500000000025</v>
      </c>
      <c r="DV23" s="360">
        <f t="shared" si="66"/>
        <v>0</v>
      </c>
      <c r="DW23" s="325">
        <v>0</v>
      </c>
      <c r="DX23" s="325">
        <v>0</v>
      </c>
      <c r="DY23" s="361">
        <f>CPP!Y23</f>
        <v>0</v>
      </c>
      <c r="DZ23" s="360">
        <f t="shared" si="34"/>
        <v>0</v>
      </c>
      <c r="EA23" s="129">
        <f t="shared" si="35"/>
        <v>11366.126999999989</v>
      </c>
      <c r="EB23" s="170">
        <f t="shared" si="36"/>
        <v>0</v>
      </c>
      <c r="EC23" s="170">
        <f t="shared" si="37"/>
        <v>204</v>
      </c>
      <c r="ED23" s="129">
        <f t="shared" si="38"/>
        <v>11096.126999999989</v>
      </c>
      <c r="EE23" s="18">
        <f t="shared" si="39"/>
        <v>10574.699999999997</v>
      </c>
      <c r="EF23" s="170">
        <f t="shared" si="40"/>
        <v>0</v>
      </c>
      <c r="EG23" s="343">
        <f>CPP!D23+CPP!E23+CPP!F23+CPP!G23+CPP!H23+CPP!I23+CPP!J23+CPP!K23+CPP!L23+CPP!M23+CPP!N23+CPP!O23+CPP!P23+CPP!Q23+CPP!R23+CPP!S23+CZ23+DE23+DJ23+CPP!W23+DT23</f>
        <v>132</v>
      </c>
      <c r="EH23" s="356">
        <f>EE23+EF23-CPP!G23-CPP!E23-CPP!F23-CPP!P23-CPP!Q23-CK23-CP23-DT23</f>
        <v>10508.699999999997</v>
      </c>
      <c r="EI23" s="363">
        <f t="shared" si="41"/>
        <v>18943.980088243246</v>
      </c>
      <c r="EJ23" s="1">
        <v>1210</v>
      </c>
      <c r="EK23" s="364">
        <f>'Daily CEM-1'!AG24+'Daily  CEM - 2'!AF24-EP23</f>
        <v>728.60000000000059</v>
      </c>
      <c r="EL23" s="354">
        <f t="shared" si="42"/>
        <v>19425.380088243244</v>
      </c>
      <c r="EM23" s="325">
        <v>0</v>
      </c>
      <c r="EN23" s="356">
        <f t="shared" si="67"/>
        <v>2585.4390080001363</v>
      </c>
      <c r="EO23" s="1">
        <v>455.42</v>
      </c>
      <c r="EP23" s="1">
        <v>0</v>
      </c>
      <c r="EQ23" s="365">
        <f t="shared" si="43"/>
        <v>3040.8590080001363</v>
      </c>
      <c r="ER23" s="324">
        <f t="shared" si="44"/>
        <v>-455.42</v>
      </c>
      <c r="ET23" s="366">
        <f t="shared" si="45"/>
        <v>728.60000000000059</v>
      </c>
    </row>
    <row r="24" spans="2:150" s="324" customFormat="1" x14ac:dyDescent="0.25">
      <c r="B24" s="351">
        <v>22</v>
      </c>
      <c r="C24" s="352">
        <f t="shared" si="3"/>
        <v>4433.6399999999994</v>
      </c>
      <c r="D24" s="1">
        <v>0</v>
      </c>
      <c r="E24" s="271">
        <f>F24+'RAW MILL 2'!F24</f>
        <v>53</v>
      </c>
      <c r="F24" s="1">
        <v>49</v>
      </c>
      <c r="G24" s="354">
        <f t="shared" si="4"/>
        <v>4380.6399999999994</v>
      </c>
      <c r="H24" s="352">
        <f t="shared" si="5"/>
        <v>-1873.9599831624801</v>
      </c>
      <c r="I24" s="355">
        <f>Production2!N24</f>
        <v>2099</v>
      </c>
      <c r="J24" s="355">
        <f>Production2!K24</f>
        <v>1782.5</v>
      </c>
      <c r="K24" s="18">
        <f t="shared" si="6"/>
        <v>-1557.4599831624801</v>
      </c>
      <c r="L24" s="357">
        <f t="shared" si="7"/>
        <v>0</v>
      </c>
      <c r="M24" s="325">
        <v>0</v>
      </c>
      <c r="N24" s="355">
        <f>CPP!D24</f>
        <v>0</v>
      </c>
      <c r="O24" s="325">
        <v>0</v>
      </c>
      <c r="P24" s="355">
        <f t="shared" si="0"/>
        <v>0</v>
      </c>
      <c r="Q24" s="354">
        <f t="shared" si="48"/>
        <v>0</v>
      </c>
      <c r="R24" s="352">
        <f t="shared" si="8"/>
        <v>0</v>
      </c>
      <c r="S24" s="325">
        <v>0</v>
      </c>
      <c r="T24" s="355">
        <f>CPP!E24</f>
        <v>0</v>
      </c>
      <c r="U24" s="358">
        <v>0</v>
      </c>
      <c r="V24" s="359">
        <f t="shared" si="9"/>
        <v>0</v>
      </c>
      <c r="W24" s="354">
        <f t="shared" si="10"/>
        <v>0</v>
      </c>
      <c r="X24" s="352">
        <f t="shared" si="11"/>
        <v>6121.8899999999976</v>
      </c>
      <c r="Y24" s="1">
        <v>0</v>
      </c>
      <c r="Z24" s="355">
        <f>CPP!H24</f>
        <v>79</v>
      </c>
      <c r="AA24" s="1">
        <v>160</v>
      </c>
      <c r="AB24" s="354">
        <f t="shared" si="12"/>
        <v>5882.8899999999976</v>
      </c>
      <c r="AC24" s="352">
        <f t="shared" si="13"/>
        <v>0</v>
      </c>
      <c r="AD24" s="325">
        <v>0</v>
      </c>
      <c r="AE24" s="325">
        <v>0</v>
      </c>
      <c r="AF24" s="354">
        <f t="shared" si="1"/>
        <v>0</v>
      </c>
      <c r="AG24" s="352">
        <f t="shared" si="14"/>
        <v>10508.649999999998</v>
      </c>
      <c r="AH24" s="1">
        <v>0</v>
      </c>
      <c r="AI24" s="343">
        <f>CPP!G24</f>
        <v>43</v>
      </c>
      <c r="AJ24" s="354">
        <f t="shared" si="2"/>
        <v>10465.649999999998</v>
      </c>
      <c r="AK24" s="360">
        <f t="shared" si="49"/>
        <v>0</v>
      </c>
      <c r="AL24" s="325">
        <v>0</v>
      </c>
      <c r="AM24" s="325">
        <v>0</v>
      </c>
      <c r="AN24" s="356">
        <f t="shared" si="15"/>
        <v>0</v>
      </c>
      <c r="AO24" s="360">
        <f t="shared" si="50"/>
        <v>0</v>
      </c>
      <c r="AP24" s="325">
        <v>0</v>
      </c>
      <c r="AQ24" s="325">
        <v>0</v>
      </c>
      <c r="AR24" s="361">
        <f>CPP!I24</f>
        <v>0</v>
      </c>
      <c r="AS24" s="360">
        <f t="shared" si="16"/>
        <v>0</v>
      </c>
      <c r="AT24" s="325">
        <f t="shared" si="51"/>
        <v>0</v>
      </c>
      <c r="AU24" s="325">
        <v>0</v>
      </c>
      <c r="AV24" s="325">
        <v>0</v>
      </c>
      <c r="AW24" s="343">
        <f>CPP!J24</f>
        <v>0</v>
      </c>
      <c r="AX24" s="325">
        <f t="shared" si="17"/>
        <v>0</v>
      </c>
      <c r="AY24" s="325">
        <f t="shared" si="52"/>
        <v>0.286999999990248</v>
      </c>
      <c r="AZ24" s="1">
        <v>0</v>
      </c>
      <c r="BA24" s="1">
        <v>0</v>
      </c>
      <c r="BB24" s="343">
        <f>CPP!K24</f>
        <v>0</v>
      </c>
      <c r="BC24" s="325">
        <f t="shared" si="18"/>
        <v>0.286999999990248</v>
      </c>
      <c r="BD24" s="325">
        <f t="shared" si="53"/>
        <v>0</v>
      </c>
      <c r="BE24" s="325">
        <v>0</v>
      </c>
      <c r="BF24" s="325">
        <v>0</v>
      </c>
      <c r="BG24" s="343">
        <f>CPP!L24</f>
        <v>0</v>
      </c>
      <c r="BH24" s="325">
        <f t="shared" si="19"/>
        <v>0</v>
      </c>
      <c r="BI24" s="325">
        <f t="shared" si="54"/>
        <v>0</v>
      </c>
      <c r="BJ24" s="325">
        <v>0</v>
      </c>
      <c r="BK24" s="325">
        <v>0</v>
      </c>
      <c r="BL24" s="343">
        <f>CPP!M24</f>
        <v>0</v>
      </c>
      <c r="BM24" s="325">
        <f t="shared" si="55"/>
        <v>0</v>
      </c>
      <c r="BN24" s="325">
        <f t="shared" si="20"/>
        <v>0</v>
      </c>
      <c r="BO24" s="325">
        <v>0</v>
      </c>
      <c r="BP24" s="325">
        <v>0</v>
      </c>
      <c r="BQ24" s="343">
        <f>CPP!N24</f>
        <v>0</v>
      </c>
      <c r="BR24" s="325">
        <f>BN24+BO24-BP24-BQ24</f>
        <v>0</v>
      </c>
      <c r="BS24" s="325">
        <f t="shared" si="22"/>
        <v>0</v>
      </c>
      <c r="BT24" s="325">
        <v>0</v>
      </c>
      <c r="BU24" s="325">
        <v>0</v>
      </c>
      <c r="BV24" s="343">
        <f>CPP!O24</f>
        <v>0</v>
      </c>
      <c r="BW24" s="325">
        <f t="shared" si="23"/>
        <v>0</v>
      </c>
      <c r="BX24" s="362">
        <f t="shared" si="56"/>
        <v>0</v>
      </c>
      <c r="BY24" s="325">
        <v>0</v>
      </c>
      <c r="BZ24" s="325">
        <v>0</v>
      </c>
      <c r="CA24" s="343"/>
      <c r="CB24" s="358">
        <f t="shared" si="24"/>
        <v>0</v>
      </c>
      <c r="CC24" s="325">
        <f t="shared" si="57"/>
        <v>0</v>
      </c>
      <c r="CD24" s="325">
        <v>0</v>
      </c>
      <c r="CE24" s="325">
        <v>0</v>
      </c>
      <c r="CF24" s="343">
        <f>CPP!P24</f>
        <v>0</v>
      </c>
      <c r="CG24" s="358">
        <f t="shared" si="25"/>
        <v>0</v>
      </c>
      <c r="CH24" s="325">
        <f t="shared" si="58"/>
        <v>0</v>
      </c>
      <c r="CI24" s="325">
        <v>0</v>
      </c>
      <c r="CJ24" s="325">
        <v>0</v>
      </c>
      <c r="CK24" s="343">
        <f>CPP!Q24</f>
        <v>0</v>
      </c>
      <c r="CL24" s="325">
        <f t="shared" si="26"/>
        <v>0</v>
      </c>
      <c r="CM24" s="325">
        <f t="shared" si="59"/>
        <v>5.0000000000181899E-2</v>
      </c>
      <c r="CN24" s="325">
        <v>0</v>
      </c>
      <c r="CO24" s="325">
        <v>0</v>
      </c>
      <c r="CP24" s="343">
        <f>CPP!R24</f>
        <v>0</v>
      </c>
      <c r="CQ24" s="325">
        <f t="shared" si="27"/>
        <v>5.0000000000181899E-2</v>
      </c>
      <c r="CR24" s="360">
        <f t="shared" si="60"/>
        <v>0</v>
      </c>
      <c r="CS24" s="325">
        <v>0</v>
      </c>
      <c r="CT24" s="325">
        <v>0</v>
      </c>
      <c r="CU24" s="361">
        <f>CPP!S24</f>
        <v>0</v>
      </c>
      <c r="CV24" s="360">
        <f t="shared" si="28"/>
        <v>0</v>
      </c>
      <c r="CW24" s="360">
        <f t="shared" si="61"/>
        <v>0</v>
      </c>
      <c r="CX24" s="325">
        <v>0</v>
      </c>
      <c r="CY24" s="325">
        <v>0</v>
      </c>
      <c r="CZ24" s="361">
        <f>CPP!T24</f>
        <v>0</v>
      </c>
      <c r="DA24" s="360">
        <f t="shared" si="29"/>
        <v>0</v>
      </c>
      <c r="DB24" s="360">
        <f t="shared" si="62"/>
        <v>306</v>
      </c>
      <c r="DC24" s="325">
        <v>0</v>
      </c>
      <c r="DD24" s="325">
        <v>0</v>
      </c>
      <c r="DE24" s="361">
        <f>CPP!U24</f>
        <v>0</v>
      </c>
      <c r="DF24" s="360">
        <f t="shared" si="30"/>
        <v>306</v>
      </c>
      <c r="DG24" s="360">
        <f t="shared" si="63"/>
        <v>0</v>
      </c>
      <c r="DH24" s="325">
        <v>0</v>
      </c>
      <c r="DI24" s="325">
        <v>0</v>
      </c>
      <c r="DJ24" s="361">
        <f>CPP!V24</f>
        <v>0</v>
      </c>
      <c r="DK24" s="360">
        <f t="shared" si="31"/>
        <v>0</v>
      </c>
      <c r="DL24" s="360">
        <f t="shared" si="64"/>
        <v>0</v>
      </c>
      <c r="DM24" s="325">
        <v>0</v>
      </c>
      <c r="DN24" s="325">
        <v>0</v>
      </c>
      <c r="DO24" s="361">
        <f>CPP!W24</f>
        <v>0</v>
      </c>
      <c r="DP24" s="360">
        <f t="shared" si="32"/>
        <v>0</v>
      </c>
      <c r="DQ24" s="360">
        <f t="shared" si="65"/>
        <v>4667.9500000000025</v>
      </c>
      <c r="DR24" s="1">
        <v>0</v>
      </c>
      <c r="DS24" s="1">
        <v>40</v>
      </c>
      <c r="DT24" s="361">
        <f>CPP!X24</f>
        <v>0</v>
      </c>
      <c r="DU24" s="360">
        <f t="shared" si="33"/>
        <v>4627.9500000000025</v>
      </c>
      <c r="DV24" s="360">
        <f t="shared" si="66"/>
        <v>0</v>
      </c>
      <c r="DW24" s="325">
        <v>0</v>
      </c>
      <c r="DX24" s="325">
        <v>0</v>
      </c>
      <c r="DY24" s="361">
        <f>CPP!Y24</f>
        <v>0</v>
      </c>
      <c r="DZ24" s="360">
        <f t="shared" si="34"/>
        <v>0</v>
      </c>
      <c r="EA24" s="129">
        <f t="shared" si="35"/>
        <v>11096.126999999989</v>
      </c>
      <c r="EB24" s="170">
        <f t="shared" si="36"/>
        <v>0</v>
      </c>
      <c r="EC24" s="170">
        <f t="shared" si="37"/>
        <v>200</v>
      </c>
      <c r="ED24" s="129">
        <f t="shared" si="38"/>
        <v>10817.126999999989</v>
      </c>
      <c r="EE24" s="18">
        <f t="shared" si="39"/>
        <v>10508.699999999997</v>
      </c>
      <c r="EF24" s="170">
        <f t="shared" si="40"/>
        <v>0</v>
      </c>
      <c r="EG24" s="343">
        <f>CPP!D24+CPP!E24+CPP!F24+CPP!G24+CPP!H24+CPP!I24+CPP!J24+CPP!K24+CPP!L24+CPP!M24+CPP!N24+CPP!O24+CPP!P24+CPP!Q24+CPP!R24+CPP!S24+CZ24+DE24+DJ24+CPP!W24+DT24</f>
        <v>122</v>
      </c>
      <c r="EH24" s="356">
        <f>EE24+EF24-CPP!G24-CPP!E24-CPP!F24-CPP!P24-CPP!Q24-CK24-CP24-DT24</f>
        <v>10465.699999999997</v>
      </c>
      <c r="EI24" s="363">
        <f t="shared" si="41"/>
        <v>19425.380088243244</v>
      </c>
      <c r="EJ24" s="1">
        <v>1150</v>
      </c>
      <c r="EK24" s="364">
        <f>'Daily CEM-1'!AG25+'Daily  CEM - 2'!AF25-EP24</f>
        <v>161.69999999999999</v>
      </c>
      <c r="EL24" s="354">
        <f t="shared" si="42"/>
        <v>20413.680088243244</v>
      </c>
      <c r="EM24" s="325">
        <v>0</v>
      </c>
      <c r="EN24" s="356">
        <f t="shared" si="67"/>
        <v>3040.8590080001363</v>
      </c>
      <c r="EO24" s="1">
        <v>0</v>
      </c>
      <c r="EP24" s="1">
        <v>0</v>
      </c>
      <c r="EQ24" s="365">
        <f t="shared" si="43"/>
        <v>3040.8590080001363</v>
      </c>
      <c r="ER24" s="324">
        <f t="shared" si="44"/>
        <v>2278.44</v>
      </c>
      <c r="ES24" s="324">
        <v>2278.44</v>
      </c>
      <c r="ET24" s="366">
        <f t="shared" si="45"/>
        <v>161.69999999999999</v>
      </c>
    </row>
    <row r="25" spans="2:150" s="324" customFormat="1" ht="13.5" customHeight="1" x14ac:dyDescent="0.25">
      <c r="B25" s="351">
        <v>23</v>
      </c>
      <c r="C25" s="352">
        <f t="shared" si="3"/>
        <v>4380.6399999999994</v>
      </c>
      <c r="D25" s="1">
        <v>0</v>
      </c>
      <c r="E25" s="271">
        <f>F25+'RAW MILL 2'!F25</f>
        <v>68</v>
      </c>
      <c r="F25" s="1">
        <v>64</v>
      </c>
      <c r="G25" s="354">
        <f t="shared" si="4"/>
        <v>4312.6399999999994</v>
      </c>
      <c r="H25" s="352">
        <f t="shared" si="5"/>
        <v>-1557.4599831624801</v>
      </c>
      <c r="I25" s="355">
        <f>Production2!N25</f>
        <v>1915</v>
      </c>
      <c r="J25" s="355">
        <f>Production2!K25</f>
        <v>1860</v>
      </c>
      <c r="K25" s="18">
        <f t="shared" si="6"/>
        <v>-1502.4599831624801</v>
      </c>
      <c r="L25" s="357">
        <f t="shared" si="7"/>
        <v>0</v>
      </c>
      <c r="M25" s="325">
        <v>0</v>
      </c>
      <c r="N25" s="355">
        <f>CPP!D25</f>
        <v>0</v>
      </c>
      <c r="O25" s="325">
        <v>0</v>
      </c>
      <c r="P25" s="355">
        <f t="shared" si="0"/>
        <v>0</v>
      </c>
      <c r="Q25" s="354">
        <f t="shared" si="48"/>
        <v>0</v>
      </c>
      <c r="R25" s="352">
        <f t="shared" si="8"/>
        <v>0</v>
      </c>
      <c r="S25" s="325">
        <v>0</v>
      </c>
      <c r="T25" s="355">
        <f>CPP!E25</f>
        <v>0</v>
      </c>
      <c r="U25" s="358">
        <v>0</v>
      </c>
      <c r="V25" s="359">
        <f t="shared" si="9"/>
        <v>0</v>
      </c>
      <c r="W25" s="354">
        <f t="shared" si="10"/>
        <v>0</v>
      </c>
      <c r="X25" s="352">
        <f t="shared" si="11"/>
        <v>5882.8899999999976</v>
      </c>
      <c r="Y25" s="1">
        <v>0</v>
      </c>
      <c r="Z25" s="355">
        <f>CPP!H25</f>
        <v>64</v>
      </c>
      <c r="AA25" s="1">
        <v>161</v>
      </c>
      <c r="AB25" s="354">
        <f t="shared" si="12"/>
        <v>5657.8899999999976</v>
      </c>
      <c r="AC25" s="352">
        <f t="shared" si="13"/>
        <v>0</v>
      </c>
      <c r="AD25" s="325">
        <v>0</v>
      </c>
      <c r="AE25" s="325">
        <v>0</v>
      </c>
      <c r="AF25" s="354">
        <f t="shared" si="1"/>
        <v>0</v>
      </c>
      <c r="AG25" s="352">
        <f t="shared" si="14"/>
        <v>10465.649999999998</v>
      </c>
      <c r="AH25" s="1">
        <v>0</v>
      </c>
      <c r="AI25" s="343">
        <f>CPP!G25</f>
        <v>35</v>
      </c>
      <c r="AJ25" s="354">
        <f t="shared" si="2"/>
        <v>10430.649999999998</v>
      </c>
      <c r="AK25" s="360">
        <f t="shared" si="49"/>
        <v>0</v>
      </c>
      <c r="AL25" s="325">
        <v>0</v>
      </c>
      <c r="AM25" s="325">
        <v>0</v>
      </c>
      <c r="AN25" s="356">
        <f t="shared" si="15"/>
        <v>0</v>
      </c>
      <c r="AO25" s="360">
        <f t="shared" si="50"/>
        <v>0</v>
      </c>
      <c r="AP25" s="325">
        <v>0</v>
      </c>
      <c r="AQ25" s="325">
        <v>0</v>
      </c>
      <c r="AR25" s="361">
        <f>CPP!I25</f>
        <v>0</v>
      </c>
      <c r="AS25" s="360">
        <f t="shared" si="16"/>
        <v>0</v>
      </c>
      <c r="AT25" s="325">
        <f t="shared" si="51"/>
        <v>0</v>
      </c>
      <c r="AU25" s="325">
        <v>0</v>
      </c>
      <c r="AV25" s="325">
        <v>0</v>
      </c>
      <c r="AW25" s="343">
        <f>CPP!J25</f>
        <v>0</v>
      </c>
      <c r="AX25" s="325">
        <f t="shared" si="17"/>
        <v>0</v>
      </c>
      <c r="AY25" s="325">
        <f t="shared" si="52"/>
        <v>0.286999999990248</v>
      </c>
      <c r="AZ25" s="1">
        <v>0</v>
      </c>
      <c r="BA25" s="1">
        <v>0</v>
      </c>
      <c r="BB25" s="343">
        <f>CPP!K25</f>
        <v>0</v>
      </c>
      <c r="BC25" s="325">
        <f t="shared" si="18"/>
        <v>0.286999999990248</v>
      </c>
      <c r="BD25" s="325">
        <f t="shared" si="53"/>
        <v>0</v>
      </c>
      <c r="BE25" s="325">
        <v>0</v>
      </c>
      <c r="BF25" s="325">
        <v>0</v>
      </c>
      <c r="BG25" s="343">
        <f>CPP!L25</f>
        <v>0</v>
      </c>
      <c r="BH25" s="325">
        <f t="shared" si="19"/>
        <v>0</v>
      </c>
      <c r="BI25" s="325">
        <f t="shared" si="54"/>
        <v>0</v>
      </c>
      <c r="BJ25" s="325">
        <v>0</v>
      </c>
      <c r="BK25" s="325">
        <v>0</v>
      </c>
      <c r="BL25" s="343">
        <f>CPP!M25</f>
        <v>0</v>
      </c>
      <c r="BM25" s="325">
        <f t="shared" si="55"/>
        <v>0</v>
      </c>
      <c r="BN25" s="325">
        <f t="shared" si="20"/>
        <v>0</v>
      </c>
      <c r="BO25" s="325">
        <v>0</v>
      </c>
      <c r="BP25" s="325">
        <v>0</v>
      </c>
      <c r="BQ25" s="343">
        <f>CPP!N25</f>
        <v>0</v>
      </c>
      <c r="BR25" s="325">
        <f t="shared" si="21"/>
        <v>0</v>
      </c>
      <c r="BS25" s="325">
        <f t="shared" si="22"/>
        <v>0</v>
      </c>
      <c r="BT25" s="325">
        <v>0</v>
      </c>
      <c r="BU25" s="325">
        <v>0</v>
      </c>
      <c r="BV25" s="343">
        <f>CPP!O25</f>
        <v>0</v>
      </c>
      <c r="BW25" s="325">
        <f t="shared" si="23"/>
        <v>0</v>
      </c>
      <c r="BX25" s="362">
        <f t="shared" si="56"/>
        <v>0</v>
      </c>
      <c r="BY25" s="325">
        <v>0</v>
      </c>
      <c r="BZ25" s="325">
        <v>0</v>
      </c>
      <c r="CA25" s="343"/>
      <c r="CB25" s="358">
        <f t="shared" si="24"/>
        <v>0</v>
      </c>
      <c r="CC25" s="325">
        <f t="shared" si="57"/>
        <v>0</v>
      </c>
      <c r="CD25" s="325">
        <v>0</v>
      </c>
      <c r="CE25" s="325">
        <v>0</v>
      </c>
      <c r="CF25" s="343">
        <f>CPP!P25</f>
        <v>0</v>
      </c>
      <c r="CG25" s="358">
        <f t="shared" si="25"/>
        <v>0</v>
      </c>
      <c r="CH25" s="325">
        <f t="shared" si="58"/>
        <v>0</v>
      </c>
      <c r="CI25" s="325">
        <v>0</v>
      </c>
      <c r="CJ25" s="325">
        <v>0</v>
      </c>
      <c r="CK25" s="343">
        <f>CPP!Q25</f>
        <v>0</v>
      </c>
      <c r="CL25" s="325">
        <f t="shared" si="26"/>
        <v>0</v>
      </c>
      <c r="CM25" s="325">
        <f t="shared" si="59"/>
        <v>5.0000000000181899E-2</v>
      </c>
      <c r="CN25" s="325">
        <v>0</v>
      </c>
      <c r="CO25" s="325">
        <v>0</v>
      </c>
      <c r="CP25" s="343">
        <f>CPP!R25</f>
        <v>0</v>
      </c>
      <c r="CQ25" s="325">
        <f t="shared" si="27"/>
        <v>5.0000000000181899E-2</v>
      </c>
      <c r="CR25" s="360">
        <f t="shared" si="60"/>
        <v>0</v>
      </c>
      <c r="CS25" s="325">
        <v>0</v>
      </c>
      <c r="CT25" s="325">
        <v>0</v>
      </c>
      <c r="CU25" s="361">
        <f>CPP!S25</f>
        <v>0</v>
      </c>
      <c r="CV25" s="360">
        <f t="shared" si="28"/>
        <v>0</v>
      </c>
      <c r="CW25" s="360">
        <f t="shared" si="61"/>
        <v>0</v>
      </c>
      <c r="CX25" s="325">
        <v>0</v>
      </c>
      <c r="CY25" s="325">
        <v>0</v>
      </c>
      <c r="CZ25" s="361">
        <f>CPP!T25</f>
        <v>0</v>
      </c>
      <c r="DA25" s="360">
        <f t="shared" si="29"/>
        <v>0</v>
      </c>
      <c r="DB25" s="360">
        <f t="shared" si="62"/>
        <v>306</v>
      </c>
      <c r="DC25" s="325">
        <v>0</v>
      </c>
      <c r="DD25" s="325">
        <v>0</v>
      </c>
      <c r="DE25" s="361">
        <f>CPP!U25</f>
        <v>0</v>
      </c>
      <c r="DF25" s="360">
        <f t="shared" si="30"/>
        <v>306</v>
      </c>
      <c r="DG25" s="360">
        <f t="shared" si="63"/>
        <v>0</v>
      </c>
      <c r="DH25" s="325">
        <v>0</v>
      </c>
      <c r="DI25" s="325">
        <v>0</v>
      </c>
      <c r="DJ25" s="361">
        <f>CPP!V25</f>
        <v>0</v>
      </c>
      <c r="DK25" s="360">
        <f t="shared" si="31"/>
        <v>0</v>
      </c>
      <c r="DL25" s="360">
        <f t="shared" si="64"/>
        <v>0</v>
      </c>
      <c r="DM25" s="325">
        <v>0</v>
      </c>
      <c r="DN25" s="325">
        <v>0</v>
      </c>
      <c r="DO25" s="361">
        <f>CPP!W25</f>
        <v>0</v>
      </c>
      <c r="DP25" s="360">
        <f t="shared" si="32"/>
        <v>0</v>
      </c>
      <c r="DQ25" s="360">
        <f t="shared" si="65"/>
        <v>4627.9500000000025</v>
      </c>
      <c r="DR25" s="1">
        <v>0</v>
      </c>
      <c r="DS25" s="1">
        <v>40</v>
      </c>
      <c r="DT25" s="361">
        <f>CPP!X25</f>
        <v>0</v>
      </c>
      <c r="DU25" s="360">
        <f t="shared" si="33"/>
        <v>4587.9500000000025</v>
      </c>
      <c r="DV25" s="360">
        <f t="shared" si="66"/>
        <v>0</v>
      </c>
      <c r="DW25" s="325">
        <v>0</v>
      </c>
      <c r="DX25" s="325">
        <v>0</v>
      </c>
      <c r="DY25" s="361">
        <f>CPP!Y25</f>
        <v>0</v>
      </c>
      <c r="DZ25" s="360">
        <f t="shared" si="34"/>
        <v>0</v>
      </c>
      <c r="EA25" s="129">
        <f t="shared" si="35"/>
        <v>10817.126999999989</v>
      </c>
      <c r="EB25" s="170">
        <f t="shared" si="36"/>
        <v>0</v>
      </c>
      <c r="EC25" s="170">
        <f t="shared" si="37"/>
        <v>201</v>
      </c>
      <c r="ED25" s="129">
        <f t="shared" si="38"/>
        <v>10552.126999999989</v>
      </c>
      <c r="EE25" s="18">
        <f t="shared" si="39"/>
        <v>10465.699999999997</v>
      </c>
      <c r="EF25" s="170">
        <f t="shared" si="40"/>
        <v>0</v>
      </c>
      <c r="EG25" s="343">
        <f>CPP!D25+CPP!E25+CPP!F25+CPP!G25+CPP!H25+CPP!I25+CPP!J25+CPP!K25+CPP!L25+CPP!M25+CPP!N25+CPP!O25+CPP!P25+CPP!Q25+CPP!R25+CPP!S25+CZ25+DE25+DJ25+CPP!W25+DT25+DY25</f>
        <v>99</v>
      </c>
      <c r="EH25" s="356">
        <f>EE25+EF25-CPP!G25-CPP!E25-CPP!F25-CPP!P25-CPP!Q25-CK25-CP25-DT25</f>
        <v>10430.699999999997</v>
      </c>
      <c r="EI25" s="363">
        <f t="shared" si="41"/>
        <v>20413.680088243244</v>
      </c>
      <c r="EJ25" s="1">
        <v>1200</v>
      </c>
      <c r="EK25" s="364">
        <f>'Daily CEM-1'!AG26+'Daily  CEM - 2'!AF26-EP25</f>
        <v>162.82000001597879</v>
      </c>
      <c r="EL25" s="354">
        <f t="shared" si="42"/>
        <v>21450.860088227266</v>
      </c>
      <c r="EM25" s="325">
        <v>0</v>
      </c>
      <c r="EN25" s="356">
        <f t="shared" si="67"/>
        <v>3040.8590080001363</v>
      </c>
      <c r="EO25" s="1">
        <v>0</v>
      </c>
      <c r="EP25" s="1">
        <v>0</v>
      </c>
      <c r="EQ25" s="365">
        <f t="shared" si="43"/>
        <v>3040.8590080001363</v>
      </c>
      <c r="ER25" s="324">
        <f t="shared" si="44"/>
        <v>633.94000000000005</v>
      </c>
      <c r="ES25" s="324">
        <v>633.94000000000005</v>
      </c>
      <c r="ET25" s="366">
        <f t="shared" si="45"/>
        <v>162.82000001597879</v>
      </c>
    </row>
    <row r="26" spans="2:150" s="324" customFormat="1" x14ac:dyDescent="0.25">
      <c r="B26" s="351">
        <v>24</v>
      </c>
      <c r="C26" s="352">
        <f t="shared" si="3"/>
        <v>4312.6399999999994</v>
      </c>
      <c r="D26" s="1">
        <v>32.840000000000003</v>
      </c>
      <c r="E26" s="271">
        <f>F26+'RAW MILL 2'!F26</f>
        <v>52</v>
      </c>
      <c r="F26" s="1">
        <v>51</v>
      </c>
      <c r="G26" s="354">
        <f t="shared" si="4"/>
        <v>4293.4799999999996</v>
      </c>
      <c r="H26" s="352">
        <f t="shared" si="5"/>
        <v>-1502.4599831624801</v>
      </c>
      <c r="I26" s="355">
        <f>Production2!N26</f>
        <v>2177</v>
      </c>
      <c r="J26" s="355">
        <f>Production2!K26</f>
        <v>2030.5</v>
      </c>
      <c r="K26" s="18">
        <f t="shared" si="6"/>
        <v>-1355.9599831624801</v>
      </c>
      <c r="L26" s="357">
        <f t="shared" si="7"/>
        <v>0</v>
      </c>
      <c r="M26" s="325">
        <v>0</v>
      </c>
      <c r="N26" s="355">
        <f>CPP!D26</f>
        <v>0</v>
      </c>
      <c r="O26" s="325">
        <v>0</v>
      </c>
      <c r="P26" s="355">
        <f t="shared" si="0"/>
        <v>0</v>
      </c>
      <c r="Q26" s="354">
        <f t="shared" si="48"/>
        <v>0</v>
      </c>
      <c r="R26" s="352">
        <f t="shared" si="8"/>
        <v>0</v>
      </c>
      <c r="S26" s="325">
        <v>0</v>
      </c>
      <c r="T26" s="355">
        <f>CPP!E26</f>
        <v>0</v>
      </c>
      <c r="U26" s="358">
        <v>0</v>
      </c>
      <c r="V26" s="359">
        <f t="shared" si="9"/>
        <v>0</v>
      </c>
      <c r="W26" s="354">
        <f t="shared" si="10"/>
        <v>0</v>
      </c>
      <c r="X26" s="352">
        <f t="shared" si="11"/>
        <v>5657.8899999999976</v>
      </c>
      <c r="Y26" s="1">
        <v>0</v>
      </c>
      <c r="Z26" s="355">
        <f>CPP!H26</f>
        <v>53</v>
      </c>
      <c r="AA26" s="1">
        <v>222.22</v>
      </c>
      <c r="AB26" s="354">
        <f t="shared" si="12"/>
        <v>5382.6699999999973</v>
      </c>
      <c r="AC26" s="352">
        <f t="shared" si="13"/>
        <v>0</v>
      </c>
      <c r="AD26" s="325">
        <v>0</v>
      </c>
      <c r="AE26" s="325">
        <v>0</v>
      </c>
      <c r="AF26" s="354">
        <f t="shared" si="1"/>
        <v>0</v>
      </c>
      <c r="AG26" s="352">
        <f t="shared" si="14"/>
        <v>10430.649999999998</v>
      </c>
      <c r="AH26" s="1">
        <v>0</v>
      </c>
      <c r="AI26" s="343">
        <f>CPP!G26</f>
        <v>53</v>
      </c>
      <c r="AJ26" s="354">
        <f t="shared" si="2"/>
        <v>10377.649999999998</v>
      </c>
      <c r="AK26" s="360">
        <f t="shared" si="49"/>
        <v>0</v>
      </c>
      <c r="AL26" s="325">
        <v>0</v>
      </c>
      <c r="AM26" s="325">
        <v>0</v>
      </c>
      <c r="AN26" s="356">
        <f t="shared" si="15"/>
        <v>0</v>
      </c>
      <c r="AO26" s="360">
        <f t="shared" si="50"/>
        <v>0</v>
      </c>
      <c r="AP26" s="325">
        <v>0</v>
      </c>
      <c r="AQ26" s="325">
        <v>0</v>
      </c>
      <c r="AR26" s="361">
        <f>CPP!I26</f>
        <v>0</v>
      </c>
      <c r="AS26" s="360">
        <f t="shared" si="16"/>
        <v>0</v>
      </c>
      <c r="AT26" s="325">
        <f t="shared" si="51"/>
        <v>0</v>
      </c>
      <c r="AU26" s="325">
        <v>0</v>
      </c>
      <c r="AV26" s="325">
        <v>0</v>
      </c>
      <c r="AW26" s="343">
        <f>CPP!J26</f>
        <v>0</v>
      </c>
      <c r="AX26" s="325">
        <f t="shared" si="17"/>
        <v>0</v>
      </c>
      <c r="AY26" s="325">
        <f t="shared" si="52"/>
        <v>0.286999999990248</v>
      </c>
      <c r="AZ26" s="1">
        <v>0</v>
      </c>
      <c r="BA26" s="1">
        <v>0</v>
      </c>
      <c r="BB26" s="343">
        <f>CPP!K26</f>
        <v>0</v>
      </c>
      <c r="BC26" s="325">
        <f t="shared" si="18"/>
        <v>0.286999999990248</v>
      </c>
      <c r="BD26" s="325">
        <f t="shared" si="53"/>
        <v>0</v>
      </c>
      <c r="BE26" s="325">
        <v>0</v>
      </c>
      <c r="BF26" s="325">
        <v>0</v>
      </c>
      <c r="BG26" s="343">
        <f>CPP!L26</f>
        <v>0</v>
      </c>
      <c r="BH26" s="325">
        <f t="shared" si="19"/>
        <v>0</v>
      </c>
      <c r="BI26" s="325">
        <f t="shared" si="54"/>
        <v>0</v>
      </c>
      <c r="BJ26" s="325">
        <v>0</v>
      </c>
      <c r="BK26" s="325">
        <v>0</v>
      </c>
      <c r="BL26" s="343">
        <f>CPP!M26</f>
        <v>0</v>
      </c>
      <c r="BM26" s="325">
        <f t="shared" si="55"/>
        <v>0</v>
      </c>
      <c r="BN26" s="325">
        <f t="shared" si="20"/>
        <v>0</v>
      </c>
      <c r="BO26" s="325">
        <v>0</v>
      </c>
      <c r="BP26" s="325">
        <v>0</v>
      </c>
      <c r="BQ26" s="343">
        <f>CPP!N26</f>
        <v>0</v>
      </c>
      <c r="BR26" s="325">
        <f t="shared" si="21"/>
        <v>0</v>
      </c>
      <c r="BS26" s="325">
        <f t="shared" si="22"/>
        <v>0</v>
      </c>
      <c r="BT26" s="325">
        <v>0</v>
      </c>
      <c r="BU26" s="325">
        <v>0</v>
      </c>
      <c r="BV26" s="343">
        <f>CPP!O26</f>
        <v>0</v>
      </c>
      <c r="BW26" s="325">
        <f t="shared" si="23"/>
        <v>0</v>
      </c>
      <c r="BX26" s="362">
        <f t="shared" si="56"/>
        <v>0</v>
      </c>
      <c r="BY26" s="325">
        <v>0</v>
      </c>
      <c r="BZ26" s="325">
        <v>0</v>
      </c>
      <c r="CA26" s="343"/>
      <c r="CB26" s="358">
        <f t="shared" si="24"/>
        <v>0</v>
      </c>
      <c r="CC26" s="325">
        <f t="shared" si="57"/>
        <v>0</v>
      </c>
      <c r="CD26" s="325">
        <v>0</v>
      </c>
      <c r="CE26" s="325">
        <v>0</v>
      </c>
      <c r="CF26" s="343">
        <f>CPP!P26</f>
        <v>0</v>
      </c>
      <c r="CG26" s="358">
        <f t="shared" si="25"/>
        <v>0</v>
      </c>
      <c r="CH26" s="325">
        <f t="shared" si="58"/>
        <v>0</v>
      </c>
      <c r="CI26" s="325">
        <v>0</v>
      </c>
      <c r="CJ26" s="325">
        <v>0</v>
      </c>
      <c r="CK26" s="343">
        <f>CPP!Q26</f>
        <v>0</v>
      </c>
      <c r="CL26" s="325">
        <f t="shared" si="26"/>
        <v>0</v>
      </c>
      <c r="CM26" s="325">
        <f t="shared" si="59"/>
        <v>5.0000000000181899E-2</v>
      </c>
      <c r="CN26" s="325">
        <v>0</v>
      </c>
      <c r="CO26" s="325">
        <v>0</v>
      </c>
      <c r="CP26" s="343">
        <f>CPP!R26</f>
        <v>0</v>
      </c>
      <c r="CQ26" s="325">
        <f t="shared" si="27"/>
        <v>5.0000000000181899E-2</v>
      </c>
      <c r="CR26" s="360">
        <f t="shared" si="60"/>
        <v>0</v>
      </c>
      <c r="CS26" s="325">
        <v>0</v>
      </c>
      <c r="CT26" s="325">
        <v>0</v>
      </c>
      <c r="CU26" s="361">
        <f>CPP!S26</f>
        <v>0</v>
      </c>
      <c r="CV26" s="360">
        <f t="shared" si="28"/>
        <v>0</v>
      </c>
      <c r="CW26" s="360">
        <f t="shared" si="61"/>
        <v>0</v>
      </c>
      <c r="CX26" s="325">
        <v>0</v>
      </c>
      <c r="CY26" s="325">
        <v>0</v>
      </c>
      <c r="CZ26" s="361">
        <f>CPP!T26</f>
        <v>0</v>
      </c>
      <c r="DA26" s="360">
        <f t="shared" si="29"/>
        <v>0</v>
      </c>
      <c r="DB26" s="360">
        <f t="shared" si="62"/>
        <v>306</v>
      </c>
      <c r="DC26" s="325">
        <v>0</v>
      </c>
      <c r="DD26" s="325">
        <v>0</v>
      </c>
      <c r="DE26" s="361">
        <f>CPP!U26</f>
        <v>0</v>
      </c>
      <c r="DF26" s="360">
        <f t="shared" si="30"/>
        <v>306</v>
      </c>
      <c r="DG26" s="360">
        <f t="shared" si="63"/>
        <v>0</v>
      </c>
      <c r="DH26" s="325">
        <v>0</v>
      </c>
      <c r="DI26" s="325">
        <v>0</v>
      </c>
      <c r="DJ26" s="361">
        <f>CPP!V26</f>
        <v>0</v>
      </c>
      <c r="DK26" s="360">
        <f t="shared" si="31"/>
        <v>0</v>
      </c>
      <c r="DL26" s="360">
        <f t="shared" si="64"/>
        <v>0</v>
      </c>
      <c r="DM26" s="325">
        <v>0</v>
      </c>
      <c r="DN26" s="325">
        <v>0</v>
      </c>
      <c r="DO26" s="361">
        <f>CPP!W26</f>
        <v>0</v>
      </c>
      <c r="DP26" s="360">
        <f t="shared" si="32"/>
        <v>0</v>
      </c>
      <c r="DQ26" s="360">
        <f t="shared" si="65"/>
        <v>4587.9500000000025</v>
      </c>
      <c r="DR26" s="1">
        <v>0</v>
      </c>
      <c r="DS26" s="1">
        <v>0</v>
      </c>
      <c r="DT26" s="361">
        <f>CPP!X26</f>
        <v>0</v>
      </c>
      <c r="DU26" s="360">
        <f t="shared" si="33"/>
        <v>4587.9500000000025</v>
      </c>
      <c r="DV26" s="360">
        <f t="shared" si="66"/>
        <v>0</v>
      </c>
      <c r="DW26" s="325">
        <v>0</v>
      </c>
      <c r="DX26" s="325">
        <v>0</v>
      </c>
      <c r="DY26" s="361">
        <f>CPP!Y26</f>
        <v>0</v>
      </c>
      <c r="DZ26" s="360">
        <f t="shared" si="34"/>
        <v>0</v>
      </c>
      <c r="EA26" s="129">
        <f t="shared" si="35"/>
        <v>10552.126999999989</v>
      </c>
      <c r="EB26" s="170">
        <f t="shared" si="36"/>
        <v>0</v>
      </c>
      <c r="EC26" s="170">
        <f t="shared" si="37"/>
        <v>222.22</v>
      </c>
      <c r="ED26" s="129">
        <f t="shared" si="38"/>
        <v>10276.90699999999</v>
      </c>
      <c r="EE26" s="18">
        <f t="shared" si="39"/>
        <v>10430.699999999997</v>
      </c>
      <c r="EF26" s="170">
        <f t="shared" si="40"/>
        <v>0</v>
      </c>
      <c r="EG26" s="343">
        <f>CPP!D26+CPP!E26+CPP!F26+CPP!G26+CPP!H26+CPP!I26+CPP!J26+CPP!K26+CPP!L26+CPP!M26+CPP!N26+CPP!O26+CPP!P26+CPP!Q26+CPP!R26+CPP!S26+CZ26+DE26+DJ26+CPP!W26+DT26</f>
        <v>106</v>
      </c>
      <c r="EH26" s="356">
        <f>EE26+EF26-CPP!G26-CPP!E26-CPP!F26-CPP!P26-CPP!Q26-CK26-CP26-DT26</f>
        <v>10377.699999999997</v>
      </c>
      <c r="EI26" s="363">
        <f t="shared" si="41"/>
        <v>21450.860088227266</v>
      </c>
      <c r="EJ26" s="1">
        <v>1310</v>
      </c>
      <c r="EK26" s="364">
        <f>'Daily CEM-1'!AG27+'Daily  CEM - 2'!AF27-EP26</f>
        <v>677.6</v>
      </c>
      <c r="EL26" s="354">
        <f t="shared" si="42"/>
        <v>22083.260088227267</v>
      </c>
      <c r="EM26" s="325">
        <v>0</v>
      </c>
      <c r="EN26" s="356">
        <f t="shared" si="67"/>
        <v>3040.8590080001363</v>
      </c>
      <c r="EO26" s="1">
        <v>455.41</v>
      </c>
      <c r="EP26" s="1">
        <v>0</v>
      </c>
      <c r="EQ26" s="365">
        <f t="shared" si="43"/>
        <v>3496.2690080001362</v>
      </c>
      <c r="ER26" s="324">
        <f t="shared" si="44"/>
        <v>780.99</v>
      </c>
      <c r="ES26" s="324">
        <v>1236.4000000000001</v>
      </c>
      <c r="ET26" s="366">
        <f t="shared" si="45"/>
        <v>677.6</v>
      </c>
    </row>
    <row r="27" spans="2:150" s="324" customFormat="1" x14ac:dyDescent="0.25">
      <c r="B27" s="351">
        <v>25</v>
      </c>
      <c r="C27" s="352">
        <f t="shared" si="3"/>
        <v>4293.4799999999996</v>
      </c>
      <c r="D27" s="1">
        <v>0</v>
      </c>
      <c r="E27" s="271">
        <f>F27+'RAW MILL 2'!F27</f>
        <v>52</v>
      </c>
      <c r="F27" s="1">
        <v>52</v>
      </c>
      <c r="G27" s="354">
        <f t="shared" si="4"/>
        <v>4241.4799999999996</v>
      </c>
      <c r="H27" s="352">
        <f t="shared" si="5"/>
        <v>-1355.9599831624801</v>
      </c>
      <c r="I27" s="355">
        <f>Production2!N27</f>
        <v>2212.86</v>
      </c>
      <c r="J27" s="355">
        <f>Production2!K27</f>
        <v>2263</v>
      </c>
      <c r="K27" s="18">
        <f t="shared" si="6"/>
        <v>-1406.0999831624799</v>
      </c>
      <c r="L27" s="357">
        <f t="shared" si="7"/>
        <v>0</v>
      </c>
      <c r="M27" s="325">
        <v>0</v>
      </c>
      <c r="N27" s="355">
        <f>CPP!D27</f>
        <v>0</v>
      </c>
      <c r="O27" s="325">
        <v>0</v>
      </c>
      <c r="P27" s="355">
        <f>N27+O27</f>
        <v>0</v>
      </c>
      <c r="Q27" s="354">
        <f t="shared" si="48"/>
        <v>0</v>
      </c>
      <c r="R27" s="352">
        <f t="shared" si="8"/>
        <v>0</v>
      </c>
      <c r="S27" s="325">
        <v>0</v>
      </c>
      <c r="T27" s="355">
        <f>CPP!E27</f>
        <v>0</v>
      </c>
      <c r="U27" s="358">
        <v>0</v>
      </c>
      <c r="V27" s="359">
        <f t="shared" si="9"/>
        <v>0</v>
      </c>
      <c r="W27" s="354">
        <f t="shared" si="10"/>
        <v>0</v>
      </c>
      <c r="X27" s="352">
        <f t="shared" si="11"/>
        <v>5382.6699999999973</v>
      </c>
      <c r="Y27" s="1">
        <v>0</v>
      </c>
      <c r="Z27" s="355">
        <f>CPP!H27</f>
        <v>64</v>
      </c>
      <c r="AA27" s="1">
        <v>203.44</v>
      </c>
      <c r="AB27" s="354">
        <f t="shared" si="12"/>
        <v>5115.2299999999977</v>
      </c>
      <c r="AC27" s="352">
        <f t="shared" si="13"/>
        <v>0</v>
      </c>
      <c r="AD27" s="325">
        <v>0</v>
      </c>
      <c r="AE27" s="325">
        <v>0</v>
      </c>
      <c r="AF27" s="354">
        <f>AC27+AD27-AE27</f>
        <v>0</v>
      </c>
      <c r="AG27" s="352">
        <f t="shared" si="14"/>
        <v>10377.649999999998</v>
      </c>
      <c r="AH27" s="1">
        <v>0</v>
      </c>
      <c r="AI27" s="343">
        <f>CPP!G27</f>
        <v>65</v>
      </c>
      <c r="AJ27" s="354">
        <f>AG27+AH27-AI27</f>
        <v>10312.649999999998</v>
      </c>
      <c r="AK27" s="360">
        <f t="shared" si="49"/>
        <v>0</v>
      </c>
      <c r="AL27" s="325">
        <v>0</v>
      </c>
      <c r="AM27" s="325">
        <v>0</v>
      </c>
      <c r="AN27" s="356">
        <f t="shared" si="15"/>
        <v>0</v>
      </c>
      <c r="AO27" s="360">
        <f t="shared" si="50"/>
        <v>0</v>
      </c>
      <c r="AP27" s="325">
        <v>0</v>
      </c>
      <c r="AQ27" s="325">
        <v>0</v>
      </c>
      <c r="AR27" s="361">
        <f>CPP!I27</f>
        <v>0</v>
      </c>
      <c r="AS27" s="360">
        <f t="shared" si="16"/>
        <v>0</v>
      </c>
      <c r="AT27" s="325">
        <f t="shared" si="51"/>
        <v>0</v>
      </c>
      <c r="AU27" s="325">
        <v>0</v>
      </c>
      <c r="AV27" s="325">
        <v>0</v>
      </c>
      <c r="AW27" s="343">
        <f>CPP!J27</f>
        <v>0</v>
      </c>
      <c r="AX27" s="325">
        <f t="shared" si="17"/>
        <v>0</v>
      </c>
      <c r="AY27" s="325">
        <f t="shared" si="52"/>
        <v>0.286999999990248</v>
      </c>
      <c r="AZ27" s="1">
        <v>0</v>
      </c>
      <c r="BA27" s="1">
        <v>0</v>
      </c>
      <c r="BB27" s="343">
        <f>CPP!K27</f>
        <v>0</v>
      </c>
      <c r="BC27" s="325">
        <f t="shared" si="18"/>
        <v>0.286999999990248</v>
      </c>
      <c r="BD27" s="325">
        <f t="shared" si="53"/>
        <v>0</v>
      </c>
      <c r="BE27" s="325">
        <v>0</v>
      </c>
      <c r="BF27" s="325">
        <v>0</v>
      </c>
      <c r="BG27" s="343">
        <f>CPP!L27</f>
        <v>0</v>
      </c>
      <c r="BH27" s="325">
        <f t="shared" si="19"/>
        <v>0</v>
      </c>
      <c r="BI27" s="325">
        <f t="shared" si="54"/>
        <v>0</v>
      </c>
      <c r="BJ27" s="325">
        <v>0</v>
      </c>
      <c r="BK27" s="325">
        <v>0</v>
      </c>
      <c r="BL27" s="343">
        <f>CPP!M27</f>
        <v>0</v>
      </c>
      <c r="BM27" s="325">
        <f t="shared" si="55"/>
        <v>0</v>
      </c>
      <c r="BN27" s="325">
        <f t="shared" si="20"/>
        <v>0</v>
      </c>
      <c r="BO27" s="325">
        <v>0</v>
      </c>
      <c r="BP27" s="325">
        <v>0</v>
      </c>
      <c r="BQ27" s="343">
        <f>CPP!N27</f>
        <v>0</v>
      </c>
      <c r="BR27" s="325">
        <f t="shared" si="21"/>
        <v>0</v>
      </c>
      <c r="BS27" s="325">
        <f t="shared" si="22"/>
        <v>0</v>
      </c>
      <c r="BT27" s="325">
        <v>0</v>
      </c>
      <c r="BU27" s="325">
        <v>0</v>
      </c>
      <c r="BV27" s="343">
        <f>CPP!O27</f>
        <v>0</v>
      </c>
      <c r="BW27" s="325">
        <f t="shared" si="23"/>
        <v>0</v>
      </c>
      <c r="BX27" s="362">
        <f t="shared" si="56"/>
        <v>0</v>
      </c>
      <c r="BY27" s="325">
        <v>0</v>
      </c>
      <c r="BZ27" s="325">
        <v>0</v>
      </c>
      <c r="CA27" s="343"/>
      <c r="CB27" s="358">
        <f t="shared" si="24"/>
        <v>0</v>
      </c>
      <c r="CC27" s="325">
        <f t="shared" si="57"/>
        <v>0</v>
      </c>
      <c r="CD27" s="325">
        <v>0</v>
      </c>
      <c r="CE27" s="325">
        <v>0</v>
      </c>
      <c r="CF27" s="343">
        <f>CPP!P27</f>
        <v>0</v>
      </c>
      <c r="CG27" s="358">
        <f t="shared" si="25"/>
        <v>0</v>
      </c>
      <c r="CH27" s="325">
        <f t="shared" si="58"/>
        <v>0</v>
      </c>
      <c r="CI27" s="325">
        <v>0</v>
      </c>
      <c r="CJ27" s="325">
        <v>0</v>
      </c>
      <c r="CK27" s="343">
        <f>CPP!Q27</f>
        <v>0</v>
      </c>
      <c r="CL27" s="325">
        <f t="shared" si="26"/>
        <v>0</v>
      </c>
      <c r="CM27" s="325">
        <f t="shared" si="59"/>
        <v>5.0000000000181899E-2</v>
      </c>
      <c r="CN27" s="325">
        <v>0</v>
      </c>
      <c r="CO27" s="325">
        <v>0</v>
      </c>
      <c r="CP27" s="343">
        <f>CPP!R27</f>
        <v>0</v>
      </c>
      <c r="CQ27" s="325">
        <f t="shared" si="27"/>
        <v>5.0000000000181899E-2</v>
      </c>
      <c r="CR27" s="360">
        <f t="shared" si="60"/>
        <v>0</v>
      </c>
      <c r="CS27" s="325">
        <v>0</v>
      </c>
      <c r="CT27" s="325">
        <v>0</v>
      </c>
      <c r="CU27" s="361">
        <f>CPP!S27</f>
        <v>0</v>
      </c>
      <c r="CV27" s="360">
        <f t="shared" si="28"/>
        <v>0</v>
      </c>
      <c r="CW27" s="360">
        <f t="shared" si="61"/>
        <v>0</v>
      </c>
      <c r="CX27" s="325">
        <v>0</v>
      </c>
      <c r="CY27" s="325">
        <v>0</v>
      </c>
      <c r="CZ27" s="361">
        <f>CPP!T27</f>
        <v>0</v>
      </c>
      <c r="DA27" s="360">
        <f t="shared" si="29"/>
        <v>0</v>
      </c>
      <c r="DB27" s="360">
        <f t="shared" si="62"/>
        <v>306</v>
      </c>
      <c r="DC27" s="325">
        <v>0</v>
      </c>
      <c r="DD27" s="325">
        <v>0</v>
      </c>
      <c r="DE27" s="361">
        <f>CPP!U27</f>
        <v>0</v>
      </c>
      <c r="DF27" s="360">
        <f t="shared" si="30"/>
        <v>306</v>
      </c>
      <c r="DG27" s="360">
        <f t="shared" si="63"/>
        <v>0</v>
      </c>
      <c r="DH27" s="325">
        <v>0</v>
      </c>
      <c r="DI27" s="325">
        <v>0</v>
      </c>
      <c r="DJ27" s="361">
        <f>CPP!V27</f>
        <v>0</v>
      </c>
      <c r="DK27" s="360">
        <f t="shared" si="31"/>
        <v>0</v>
      </c>
      <c r="DL27" s="360">
        <f t="shared" si="64"/>
        <v>0</v>
      </c>
      <c r="DM27" s="325">
        <v>0</v>
      </c>
      <c r="DN27" s="325">
        <v>0</v>
      </c>
      <c r="DO27" s="361">
        <f>CPP!W27</f>
        <v>0</v>
      </c>
      <c r="DP27" s="360">
        <f t="shared" si="32"/>
        <v>0</v>
      </c>
      <c r="DQ27" s="360">
        <f t="shared" si="65"/>
        <v>4587.9500000000025</v>
      </c>
      <c r="DR27" s="1">
        <v>0</v>
      </c>
      <c r="DS27" s="1">
        <v>51</v>
      </c>
      <c r="DT27" s="361">
        <f>CPP!X27</f>
        <v>0</v>
      </c>
      <c r="DU27" s="360">
        <f t="shared" si="33"/>
        <v>4536.9500000000025</v>
      </c>
      <c r="DV27" s="360">
        <f t="shared" si="66"/>
        <v>0</v>
      </c>
      <c r="DW27" s="325">
        <v>0</v>
      </c>
      <c r="DX27" s="325">
        <v>0</v>
      </c>
      <c r="DY27" s="361">
        <f>CPP!Y27</f>
        <v>0</v>
      </c>
      <c r="DZ27" s="360">
        <f t="shared" si="34"/>
        <v>0</v>
      </c>
      <c r="EA27" s="129">
        <f t="shared" si="35"/>
        <v>10276.90699999999</v>
      </c>
      <c r="EB27" s="170">
        <f t="shared" si="36"/>
        <v>0</v>
      </c>
      <c r="EC27" s="170">
        <f t="shared" si="37"/>
        <v>254.44</v>
      </c>
      <c r="ED27" s="129">
        <f t="shared" si="38"/>
        <v>9958.4669999999896</v>
      </c>
      <c r="EE27" s="18">
        <f t="shared" si="39"/>
        <v>10377.699999999997</v>
      </c>
      <c r="EF27" s="170">
        <f t="shared" si="40"/>
        <v>0</v>
      </c>
      <c r="EG27" s="343">
        <f>CPP!D27+CPP!E27+CPP!F27+CPP!G27+CPP!H27+CPP!I27+CPP!J27+CPP!K27+CPP!L27+CPP!M27+CPP!N27+CPP!O27+CPP!P27+CPP!Q27+CPP!R27+CPP!S27+CZ27+DE27+DJ27+CPP!W27+DT27</f>
        <v>129</v>
      </c>
      <c r="EH27" s="356">
        <f>EE27+EF27-CPP!G27-CPP!E27-CPP!F27-CPP!P27-CPP!Q27-CK27-CP27-DT27</f>
        <v>10312.699999999997</v>
      </c>
      <c r="EI27" s="363">
        <f t="shared" si="41"/>
        <v>22083.260088227267</v>
      </c>
      <c r="EJ27" s="1">
        <v>1460</v>
      </c>
      <c r="EK27" s="364">
        <f>'Daily CEM-1'!AG28+'Daily  CEM - 2'!AF28-EP27</f>
        <v>995.35000032749997</v>
      </c>
      <c r="EL27" s="354">
        <f t="shared" si="42"/>
        <v>22547.910087899767</v>
      </c>
      <c r="EM27" s="325">
        <v>0</v>
      </c>
      <c r="EN27" s="356">
        <f t="shared" si="67"/>
        <v>3496.2690080001362</v>
      </c>
      <c r="EO27" s="1">
        <v>0</v>
      </c>
      <c r="EP27" s="1">
        <v>0</v>
      </c>
      <c r="EQ27" s="365">
        <f t="shared" si="43"/>
        <v>3496.2690080001362</v>
      </c>
      <c r="ER27" s="324">
        <f t="shared" si="44"/>
        <v>1370.76</v>
      </c>
      <c r="ES27" s="324">
        <v>1370.76</v>
      </c>
      <c r="ET27" s="366">
        <f t="shared" si="45"/>
        <v>995.35000032749997</v>
      </c>
    </row>
    <row r="28" spans="2:150" s="324" customFormat="1" x14ac:dyDescent="0.25">
      <c r="B28" s="351">
        <v>26</v>
      </c>
      <c r="C28" s="352">
        <f t="shared" ref="C28:C33" si="68">G27</f>
        <v>4241.4799999999996</v>
      </c>
      <c r="D28" s="1">
        <v>0</v>
      </c>
      <c r="E28" s="353">
        <f>F28+'RAW MILL 2'!F28</f>
        <v>41</v>
      </c>
      <c r="F28" s="1">
        <v>39</v>
      </c>
      <c r="G28" s="354">
        <f t="shared" si="4"/>
        <v>4200.4799999999996</v>
      </c>
      <c r="H28" s="352">
        <f t="shared" ref="H28:H33" si="69">K27</f>
        <v>-1406.0999831624799</v>
      </c>
      <c r="I28" s="355">
        <f>Production2!N28</f>
        <v>2325</v>
      </c>
      <c r="J28" s="355">
        <f>Production2!K28</f>
        <v>2464.5</v>
      </c>
      <c r="K28" s="18">
        <f t="shared" si="6"/>
        <v>-1545.5999831624799</v>
      </c>
      <c r="L28" s="357">
        <f t="shared" ref="L28:L33" si="70">Q27</f>
        <v>0</v>
      </c>
      <c r="M28" s="325">
        <v>0</v>
      </c>
      <c r="N28" s="355">
        <f>CPP!D28</f>
        <v>0</v>
      </c>
      <c r="O28" s="325">
        <v>0</v>
      </c>
      <c r="P28" s="355">
        <f t="shared" ref="P28:P33" si="71">N28+O28</f>
        <v>0</v>
      </c>
      <c r="Q28" s="354">
        <f t="shared" si="48"/>
        <v>0</v>
      </c>
      <c r="R28" s="352">
        <f t="shared" ref="R28:R33" si="72">W27</f>
        <v>0</v>
      </c>
      <c r="S28" s="325">
        <v>0</v>
      </c>
      <c r="T28" s="355">
        <f>CPP!E28</f>
        <v>0</v>
      </c>
      <c r="U28" s="358">
        <v>0</v>
      </c>
      <c r="V28" s="359">
        <f t="shared" si="9"/>
        <v>0</v>
      </c>
      <c r="W28" s="354">
        <f t="shared" si="10"/>
        <v>0</v>
      </c>
      <c r="X28" s="352">
        <f t="shared" ref="X28:X33" si="73">AB27</f>
        <v>5115.2299999999977</v>
      </c>
      <c r="Y28" s="1">
        <v>0</v>
      </c>
      <c r="Z28" s="355">
        <f>CPP!H28</f>
        <v>77</v>
      </c>
      <c r="AA28" s="1">
        <v>214.4</v>
      </c>
      <c r="AB28" s="354">
        <f t="shared" si="12"/>
        <v>4823.8299999999981</v>
      </c>
      <c r="AC28" s="352">
        <f t="shared" si="13"/>
        <v>0</v>
      </c>
      <c r="AD28" s="325">
        <v>0</v>
      </c>
      <c r="AE28" s="325">
        <v>0</v>
      </c>
      <c r="AF28" s="354">
        <f t="shared" ref="AF28:AF33" si="74">AC28+AD28-AE28</f>
        <v>0</v>
      </c>
      <c r="AG28" s="352">
        <f t="shared" si="14"/>
        <v>10312.649999999998</v>
      </c>
      <c r="AH28" s="1">
        <v>0</v>
      </c>
      <c r="AI28" s="343">
        <f>CPP!G28</f>
        <v>63</v>
      </c>
      <c r="AJ28" s="354">
        <f t="shared" ref="AJ28:AJ33" si="75">AG28+AH28-AI28</f>
        <v>10249.649999999998</v>
      </c>
      <c r="AK28" s="360">
        <f t="shared" si="49"/>
        <v>0</v>
      </c>
      <c r="AL28" s="325">
        <v>0</v>
      </c>
      <c r="AM28" s="325">
        <v>0</v>
      </c>
      <c r="AN28" s="356">
        <f t="shared" si="15"/>
        <v>0</v>
      </c>
      <c r="AO28" s="360">
        <f t="shared" si="50"/>
        <v>0</v>
      </c>
      <c r="AP28" s="325">
        <v>0</v>
      </c>
      <c r="AQ28" s="325">
        <v>0</v>
      </c>
      <c r="AR28" s="361">
        <f>CPP!I28</f>
        <v>0</v>
      </c>
      <c r="AS28" s="360">
        <f t="shared" si="16"/>
        <v>0</v>
      </c>
      <c r="AT28" s="325">
        <f t="shared" si="51"/>
        <v>0</v>
      </c>
      <c r="AU28" s="325">
        <v>0</v>
      </c>
      <c r="AV28" s="325">
        <v>0</v>
      </c>
      <c r="AW28" s="343">
        <f>CPP!J28</f>
        <v>0</v>
      </c>
      <c r="AX28" s="325">
        <f t="shared" si="17"/>
        <v>0</v>
      </c>
      <c r="AY28" s="325">
        <f t="shared" si="52"/>
        <v>0.286999999990248</v>
      </c>
      <c r="AZ28" s="1">
        <v>0</v>
      </c>
      <c r="BA28" s="1">
        <v>0</v>
      </c>
      <c r="BB28" s="343">
        <f>CPP!K28</f>
        <v>0</v>
      </c>
      <c r="BC28" s="325">
        <f t="shared" si="18"/>
        <v>0.286999999990248</v>
      </c>
      <c r="BD28" s="325">
        <f t="shared" si="53"/>
        <v>0</v>
      </c>
      <c r="BE28" s="325">
        <v>0</v>
      </c>
      <c r="BF28" s="325">
        <v>0</v>
      </c>
      <c r="BG28" s="343">
        <f>CPP!L28</f>
        <v>0</v>
      </c>
      <c r="BH28" s="325">
        <f t="shared" si="19"/>
        <v>0</v>
      </c>
      <c r="BI28" s="325">
        <f t="shared" si="54"/>
        <v>0</v>
      </c>
      <c r="BJ28" s="325">
        <v>0</v>
      </c>
      <c r="BK28" s="325">
        <v>0</v>
      </c>
      <c r="BL28" s="343">
        <f>CPP!M28</f>
        <v>0</v>
      </c>
      <c r="BM28" s="325">
        <f t="shared" si="55"/>
        <v>0</v>
      </c>
      <c r="BN28" s="325">
        <f t="shared" si="20"/>
        <v>0</v>
      </c>
      <c r="BO28" s="325">
        <v>0</v>
      </c>
      <c r="BP28" s="325">
        <v>0</v>
      </c>
      <c r="BQ28" s="343">
        <f>CPP!N28</f>
        <v>0</v>
      </c>
      <c r="BR28" s="325">
        <f t="shared" si="21"/>
        <v>0</v>
      </c>
      <c r="BS28" s="325">
        <f t="shared" si="22"/>
        <v>0</v>
      </c>
      <c r="BT28" s="325">
        <v>0</v>
      </c>
      <c r="BU28" s="325">
        <v>0</v>
      </c>
      <c r="BV28" s="343">
        <f>CPP!O28</f>
        <v>0</v>
      </c>
      <c r="BW28" s="325">
        <f t="shared" si="23"/>
        <v>0</v>
      </c>
      <c r="BX28" s="362">
        <f t="shared" si="56"/>
        <v>0</v>
      </c>
      <c r="BY28" s="325">
        <v>0</v>
      </c>
      <c r="BZ28" s="325">
        <v>0</v>
      </c>
      <c r="CA28" s="343"/>
      <c r="CB28" s="358">
        <f t="shared" si="24"/>
        <v>0</v>
      </c>
      <c r="CC28" s="325">
        <f t="shared" si="57"/>
        <v>0</v>
      </c>
      <c r="CD28" s="325">
        <v>0</v>
      </c>
      <c r="CE28" s="325">
        <v>0</v>
      </c>
      <c r="CF28" s="343">
        <f>CPP!P28</f>
        <v>0</v>
      </c>
      <c r="CG28" s="358">
        <f t="shared" si="25"/>
        <v>0</v>
      </c>
      <c r="CH28" s="325">
        <f t="shared" si="58"/>
        <v>0</v>
      </c>
      <c r="CI28" s="325">
        <v>0</v>
      </c>
      <c r="CJ28" s="325">
        <v>0</v>
      </c>
      <c r="CK28" s="343">
        <f>CPP!Q28</f>
        <v>0</v>
      </c>
      <c r="CL28" s="325">
        <f t="shared" si="26"/>
        <v>0</v>
      </c>
      <c r="CM28" s="325">
        <f t="shared" si="59"/>
        <v>5.0000000000181899E-2</v>
      </c>
      <c r="CN28" s="325">
        <v>0</v>
      </c>
      <c r="CO28" s="325">
        <v>0</v>
      </c>
      <c r="CP28" s="343">
        <f>CPP!R28</f>
        <v>0</v>
      </c>
      <c r="CQ28" s="325">
        <f t="shared" si="27"/>
        <v>5.0000000000181899E-2</v>
      </c>
      <c r="CR28" s="360">
        <f t="shared" si="60"/>
        <v>0</v>
      </c>
      <c r="CS28" s="325">
        <v>0</v>
      </c>
      <c r="CT28" s="325">
        <v>0</v>
      </c>
      <c r="CU28" s="361">
        <f>CPP!S28</f>
        <v>0</v>
      </c>
      <c r="CV28" s="360">
        <f t="shared" si="28"/>
        <v>0</v>
      </c>
      <c r="CW28" s="360">
        <f t="shared" si="61"/>
        <v>0</v>
      </c>
      <c r="CX28" s="325">
        <v>0</v>
      </c>
      <c r="CY28" s="325">
        <v>0</v>
      </c>
      <c r="CZ28" s="361">
        <f>CPP!T28</f>
        <v>0</v>
      </c>
      <c r="DA28" s="360">
        <f t="shared" si="29"/>
        <v>0</v>
      </c>
      <c r="DB28" s="360">
        <f t="shared" si="62"/>
        <v>306</v>
      </c>
      <c r="DC28" s="325">
        <v>0</v>
      </c>
      <c r="DD28" s="325">
        <v>0</v>
      </c>
      <c r="DE28" s="361">
        <f>CPP!U28</f>
        <v>0</v>
      </c>
      <c r="DF28" s="360">
        <f t="shared" si="30"/>
        <v>306</v>
      </c>
      <c r="DG28" s="360">
        <f t="shared" si="63"/>
        <v>0</v>
      </c>
      <c r="DH28" s="325">
        <v>0</v>
      </c>
      <c r="DI28" s="325">
        <v>0</v>
      </c>
      <c r="DJ28" s="361">
        <f>CPP!V28</f>
        <v>0</v>
      </c>
      <c r="DK28" s="360">
        <f t="shared" si="31"/>
        <v>0</v>
      </c>
      <c r="DL28" s="360">
        <f t="shared" si="64"/>
        <v>0</v>
      </c>
      <c r="DM28" s="325">
        <v>0</v>
      </c>
      <c r="DN28" s="325">
        <v>0</v>
      </c>
      <c r="DO28" s="361">
        <f>CPP!W28</f>
        <v>0</v>
      </c>
      <c r="DP28" s="360">
        <f t="shared" si="32"/>
        <v>0</v>
      </c>
      <c r="DQ28" s="360">
        <f t="shared" si="65"/>
        <v>4536.9500000000025</v>
      </c>
      <c r="DR28" s="1">
        <v>0</v>
      </c>
      <c r="DS28" s="1">
        <v>53.6</v>
      </c>
      <c r="DT28" s="361">
        <f>CPP!X28</f>
        <v>0</v>
      </c>
      <c r="DU28" s="360">
        <f t="shared" si="33"/>
        <v>4483.3500000000022</v>
      </c>
      <c r="DV28" s="360">
        <f t="shared" si="66"/>
        <v>0</v>
      </c>
      <c r="DW28" s="325">
        <v>0</v>
      </c>
      <c r="DX28" s="325">
        <v>0</v>
      </c>
      <c r="DY28" s="361">
        <f>CPP!Y28</f>
        <v>0</v>
      </c>
      <c r="DZ28" s="360">
        <f t="shared" si="34"/>
        <v>0</v>
      </c>
      <c r="EA28" s="129">
        <f t="shared" si="35"/>
        <v>9958.4669999999896</v>
      </c>
      <c r="EB28" s="170">
        <f t="shared" si="36"/>
        <v>0</v>
      </c>
      <c r="EC28" s="170">
        <f t="shared" si="37"/>
        <v>268</v>
      </c>
      <c r="ED28" s="129">
        <f t="shared" si="38"/>
        <v>9613.4669999999896</v>
      </c>
      <c r="EE28" s="18">
        <f t="shared" si="39"/>
        <v>10312.699999999997</v>
      </c>
      <c r="EF28" s="170">
        <f t="shared" si="40"/>
        <v>0</v>
      </c>
      <c r="EG28" s="343">
        <f>CPP!D28+CPP!E28+CPP!F28+CPP!G28+CPP!H28+CPP!I28+CPP!J28+CPP!K28+CPP!L28+CPP!M28+CPP!N28+CPP!O28+CPP!P28+CPP!Q28+CPP!R28+CPP!S28+CZ28+DE28+DJ28+CPP!W28+DT28</f>
        <v>140</v>
      </c>
      <c r="EH28" s="356">
        <f>EE28+EF28-CPP!G28-CPP!E28-CPP!F28-CPP!P28-CPP!Q28-CK28-CP28-DT28</f>
        <v>10249.699999999997</v>
      </c>
      <c r="EI28" s="363">
        <f t="shared" ref="EI28:EI33" si="76">EL27</f>
        <v>22547.910087899767</v>
      </c>
      <c r="EJ28" s="1">
        <v>1590</v>
      </c>
      <c r="EK28" s="364">
        <f>'Daily CEM-1'!AG29+'Daily  CEM - 2'!AF29-EP28</f>
        <v>1588.7500000000009</v>
      </c>
      <c r="EL28" s="354">
        <f t="shared" si="42"/>
        <v>22549.160087899767</v>
      </c>
      <c r="EM28" s="325">
        <v>0</v>
      </c>
      <c r="EN28" s="356">
        <f t="shared" si="67"/>
        <v>3496.2690080001362</v>
      </c>
      <c r="EO28" s="1">
        <v>0</v>
      </c>
      <c r="EP28" s="1">
        <v>0</v>
      </c>
      <c r="EQ28" s="365">
        <f>EN28+EO28-EP28</f>
        <v>3496.2690080001362</v>
      </c>
      <c r="ER28" s="324">
        <f t="shared" si="44"/>
        <v>594.78</v>
      </c>
      <c r="ES28" s="324">
        <v>594.78</v>
      </c>
      <c r="ET28" s="366">
        <f t="shared" si="45"/>
        <v>1588.7500000000009</v>
      </c>
    </row>
    <row r="29" spans="2:150" x14ac:dyDescent="0.25">
      <c r="B29" s="4">
        <v>27</v>
      </c>
      <c r="C29" s="39">
        <f t="shared" si="68"/>
        <v>4200.4799999999996</v>
      </c>
      <c r="D29" s="1">
        <v>0</v>
      </c>
      <c r="E29" s="271">
        <f>F29+'RAW MILL 2'!F29</f>
        <v>59</v>
      </c>
      <c r="F29" s="1">
        <v>55</v>
      </c>
      <c r="G29" s="9">
        <f t="shared" si="4"/>
        <v>4141.4799999999996</v>
      </c>
      <c r="H29" s="39">
        <f t="shared" si="69"/>
        <v>-1545.5999831624799</v>
      </c>
      <c r="I29" s="33">
        <f>Production2!N29</f>
        <v>2468</v>
      </c>
      <c r="J29" s="33">
        <f>Production2!K29</f>
        <v>2495.5</v>
      </c>
      <c r="K29" s="18">
        <f t="shared" si="6"/>
        <v>-1573.0999831624799</v>
      </c>
      <c r="L29" s="49">
        <f t="shared" si="70"/>
        <v>0</v>
      </c>
      <c r="M29" s="1">
        <v>0</v>
      </c>
      <c r="N29" s="33">
        <f>CPP!D29</f>
        <v>0</v>
      </c>
      <c r="O29" s="1">
        <v>0</v>
      </c>
      <c r="P29" s="33">
        <f t="shared" si="71"/>
        <v>0</v>
      </c>
      <c r="Q29" s="9">
        <f t="shared" si="48"/>
        <v>0</v>
      </c>
      <c r="R29" s="39">
        <f t="shared" si="72"/>
        <v>0</v>
      </c>
      <c r="S29" s="1">
        <v>0</v>
      </c>
      <c r="T29" s="33">
        <f>CPP!E29</f>
        <v>0</v>
      </c>
      <c r="U29" s="26">
        <v>0</v>
      </c>
      <c r="V29" s="38">
        <f t="shared" si="9"/>
        <v>0</v>
      </c>
      <c r="W29" s="9">
        <f t="shared" si="10"/>
        <v>0</v>
      </c>
      <c r="X29" s="39">
        <f t="shared" si="73"/>
        <v>4823.8299999999981</v>
      </c>
      <c r="Y29" s="1">
        <v>0</v>
      </c>
      <c r="Z29" s="33">
        <f>CPP!H29</f>
        <v>80</v>
      </c>
      <c r="AA29" s="1">
        <v>211.2</v>
      </c>
      <c r="AB29" s="9">
        <f t="shared" si="12"/>
        <v>4532.6299999999983</v>
      </c>
      <c r="AC29" s="39">
        <f t="shared" si="13"/>
        <v>0</v>
      </c>
      <c r="AD29" s="1">
        <v>0</v>
      </c>
      <c r="AE29" s="1">
        <v>0</v>
      </c>
      <c r="AF29" s="9">
        <f t="shared" si="74"/>
        <v>0</v>
      </c>
      <c r="AG29" s="39">
        <f t="shared" si="14"/>
        <v>10249.649999999998</v>
      </c>
      <c r="AH29" s="1">
        <v>0</v>
      </c>
      <c r="AI29" s="170">
        <f>CPP!G29</f>
        <v>58</v>
      </c>
      <c r="AJ29" s="9">
        <f t="shared" si="75"/>
        <v>10191.649999999998</v>
      </c>
      <c r="AK29" s="129">
        <f t="shared" si="49"/>
        <v>0</v>
      </c>
      <c r="AL29" s="1">
        <v>0</v>
      </c>
      <c r="AM29" s="1">
        <v>0</v>
      </c>
      <c r="AN29" s="18">
        <f t="shared" si="15"/>
        <v>0</v>
      </c>
      <c r="AO29" s="129">
        <f t="shared" si="50"/>
        <v>0</v>
      </c>
      <c r="AP29" s="1">
        <v>0</v>
      </c>
      <c r="AQ29" s="1">
        <v>0</v>
      </c>
      <c r="AR29" s="171">
        <f>CPP!I29</f>
        <v>0</v>
      </c>
      <c r="AS29" s="129">
        <f t="shared" si="16"/>
        <v>0</v>
      </c>
      <c r="AT29" s="1">
        <f t="shared" si="51"/>
        <v>0</v>
      </c>
      <c r="AU29" s="1">
        <v>0</v>
      </c>
      <c r="AV29" s="1">
        <v>0</v>
      </c>
      <c r="AW29" s="170">
        <f>CPP!J29</f>
        <v>0</v>
      </c>
      <c r="AX29" s="1">
        <f t="shared" si="17"/>
        <v>0</v>
      </c>
      <c r="AY29" s="1">
        <f t="shared" si="52"/>
        <v>0.286999999990248</v>
      </c>
      <c r="AZ29" s="1">
        <v>0</v>
      </c>
      <c r="BA29" s="1">
        <v>0</v>
      </c>
      <c r="BB29" s="170">
        <f>CPP!K29</f>
        <v>0</v>
      </c>
      <c r="BC29" s="1">
        <f t="shared" si="18"/>
        <v>0.286999999990248</v>
      </c>
      <c r="BD29" s="1">
        <f t="shared" si="53"/>
        <v>0</v>
      </c>
      <c r="BE29" s="1">
        <v>0</v>
      </c>
      <c r="BF29" s="1">
        <v>0</v>
      </c>
      <c r="BG29" s="170">
        <f>CPP!L29</f>
        <v>0</v>
      </c>
      <c r="BH29" s="1">
        <f t="shared" si="19"/>
        <v>0</v>
      </c>
      <c r="BI29" s="1">
        <f t="shared" si="54"/>
        <v>0</v>
      </c>
      <c r="BJ29" s="1">
        <v>0</v>
      </c>
      <c r="BK29" s="1">
        <v>0</v>
      </c>
      <c r="BL29" s="170">
        <f>CPP!M29</f>
        <v>0</v>
      </c>
      <c r="BM29" s="1">
        <f t="shared" si="55"/>
        <v>0</v>
      </c>
      <c r="BN29" s="1">
        <f t="shared" si="20"/>
        <v>0</v>
      </c>
      <c r="BO29" s="1">
        <v>0</v>
      </c>
      <c r="BP29" s="1">
        <v>0</v>
      </c>
      <c r="BQ29" s="170">
        <f>CPP!N29</f>
        <v>0</v>
      </c>
      <c r="BR29" s="1">
        <f t="shared" si="21"/>
        <v>0</v>
      </c>
      <c r="BS29" s="1">
        <f t="shared" si="22"/>
        <v>0</v>
      </c>
      <c r="BT29" s="1">
        <v>0</v>
      </c>
      <c r="BU29" s="1">
        <v>0</v>
      </c>
      <c r="BV29" s="170">
        <f>CPP!O29</f>
        <v>0</v>
      </c>
      <c r="BW29" s="1">
        <f t="shared" si="23"/>
        <v>0</v>
      </c>
      <c r="BX29" s="174">
        <f t="shared" si="56"/>
        <v>0</v>
      </c>
      <c r="BY29" s="1">
        <v>0</v>
      </c>
      <c r="BZ29" s="1">
        <v>0</v>
      </c>
      <c r="CA29" s="170"/>
      <c r="CB29" s="26">
        <f t="shared" si="24"/>
        <v>0</v>
      </c>
      <c r="CC29" s="1">
        <f t="shared" si="57"/>
        <v>0</v>
      </c>
      <c r="CD29" s="1">
        <v>0</v>
      </c>
      <c r="CE29" s="1">
        <v>0</v>
      </c>
      <c r="CF29" s="170">
        <f>CPP!P29</f>
        <v>0</v>
      </c>
      <c r="CG29" s="26">
        <f t="shared" si="25"/>
        <v>0</v>
      </c>
      <c r="CH29" s="1">
        <f t="shared" si="58"/>
        <v>0</v>
      </c>
      <c r="CI29" s="1">
        <v>0</v>
      </c>
      <c r="CJ29" s="1">
        <v>0</v>
      </c>
      <c r="CK29" s="170">
        <f>CPP!Q29</f>
        <v>0</v>
      </c>
      <c r="CL29" s="1">
        <f t="shared" si="26"/>
        <v>0</v>
      </c>
      <c r="CM29" s="1">
        <f t="shared" si="59"/>
        <v>5.0000000000181899E-2</v>
      </c>
      <c r="CN29" s="1">
        <v>0</v>
      </c>
      <c r="CO29" s="1">
        <v>0</v>
      </c>
      <c r="CP29" s="170">
        <f>CPP!R29</f>
        <v>0</v>
      </c>
      <c r="CQ29" s="1">
        <f t="shared" si="27"/>
        <v>5.0000000000181899E-2</v>
      </c>
      <c r="CR29" s="129">
        <f t="shared" si="60"/>
        <v>0</v>
      </c>
      <c r="CS29" s="1">
        <v>0</v>
      </c>
      <c r="CT29" s="1">
        <v>0</v>
      </c>
      <c r="CU29" s="171">
        <f>CPP!S29</f>
        <v>0</v>
      </c>
      <c r="CV29" s="129">
        <f t="shared" si="28"/>
        <v>0</v>
      </c>
      <c r="CW29" s="129">
        <f t="shared" si="61"/>
        <v>0</v>
      </c>
      <c r="CX29" s="1">
        <v>0</v>
      </c>
      <c r="CY29" s="1">
        <v>0</v>
      </c>
      <c r="CZ29" s="171">
        <f>CPP!T29</f>
        <v>0</v>
      </c>
      <c r="DA29" s="129">
        <f t="shared" si="29"/>
        <v>0</v>
      </c>
      <c r="DB29" s="129">
        <f t="shared" si="62"/>
        <v>306</v>
      </c>
      <c r="DC29" s="1">
        <v>0</v>
      </c>
      <c r="DD29" s="1">
        <v>0</v>
      </c>
      <c r="DE29" s="171">
        <f>CPP!U29</f>
        <v>0</v>
      </c>
      <c r="DF29" s="129">
        <f t="shared" si="30"/>
        <v>306</v>
      </c>
      <c r="DG29" s="129">
        <f t="shared" si="63"/>
        <v>0</v>
      </c>
      <c r="DH29" s="1">
        <v>0</v>
      </c>
      <c r="DI29" s="1">
        <v>0</v>
      </c>
      <c r="DJ29" s="171">
        <f>CPP!V29</f>
        <v>0</v>
      </c>
      <c r="DK29" s="129">
        <f t="shared" si="31"/>
        <v>0</v>
      </c>
      <c r="DL29" s="129">
        <f t="shared" si="64"/>
        <v>0</v>
      </c>
      <c r="DM29" s="1">
        <v>0</v>
      </c>
      <c r="DN29" s="1">
        <v>0</v>
      </c>
      <c r="DO29" s="171">
        <f>CPP!W29</f>
        <v>0</v>
      </c>
      <c r="DP29" s="129">
        <f t="shared" si="32"/>
        <v>0</v>
      </c>
      <c r="DQ29" s="129">
        <f t="shared" si="65"/>
        <v>4483.3500000000022</v>
      </c>
      <c r="DR29" s="1">
        <v>0</v>
      </c>
      <c r="DS29" s="1">
        <v>52.8</v>
      </c>
      <c r="DT29" s="171">
        <f>CPP!X29</f>
        <v>0</v>
      </c>
      <c r="DU29" s="129">
        <f t="shared" si="33"/>
        <v>4430.550000000002</v>
      </c>
      <c r="DV29" s="129">
        <f t="shared" si="66"/>
        <v>0</v>
      </c>
      <c r="DW29" s="1">
        <v>0</v>
      </c>
      <c r="DX29" s="1">
        <v>0</v>
      </c>
      <c r="DY29" s="171">
        <f>CPP!Y29</f>
        <v>0</v>
      </c>
      <c r="DZ29" s="129">
        <f t="shared" si="34"/>
        <v>0</v>
      </c>
      <c r="EA29" s="129">
        <f t="shared" si="35"/>
        <v>9613.4669999999896</v>
      </c>
      <c r="EB29" s="170">
        <f t="shared" si="36"/>
        <v>0</v>
      </c>
      <c r="EC29" s="170">
        <f t="shared" si="37"/>
        <v>264</v>
      </c>
      <c r="ED29" s="129">
        <f t="shared" si="38"/>
        <v>9269.4669999999896</v>
      </c>
      <c r="EE29" s="18">
        <f t="shared" si="39"/>
        <v>10249.699999999997</v>
      </c>
      <c r="EF29" s="170">
        <f t="shared" si="40"/>
        <v>0</v>
      </c>
      <c r="EG29" s="170">
        <f>CPP!D29+CPP!E29+CPP!F29+CPP!G29+CPP!H29+CPP!I29+CPP!J29+CPP!K29+CPP!L29+CPP!M29+CPP!N29+CPP!O29+CPP!P29+CPP!Q29+CPP!R29+CPP!S29+CZ29+DE29+DJ29+CPP!W29+DT29</f>
        <v>138</v>
      </c>
      <c r="EH29" s="18">
        <f>EE29+EF29-CPP!G29-CPP!E29-CPP!F29-CPP!P29-CPP!Q29-CK29-CP29-DT29</f>
        <v>10191.699999999997</v>
      </c>
      <c r="EI29" s="16">
        <f t="shared" si="76"/>
        <v>22549.160087899767</v>
      </c>
      <c r="EJ29" s="1">
        <v>1610</v>
      </c>
      <c r="EK29" s="255">
        <f>'Daily CEM-1'!AG30+'Daily  CEM - 2'!AF30-EP29</f>
        <v>1293.4500000000003</v>
      </c>
      <c r="EL29" s="9">
        <f t="shared" si="42"/>
        <v>22865.710087899766</v>
      </c>
      <c r="EM29" s="1">
        <v>0</v>
      </c>
      <c r="EN29" s="18">
        <f t="shared" si="67"/>
        <v>3496.2690080001362</v>
      </c>
      <c r="EO29" s="1">
        <v>1324.37</v>
      </c>
      <c r="EP29" s="1">
        <v>0</v>
      </c>
      <c r="EQ29" s="17">
        <f t="shared" si="43"/>
        <v>4820.6390080001365</v>
      </c>
      <c r="ER29">
        <f t="shared" si="44"/>
        <v>-575.68999999999994</v>
      </c>
      <c r="ES29">
        <v>748.68</v>
      </c>
      <c r="ET29" s="51">
        <f t="shared" si="45"/>
        <v>1293.4500000000003</v>
      </c>
    </row>
    <row r="30" spans="2:150" x14ac:dyDescent="0.25">
      <c r="B30" s="4">
        <v>28</v>
      </c>
      <c r="C30" s="39">
        <f t="shared" si="68"/>
        <v>4141.4799999999996</v>
      </c>
      <c r="D30" s="1">
        <v>0</v>
      </c>
      <c r="E30" s="271">
        <f>F30+'RAW MILL 2'!F30</f>
        <v>55</v>
      </c>
      <c r="F30" s="1">
        <v>52</v>
      </c>
      <c r="G30" s="9">
        <f t="shared" si="4"/>
        <v>4086.4799999999996</v>
      </c>
      <c r="H30" s="39">
        <f t="shared" si="69"/>
        <v>-1573.0999831624799</v>
      </c>
      <c r="I30" s="33">
        <f>Production2!N30</f>
        <v>2480</v>
      </c>
      <c r="J30" s="33">
        <f>Production2!K30</f>
        <v>2511</v>
      </c>
      <c r="K30" s="18">
        <f t="shared" si="6"/>
        <v>-1604.0999831624799</v>
      </c>
      <c r="L30" s="49">
        <f t="shared" si="70"/>
        <v>0</v>
      </c>
      <c r="M30" s="1">
        <v>0</v>
      </c>
      <c r="N30" s="33">
        <f>CPP!D30</f>
        <v>0</v>
      </c>
      <c r="O30" s="1">
        <v>0</v>
      </c>
      <c r="P30" s="33">
        <f t="shared" si="71"/>
        <v>0</v>
      </c>
      <c r="Q30" s="9">
        <f t="shared" si="48"/>
        <v>0</v>
      </c>
      <c r="R30" s="39">
        <f t="shared" si="72"/>
        <v>0</v>
      </c>
      <c r="S30" s="1">
        <v>0</v>
      </c>
      <c r="T30" s="33">
        <f>CPP!E30</f>
        <v>0</v>
      </c>
      <c r="U30" s="26">
        <v>0</v>
      </c>
      <c r="V30" s="38">
        <f t="shared" si="9"/>
        <v>0</v>
      </c>
      <c r="W30" s="9">
        <f t="shared" si="10"/>
        <v>0</v>
      </c>
      <c r="X30" s="39">
        <f t="shared" si="73"/>
        <v>4532.6299999999983</v>
      </c>
      <c r="Y30" s="1">
        <v>0</v>
      </c>
      <c r="Z30" s="33">
        <f>CPP!H30</f>
        <v>84</v>
      </c>
      <c r="AA30" s="1">
        <v>204.8</v>
      </c>
      <c r="AB30" s="9">
        <f t="shared" si="12"/>
        <v>4243.8299999999981</v>
      </c>
      <c r="AC30" s="39">
        <f t="shared" si="13"/>
        <v>0</v>
      </c>
      <c r="AD30" s="1">
        <v>0</v>
      </c>
      <c r="AE30" s="1">
        <v>0</v>
      </c>
      <c r="AF30" s="9">
        <f t="shared" si="74"/>
        <v>0</v>
      </c>
      <c r="AG30" s="39">
        <f t="shared" si="14"/>
        <v>10191.649999999998</v>
      </c>
      <c r="AH30" s="1">
        <v>0</v>
      </c>
      <c r="AI30" s="170">
        <f>CPP!G30</f>
        <v>56</v>
      </c>
      <c r="AJ30" s="9">
        <f t="shared" si="75"/>
        <v>10135.649999999998</v>
      </c>
      <c r="AK30" s="129">
        <f t="shared" si="49"/>
        <v>0</v>
      </c>
      <c r="AL30" s="1">
        <v>0</v>
      </c>
      <c r="AM30" s="1">
        <v>0</v>
      </c>
      <c r="AN30" s="18">
        <f t="shared" si="15"/>
        <v>0</v>
      </c>
      <c r="AO30" s="129">
        <f t="shared" si="50"/>
        <v>0</v>
      </c>
      <c r="AP30" s="1">
        <v>0</v>
      </c>
      <c r="AQ30" s="1">
        <v>0</v>
      </c>
      <c r="AR30" s="171">
        <f>CPP!I30</f>
        <v>0</v>
      </c>
      <c r="AS30" s="129">
        <f t="shared" si="16"/>
        <v>0</v>
      </c>
      <c r="AT30" s="1">
        <f t="shared" si="51"/>
        <v>0</v>
      </c>
      <c r="AU30" s="1">
        <v>0</v>
      </c>
      <c r="AV30" s="1">
        <v>0</v>
      </c>
      <c r="AW30" s="170">
        <f>CPP!J30</f>
        <v>0</v>
      </c>
      <c r="AX30" s="1">
        <f t="shared" si="17"/>
        <v>0</v>
      </c>
      <c r="AY30" s="1">
        <f t="shared" si="52"/>
        <v>0.286999999990248</v>
      </c>
      <c r="AZ30" s="1">
        <v>0</v>
      </c>
      <c r="BA30" s="1">
        <v>0</v>
      </c>
      <c r="BB30" s="170">
        <f>CPP!K30</f>
        <v>0</v>
      </c>
      <c r="BC30" s="1">
        <f t="shared" si="18"/>
        <v>0.286999999990248</v>
      </c>
      <c r="BD30" s="1">
        <f t="shared" si="53"/>
        <v>0</v>
      </c>
      <c r="BE30" s="1">
        <v>0</v>
      </c>
      <c r="BF30" s="1">
        <v>0</v>
      </c>
      <c r="BG30" s="170">
        <f>CPP!L30</f>
        <v>0</v>
      </c>
      <c r="BH30" s="1">
        <f t="shared" si="19"/>
        <v>0</v>
      </c>
      <c r="BI30" s="1">
        <f t="shared" si="54"/>
        <v>0</v>
      </c>
      <c r="BJ30" s="1">
        <v>0</v>
      </c>
      <c r="BK30" s="1">
        <v>0</v>
      </c>
      <c r="BL30" s="170">
        <f>CPP!M30</f>
        <v>0</v>
      </c>
      <c r="BM30" s="1">
        <f t="shared" si="55"/>
        <v>0</v>
      </c>
      <c r="BN30" s="1">
        <f t="shared" si="20"/>
        <v>0</v>
      </c>
      <c r="BO30" s="1">
        <v>0</v>
      </c>
      <c r="BP30" s="1">
        <v>0</v>
      </c>
      <c r="BQ30" s="170">
        <f>CPP!N30</f>
        <v>0</v>
      </c>
      <c r="BR30" s="1">
        <f t="shared" si="21"/>
        <v>0</v>
      </c>
      <c r="BS30" s="1">
        <f t="shared" si="22"/>
        <v>0</v>
      </c>
      <c r="BT30" s="1">
        <v>0</v>
      </c>
      <c r="BU30" s="1">
        <v>0</v>
      </c>
      <c r="BV30" s="170">
        <f>CPP!O30</f>
        <v>0</v>
      </c>
      <c r="BW30" s="1">
        <f t="shared" si="23"/>
        <v>0</v>
      </c>
      <c r="BX30" s="174">
        <f t="shared" si="56"/>
        <v>0</v>
      </c>
      <c r="BY30" s="1">
        <v>0</v>
      </c>
      <c r="BZ30" s="1">
        <v>0</v>
      </c>
      <c r="CA30" s="170"/>
      <c r="CB30" s="26">
        <f t="shared" si="24"/>
        <v>0</v>
      </c>
      <c r="CC30" s="1">
        <f t="shared" si="57"/>
        <v>0</v>
      </c>
      <c r="CD30" s="1">
        <v>0</v>
      </c>
      <c r="CE30" s="1">
        <v>0</v>
      </c>
      <c r="CF30" s="170">
        <f>CPP!P30</f>
        <v>0</v>
      </c>
      <c r="CG30" s="26">
        <f t="shared" si="25"/>
        <v>0</v>
      </c>
      <c r="CH30" s="1">
        <f t="shared" si="58"/>
        <v>0</v>
      </c>
      <c r="CI30" s="1">
        <v>0</v>
      </c>
      <c r="CJ30" s="1">
        <v>0</v>
      </c>
      <c r="CK30" s="170">
        <f>CPP!Q30</f>
        <v>0</v>
      </c>
      <c r="CL30" s="1">
        <f t="shared" si="26"/>
        <v>0</v>
      </c>
      <c r="CM30" s="1">
        <f t="shared" si="59"/>
        <v>5.0000000000181899E-2</v>
      </c>
      <c r="CN30" s="1">
        <v>0</v>
      </c>
      <c r="CO30" s="1">
        <v>0</v>
      </c>
      <c r="CP30" s="170">
        <f>CPP!R30</f>
        <v>0</v>
      </c>
      <c r="CQ30" s="1">
        <f t="shared" si="27"/>
        <v>5.0000000000181899E-2</v>
      </c>
      <c r="CR30" s="129">
        <f t="shared" si="60"/>
        <v>0</v>
      </c>
      <c r="CS30" s="1">
        <v>0</v>
      </c>
      <c r="CT30" s="1">
        <v>0</v>
      </c>
      <c r="CU30" s="171">
        <f>CPP!S30</f>
        <v>0</v>
      </c>
      <c r="CV30" s="129">
        <f t="shared" si="28"/>
        <v>0</v>
      </c>
      <c r="CW30" s="129">
        <f t="shared" si="61"/>
        <v>0</v>
      </c>
      <c r="CX30" s="1">
        <v>0</v>
      </c>
      <c r="CY30" s="1">
        <v>0</v>
      </c>
      <c r="CZ30" s="171">
        <f>CPP!T30</f>
        <v>0</v>
      </c>
      <c r="DA30" s="129">
        <f t="shared" si="29"/>
        <v>0</v>
      </c>
      <c r="DB30" s="129">
        <f t="shared" si="62"/>
        <v>306</v>
      </c>
      <c r="DC30" s="1">
        <v>0</v>
      </c>
      <c r="DD30" s="1">
        <v>0</v>
      </c>
      <c r="DE30" s="171">
        <f>CPP!U30</f>
        <v>0</v>
      </c>
      <c r="DF30" s="129">
        <f t="shared" si="30"/>
        <v>306</v>
      </c>
      <c r="DG30" s="129">
        <f t="shared" si="63"/>
        <v>0</v>
      </c>
      <c r="DH30" s="1">
        <v>0</v>
      </c>
      <c r="DI30" s="1">
        <v>0</v>
      </c>
      <c r="DJ30" s="171">
        <f>CPP!V30</f>
        <v>0</v>
      </c>
      <c r="DK30" s="129">
        <f t="shared" si="31"/>
        <v>0</v>
      </c>
      <c r="DL30" s="129">
        <f t="shared" si="64"/>
        <v>0</v>
      </c>
      <c r="DM30" s="1">
        <v>0</v>
      </c>
      <c r="DN30" s="1">
        <v>0</v>
      </c>
      <c r="DO30" s="171">
        <f>CPP!W30</f>
        <v>0</v>
      </c>
      <c r="DP30" s="129">
        <f t="shared" si="32"/>
        <v>0</v>
      </c>
      <c r="DQ30" s="129">
        <f t="shared" si="65"/>
        <v>4430.550000000002</v>
      </c>
      <c r="DR30" s="1">
        <v>0</v>
      </c>
      <c r="DS30" s="1">
        <v>51.2</v>
      </c>
      <c r="DT30" s="171">
        <f>CPP!X30</f>
        <v>0</v>
      </c>
      <c r="DU30" s="129">
        <f t="shared" si="33"/>
        <v>4379.3500000000022</v>
      </c>
      <c r="DV30" s="129">
        <f t="shared" si="66"/>
        <v>0</v>
      </c>
      <c r="DW30" s="1">
        <v>0</v>
      </c>
      <c r="DX30" s="1">
        <v>0</v>
      </c>
      <c r="DY30" s="171">
        <f>CPP!Y30</f>
        <v>0</v>
      </c>
      <c r="DZ30" s="129">
        <f t="shared" si="34"/>
        <v>0</v>
      </c>
      <c r="EA30" s="129">
        <f t="shared" si="35"/>
        <v>9269.4669999999896</v>
      </c>
      <c r="EB30" s="170">
        <f t="shared" si="36"/>
        <v>0</v>
      </c>
      <c r="EC30" s="170">
        <f t="shared" si="37"/>
        <v>256</v>
      </c>
      <c r="ED30" s="129">
        <f t="shared" si="38"/>
        <v>8929.4669999999896</v>
      </c>
      <c r="EE30" s="18">
        <f t="shared" si="39"/>
        <v>10191.699999999997</v>
      </c>
      <c r="EF30" s="170">
        <f t="shared" si="40"/>
        <v>0</v>
      </c>
      <c r="EG30" s="170">
        <f>CPP!D30+CPP!E30+CPP!F30+CPP!G30+CPP!H30+CPP!I30+CPP!J30+CPP!K30+CPP!L30+CPP!M30+CPP!N30+CPP!O30+CPP!P30+CPP!Q30+CPP!R30+CPP!S30+CZ30+DE30+DJ30+CPP!W30+DT30</f>
        <v>140</v>
      </c>
      <c r="EH30" s="18">
        <f>EE30+EF30-CPP!G30-CPP!E30-CPP!F30-CPP!P30-CPP!Q30-CK30-CP30-DT30</f>
        <v>10135.699999999997</v>
      </c>
      <c r="EI30" s="16">
        <f t="shared" si="76"/>
        <v>22865.710087899766</v>
      </c>
      <c r="EJ30" s="1">
        <v>1620</v>
      </c>
      <c r="EK30" s="255">
        <f>'Daily CEM-1'!AG31+'Daily  CEM - 2'!AF31-EP30</f>
        <v>657.0500001593</v>
      </c>
      <c r="EL30" s="9">
        <f t="shared" si="42"/>
        <v>23828.660087740467</v>
      </c>
      <c r="EM30" s="1">
        <v>0</v>
      </c>
      <c r="EN30" s="18">
        <f t="shared" si="67"/>
        <v>4820.6390080001365</v>
      </c>
      <c r="EO30" s="1">
        <v>334.69</v>
      </c>
      <c r="EP30" s="1">
        <v>0</v>
      </c>
      <c r="EQ30" s="17">
        <f t="shared" si="43"/>
        <v>5155.3290080001361</v>
      </c>
      <c r="ER30">
        <f t="shared" si="44"/>
        <v>-334.69</v>
      </c>
      <c r="ET30" s="51">
        <f t="shared" si="45"/>
        <v>657.0500001593</v>
      </c>
    </row>
    <row r="31" spans="2:150" x14ac:dyDescent="0.25">
      <c r="B31" s="4">
        <v>29</v>
      </c>
      <c r="C31" s="39">
        <f t="shared" si="68"/>
        <v>4086.4799999999996</v>
      </c>
      <c r="D31" s="1">
        <v>0</v>
      </c>
      <c r="E31" s="271">
        <f>F31+'RAW MILL 2'!F31</f>
        <v>67</v>
      </c>
      <c r="F31" s="1">
        <v>62</v>
      </c>
      <c r="G31" s="9">
        <f t="shared" si="4"/>
        <v>4019.4799999999996</v>
      </c>
      <c r="H31" s="39">
        <f t="shared" si="69"/>
        <v>-1604.0999831624799</v>
      </c>
      <c r="I31" s="33">
        <f>Production2!N31</f>
        <v>2420</v>
      </c>
      <c r="J31" s="33">
        <f>Production2!K31</f>
        <v>2542</v>
      </c>
      <c r="K31" s="18">
        <f t="shared" si="6"/>
        <v>-1726.0999831624799</v>
      </c>
      <c r="L31" s="49">
        <f t="shared" si="70"/>
        <v>0</v>
      </c>
      <c r="M31" s="1">
        <v>0</v>
      </c>
      <c r="N31" s="33">
        <f>CPP!D31</f>
        <v>0</v>
      </c>
      <c r="O31" s="1">
        <v>0</v>
      </c>
      <c r="P31" s="33">
        <f t="shared" si="71"/>
        <v>0</v>
      </c>
      <c r="Q31" s="9">
        <f t="shared" si="48"/>
        <v>0</v>
      </c>
      <c r="R31" s="39">
        <f t="shared" si="72"/>
        <v>0</v>
      </c>
      <c r="S31" s="1">
        <v>0</v>
      </c>
      <c r="T31" s="33">
        <f>CPP!E31</f>
        <v>0</v>
      </c>
      <c r="U31" s="26">
        <v>0</v>
      </c>
      <c r="V31" s="38">
        <f t="shared" si="9"/>
        <v>0</v>
      </c>
      <c r="W31" s="9">
        <f t="shared" si="10"/>
        <v>0</v>
      </c>
      <c r="X31" s="39">
        <f t="shared" si="73"/>
        <v>4243.8299999999981</v>
      </c>
      <c r="Y31" s="1">
        <v>0</v>
      </c>
      <c r="Z31" s="33">
        <f>CPP!H31</f>
        <v>84</v>
      </c>
      <c r="AA31" s="1">
        <v>216</v>
      </c>
      <c r="AB31" s="9">
        <f t="shared" si="12"/>
        <v>3943.8299999999981</v>
      </c>
      <c r="AC31" s="39">
        <f t="shared" si="13"/>
        <v>0</v>
      </c>
      <c r="AD31" s="1">
        <v>0</v>
      </c>
      <c r="AE31" s="1">
        <v>0</v>
      </c>
      <c r="AF31" s="9">
        <f t="shared" si="74"/>
        <v>0</v>
      </c>
      <c r="AG31" s="39">
        <f t="shared" si="14"/>
        <v>10135.649999999998</v>
      </c>
      <c r="AH31" s="1">
        <v>0</v>
      </c>
      <c r="AI31" s="170">
        <f>CPP!G31</f>
        <v>54</v>
      </c>
      <c r="AJ31" s="9">
        <f t="shared" si="75"/>
        <v>10081.649999999998</v>
      </c>
      <c r="AK31" s="129">
        <f t="shared" si="49"/>
        <v>0</v>
      </c>
      <c r="AL31" s="1">
        <v>0</v>
      </c>
      <c r="AM31" s="1">
        <v>0</v>
      </c>
      <c r="AN31" s="18">
        <f t="shared" si="15"/>
        <v>0</v>
      </c>
      <c r="AO31" s="129">
        <f t="shared" si="50"/>
        <v>0</v>
      </c>
      <c r="AP31" s="1">
        <v>0</v>
      </c>
      <c r="AQ31" s="1">
        <v>0</v>
      </c>
      <c r="AR31" s="171">
        <f>CPP!I31</f>
        <v>0</v>
      </c>
      <c r="AS31" s="129">
        <f t="shared" si="16"/>
        <v>0</v>
      </c>
      <c r="AT31" s="1">
        <f t="shared" si="51"/>
        <v>0</v>
      </c>
      <c r="AU31" s="1">
        <v>0</v>
      </c>
      <c r="AV31" s="1">
        <v>0</v>
      </c>
      <c r="AW31" s="170">
        <f>CPP!J31</f>
        <v>0</v>
      </c>
      <c r="AX31" s="1">
        <f t="shared" si="17"/>
        <v>0</v>
      </c>
      <c r="AY31" s="1">
        <f t="shared" si="52"/>
        <v>0.286999999990248</v>
      </c>
      <c r="AZ31" s="1">
        <v>0</v>
      </c>
      <c r="BA31" s="1">
        <v>0</v>
      </c>
      <c r="BB31" s="170">
        <f>CPP!K31</f>
        <v>0</v>
      </c>
      <c r="BC31" s="1">
        <f t="shared" si="18"/>
        <v>0.286999999990248</v>
      </c>
      <c r="BD31" s="1">
        <f t="shared" si="53"/>
        <v>0</v>
      </c>
      <c r="BE31" s="1">
        <v>0</v>
      </c>
      <c r="BF31" s="1">
        <v>0</v>
      </c>
      <c r="BG31" s="170">
        <f>CPP!L31</f>
        <v>0</v>
      </c>
      <c r="BH31" s="1">
        <f t="shared" si="19"/>
        <v>0</v>
      </c>
      <c r="BI31" s="1">
        <f t="shared" si="54"/>
        <v>0</v>
      </c>
      <c r="BJ31" s="1">
        <v>0</v>
      </c>
      <c r="BK31" s="1">
        <v>0</v>
      </c>
      <c r="BL31" s="170">
        <f>CPP!M31</f>
        <v>0</v>
      </c>
      <c r="BM31" s="1">
        <f t="shared" si="55"/>
        <v>0</v>
      </c>
      <c r="BN31" s="1">
        <f t="shared" si="20"/>
        <v>0</v>
      </c>
      <c r="BO31" s="1">
        <v>0</v>
      </c>
      <c r="BP31" s="1">
        <v>0</v>
      </c>
      <c r="BQ31" s="170">
        <f>CPP!N31</f>
        <v>0</v>
      </c>
      <c r="BR31" s="1">
        <f t="shared" si="21"/>
        <v>0</v>
      </c>
      <c r="BS31" s="1">
        <f t="shared" si="22"/>
        <v>0</v>
      </c>
      <c r="BT31" s="1">
        <v>0</v>
      </c>
      <c r="BU31" s="1">
        <v>0</v>
      </c>
      <c r="BV31" s="170">
        <f>CPP!O31</f>
        <v>0</v>
      </c>
      <c r="BW31" s="1">
        <f t="shared" si="23"/>
        <v>0</v>
      </c>
      <c r="BX31" s="174">
        <f t="shared" si="56"/>
        <v>0</v>
      </c>
      <c r="BY31" s="1">
        <v>0</v>
      </c>
      <c r="BZ31" s="1">
        <v>0</v>
      </c>
      <c r="CA31" s="170"/>
      <c r="CB31" s="26">
        <f t="shared" si="24"/>
        <v>0</v>
      </c>
      <c r="CC31" s="1">
        <f t="shared" si="57"/>
        <v>0</v>
      </c>
      <c r="CD31" s="1">
        <v>0</v>
      </c>
      <c r="CE31" s="1">
        <v>0</v>
      </c>
      <c r="CF31" s="170">
        <f>CPP!P31</f>
        <v>0</v>
      </c>
      <c r="CG31" s="26">
        <f t="shared" si="25"/>
        <v>0</v>
      </c>
      <c r="CH31" s="1">
        <f t="shared" si="58"/>
        <v>0</v>
      </c>
      <c r="CI31" s="1">
        <v>0</v>
      </c>
      <c r="CJ31" s="1">
        <v>0</v>
      </c>
      <c r="CK31" s="170">
        <f>CPP!Q31</f>
        <v>0</v>
      </c>
      <c r="CL31" s="1">
        <f t="shared" si="26"/>
        <v>0</v>
      </c>
      <c r="CM31" s="1">
        <f t="shared" si="59"/>
        <v>5.0000000000181899E-2</v>
      </c>
      <c r="CN31" s="1">
        <v>0</v>
      </c>
      <c r="CO31" s="1">
        <v>0</v>
      </c>
      <c r="CP31" s="170">
        <f>CPP!R31</f>
        <v>0</v>
      </c>
      <c r="CQ31" s="1">
        <f t="shared" si="27"/>
        <v>5.0000000000181899E-2</v>
      </c>
      <c r="CR31" s="129">
        <f t="shared" si="60"/>
        <v>0</v>
      </c>
      <c r="CS31" s="1">
        <v>0</v>
      </c>
      <c r="CT31" s="1">
        <v>0</v>
      </c>
      <c r="CU31" s="171">
        <f>CPP!S31</f>
        <v>0</v>
      </c>
      <c r="CV31" s="129">
        <f t="shared" si="28"/>
        <v>0</v>
      </c>
      <c r="CW31" s="129">
        <f t="shared" si="61"/>
        <v>0</v>
      </c>
      <c r="CX31" s="1">
        <v>0</v>
      </c>
      <c r="CY31" s="1">
        <v>0</v>
      </c>
      <c r="CZ31" s="171">
        <f>CPP!T31</f>
        <v>0</v>
      </c>
      <c r="DA31" s="129">
        <f t="shared" si="29"/>
        <v>0</v>
      </c>
      <c r="DB31" s="129">
        <f t="shared" si="62"/>
        <v>306</v>
      </c>
      <c r="DC31" s="1">
        <v>0</v>
      </c>
      <c r="DD31" s="1">
        <v>0</v>
      </c>
      <c r="DE31" s="171">
        <f>CPP!U31</f>
        <v>0</v>
      </c>
      <c r="DF31" s="129">
        <f t="shared" si="30"/>
        <v>306</v>
      </c>
      <c r="DG31" s="129">
        <f t="shared" si="63"/>
        <v>0</v>
      </c>
      <c r="DH31" s="1">
        <v>0</v>
      </c>
      <c r="DI31" s="1">
        <v>0</v>
      </c>
      <c r="DJ31" s="171">
        <f>CPP!V31</f>
        <v>0</v>
      </c>
      <c r="DK31" s="129">
        <f t="shared" si="31"/>
        <v>0</v>
      </c>
      <c r="DL31" s="129">
        <f t="shared" si="64"/>
        <v>0</v>
      </c>
      <c r="DM31" s="1">
        <v>0</v>
      </c>
      <c r="DN31" s="1">
        <v>0</v>
      </c>
      <c r="DO31" s="171">
        <f>CPP!W31</f>
        <v>0</v>
      </c>
      <c r="DP31" s="129">
        <f t="shared" si="32"/>
        <v>0</v>
      </c>
      <c r="DQ31" s="129">
        <f t="shared" si="65"/>
        <v>4379.3500000000022</v>
      </c>
      <c r="DR31" s="1">
        <v>0</v>
      </c>
      <c r="DS31" s="1">
        <v>54</v>
      </c>
      <c r="DT31" s="171">
        <f>CPP!X31</f>
        <v>0</v>
      </c>
      <c r="DU31" s="129">
        <f t="shared" si="33"/>
        <v>4325.3500000000022</v>
      </c>
      <c r="DV31" s="129">
        <f t="shared" si="66"/>
        <v>0</v>
      </c>
      <c r="DW31" s="1">
        <v>0</v>
      </c>
      <c r="DX31" s="1">
        <v>0</v>
      </c>
      <c r="DY31" s="171">
        <f>CPP!Y31</f>
        <v>0</v>
      </c>
      <c r="DZ31" s="129">
        <f t="shared" si="34"/>
        <v>0</v>
      </c>
      <c r="EA31" s="129">
        <f t="shared" si="35"/>
        <v>8929.4669999999896</v>
      </c>
      <c r="EB31" s="170">
        <f t="shared" si="36"/>
        <v>0</v>
      </c>
      <c r="EC31" s="170">
        <f t="shared" si="37"/>
        <v>270</v>
      </c>
      <c r="ED31" s="129">
        <f t="shared" si="38"/>
        <v>8575.4669999999896</v>
      </c>
      <c r="EE31" s="18">
        <f t="shared" si="39"/>
        <v>10135.699999999997</v>
      </c>
      <c r="EF31" s="170">
        <f t="shared" si="40"/>
        <v>0</v>
      </c>
      <c r="EG31" s="170">
        <f>CPP!D31+CPP!E31+CPP!F31+CPP!G31+CPP!H31+CPP!I31+CPP!J31+CPP!K31+CPP!L31+CPP!M31+CPP!N31+CPP!O31+CPP!P31+CPP!Q31+CPP!R31+CPP!S31+CZ31+DE31+DJ31+CPP!W31+DT31</f>
        <v>138</v>
      </c>
      <c r="EH31" s="18">
        <f>EE31+EF31-CPP!G31-CPP!E31-CPP!F31-CPP!P31-CPP!Q31-CK31-CP31-DT31</f>
        <v>10081.699999999997</v>
      </c>
      <c r="EI31" s="16">
        <f t="shared" si="76"/>
        <v>23828.660087740467</v>
      </c>
      <c r="EJ31" s="1">
        <v>1640</v>
      </c>
      <c r="EK31" s="255">
        <f>'Daily CEM-1'!AG32+'Daily  CEM - 2'!AF32-EP31</f>
        <v>1103.6000000000008</v>
      </c>
      <c r="EL31" s="9">
        <f t="shared" si="42"/>
        <v>24365.060087740465</v>
      </c>
      <c r="EM31" s="1">
        <v>0</v>
      </c>
      <c r="EN31" s="18">
        <f t="shared" si="67"/>
        <v>5155.3290080001361</v>
      </c>
      <c r="EO31" s="1">
        <v>0</v>
      </c>
      <c r="EP31" s="1">
        <v>0</v>
      </c>
      <c r="EQ31" s="17">
        <f t="shared" si="43"/>
        <v>5155.3290080001361</v>
      </c>
      <c r="ER31">
        <f t="shared" si="44"/>
        <v>1198.24</v>
      </c>
      <c r="ES31">
        <v>1198.24</v>
      </c>
      <c r="ET31" s="51">
        <f t="shared" si="45"/>
        <v>1103.6000000000008</v>
      </c>
    </row>
    <row r="32" spans="2:150" x14ac:dyDescent="0.25">
      <c r="B32" s="4">
        <v>30</v>
      </c>
      <c r="C32" s="39">
        <f t="shared" si="68"/>
        <v>4019.4799999999996</v>
      </c>
      <c r="D32" s="1">
        <v>36.86</v>
      </c>
      <c r="E32" s="271">
        <f>F32+'RAW MILL 2'!F32</f>
        <v>58</v>
      </c>
      <c r="F32" s="1">
        <v>54</v>
      </c>
      <c r="G32" s="9">
        <f t="shared" si="4"/>
        <v>3998.3399999999997</v>
      </c>
      <c r="H32" s="39">
        <f t="shared" si="69"/>
        <v>-1726.0999831624799</v>
      </c>
      <c r="I32" s="33">
        <f>Production2!N32</f>
        <v>2416</v>
      </c>
      <c r="J32" s="33">
        <f>Production2!K32</f>
        <v>2611.75</v>
      </c>
      <c r="K32" s="18">
        <f t="shared" si="6"/>
        <v>-1921.8499831624799</v>
      </c>
      <c r="L32" s="49">
        <f t="shared" si="70"/>
        <v>0</v>
      </c>
      <c r="M32" s="1">
        <v>0</v>
      </c>
      <c r="N32" s="33">
        <f>CPP!D32</f>
        <v>0</v>
      </c>
      <c r="O32" s="1">
        <v>0</v>
      </c>
      <c r="P32" s="33">
        <f t="shared" si="71"/>
        <v>0</v>
      </c>
      <c r="Q32" s="9">
        <f t="shared" si="48"/>
        <v>0</v>
      </c>
      <c r="R32" s="39">
        <f t="shared" si="72"/>
        <v>0</v>
      </c>
      <c r="S32" s="1">
        <v>0</v>
      </c>
      <c r="T32" s="33">
        <f>CPP!E32</f>
        <v>0</v>
      </c>
      <c r="U32" s="26">
        <v>0</v>
      </c>
      <c r="V32" s="38">
        <f t="shared" si="9"/>
        <v>0</v>
      </c>
      <c r="W32" s="9">
        <f t="shared" si="10"/>
        <v>0</v>
      </c>
      <c r="X32" s="39">
        <f t="shared" si="73"/>
        <v>3943.8299999999981</v>
      </c>
      <c r="Y32" s="1">
        <v>0</v>
      </c>
      <c r="Z32" s="33">
        <f>CPP!H32</f>
        <v>60</v>
      </c>
      <c r="AA32" s="1">
        <v>220</v>
      </c>
      <c r="AB32" s="9">
        <f t="shared" si="12"/>
        <v>3663.8299999999981</v>
      </c>
      <c r="AC32" s="39">
        <f t="shared" si="13"/>
        <v>0</v>
      </c>
      <c r="AD32" s="1">
        <v>0</v>
      </c>
      <c r="AE32" s="1">
        <v>0</v>
      </c>
      <c r="AF32" s="9">
        <f t="shared" si="74"/>
        <v>0</v>
      </c>
      <c r="AG32" s="39">
        <f t="shared" si="14"/>
        <v>10081.649999999998</v>
      </c>
      <c r="AH32" s="1">
        <v>0</v>
      </c>
      <c r="AI32" s="170">
        <f>CPP!G32</f>
        <v>71</v>
      </c>
      <c r="AJ32" s="9">
        <f t="shared" si="75"/>
        <v>10010.649999999998</v>
      </c>
      <c r="AK32" s="129">
        <f t="shared" si="49"/>
        <v>0</v>
      </c>
      <c r="AL32" s="1">
        <v>0</v>
      </c>
      <c r="AM32" s="1">
        <v>0</v>
      </c>
      <c r="AN32" s="18">
        <f t="shared" si="15"/>
        <v>0</v>
      </c>
      <c r="AO32" s="129">
        <f t="shared" si="50"/>
        <v>0</v>
      </c>
      <c r="AP32" s="1">
        <v>0</v>
      </c>
      <c r="AQ32" s="1">
        <v>0</v>
      </c>
      <c r="AR32" s="171">
        <f>CPP!I32</f>
        <v>0</v>
      </c>
      <c r="AS32" s="129">
        <f t="shared" si="16"/>
        <v>0</v>
      </c>
      <c r="AT32" s="1">
        <f t="shared" si="51"/>
        <v>0</v>
      </c>
      <c r="AU32" s="1">
        <v>0</v>
      </c>
      <c r="AV32" s="1">
        <v>0</v>
      </c>
      <c r="AW32" s="170">
        <f>CPP!J32</f>
        <v>0</v>
      </c>
      <c r="AX32" s="1">
        <f t="shared" si="17"/>
        <v>0</v>
      </c>
      <c r="AY32" s="1">
        <f t="shared" si="52"/>
        <v>0.286999999990248</v>
      </c>
      <c r="AZ32" s="1">
        <v>0</v>
      </c>
      <c r="BA32" s="1">
        <v>0</v>
      </c>
      <c r="BB32" s="170">
        <f>CPP!K32</f>
        <v>0</v>
      </c>
      <c r="BC32" s="1">
        <f t="shared" si="18"/>
        <v>0.286999999990248</v>
      </c>
      <c r="BD32" s="1">
        <f t="shared" si="53"/>
        <v>0</v>
      </c>
      <c r="BE32" s="1">
        <v>0</v>
      </c>
      <c r="BF32" s="1">
        <v>0</v>
      </c>
      <c r="BG32" s="170">
        <f>CPP!L32</f>
        <v>0</v>
      </c>
      <c r="BH32" s="1">
        <f t="shared" si="19"/>
        <v>0</v>
      </c>
      <c r="BI32" s="1">
        <f t="shared" si="54"/>
        <v>0</v>
      </c>
      <c r="BJ32" s="1">
        <v>0</v>
      </c>
      <c r="BK32" s="1">
        <v>0</v>
      </c>
      <c r="BL32" s="170">
        <f>CPP!M32</f>
        <v>0</v>
      </c>
      <c r="BM32" s="1">
        <f t="shared" si="55"/>
        <v>0</v>
      </c>
      <c r="BN32" s="1">
        <f t="shared" si="20"/>
        <v>0</v>
      </c>
      <c r="BO32" s="1">
        <v>0</v>
      </c>
      <c r="BP32" s="1">
        <v>0</v>
      </c>
      <c r="BQ32" s="170">
        <f>CPP!N32</f>
        <v>0</v>
      </c>
      <c r="BR32" s="1">
        <f t="shared" si="21"/>
        <v>0</v>
      </c>
      <c r="BS32" s="1">
        <f t="shared" si="22"/>
        <v>0</v>
      </c>
      <c r="BT32" s="1">
        <v>0</v>
      </c>
      <c r="BU32" s="1">
        <v>0</v>
      </c>
      <c r="BV32" s="170">
        <f>CPP!O32</f>
        <v>0</v>
      </c>
      <c r="BW32" s="1">
        <f t="shared" si="23"/>
        <v>0</v>
      </c>
      <c r="BX32" s="174">
        <f t="shared" si="56"/>
        <v>0</v>
      </c>
      <c r="BY32" s="1">
        <v>0</v>
      </c>
      <c r="BZ32" s="1">
        <v>0</v>
      </c>
      <c r="CA32" s="170"/>
      <c r="CB32" s="26">
        <f t="shared" si="24"/>
        <v>0</v>
      </c>
      <c r="CC32" s="1">
        <f t="shared" si="57"/>
        <v>0</v>
      </c>
      <c r="CD32" s="1">
        <v>0</v>
      </c>
      <c r="CE32" s="1">
        <v>0</v>
      </c>
      <c r="CF32" s="170">
        <f>CPP!P32</f>
        <v>0</v>
      </c>
      <c r="CG32" s="26">
        <f t="shared" si="25"/>
        <v>0</v>
      </c>
      <c r="CH32" s="1">
        <f t="shared" si="58"/>
        <v>0</v>
      </c>
      <c r="CI32" s="1">
        <v>0</v>
      </c>
      <c r="CJ32" s="1">
        <v>0</v>
      </c>
      <c r="CK32" s="170">
        <f>CPP!Q32</f>
        <v>0</v>
      </c>
      <c r="CL32" s="1">
        <f t="shared" si="26"/>
        <v>0</v>
      </c>
      <c r="CM32" s="1">
        <f t="shared" si="59"/>
        <v>5.0000000000181899E-2</v>
      </c>
      <c r="CN32" s="1">
        <v>0</v>
      </c>
      <c r="CO32" s="1">
        <v>0</v>
      </c>
      <c r="CP32" s="170">
        <f>CPP!R32</f>
        <v>0</v>
      </c>
      <c r="CQ32" s="1">
        <f t="shared" si="27"/>
        <v>5.0000000000181899E-2</v>
      </c>
      <c r="CR32" s="129">
        <f t="shared" si="60"/>
        <v>0</v>
      </c>
      <c r="CS32" s="1">
        <v>0</v>
      </c>
      <c r="CT32" s="1">
        <v>0</v>
      </c>
      <c r="CU32" s="171">
        <f>CPP!S32</f>
        <v>0</v>
      </c>
      <c r="CV32" s="129">
        <f t="shared" si="28"/>
        <v>0</v>
      </c>
      <c r="CW32" s="129">
        <f t="shared" si="61"/>
        <v>0</v>
      </c>
      <c r="CX32" s="1">
        <v>0</v>
      </c>
      <c r="CY32" s="1">
        <v>0</v>
      </c>
      <c r="CZ32" s="171">
        <f>CPP!T32</f>
        <v>0</v>
      </c>
      <c r="DA32" s="129">
        <f t="shared" si="29"/>
        <v>0</v>
      </c>
      <c r="DB32" s="129">
        <f t="shared" si="62"/>
        <v>306</v>
      </c>
      <c r="DC32" s="1">
        <v>0</v>
      </c>
      <c r="DD32" s="1">
        <v>0</v>
      </c>
      <c r="DE32" s="171">
        <f>CPP!U32</f>
        <v>0</v>
      </c>
      <c r="DF32" s="129">
        <f t="shared" si="30"/>
        <v>306</v>
      </c>
      <c r="DG32" s="129">
        <f t="shared" si="63"/>
        <v>0</v>
      </c>
      <c r="DH32" s="1">
        <v>0</v>
      </c>
      <c r="DI32" s="1">
        <v>0</v>
      </c>
      <c r="DJ32" s="171">
        <f>CPP!V32</f>
        <v>0</v>
      </c>
      <c r="DK32" s="129">
        <f t="shared" si="31"/>
        <v>0</v>
      </c>
      <c r="DL32" s="129">
        <f t="shared" si="64"/>
        <v>0</v>
      </c>
      <c r="DM32" s="1">
        <v>0</v>
      </c>
      <c r="DN32" s="1">
        <v>0</v>
      </c>
      <c r="DO32" s="171">
        <f>CPP!W32</f>
        <v>0</v>
      </c>
      <c r="DP32" s="129">
        <f t="shared" si="32"/>
        <v>0</v>
      </c>
      <c r="DQ32" s="129">
        <f t="shared" si="65"/>
        <v>4325.3500000000022</v>
      </c>
      <c r="DR32" s="1">
        <v>0</v>
      </c>
      <c r="DS32" s="1">
        <v>55</v>
      </c>
      <c r="DT32" s="171">
        <f>CPP!X32</f>
        <v>0</v>
      </c>
      <c r="DU32" s="129">
        <f t="shared" si="33"/>
        <v>4270.3500000000022</v>
      </c>
      <c r="DV32" s="129">
        <f t="shared" si="66"/>
        <v>0</v>
      </c>
      <c r="DW32" s="1">
        <v>0</v>
      </c>
      <c r="DX32" s="1">
        <v>0</v>
      </c>
      <c r="DY32" s="171">
        <f>CPP!Y32</f>
        <v>0</v>
      </c>
      <c r="DZ32" s="129">
        <f t="shared" si="34"/>
        <v>0</v>
      </c>
      <c r="EA32" s="129">
        <f t="shared" si="35"/>
        <v>8575.4669999999896</v>
      </c>
      <c r="EB32" s="170">
        <f t="shared" si="36"/>
        <v>0</v>
      </c>
      <c r="EC32" s="170">
        <f t="shared" si="37"/>
        <v>275</v>
      </c>
      <c r="ED32" s="129">
        <f t="shared" si="38"/>
        <v>8240.4669999999896</v>
      </c>
      <c r="EE32" s="18">
        <f t="shared" si="39"/>
        <v>10081.699999999997</v>
      </c>
      <c r="EF32" s="170">
        <f t="shared" si="40"/>
        <v>0</v>
      </c>
      <c r="EG32" s="170">
        <f>CPP!D32+CPP!E32+CPP!F32+CPP!G32+CPP!H32+CPP!I32+CPP!J32+CPP!K32+CPP!L32+CPP!M32+CPP!N32+CPP!O32+CPP!P32+CPP!Q32+CPP!R32+CPP!S32+CZ32+DE32+DJ32+CPP!W32+DT32</f>
        <v>131</v>
      </c>
      <c r="EH32" s="18">
        <f>EE32+EF32-CPP!G32-CPP!E32-CPP!F32-CPP!P32-CPP!Q32-CK32-CP32-DT32</f>
        <v>10010.699999999997</v>
      </c>
      <c r="EI32" s="16">
        <f t="shared" si="76"/>
        <v>24365.060087740465</v>
      </c>
      <c r="EJ32" s="1">
        <v>1685</v>
      </c>
      <c r="EK32" s="255">
        <f>'Daily CEM-1'!AG33+'Daily  CEM - 2'!AF33-EP32</f>
        <v>1130.4000000000005</v>
      </c>
      <c r="EL32" s="9">
        <f t="shared" si="42"/>
        <v>24919.660087740463</v>
      </c>
      <c r="EM32" s="1">
        <v>0</v>
      </c>
      <c r="EN32" s="18">
        <f t="shared" si="67"/>
        <v>5155.3290080001361</v>
      </c>
      <c r="EO32" s="1">
        <v>0</v>
      </c>
      <c r="EP32" s="1">
        <v>0</v>
      </c>
      <c r="EQ32" s="17">
        <f t="shared" si="43"/>
        <v>5155.3290080001361</v>
      </c>
      <c r="ER32">
        <f t="shared" si="44"/>
        <v>479.81</v>
      </c>
      <c r="ES32">
        <v>479.81</v>
      </c>
      <c r="ET32" s="51">
        <f t="shared" si="45"/>
        <v>1130.4000000000005</v>
      </c>
    </row>
    <row r="33" spans="2:147" s="160" customFormat="1" x14ac:dyDescent="0.25">
      <c r="B33" s="155">
        <v>31</v>
      </c>
      <c r="C33" s="156">
        <f t="shared" si="68"/>
        <v>3998.3399999999997</v>
      </c>
      <c r="D33" s="1">
        <v>0</v>
      </c>
      <c r="E33" s="271">
        <f>F33+'RAW MILL 2'!F33</f>
        <v>0</v>
      </c>
      <c r="F33" s="1">
        <v>0</v>
      </c>
      <c r="G33" s="9">
        <f t="shared" si="4"/>
        <v>3998.3399999999997</v>
      </c>
      <c r="H33" s="156">
        <f t="shared" si="69"/>
        <v>-1921.8499831624799</v>
      </c>
      <c r="I33" s="157">
        <f>Production2!N33</f>
        <v>0</v>
      </c>
      <c r="J33" s="157">
        <f>Production2!K33</f>
        <v>0</v>
      </c>
      <c r="K33" s="18">
        <f t="shared" si="6"/>
        <v>-1921.8499831624799</v>
      </c>
      <c r="L33" s="161">
        <f t="shared" si="70"/>
        <v>0</v>
      </c>
      <c r="M33" s="1">
        <v>0</v>
      </c>
      <c r="N33" s="157">
        <f>CPP!D33</f>
        <v>0</v>
      </c>
      <c r="O33" s="1">
        <v>0</v>
      </c>
      <c r="P33" s="157">
        <f t="shared" si="71"/>
        <v>0</v>
      </c>
      <c r="Q33" s="158">
        <f t="shared" si="48"/>
        <v>0</v>
      </c>
      <c r="R33" s="156">
        <f t="shared" si="72"/>
        <v>0</v>
      </c>
      <c r="S33" s="1">
        <v>0</v>
      </c>
      <c r="T33" s="157">
        <f>CPP!E33</f>
        <v>0</v>
      </c>
      <c r="U33" s="159">
        <v>0</v>
      </c>
      <c r="V33" s="159">
        <f t="shared" si="9"/>
        <v>0</v>
      </c>
      <c r="W33" s="158">
        <f t="shared" si="10"/>
        <v>0</v>
      </c>
      <c r="X33" s="156">
        <f t="shared" si="73"/>
        <v>3663.8299999999981</v>
      </c>
      <c r="Y33" s="1">
        <v>0</v>
      </c>
      <c r="Z33" s="157">
        <f>CPP!H33</f>
        <v>0</v>
      </c>
      <c r="AA33" s="1">
        <v>0</v>
      </c>
      <c r="AB33" s="158">
        <f t="shared" si="12"/>
        <v>3663.8299999999981</v>
      </c>
      <c r="AC33" s="156">
        <f t="shared" si="13"/>
        <v>0</v>
      </c>
      <c r="AD33" s="1">
        <v>0</v>
      </c>
      <c r="AE33" s="1">
        <v>0</v>
      </c>
      <c r="AF33" s="158">
        <f t="shared" si="74"/>
        <v>0</v>
      </c>
      <c r="AG33" s="156">
        <f t="shared" si="14"/>
        <v>10010.649999999998</v>
      </c>
      <c r="AH33" s="1">
        <v>0</v>
      </c>
      <c r="AI33" s="170">
        <f>CPP!G33</f>
        <v>0</v>
      </c>
      <c r="AJ33" s="158">
        <f t="shared" si="75"/>
        <v>10010.649999999998</v>
      </c>
      <c r="AK33" s="129">
        <f t="shared" si="49"/>
        <v>0</v>
      </c>
      <c r="AL33" s="1">
        <v>0</v>
      </c>
      <c r="AM33" s="1">
        <v>0</v>
      </c>
      <c r="AN33" s="18">
        <f t="shared" si="15"/>
        <v>0</v>
      </c>
      <c r="AO33" s="129">
        <f t="shared" si="50"/>
        <v>0</v>
      </c>
      <c r="AP33" s="1">
        <v>0</v>
      </c>
      <c r="AQ33" s="1">
        <v>0</v>
      </c>
      <c r="AR33" s="171">
        <f>CPP!I33</f>
        <v>0</v>
      </c>
      <c r="AS33" s="129">
        <f t="shared" si="16"/>
        <v>0</v>
      </c>
      <c r="AT33" s="1">
        <f t="shared" si="51"/>
        <v>0</v>
      </c>
      <c r="AU33" s="1">
        <v>0</v>
      </c>
      <c r="AV33" s="1">
        <v>0</v>
      </c>
      <c r="AW33" s="170">
        <f>CPP!J33</f>
        <v>0</v>
      </c>
      <c r="AX33" s="1">
        <f t="shared" si="17"/>
        <v>0</v>
      </c>
      <c r="AY33" s="1">
        <f t="shared" si="52"/>
        <v>0.286999999990248</v>
      </c>
      <c r="AZ33" s="1">
        <v>0</v>
      </c>
      <c r="BA33" s="1">
        <v>0</v>
      </c>
      <c r="BB33" s="170">
        <f>CPP!K33</f>
        <v>0</v>
      </c>
      <c r="BC33" s="1">
        <f t="shared" si="18"/>
        <v>0.286999999990248</v>
      </c>
      <c r="BD33" s="1">
        <f t="shared" si="53"/>
        <v>0</v>
      </c>
      <c r="BE33" s="1">
        <v>0</v>
      </c>
      <c r="BF33" s="1">
        <v>0</v>
      </c>
      <c r="BG33" s="170">
        <f>CPP!L33</f>
        <v>0</v>
      </c>
      <c r="BH33" s="1">
        <f t="shared" si="19"/>
        <v>0</v>
      </c>
      <c r="BI33" s="1">
        <f t="shared" si="54"/>
        <v>0</v>
      </c>
      <c r="BJ33" s="1">
        <v>0</v>
      </c>
      <c r="BK33" s="1">
        <v>0</v>
      </c>
      <c r="BL33" s="170">
        <f>CPP!M33</f>
        <v>0</v>
      </c>
      <c r="BM33" s="1">
        <f t="shared" si="55"/>
        <v>0</v>
      </c>
      <c r="BN33" s="1">
        <f t="shared" si="20"/>
        <v>0</v>
      </c>
      <c r="BO33" s="1">
        <v>0</v>
      </c>
      <c r="BP33" s="1">
        <v>0</v>
      </c>
      <c r="BQ33" s="170">
        <f>CPP!N33</f>
        <v>0</v>
      </c>
      <c r="BR33" s="1">
        <f t="shared" si="21"/>
        <v>0</v>
      </c>
      <c r="BS33" s="1">
        <f t="shared" si="22"/>
        <v>0</v>
      </c>
      <c r="BT33" s="1">
        <v>0</v>
      </c>
      <c r="BU33" s="1">
        <v>0</v>
      </c>
      <c r="BV33" s="170">
        <f>CPP!O33</f>
        <v>0</v>
      </c>
      <c r="BW33" s="1">
        <f t="shared" si="23"/>
        <v>0</v>
      </c>
      <c r="BX33" s="174">
        <f t="shared" si="56"/>
        <v>0</v>
      </c>
      <c r="BY33" s="157">
        <v>0</v>
      </c>
      <c r="BZ33" s="1">
        <v>0</v>
      </c>
      <c r="CA33" s="170"/>
      <c r="CB33" s="26">
        <f t="shared" si="24"/>
        <v>0</v>
      </c>
      <c r="CC33" s="1">
        <f t="shared" si="57"/>
        <v>0</v>
      </c>
      <c r="CD33" s="1">
        <v>0</v>
      </c>
      <c r="CE33" s="1">
        <v>0</v>
      </c>
      <c r="CF33" s="170">
        <f>CPP!P33</f>
        <v>0</v>
      </c>
      <c r="CG33" s="26">
        <f t="shared" si="25"/>
        <v>0</v>
      </c>
      <c r="CH33" s="1">
        <f t="shared" si="58"/>
        <v>0</v>
      </c>
      <c r="CI33" s="1">
        <v>0</v>
      </c>
      <c r="CJ33" s="1">
        <v>0</v>
      </c>
      <c r="CK33" s="170">
        <f>CPP!Q33</f>
        <v>0</v>
      </c>
      <c r="CL33" s="1">
        <f t="shared" si="26"/>
        <v>0</v>
      </c>
      <c r="CM33" s="1">
        <f t="shared" si="59"/>
        <v>5.0000000000181899E-2</v>
      </c>
      <c r="CN33" s="1">
        <v>0</v>
      </c>
      <c r="CO33" s="1">
        <v>0</v>
      </c>
      <c r="CP33" s="170">
        <f>CPP!R33</f>
        <v>0</v>
      </c>
      <c r="CQ33" s="1">
        <f t="shared" si="27"/>
        <v>5.0000000000181899E-2</v>
      </c>
      <c r="CR33" s="129">
        <f t="shared" si="60"/>
        <v>0</v>
      </c>
      <c r="CS33" s="1">
        <v>0</v>
      </c>
      <c r="CT33" s="1">
        <v>0</v>
      </c>
      <c r="CU33" s="171">
        <f>CPP!S33</f>
        <v>0</v>
      </c>
      <c r="CV33" s="129">
        <f t="shared" si="28"/>
        <v>0</v>
      </c>
      <c r="CW33" s="129">
        <f t="shared" si="61"/>
        <v>0</v>
      </c>
      <c r="CX33" s="1">
        <v>0</v>
      </c>
      <c r="CY33" s="1">
        <v>0</v>
      </c>
      <c r="CZ33" s="171">
        <f>CPP!T33</f>
        <v>0</v>
      </c>
      <c r="DA33" s="129">
        <f t="shared" si="29"/>
        <v>0</v>
      </c>
      <c r="DB33" s="129">
        <f t="shared" si="62"/>
        <v>306</v>
      </c>
      <c r="DC33" s="1">
        <v>0</v>
      </c>
      <c r="DD33" s="1">
        <v>0</v>
      </c>
      <c r="DE33" s="171">
        <f>CPP!U33</f>
        <v>0</v>
      </c>
      <c r="DF33" s="129">
        <f t="shared" si="30"/>
        <v>306</v>
      </c>
      <c r="DG33" s="129">
        <f t="shared" si="63"/>
        <v>0</v>
      </c>
      <c r="DH33" s="1">
        <v>0</v>
      </c>
      <c r="DI33" s="1">
        <v>0</v>
      </c>
      <c r="DJ33" s="171">
        <f>CPP!V33</f>
        <v>0</v>
      </c>
      <c r="DK33" s="129">
        <f t="shared" si="31"/>
        <v>0</v>
      </c>
      <c r="DL33" s="129">
        <f t="shared" si="64"/>
        <v>0</v>
      </c>
      <c r="DM33" s="1">
        <v>0</v>
      </c>
      <c r="DN33" s="1">
        <v>0</v>
      </c>
      <c r="DO33" s="171">
        <f>CPP!W33</f>
        <v>0</v>
      </c>
      <c r="DP33" s="129">
        <f t="shared" si="32"/>
        <v>0</v>
      </c>
      <c r="DQ33" s="129">
        <f t="shared" si="65"/>
        <v>4270.3500000000022</v>
      </c>
      <c r="DR33" s="1">
        <v>0</v>
      </c>
      <c r="DS33" s="1">
        <v>0</v>
      </c>
      <c r="DT33" s="171">
        <f>CPP!X33</f>
        <v>0</v>
      </c>
      <c r="DU33" s="129">
        <f t="shared" si="33"/>
        <v>4270.3500000000022</v>
      </c>
      <c r="DV33" s="129">
        <f t="shared" si="66"/>
        <v>0</v>
      </c>
      <c r="DW33" s="1">
        <v>0</v>
      </c>
      <c r="DX33" s="1">
        <v>0</v>
      </c>
      <c r="DY33" s="171">
        <f>CPP!Y33</f>
        <v>0</v>
      </c>
      <c r="DZ33" s="129">
        <f t="shared" si="34"/>
        <v>0</v>
      </c>
      <c r="EA33" s="129">
        <f t="shared" si="35"/>
        <v>8240.4669999999896</v>
      </c>
      <c r="EB33" s="170">
        <f t="shared" si="36"/>
        <v>0</v>
      </c>
      <c r="EC33" s="170">
        <f t="shared" si="37"/>
        <v>0</v>
      </c>
      <c r="ED33" s="129">
        <f t="shared" si="38"/>
        <v>8240.4669999999896</v>
      </c>
      <c r="EE33" s="18">
        <f t="shared" si="39"/>
        <v>10010.699999999997</v>
      </c>
      <c r="EF33" s="170">
        <f t="shared" si="40"/>
        <v>0</v>
      </c>
      <c r="EG33" s="170">
        <f>CPP!D33+CPP!E33+CPP!F33+CPP!G33+CPP!H33+CPP!I33+CPP!J33+CPP!K33+CPP!L33+CPP!M33+CPP!N33+CPP!O33+CPP!P33+CPP!Q33+CPP!R33+CPP!S33+CZ33+DE33+DJ33+CPP!W33+DT33</f>
        <v>0</v>
      </c>
      <c r="EH33" s="18">
        <f>EE33+EF33-CPP!G33-CPP!E33-CPP!F33-CPP!P33-CPP!Q33-CK33-CP33-DT33</f>
        <v>10010.699999999997</v>
      </c>
      <c r="EI33" s="156">
        <f t="shared" si="76"/>
        <v>24919.660087740463</v>
      </c>
      <c r="EJ33" s="1">
        <v>0</v>
      </c>
      <c r="EK33" s="255">
        <f>'Daily CEM-1'!AG34+'Daily  CEM - 2'!AF34-EP33</f>
        <v>0</v>
      </c>
      <c r="EL33" s="158">
        <f>EI33+EJ33-EK33-EM33</f>
        <v>24919.660087740463</v>
      </c>
      <c r="EM33" s="157">
        <v>0</v>
      </c>
      <c r="EN33" s="18">
        <f t="shared" si="67"/>
        <v>5155.3290080001361</v>
      </c>
      <c r="EO33" s="1">
        <v>0</v>
      </c>
      <c r="EP33" s="1">
        <v>0</v>
      </c>
      <c r="EQ33" s="17">
        <f t="shared" si="43"/>
        <v>5155.3290080001361</v>
      </c>
    </row>
    <row r="34" spans="2:147" ht="15.75" thickBot="1" x14ac:dyDescent="0.3">
      <c r="B34" s="5" t="s">
        <v>26</v>
      </c>
      <c r="C34" s="8"/>
      <c r="D34" s="8">
        <f>SUM(D3:D33)</f>
        <v>69.7</v>
      </c>
      <c r="E34" s="311">
        <f>SUM(E3:E33)</f>
        <v>1437</v>
      </c>
      <c r="F34" s="8"/>
      <c r="G34" s="10"/>
      <c r="H34" s="8">
        <f t="shared" ref="H34:L34" si="77">SUM(H3:H32)</f>
        <v>-4262.8594948744012</v>
      </c>
      <c r="I34" s="8">
        <f>SUM(I3:I33)</f>
        <v>58857.15</v>
      </c>
      <c r="J34" s="8">
        <f>SUM(J3:J33)</f>
        <v>62775</v>
      </c>
      <c r="K34" s="8">
        <f t="shared" si="77"/>
        <v>-8180.7094948743998</v>
      </c>
      <c r="L34" s="8">
        <f t="shared" si="77"/>
        <v>0</v>
      </c>
      <c r="M34" s="8">
        <f>SUM(M3:M33)</f>
        <v>0</v>
      </c>
      <c r="N34" s="8">
        <f>SUM(N3:N33)</f>
        <v>0</v>
      </c>
      <c r="O34" s="8">
        <f>SUM(O3:O33)</f>
        <v>0</v>
      </c>
      <c r="P34" s="41">
        <f>SUM(P3:P33)</f>
        <v>0</v>
      </c>
      <c r="Q34" s="41">
        <f t="shared" ref="Q34:CB34" si="78">SUM(Q3:Q33)</f>
        <v>0</v>
      </c>
      <c r="R34" s="41">
        <f t="shared" si="78"/>
        <v>0</v>
      </c>
      <c r="S34" s="41">
        <f t="shared" si="78"/>
        <v>0</v>
      </c>
      <c r="T34" s="41">
        <f t="shared" si="78"/>
        <v>0</v>
      </c>
      <c r="U34" s="41">
        <f t="shared" si="78"/>
        <v>0</v>
      </c>
      <c r="V34" s="41">
        <f t="shared" si="78"/>
        <v>0</v>
      </c>
      <c r="W34" s="41">
        <f t="shared" si="78"/>
        <v>0</v>
      </c>
      <c r="X34" s="41">
        <f t="shared" si="78"/>
        <v>229174.81999999986</v>
      </c>
      <c r="Y34" s="8">
        <f>SUM(Y3:Y33)</f>
        <v>0</v>
      </c>
      <c r="Z34" s="41">
        <f t="shared" si="78"/>
        <v>919</v>
      </c>
      <c r="AA34" s="41">
        <f t="shared" si="78"/>
        <v>5431.0499999999993</v>
      </c>
      <c r="AB34" s="41">
        <f t="shared" si="78"/>
        <v>222824.76999999984</v>
      </c>
      <c r="AC34" s="41">
        <f t="shared" si="78"/>
        <v>0</v>
      </c>
      <c r="AD34" s="41">
        <f t="shared" si="78"/>
        <v>0</v>
      </c>
      <c r="AE34" s="41">
        <f t="shared" si="78"/>
        <v>0</v>
      </c>
      <c r="AF34" s="41">
        <f t="shared" si="78"/>
        <v>0</v>
      </c>
      <c r="AG34" s="41"/>
      <c r="AH34" s="244">
        <f>SUM(AH3:AH33)</f>
        <v>155.05000000000001</v>
      </c>
      <c r="AI34" s="41">
        <f t="shared" si="78"/>
        <v>2930</v>
      </c>
      <c r="AJ34" s="41"/>
      <c r="AK34" s="41">
        <f t="shared" si="78"/>
        <v>0</v>
      </c>
      <c r="AL34" s="41">
        <f t="shared" si="78"/>
        <v>0</v>
      </c>
      <c r="AM34" s="41">
        <f t="shared" si="78"/>
        <v>0</v>
      </c>
      <c r="AN34" s="41">
        <f t="shared" si="78"/>
        <v>0</v>
      </c>
      <c r="AO34" s="41">
        <f t="shared" si="78"/>
        <v>0</v>
      </c>
      <c r="AP34" s="41">
        <f t="shared" si="78"/>
        <v>0</v>
      </c>
      <c r="AQ34" s="41">
        <f t="shared" si="78"/>
        <v>0</v>
      </c>
      <c r="AR34" s="41">
        <f t="shared" si="78"/>
        <v>0</v>
      </c>
      <c r="AS34" s="41">
        <f t="shared" si="78"/>
        <v>0</v>
      </c>
      <c r="AT34" s="41">
        <f t="shared" si="78"/>
        <v>0</v>
      </c>
      <c r="AU34" s="41">
        <f t="shared" si="78"/>
        <v>0</v>
      </c>
      <c r="AV34" s="41">
        <f t="shared" si="78"/>
        <v>0</v>
      </c>
      <c r="AW34" s="41">
        <f t="shared" si="78"/>
        <v>0</v>
      </c>
      <c r="AX34" s="41">
        <f t="shared" si="78"/>
        <v>0</v>
      </c>
      <c r="AY34" s="41">
        <f t="shared" si="78"/>
        <v>8.8969999996976874</v>
      </c>
      <c r="AZ34" s="185">
        <f t="shared" si="78"/>
        <v>0</v>
      </c>
      <c r="BA34" s="185">
        <f t="shared" si="78"/>
        <v>0</v>
      </c>
      <c r="BB34" s="41">
        <f t="shared" si="78"/>
        <v>0</v>
      </c>
      <c r="BC34" s="41">
        <f t="shared" si="78"/>
        <v>8.8969999996976874</v>
      </c>
      <c r="BD34" s="41">
        <f t="shared" si="78"/>
        <v>0</v>
      </c>
      <c r="BE34" s="41">
        <f t="shared" si="78"/>
        <v>0</v>
      </c>
      <c r="BF34" s="41">
        <f t="shared" si="78"/>
        <v>0</v>
      </c>
      <c r="BG34" s="41">
        <f t="shared" si="78"/>
        <v>0</v>
      </c>
      <c r="BH34" s="41"/>
      <c r="BI34" s="41"/>
      <c r="BJ34" s="41">
        <f t="shared" si="78"/>
        <v>0</v>
      </c>
      <c r="BK34" s="41">
        <f t="shared" si="78"/>
        <v>0</v>
      </c>
      <c r="BL34" s="41">
        <f t="shared" si="78"/>
        <v>0</v>
      </c>
      <c r="BM34" s="41"/>
      <c r="BN34" s="41"/>
      <c r="BO34" s="41">
        <f t="shared" si="78"/>
        <v>0</v>
      </c>
      <c r="BP34" s="41">
        <f t="shared" si="78"/>
        <v>0</v>
      </c>
      <c r="BQ34" s="41">
        <f t="shared" si="78"/>
        <v>0</v>
      </c>
      <c r="BR34" s="41"/>
      <c r="BS34" s="41">
        <f t="shared" si="78"/>
        <v>0</v>
      </c>
      <c r="BT34" s="41">
        <f t="shared" si="78"/>
        <v>0</v>
      </c>
      <c r="BU34" s="41">
        <f t="shared" si="78"/>
        <v>0</v>
      </c>
      <c r="BV34" s="41">
        <f t="shared" si="78"/>
        <v>0</v>
      </c>
      <c r="BW34" s="41"/>
      <c r="BX34" s="41"/>
      <c r="BY34" s="41">
        <f t="shared" si="78"/>
        <v>0</v>
      </c>
      <c r="BZ34" s="41">
        <f t="shared" si="78"/>
        <v>0</v>
      </c>
      <c r="CA34" s="41">
        <f t="shared" si="78"/>
        <v>0</v>
      </c>
      <c r="CB34" s="41">
        <f t="shared" si="78"/>
        <v>0</v>
      </c>
      <c r="CC34" s="41"/>
      <c r="CD34" s="41"/>
      <c r="CE34" s="41"/>
      <c r="CF34" s="41"/>
      <c r="CG34" s="179"/>
      <c r="CH34" s="14"/>
      <c r="CI34" s="14"/>
      <c r="CJ34" s="14"/>
      <c r="CK34" s="14"/>
      <c r="CL34" s="14"/>
      <c r="CM34" s="14"/>
      <c r="CN34" s="14">
        <f>SUM(CN3:CN33)</f>
        <v>0</v>
      </c>
      <c r="CO34" s="14">
        <f t="shared" ref="CO34:CP34" si="79">SUM(CO3:CO33)</f>
        <v>0</v>
      </c>
      <c r="CP34" s="14">
        <f t="shared" si="79"/>
        <v>0</v>
      </c>
      <c r="CQ34" s="14"/>
      <c r="CR34" s="181"/>
      <c r="CS34" s="181">
        <f>SUM(CS3:CS33)</f>
        <v>0</v>
      </c>
      <c r="CT34" s="181">
        <f t="shared" ref="CT34:CU34" si="80">SUM(CT3:CT33)</f>
        <v>0</v>
      </c>
      <c r="CU34" s="181">
        <f t="shared" si="80"/>
        <v>0</v>
      </c>
      <c r="CV34" s="181"/>
      <c r="CW34" s="181"/>
      <c r="CX34" s="181">
        <f>SUM(CX3:CX33)</f>
        <v>0</v>
      </c>
      <c r="CY34" s="181">
        <f t="shared" ref="CY34:CZ34" si="81">SUM(CY3:CY33)</f>
        <v>0</v>
      </c>
      <c r="CZ34" s="181">
        <f t="shared" si="81"/>
        <v>0</v>
      </c>
      <c r="DA34" s="181"/>
      <c r="DB34" s="181"/>
      <c r="DC34" s="181">
        <f>SUM(DC3:DC33)</f>
        <v>0</v>
      </c>
      <c r="DD34" s="181">
        <f t="shared" ref="DD34:DE34" si="82">SUM(DD3:DD33)</f>
        <v>0</v>
      </c>
      <c r="DE34" s="181">
        <f t="shared" si="82"/>
        <v>0</v>
      </c>
      <c r="DF34" s="181"/>
      <c r="DG34" s="181"/>
      <c r="DH34" s="181">
        <f>SUM(DH3:DH33)</f>
        <v>0</v>
      </c>
      <c r="DI34" s="181">
        <f t="shared" ref="DI34:DJ34" si="83">SUM(DI3:DI33)</f>
        <v>0</v>
      </c>
      <c r="DJ34" s="181">
        <f t="shared" si="83"/>
        <v>0</v>
      </c>
      <c r="DK34" s="181"/>
      <c r="DL34" s="181"/>
      <c r="DM34" s="181">
        <f>SUM(DM3:DM33)</f>
        <v>0</v>
      </c>
      <c r="DN34" s="181">
        <f t="shared" ref="DN34:DO34" si="84">SUM(DN3:DN33)</f>
        <v>0</v>
      </c>
      <c r="DO34" s="181">
        <f t="shared" si="84"/>
        <v>0</v>
      </c>
      <c r="DP34" s="181"/>
      <c r="DQ34" s="181"/>
      <c r="DR34" s="301">
        <f>SUM(DR3:DR33)</f>
        <v>181.5</v>
      </c>
      <c r="DS34" s="181">
        <f t="shared" ref="DS34:DT34" si="85">SUM(DS3:DS33)</f>
        <v>1405.25</v>
      </c>
      <c r="DT34" s="181">
        <f t="shared" si="85"/>
        <v>20</v>
      </c>
      <c r="DU34" s="181"/>
      <c r="DV34" s="181"/>
      <c r="DW34" s="181">
        <f>SUM(DW3:DW33)</f>
        <v>0</v>
      </c>
      <c r="DX34" s="181">
        <f t="shared" ref="DX34:DY34" si="86">SUM(DX3:DX33)</f>
        <v>0</v>
      </c>
      <c r="DY34" s="181">
        <f t="shared" si="86"/>
        <v>0</v>
      </c>
      <c r="DZ34" s="181"/>
      <c r="EA34" s="180"/>
      <c r="EB34" s="41">
        <f t="shared" ref="EB34:EM34" si="87">SUM(EB3:EB33)</f>
        <v>181.5</v>
      </c>
      <c r="EC34" s="41">
        <f t="shared" si="87"/>
        <v>6836.3</v>
      </c>
      <c r="ED34" s="41">
        <f t="shared" si="87"/>
        <v>383630.94699999981</v>
      </c>
      <c r="EE34" s="41">
        <f t="shared" si="87"/>
        <v>349941.95000000019</v>
      </c>
      <c r="EF34" s="41">
        <f t="shared" si="87"/>
        <v>155.05000000000001</v>
      </c>
      <c r="EG34" s="41">
        <f t="shared" si="87"/>
        <v>3869</v>
      </c>
      <c r="EH34" s="41">
        <f t="shared" si="87"/>
        <v>347147.00000000017</v>
      </c>
      <c r="EI34" s="41">
        <f t="shared" si="87"/>
        <v>431401.54279658402</v>
      </c>
      <c r="EJ34" s="41">
        <f t="shared" si="87"/>
        <v>40500</v>
      </c>
      <c r="EK34" s="244">
        <f>SUM(EK3:EK33)</f>
        <v>18861.880011886271</v>
      </c>
      <c r="EL34" s="41">
        <f t="shared" si="87"/>
        <v>453039.66278469772</v>
      </c>
      <c r="EM34" s="41">
        <f t="shared" si="87"/>
        <v>0</v>
      </c>
      <c r="EN34" s="181"/>
      <c r="EO34" s="15">
        <f>SUM(EO3:EO33)</f>
        <v>13239.880000000003</v>
      </c>
      <c r="EP34" s="15">
        <f>SUM(EP3:EP33)</f>
        <v>16934.099999999999</v>
      </c>
    </row>
    <row r="35" spans="2:147" x14ac:dyDescent="0.25">
      <c r="B35" t="s">
        <v>27</v>
      </c>
      <c r="D35" s="17">
        <f>D36+SUM(D3:D33)</f>
        <v>69.7</v>
      </c>
      <c r="E35" s="270">
        <f>E36+SUM(E3:E33)</f>
        <v>1437</v>
      </c>
      <c r="F35" s="17"/>
      <c r="I35" s="17">
        <f>I36+SUM(I3:I33)</f>
        <v>58857.15</v>
      </c>
      <c r="J35" s="17">
        <f>J36+SUM(J3:J33)</f>
        <v>62775</v>
      </c>
      <c r="M35" s="17">
        <f>M36+SUM(M3:M33)</f>
        <v>0</v>
      </c>
      <c r="N35" s="17">
        <f>N36+SUM(N3:N33)</f>
        <v>0</v>
      </c>
      <c r="O35" s="17">
        <f>O36+SUM(O3:O33)</f>
        <v>0</v>
      </c>
      <c r="P35" s="17">
        <f>P36+SUM(P3:P33)</f>
        <v>0</v>
      </c>
      <c r="Q35" s="17"/>
      <c r="R35" s="17"/>
      <c r="S35" s="17">
        <f>S36+SUM(S3:S33)</f>
        <v>0</v>
      </c>
      <c r="T35" s="17">
        <f>T36+SUM(T3:T33)</f>
        <v>0</v>
      </c>
      <c r="U35" s="17"/>
      <c r="V35" s="17">
        <f>SUM(V3:V33)+V36</f>
        <v>0</v>
      </c>
      <c r="W35" s="17"/>
      <c r="X35" s="17"/>
      <c r="Y35" s="17">
        <f>Y36+SUM(Y3:Y33)</f>
        <v>0</v>
      </c>
      <c r="Z35" s="17"/>
      <c r="AA35" s="17">
        <f>AA36+SUM(AA3:AA33)</f>
        <v>5431.0499999999993</v>
      </c>
      <c r="AB35" s="17"/>
      <c r="AC35" s="17"/>
      <c r="AD35" s="17">
        <f>AD36+SUM(AD3:AD33)</f>
        <v>0</v>
      </c>
      <c r="AE35" s="17">
        <f>AE36+SUM(AE3:AE33)</f>
        <v>0</v>
      </c>
      <c r="AF35" s="17"/>
      <c r="AG35" s="17"/>
      <c r="AH35" s="17">
        <f>AH36+SUM(AH3:AH33)</f>
        <v>155.05000000000001</v>
      </c>
      <c r="AI35" s="17">
        <f>AI36+SUM(AI3:AI33)</f>
        <v>2930</v>
      </c>
      <c r="AJ35" s="17"/>
      <c r="AK35" s="17">
        <f t="shared" ref="AK35:AN35" si="88">AK36+SUM(AK3:AK33)</f>
        <v>0</v>
      </c>
      <c r="AL35" s="17">
        <f t="shared" si="88"/>
        <v>0</v>
      </c>
      <c r="AM35" s="17">
        <f t="shared" si="88"/>
        <v>0</v>
      </c>
      <c r="AN35" s="17">
        <f t="shared" si="88"/>
        <v>0</v>
      </c>
      <c r="AO35" s="17">
        <f t="shared" ref="AO35:EM35" si="89">AO36+SUM(AO3:AO33)</f>
        <v>0</v>
      </c>
      <c r="AP35" s="17">
        <f t="shared" si="89"/>
        <v>0</v>
      </c>
      <c r="AQ35" s="17">
        <f t="shared" si="89"/>
        <v>0</v>
      </c>
      <c r="AR35" s="17">
        <f t="shared" si="89"/>
        <v>0</v>
      </c>
      <c r="AS35" s="17"/>
      <c r="AT35" s="17">
        <f t="shared" si="89"/>
        <v>0</v>
      </c>
      <c r="AU35" s="17">
        <f t="shared" si="89"/>
        <v>0</v>
      </c>
      <c r="AV35" s="17">
        <f t="shared" si="89"/>
        <v>0</v>
      </c>
      <c r="AW35" s="17">
        <f t="shared" si="89"/>
        <v>0</v>
      </c>
      <c r="AX35" s="17">
        <f t="shared" si="89"/>
        <v>0</v>
      </c>
      <c r="AY35" s="17"/>
      <c r="AZ35" s="17">
        <f t="shared" si="89"/>
        <v>0</v>
      </c>
      <c r="BA35" s="17">
        <f t="shared" si="89"/>
        <v>0</v>
      </c>
      <c r="BB35" s="17">
        <f t="shared" si="89"/>
        <v>0</v>
      </c>
      <c r="BC35" s="17"/>
      <c r="BD35" s="17">
        <f t="shared" si="89"/>
        <v>0</v>
      </c>
      <c r="BE35" s="17">
        <f t="shared" si="89"/>
        <v>0</v>
      </c>
      <c r="BF35" s="17">
        <f t="shared" si="89"/>
        <v>0</v>
      </c>
      <c r="BG35" s="17">
        <f t="shared" si="89"/>
        <v>0</v>
      </c>
      <c r="BH35" s="17"/>
      <c r="BI35" s="17"/>
      <c r="BJ35" s="17">
        <f t="shared" si="89"/>
        <v>0</v>
      </c>
      <c r="BK35" s="17">
        <f t="shared" si="89"/>
        <v>0</v>
      </c>
      <c r="BL35" s="17">
        <f t="shared" si="89"/>
        <v>0</v>
      </c>
      <c r="BM35" s="17"/>
      <c r="BN35" s="17"/>
      <c r="BO35" s="17">
        <f t="shared" si="89"/>
        <v>0</v>
      </c>
      <c r="BP35" s="17">
        <f t="shared" si="89"/>
        <v>0</v>
      </c>
      <c r="BQ35" s="17">
        <f t="shared" si="89"/>
        <v>0</v>
      </c>
      <c r="BR35" s="17"/>
      <c r="BS35" s="17"/>
      <c r="BT35" s="17">
        <f t="shared" si="89"/>
        <v>0</v>
      </c>
      <c r="BU35" s="17">
        <f t="shared" si="89"/>
        <v>0</v>
      </c>
      <c r="BV35" s="17">
        <f t="shared" si="89"/>
        <v>0</v>
      </c>
      <c r="BW35" s="17"/>
      <c r="BX35" s="17"/>
      <c r="BY35" s="17">
        <f t="shared" si="89"/>
        <v>0</v>
      </c>
      <c r="BZ35" s="17">
        <f>BZ36+SUM(BZ3:BZ33)</f>
        <v>0</v>
      </c>
      <c r="CA35" s="17">
        <f t="shared" si="89"/>
        <v>0</v>
      </c>
      <c r="CB35" s="17"/>
      <c r="CC35" s="17"/>
      <c r="CD35" s="17">
        <f t="shared" si="89"/>
        <v>0</v>
      </c>
      <c r="CE35" s="17">
        <f t="shared" si="89"/>
        <v>0</v>
      </c>
      <c r="CF35" s="17">
        <f t="shared" si="89"/>
        <v>0</v>
      </c>
      <c r="CG35" s="17"/>
      <c r="CH35" s="17"/>
      <c r="CI35" s="17">
        <f t="shared" si="89"/>
        <v>0</v>
      </c>
      <c r="CJ35" s="17">
        <f t="shared" si="89"/>
        <v>0</v>
      </c>
      <c r="CK35" s="17">
        <f t="shared" si="89"/>
        <v>0</v>
      </c>
      <c r="CL35" s="17"/>
      <c r="CM35" s="17"/>
      <c r="CN35" s="17">
        <f t="shared" ref="CN35:CU35" si="90">CN36+SUM(CN3:CN33)</f>
        <v>0</v>
      </c>
      <c r="CO35" s="17">
        <f t="shared" si="90"/>
        <v>0</v>
      </c>
      <c r="CP35" s="17">
        <f t="shared" si="90"/>
        <v>0</v>
      </c>
      <c r="CQ35" s="17"/>
      <c r="CR35" s="17"/>
      <c r="CS35" s="17">
        <f t="shared" si="90"/>
        <v>0</v>
      </c>
      <c r="CT35" s="17">
        <f t="shared" si="90"/>
        <v>0</v>
      </c>
      <c r="CU35" s="17">
        <f t="shared" si="90"/>
        <v>0</v>
      </c>
      <c r="CV35" s="17"/>
      <c r="CW35" s="17"/>
      <c r="CX35" s="17">
        <f t="shared" ref="CX35:CZ35" si="91">CX36+SUM(CX3:CX33)</f>
        <v>0</v>
      </c>
      <c r="CY35" s="17">
        <f t="shared" si="91"/>
        <v>0</v>
      </c>
      <c r="CZ35" s="17">
        <f t="shared" si="91"/>
        <v>0</v>
      </c>
      <c r="DA35" s="17"/>
      <c r="DB35" s="17"/>
      <c r="DC35" s="17">
        <f t="shared" ref="DC35:DE35" si="92">DC36+SUM(DC3:DC33)</f>
        <v>0</v>
      </c>
      <c r="DD35" s="17">
        <f t="shared" si="92"/>
        <v>0</v>
      </c>
      <c r="DE35" s="17">
        <f t="shared" si="92"/>
        <v>0</v>
      </c>
      <c r="DF35" s="17"/>
      <c r="DG35" s="17"/>
      <c r="DH35" s="17">
        <f t="shared" ref="DH35:DJ35" si="93">DH36+SUM(DH3:DH33)</f>
        <v>0</v>
      </c>
      <c r="DI35" s="17">
        <f t="shared" si="93"/>
        <v>0</v>
      </c>
      <c r="DJ35" s="17">
        <f t="shared" si="93"/>
        <v>0</v>
      </c>
      <c r="DK35" s="17"/>
      <c r="DL35" s="17"/>
      <c r="DM35" s="17">
        <f t="shared" ref="DM35:DO35" si="94">DM36+SUM(DM3:DM33)</f>
        <v>0</v>
      </c>
      <c r="DN35" s="17">
        <f t="shared" si="94"/>
        <v>0</v>
      </c>
      <c r="DO35" s="17">
        <f t="shared" si="94"/>
        <v>0</v>
      </c>
      <c r="DP35" s="17"/>
      <c r="DQ35" s="17"/>
      <c r="DR35" s="17">
        <f t="shared" ref="DR35:DT35" si="95">DR36+SUM(DR3:DR33)</f>
        <v>181.5</v>
      </c>
      <c r="DS35" s="17">
        <f t="shared" si="95"/>
        <v>1405.25</v>
      </c>
      <c r="DT35" s="17">
        <f t="shared" si="95"/>
        <v>20</v>
      </c>
      <c r="DU35" s="17"/>
      <c r="DV35" s="17"/>
      <c r="DW35" s="17">
        <f t="shared" ref="DW35:DY35" si="96">DW36+SUM(DW3:DW33)</f>
        <v>0</v>
      </c>
      <c r="DX35" s="17">
        <f t="shared" si="96"/>
        <v>0</v>
      </c>
      <c r="DY35" s="17">
        <f t="shared" si="96"/>
        <v>0</v>
      </c>
      <c r="DZ35" s="17"/>
      <c r="EA35" s="17"/>
      <c r="EB35" s="17">
        <f t="shared" si="89"/>
        <v>181.5</v>
      </c>
      <c r="EC35" s="17">
        <f t="shared" si="89"/>
        <v>6836.3</v>
      </c>
      <c r="ED35" s="17"/>
      <c r="EE35" s="17"/>
      <c r="EF35">
        <f t="shared" si="89"/>
        <v>155.05000000000001</v>
      </c>
      <c r="EG35">
        <f t="shared" si="89"/>
        <v>3869</v>
      </c>
      <c r="EH35" s="17"/>
      <c r="EI35" s="17"/>
      <c r="EJ35" s="17">
        <f>EJ36+SUM(EJ3:EJ33)</f>
        <v>40500</v>
      </c>
      <c r="EK35" s="17">
        <f t="shared" si="89"/>
        <v>18861.880011886271</v>
      </c>
      <c r="EL35" s="17"/>
      <c r="EM35" s="17">
        <f t="shared" si="89"/>
        <v>0</v>
      </c>
      <c r="EO35" s="17">
        <f t="shared" ref="EO35:EP35" si="97">EO36+SUM(EO3:EO33)</f>
        <v>13239.880000000003</v>
      </c>
      <c r="EP35" s="17">
        <f t="shared" si="97"/>
        <v>16934.099999999999</v>
      </c>
    </row>
    <row r="36" spans="2:147" x14ac:dyDescent="0.25">
      <c r="B36" t="s">
        <v>27</v>
      </c>
      <c r="D36" s="17">
        <v>0</v>
      </c>
      <c r="E36" s="270">
        <v>0</v>
      </c>
      <c r="F36" s="17"/>
      <c r="I36" s="17">
        <v>0</v>
      </c>
      <c r="J36" s="270">
        <v>0</v>
      </c>
      <c r="M36" s="17">
        <v>0</v>
      </c>
      <c r="N36" s="17">
        <v>0</v>
      </c>
      <c r="O36" s="17">
        <v>0</v>
      </c>
      <c r="P36" s="17">
        <v>0</v>
      </c>
      <c r="Q36" s="17"/>
      <c r="R36" s="17"/>
      <c r="S36" s="17">
        <v>0</v>
      </c>
      <c r="T36" s="17">
        <v>0</v>
      </c>
      <c r="U36" s="17"/>
      <c r="V36" s="17">
        <v>0</v>
      </c>
      <c r="W36" s="17"/>
      <c r="X36" s="17"/>
      <c r="Y36" s="17">
        <v>0</v>
      </c>
      <c r="Z36" s="270">
        <v>0</v>
      </c>
      <c r="AA36" s="17">
        <v>0</v>
      </c>
      <c r="AB36" s="17"/>
      <c r="AC36" s="17"/>
      <c r="AD36" s="17">
        <v>0</v>
      </c>
      <c r="AE36" s="17">
        <v>0</v>
      </c>
      <c r="AF36" s="17"/>
      <c r="AG36" s="17"/>
      <c r="AH36" s="17">
        <v>0</v>
      </c>
      <c r="AI36" s="270">
        <v>0</v>
      </c>
      <c r="AJ36" s="17"/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/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/>
      <c r="AZ36" s="17">
        <v>0</v>
      </c>
      <c r="BA36" s="270">
        <v>0</v>
      </c>
      <c r="BB36" s="17">
        <v>0</v>
      </c>
      <c r="BC36" s="17"/>
      <c r="BD36" s="17">
        <v>0</v>
      </c>
      <c r="BE36" s="17">
        <v>0</v>
      </c>
      <c r="BF36" s="17">
        <v>0</v>
      </c>
      <c r="BG36" s="17">
        <v>0</v>
      </c>
      <c r="BH36" s="17"/>
      <c r="BI36" s="17"/>
      <c r="BJ36" s="17">
        <v>0</v>
      </c>
      <c r="BK36" s="17">
        <v>0</v>
      </c>
      <c r="BL36" s="17">
        <v>0</v>
      </c>
      <c r="BM36" s="17"/>
      <c r="BN36" s="17"/>
      <c r="BO36" s="17">
        <v>0</v>
      </c>
      <c r="BP36" s="17">
        <v>0</v>
      </c>
      <c r="BQ36" s="17">
        <v>0</v>
      </c>
      <c r="BR36" s="17"/>
      <c r="BS36" s="17"/>
      <c r="BT36" s="17">
        <v>0</v>
      </c>
      <c r="BU36" s="17">
        <v>0</v>
      </c>
      <c r="BV36" s="17">
        <v>0</v>
      </c>
      <c r="BW36" s="17"/>
      <c r="BX36" s="17"/>
      <c r="BY36" s="17">
        <v>0</v>
      </c>
      <c r="BZ36" s="17">
        <v>0</v>
      </c>
      <c r="CA36" s="17">
        <v>0</v>
      </c>
      <c r="CB36" s="17"/>
      <c r="CC36" s="17"/>
      <c r="CD36" s="17">
        <v>0</v>
      </c>
      <c r="CE36" s="17">
        <v>0</v>
      </c>
      <c r="CF36" s="17">
        <v>0</v>
      </c>
      <c r="CG36" s="17"/>
      <c r="CH36" s="17"/>
      <c r="CI36" s="17">
        <v>0</v>
      </c>
      <c r="CJ36" s="17">
        <v>0</v>
      </c>
      <c r="CK36" s="17">
        <v>0</v>
      </c>
      <c r="CL36" s="17"/>
      <c r="CM36" s="17"/>
      <c r="CN36" s="17">
        <v>0</v>
      </c>
      <c r="CO36" s="17">
        <v>0</v>
      </c>
      <c r="CP36" s="17">
        <v>0</v>
      </c>
      <c r="CQ36" s="17"/>
      <c r="CR36" s="17"/>
      <c r="CS36" s="17">
        <v>0</v>
      </c>
      <c r="CT36" s="17">
        <v>0</v>
      </c>
      <c r="CU36" s="17">
        <v>0</v>
      </c>
      <c r="CV36" s="17"/>
      <c r="CW36" s="17"/>
      <c r="CX36" s="17">
        <v>0</v>
      </c>
      <c r="CY36" s="17">
        <v>0</v>
      </c>
      <c r="CZ36" s="17">
        <v>0</v>
      </c>
      <c r="DA36" s="17"/>
      <c r="DB36" s="17"/>
      <c r="DC36" s="17">
        <v>0</v>
      </c>
      <c r="DD36" s="17">
        <v>0</v>
      </c>
      <c r="DE36" s="17">
        <v>0</v>
      </c>
      <c r="DF36" s="17"/>
      <c r="DG36" s="17"/>
      <c r="DH36" s="17">
        <v>0</v>
      </c>
      <c r="DI36" s="17">
        <v>0</v>
      </c>
      <c r="DJ36" s="17">
        <v>0</v>
      </c>
      <c r="DK36" s="17"/>
      <c r="DL36" s="17"/>
      <c r="DM36" s="17">
        <v>0</v>
      </c>
      <c r="DN36" s="17">
        <v>0</v>
      </c>
      <c r="DO36" s="17">
        <v>0</v>
      </c>
      <c r="DP36" s="17"/>
      <c r="DQ36" s="17"/>
      <c r="DR36" s="17">
        <v>0</v>
      </c>
      <c r="DS36" s="17">
        <v>0</v>
      </c>
      <c r="DT36" s="17">
        <v>0</v>
      </c>
      <c r="DU36" s="17"/>
      <c r="DV36" s="17"/>
      <c r="DW36" s="17">
        <v>0</v>
      </c>
      <c r="DX36" s="17">
        <v>0</v>
      </c>
      <c r="DY36" s="17">
        <v>0</v>
      </c>
      <c r="DZ36" s="17"/>
      <c r="EA36" s="17"/>
      <c r="EB36" s="17">
        <v>0</v>
      </c>
      <c r="EC36" s="17">
        <v>0</v>
      </c>
      <c r="ED36" s="17"/>
      <c r="EE36" s="17"/>
      <c r="EF36">
        <v>0</v>
      </c>
      <c r="EG36">
        <v>0</v>
      </c>
      <c r="EH36" s="17"/>
      <c r="EI36" s="17"/>
      <c r="EJ36" s="17">
        <v>0</v>
      </c>
      <c r="EK36" s="17">
        <v>0</v>
      </c>
      <c r="EL36" s="17"/>
      <c r="EM36" s="17">
        <v>0</v>
      </c>
      <c r="EO36" s="17">
        <v>0</v>
      </c>
      <c r="EP36" s="17">
        <v>0</v>
      </c>
    </row>
    <row r="38" spans="2:147" x14ac:dyDescent="0.25">
      <c r="EO38">
        <f>EO36+EJ36</f>
        <v>0</v>
      </c>
    </row>
    <row r="39" spans="2:147" x14ac:dyDescent="0.25">
      <c r="E39" s="312"/>
      <c r="F39" s="50"/>
    </row>
    <row r="40" spans="2:147" x14ac:dyDescent="0.25">
      <c r="E40" s="313"/>
      <c r="F40" s="51"/>
    </row>
  </sheetData>
  <mergeCells count="29">
    <mergeCell ref="EO1:EP1"/>
    <mergeCell ref="DQ1:DU1"/>
    <mergeCell ref="DL1:DP1"/>
    <mergeCell ref="DG1:DK1"/>
    <mergeCell ref="CW1:DA1"/>
    <mergeCell ref="DV1:DZ1"/>
    <mergeCell ref="EA1:ED1"/>
    <mergeCell ref="EE1:EH1"/>
    <mergeCell ref="CR1:CV1"/>
    <mergeCell ref="DB1:DF1"/>
    <mergeCell ref="BS1:BW1"/>
    <mergeCell ref="C1:G1"/>
    <mergeCell ref="H1:K1"/>
    <mergeCell ref="L1:Q1"/>
    <mergeCell ref="R1:W1"/>
    <mergeCell ref="X1:AB1"/>
    <mergeCell ref="AG1:AJ1"/>
    <mergeCell ref="AC1:AF1"/>
    <mergeCell ref="AK1:AN1"/>
    <mergeCell ref="AO1:AS1"/>
    <mergeCell ref="AT1:AX1"/>
    <mergeCell ref="AY1:BC1"/>
    <mergeCell ref="BD1:BH1"/>
    <mergeCell ref="BI1:BM1"/>
    <mergeCell ref="BN1:BQ1"/>
    <mergeCell ref="BX1:CB1"/>
    <mergeCell ref="CC1:CG1"/>
    <mergeCell ref="CH1:CL1"/>
    <mergeCell ref="CM1:CQ1"/>
  </mergeCells>
  <pageMargins left="0.7" right="0.7" top="0.75" bottom="0.75" header="0.3" footer="0.3"/>
  <pageSetup paperSize="1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B081-62FC-413D-9FF7-770CCF207CDB}">
  <dimension ref="B1:G39"/>
  <sheetViews>
    <sheetView zoomScale="60" zoomScaleNormal="60" workbookViewId="0">
      <pane ySplit="2" topLeftCell="A3" activePane="bottomLeft" state="frozen"/>
      <selection pane="bottomLeft" activeCell="G3" sqref="G3:G33"/>
    </sheetView>
  </sheetViews>
  <sheetFormatPr defaultRowHeight="15" x14ac:dyDescent="0.25"/>
  <cols>
    <col min="1" max="1" width="3.85546875" customWidth="1"/>
    <col min="2" max="2" width="19.140625" customWidth="1"/>
    <col min="3" max="4" width="12.7109375" bestFit="1" customWidth="1"/>
    <col min="5" max="5" width="15.140625" bestFit="1" customWidth="1"/>
    <col min="6" max="6" width="15.140625" customWidth="1"/>
    <col min="7" max="7" width="12.7109375" bestFit="1" customWidth="1"/>
  </cols>
  <sheetData>
    <row r="1" spans="2:7" x14ac:dyDescent="0.25">
      <c r="B1" s="3" t="s">
        <v>313</v>
      </c>
      <c r="C1" s="302" t="s">
        <v>29</v>
      </c>
      <c r="D1" s="302" t="s">
        <v>30</v>
      </c>
      <c r="E1" s="302" t="s">
        <v>31</v>
      </c>
      <c r="F1" s="302" t="s">
        <v>32</v>
      </c>
      <c r="G1" s="302" t="s">
        <v>33</v>
      </c>
    </row>
    <row r="2" spans="2:7" x14ac:dyDescent="0.25">
      <c r="B2" s="4" t="s">
        <v>9</v>
      </c>
      <c r="C2" s="1" t="s">
        <v>34</v>
      </c>
      <c r="D2" s="1" t="s">
        <v>34</v>
      </c>
      <c r="E2" s="1" t="s">
        <v>34</v>
      </c>
      <c r="F2" s="1" t="s">
        <v>34</v>
      </c>
      <c r="G2" s="1" t="s">
        <v>35</v>
      </c>
    </row>
    <row r="3" spans="2:7" x14ac:dyDescent="0.25">
      <c r="B3" s="4">
        <v>1</v>
      </c>
      <c r="C3" s="1">
        <v>0</v>
      </c>
      <c r="D3" s="1">
        <v>0</v>
      </c>
      <c r="E3" s="1">
        <v>0</v>
      </c>
      <c r="F3" s="1">
        <v>0</v>
      </c>
      <c r="G3" s="1">
        <f>SUM(C3:F3)</f>
        <v>0</v>
      </c>
    </row>
    <row r="4" spans="2:7" x14ac:dyDescent="0.25">
      <c r="B4" s="4">
        <v>2</v>
      </c>
      <c r="C4" s="1">
        <v>0</v>
      </c>
      <c r="D4" s="1">
        <v>0</v>
      </c>
      <c r="E4" s="1">
        <v>0</v>
      </c>
      <c r="F4" s="1">
        <v>0</v>
      </c>
      <c r="G4" s="1">
        <f t="shared" ref="G4:G33" si="0">SUM(C4:F4)</f>
        <v>0</v>
      </c>
    </row>
    <row r="5" spans="2:7" x14ac:dyDescent="0.25">
      <c r="B5" s="4">
        <v>3</v>
      </c>
      <c r="C5" s="1">
        <v>0</v>
      </c>
      <c r="D5" s="1">
        <v>0</v>
      </c>
      <c r="E5" s="1">
        <v>0</v>
      </c>
      <c r="F5" s="1">
        <v>0</v>
      </c>
      <c r="G5" s="1">
        <f t="shared" si="0"/>
        <v>0</v>
      </c>
    </row>
    <row r="6" spans="2:7" x14ac:dyDescent="0.25">
      <c r="B6" s="4">
        <v>4</v>
      </c>
      <c r="C6" s="1">
        <v>0</v>
      </c>
      <c r="D6" s="1">
        <v>0</v>
      </c>
      <c r="E6" s="1">
        <v>0</v>
      </c>
      <c r="F6" s="1">
        <v>0</v>
      </c>
      <c r="G6" s="1">
        <f t="shared" si="0"/>
        <v>0</v>
      </c>
    </row>
    <row r="7" spans="2:7" x14ac:dyDescent="0.25">
      <c r="B7" s="4">
        <v>5</v>
      </c>
      <c r="C7" s="1">
        <v>0</v>
      </c>
      <c r="D7" s="1">
        <v>0</v>
      </c>
      <c r="E7" s="1">
        <v>0</v>
      </c>
      <c r="F7" s="1">
        <v>0</v>
      </c>
      <c r="G7" s="1">
        <f t="shared" si="0"/>
        <v>0</v>
      </c>
    </row>
    <row r="8" spans="2:7" x14ac:dyDescent="0.25">
      <c r="B8" s="4">
        <v>6</v>
      </c>
      <c r="C8" s="1">
        <v>0</v>
      </c>
      <c r="D8" s="1">
        <v>0</v>
      </c>
      <c r="E8" s="1">
        <v>0</v>
      </c>
      <c r="F8" s="1">
        <v>0</v>
      </c>
      <c r="G8" s="1">
        <f t="shared" si="0"/>
        <v>0</v>
      </c>
    </row>
    <row r="9" spans="2:7" x14ac:dyDescent="0.25">
      <c r="B9" s="4">
        <v>7</v>
      </c>
      <c r="C9" s="1">
        <v>236</v>
      </c>
      <c r="D9" s="1">
        <v>1</v>
      </c>
      <c r="E9" s="1">
        <v>0</v>
      </c>
      <c r="F9" s="1">
        <v>5</v>
      </c>
      <c r="G9" s="1">
        <f t="shared" si="0"/>
        <v>242</v>
      </c>
    </row>
    <row r="10" spans="2:7" x14ac:dyDescent="0.25">
      <c r="B10" s="4">
        <v>8</v>
      </c>
      <c r="C10" s="1">
        <v>195</v>
      </c>
      <c r="D10" s="1">
        <v>0</v>
      </c>
      <c r="E10" s="1">
        <v>1</v>
      </c>
      <c r="F10" s="1">
        <v>3</v>
      </c>
      <c r="G10" s="1">
        <f t="shared" si="0"/>
        <v>199</v>
      </c>
    </row>
    <row r="11" spans="2:7" x14ac:dyDescent="0.25">
      <c r="B11" s="4">
        <v>9</v>
      </c>
      <c r="C11" s="1">
        <v>82</v>
      </c>
      <c r="D11" s="1">
        <v>0</v>
      </c>
      <c r="E11" s="1">
        <v>1</v>
      </c>
      <c r="F11" s="1">
        <v>2</v>
      </c>
      <c r="G11" s="1">
        <f t="shared" si="0"/>
        <v>85</v>
      </c>
    </row>
    <row r="12" spans="2:7" x14ac:dyDescent="0.25">
      <c r="B12" s="4">
        <v>10</v>
      </c>
      <c r="C12" s="1">
        <v>253</v>
      </c>
      <c r="D12" s="1">
        <v>0</v>
      </c>
      <c r="E12" s="1">
        <v>1</v>
      </c>
      <c r="F12" s="1">
        <v>5</v>
      </c>
      <c r="G12" s="1">
        <f t="shared" si="0"/>
        <v>259</v>
      </c>
    </row>
    <row r="13" spans="2:7" ht="17.25" customHeight="1" x14ac:dyDescent="0.25">
      <c r="B13" s="4">
        <v>11</v>
      </c>
      <c r="C13" s="1">
        <v>147</v>
      </c>
      <c r="D13" s="1">
        <v>0</v>
      </c>
      <c r="E13" s="1">
        <v>1</v>
      </c>
      <c r="F13" s="1">
        <v>3</v>
      </c>
      <c r="G13" s="1">
        <f t="shared" si="0"/>
        <v>151</v>
      </c>
    </row>
    <row r="14" spans="2:7" x14ac:dyDescent="0.25">
      <c r="B14" s="4">
        <v>12</v>
      </c>
      <c r="C14" s="1">
        <v>134</v>
      </c>
      <c r="D14" s="1">
        <v>0</v>
      </c>
      <c r="E14" s="1">
        <v>1</v>
      </c>
      <c r="F14" s="1">
        <v>3</v>
      </c>
      <c r="G14" s="1">
        <f t="shared" si="0"/>
        <v>138</v>
      </c>
    </row>
    <row r="15" spans="2:7" x14ac:dyDescent="0.25">
      <c r="B15" s="4">
        <v>13</v>
      </c>
      <c r="C15" s="1">
        <v>220</v>
      </c>
      <c r="D15" s="1">
        <v>1</v>
      </c>
      <c r="E15" s="1">
        <v>2</v>
      </c>
      <c r="F15" s="1">
        <v>5</v>
      </c>
      <c r="G15" s="1">
        <f t="shared" si="0"/>
        <v>228</v>
      </c>
    </row>
    <row r="16" spans="2:7" x14ac:dyDescent="0.25">
      <c r="B16" s="4">
        <v>14</v>
      </c>
      <c r="C16" s="1">
        <v>215</v>
      </c>
      <c r="D16" s="1">
        <v>2</v>
      </c>
      <c r="E16" s="1">
        <v>0</v>
      </c>
      <c r="F16" s="1">
        <v>4</v>
      </c>
      <c r="G16" s="1">
        <f t="shared" si="0"/>
        <v>221</v>
      </c>
    </row>
    <row r="17" spans="2:7" x14ac:dyDescent="0.25">
      <c r="B17" s="4">
        <v>15</v>
      </c>
      <c r="C17" s="1">
        <v>253</v>
      </c>
      <c r="D17" s="1">
        <v>1</v>
      </c>
      <c r="E17" s="1">
        <v>0</v>
      </c>
      <c r="F17" s="1">
        <v>6</v>
      </c>
      <c r="G17" s="1">
        <f t="shared" si="0"/>
        <v>260</v>
      </c>
    </row>
    <row r="18" spans="2:7" x14ac:dyDescent="0.25">
      <c r="B18" s="4">
        <v>16</v>
      </c>
      <c r="C18" s="1">
        <v>207</v>
      </c>
      <c r="D18" s="1">
        <v>1</v>
      </c>
      <c r="E18" s="1">
        <v>0</v>
      </c>
      <c r="F18" s="1">
        <v>4</v>
      </c>
      <c r="G18" s="1">
        <f t="shared" si="0"/>
        <v>212</v>
      </c>
    </row>
    <row r="19" spans="2:7" x14ac:dyDescent="0.25">
      <c r="B19" s="4">
        <v>17</v>
      </c>
      <c r="C19" s="1">
        <v>203</v>
      </c>
      <c r="D19" s="1">
        <v>1</v>
      </c>
      <c r="E19" s="1">
        <v>0</v>
      </c>
      <c r="F19" s="1">
        <v>4</v>
      </c>
      <c r="G19" s="1">
        <f t="shared" si="0"/>
        <v>208</v>
      </c>
    </row>
    <row r="20" spans="2:7" x14ac:dyDescent="0.25">
      <c r="B20" s="4">
        <v>18</v>
      </c>
      <c r="C20" s="1">
        <v>194</v>
      </c>
      <c r="D20" s="1">
        <v>0</v>
      </c>
      <c r="E20" s="1">
        <v>0</v>
      </c>
      <c r="F20" s="1">
        <v>4</v>
      </c>
      <c r="G20" s="1">
        <f t="shared" si="0"/>
        <v>198</v>
      </c>
    </row>
    <row r="21" spans="2:7" x14ac:dyDescent="0.25">
      <c r="B21" s="4">
        <v>19</v>
      </c>
      <c r="C21" s="1">
        <v>109</v>
      </c>
      <c r="D21" s="1">
        <v>0</v>
      </c>
      <c r="E21" s="1">
        <v>0</v>
      </c>
      <c r="F21" s="1">
        <v>2</v>
      </c>
      <c r="G21" s="1">
        <f t="shared" si="0"/>
        <v>111</v>
      </c>
    </row>
    <row r="22" spans="2:7" x14ac:dyDescent="0.25">
      <c r="B22" s="4">
        <v>20</v>
      </c>
      <c r="C22" s="1">
        <v>83</v>
      </c>
      <c r="D22" s="1">
        <v>0</v>
      </c>
      <c r="E22" s="1">
        <v>1</v>
      </c>
      <c r="F22" s="1">
        <v>2</v>
      </c>
      <c r="G22" s="1">
        <f t="shared" si="0"/>
        <v>86</v>
      </c>
    </row>
    <row r="23" spans="2:7" x14ac:dyDescent="0.25">
      <c r="B23" s="4">
        <v>21</v>
      </c>
      <c r="C23" s="1">
        <v>106</v>
      </c>
      <c r="D23" s="1">
        <v>1</v>
      </c>
      <c r="E23" s="1">
        <v>5</v>
      </c>
      <c r="F23" s="1">
        <v>3</v>
      </c>
      <c r="G23" s="1">
        <f t="shared" si="0"/>
        <v>115</v>
      </c>
    </row>
    <row r="24" spans="2:7" x14ac:dyDescent="0.25">
      <c r="B24" s="4">
        <v>22</v>
      </c>
      <c r="C24" s="1">
        <v>182</v>
      </c>
      <c r="D24" s="1">
        <v>1</v>
      </c>
      <c r="E24" s="1">
        <v>3</v>
      </c>
      <c r="F24" s="1">
        <v>4</v>
      </c>
      <c r="G24" s="1">
        <f t="shared" si="0"/>
        <v>190</v>
      </c>
    </row>
    <row r="25" spans="2:7" x14ac:dyDescent="0.25">
      <c r="B25" s="4">
        <v>23</v>
      </c>
      <c r="C25" s="1">
        <v>118</v>
      </c>
      <c r="D25" s="1">
        <v>5</v>
      </c>
      <c r="E25" s="1">
        <v>5</v>
      </c>
      <c r="F25" s="1">
        <v>4</v>
      </c>
      <c r="G25" s="1">
        <f t="shared" si="0"/>
        <v>132</v>
      </c>
    </row>
    <row r="26" spans="2:7" x14ac:dyDescent="0.25">
      <c r="B26" s="4">
        <v>24</v>
      </c>
      <c r="C26" s="1">
        <v>56</v>
      </c>
      <c r="D26" s="1">
        <v>1</v>
      </c>
      <c r="E26" s="1">
        <v>1</v>
      </c>
      <c r="F26" s="1">
        <v>1</v>
      </c>
      <c r="G26" s="1">
        <f t="shared" si="0"/>
        <v>59</v>
      </c>
    </row>
    <row r="27" spans="2:7" x14ac:dyDescent="0.25">
      <c r="B27" s="4">
        <v>25</v>
      </c>
      <c r="C27" s="1">
        <v>0</v>
      </c>
      <c r="D27" s="1">
        <v>0</v>
      </c>
      <c r="E27" s="1">
        <v>0</v>
      </c>
      <c r="F27" s="1">
        <v>0</v>
      </c>
      <c r="G27" s="1">
        <f t="shared" si="0"/>
        <v>0</v>
      </c>
    </row>
    <row r="28" spans="2:7" x14ac:dyDescent="0.25">
      <c r="B28" s="4">
        <v>26</v>
      </c>
      <c r="C28" s="1">
        <v>123</v>
      </c>
      <c r="D28" s="1">
        <v>1</v>
      </c>
      <c r="E28" s="1">
        <v>0</v>
      </c>
      <c r="F28" s="1">
        <v>2</v>
      </c>
      <c r="G28" s="1">
        <f t="shared" si="0"/>
        <v>126</v>
      </c>
    </row>
    <row r="29" spans="2:7" x14ac:dyDescent="0.25">
      <c r="B29" s="4">
        <v>27</v>
      </c>
      <c r="C29" s="1">
        <v>206</v>
      </c>
      <c r="D29" s="1">
        <v>1</v>
      </c>
      <c r="E29" s="1">
        <v>1</v>
      </c>
      <c r="F29" s="1">
        <v>4</v>
      </c>
      <c r="G29" s="1">
        <f t="shared" si="0"/>
        <v>212</v>
      </c>
    </row>
    <row r="30" spans="2:7" x14ac:dyDescent="0.25">
      <c r="B30" s="4">
        <v>28</v>
      </c>
      <c r="C30" s="1">
        <v>159</v>
      </c>
      <c r="D30" s="1">
        <v>4</v>
      </c>
      <c r="E30" s="1">
        <v>1</v>
      </c>
      <c r="F30" s="1">
        <v>3</v>
      </c>
      <c r="G30" s="1">
        <f t="shared" si="0"/>
        <v>167</v>
      </c>
    </row>
    <row r="31" spans="2:7" x14ac:dyDescent="0.25">
      <c r="B31" s="4">
        <v>29</v>
      </c>
      <c r="C31" s="1">
        <v>203</v>
      </c>
      <c r="D31" s="1">
        <v>6</v>
      </c>
      <c r="E31" s="1">
        <v>5</v>
      </c>
      <c r="F31" s="1">
        <v>5</v>
      </c>
      <c r="G31" s="1">
        <f t="shared" si="0"/>
        <v>219</v>
      </c>
    </row>
    <row r="32" spans="2:7" x14ac:dyDescent="0.25">
      <c r="B32" s="4">
        <v>30</v>
      </c>
      <c r="C32" s="1">
        <v>182</v>
      </c>
      <c r="D32" s="1">
        <v>10</v>
      </c>
      <c r="E32" s="1">
        <v>1</v>
      </c>
      <c r="F32" s="1">
        <v>4</v>
      </c>
      <c r="G32" s="1">
        <f t="shared" si="0"/>
        <v>197</v>
      </c>
    </row>
    <row r="33" spans="2:7" s="160" customFormat="1" x14ac:dyDescent="0.25">
      <c r="B33" s="155">
        <v>31</v>
      </c>
      <c r="C33" s="1">
        <v>0</v>
      </c>
      <c r="D33" s="1">
        <v>0</v>
      </c>
      <c r="E33" s="1">
        <v>0</v>
      </c>
      <c r="F33" s="1">
        <v>0</v>
      </c>
      <c r="G33" s="1">
        <f t="shared" si="0"/>
        <v>0</v>
      </c>
    </row>
    <row r="34" spans="2:7" ht="15.75" thickBot="1" x14ac:dyDescent="0.3">
      <c r="B34" s="5" t="s">
        <v>26</v>
      </c>
      <c r="C34" s="8">
        <f>SUM(C3:C33)</f>
        <v>3866</v>
      </c>
      <c r="D34" s="8">
        <f>SUM(D3:D33)</f>
        <v>37</v>
      </c>
      <c r="E34" s="8">
        <f>SUM(E3:E33)</f>
        <v>30</v>
      </c>
      <c r="F34" s="8"/>
      <c r="G34" s="8">
        <f>SUM(G3:G33)</f>
        <v>4015</v>
      </c>
    </row>
    <row r="35" spans="2:7" x14ac:dyDescent="0.25">
      <c r="B35" t="s">
        <v>27</v>
      </c>
      <c r="C35" s="17">
        <f>C36+SUM(C3:C33)</f>
        <v>3866</v>
      </c>
      <c r="D35" s="17">
        <f>D36+SUM(D3:D33)</f>
        <v>37</v>
      </c>
      <c r="E35" s="17">
        <f>E36+SUM(E3:E33)</f>
        <v>30</v>
      </c>
      <c r="F35" s="17"/>
      <c r="G35" s="17">
        <f>G36+SUM(G3:G33)</f>
        <v>4015</v>
      </c>
    </row>
    <row r="36" spans="2:7" x14ac:dyDescent="0.25">
      <c r="B36" t="s">
        <v>27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9" spans="2:7" x14ac:dyDescent="0.25">
      <c r="D39" t="e">
        <f>C36+D36+#REF!+#REF!+Cement!P36+Cement!T36</f>
        <v>#REF!</v>
      </c>
      <c r="E39" t="e">
        <f>#REF!+E36+#REF!+#REF!+Cement!Q36+Cement!U36</f>
        <v>#REF!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I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6.28515625" bestFit="1" customWidth="1"/>
    <col min="16" max="16" width="12.7109375" bestFit="1" customWidth="1"/>
    <col min="17" max="17" width="15.140625" bestFit="1" customWidth="1"/>
    <col min="18" max="18" width="15.5703125" bestFit="1" customWidth="1"/>
    <col min="19" max="19" width="16.28515625" bestFit="1" customWidth="1"/>
    <col min="20" max="20" width="12.7109375" bestFit="1" customWidth="1"/>
    <col min="21" max="21" width="15.140625" bestFit="1" customWidth="1"/>
    <col min="22" max="22" width="15.5703125" bestFit="1" customWidth="1"/>
    <col min="23" max="23" width="16.28515625" bestFit="1" customWidth="1"/>
    <col min="24" max="24" width="12.7109375" bestFit="1" customWidth="1"/>
    <col min="25" max="25" width="15.140625" bestFit="1" customWidth="1"/>
    <col min="26" max="26" width="15.5703125" bestFit="1" customWidth="1"/>
    <col min="27" max="31" width="15.5703125" customWidth="1"/>
    <col min="34" max="34" width="11" bestFit="1" customWidth="1"/>
    <col min="35" max="35" width="13.5703125" bestFit="1" customWidth="1"/>
  </cols>
  <sheetData>
    <row r="1" spans="2:35" x14ac:dyDescent="0.25">
      <c r="B1" s="3" t="s">
        <v>28</v>
      </c>
      <c r="C1" s="622" t="s">
        <v>78</v>
      </c>
      <c r="D1" s="623"/>
      <c r="E1" s="623"/>
      <c r="F1" s="624"/>
      <c r="G1" s="622" t="s">
        <v>79</v>
      </c>
      <c r="H1" s="623"/>
      <c r="I1" s="623"/>
      <c r="J1" s="624"/>
      <c r="K1" s="622" t="s">
        <v>80</v>
      </c>
      <c r="L1" s="623"/>
      <c r="M1" s="623"/>
      <c r="N1" s="624"/>
      <c r="O1" s="622" t="s">
        <v>81</v>
      </c>
      <c r="P1" s="623"/>
      <c r="Q1" s="623"/>
      <c r="R1" s="624"/>
      <c r="S1" s="622" t="s">
        <v>5</v>
      </c>
      <c r="T1" s="623"/>
      <c r="U1" s="623"/>
      <c r="V1" s="624"/>
      <c r="W1" s="622" t="s">
        <v>82</v>
      </c>
      <c r="X1" s="623"/>
      <c r="Y1" s="623"/>
      <c r="Z1" s="624"/>
      <c r="AA1" s="622" t="s">
        <v>83</v>
      </c>
      <c r="AB1" s="623"/>
      <c r="AC1" s="623"/>
      <c r="AD1" s="624"/>
      <c r="AE1" s="25"/>
      <c r="AF1" s="1" t="s">
        <v>8</v>
      </c>
      <c r="AG1" s="1"/>
    </row>
    <row r="2" spans="2:35" x14ac:dyDescent="0.25">
      <c r="B2" s="4" t="s">
        <v>9</v>
      </c>
      <c r="C2" s="6" t="s">
        <v>10</v>
      </c>
      <c r="D2" s="192" t="s">
        <v>11</v>
      </c>
      <c r="E2" s="1" t="s">
        <v>15</v>
      </c>
      <c r="F2" s="7" t="s">
        <v>14</v>
      </c>
      <c r="G2" s="6" t="s">
        <v>10</v>
      </c>
      <c r="H2" s="1" t="s">
        <v>11</v>
      </c>
      <c r="I2" s="1" t="s">
        <v>15</v>
      </c>
      <c r="J2" s="7" t="s">
        <v>14</v>
      </c>
      <c r="K2" s="6" t="s">
        <v>10</v>
      </c>
      <c r="L2" s="1" t="s">
        <v>11</v>
      </c>
      <c r="M2" s="1" t="s">
        <v>15</v>
      </c>
      <c r="N2" s="7" t="s">
        <v>14</v>
      </c>
      <c r="O2" s="6" t="s">
        <v>10</v>
      </c>
      <c r="P2" s="1" t="s">
        <v>11</v>
      </c>
      <c r="Q2" s="1" t="s">
        <v>15</v>
      </c>
      <c r="R2" s="7" t="s">
        <v>14</v>
      </c>
      <c r="S2" s="6" t="s">
        <v>10</v>
      </c>
      <c r="T2" s="1" t="s">
        <v>11</v>
      </c>
      <c r="U2" s="1" t="s">
        <v>15</v>
      </c>
      <c r="V2" s="7" t="s">
        <v>14</v>
      </c>
      <c r="W2" s="6" t="s">
        <v>10</v>
      </c>
      <c r="X2" s="1" t="s">
        <v>11</v>
      </c>
      <c r="Y2" s="1" t="s">
        <v>15</v>
      </c>
      <c r="Z2" s="7" t="s">
        <v>14</v>
      </c>
      <c r="AA2" s="6" t="s">
        <v>10</v>
      </c>
      <c r="AB2" s="1" t="s">
        <v>11</v>
      </c>
      <c r="AC2" s="1" t="s">
        <v>15</v>
      </c>
      <c r="AD2" s="7" t="s">
        <v>14</v>
      </c>
      <c r="AE2" s="26"/>
      <c r="AF2" s="1"/>
      <c r="AG2" s="1"/>
    </row>
    <row r="3" spans="2:35" x14ac:dyDescent="0.25">
      <c r="B3" s="4">
        <v>1</v>
      </c>
      <c r="C3" s="39">
        <f>7443.81505914978+1.565</f>
        <v>7445.3800591497793</v>
      </c>
      <c r="D3" s="1">
        <v>277.82</v>
      </c>
      <c r="E3" s="34">
        <f>'Daily CEM-1'!AI4+'Daily  CEM - 2'!AH4</f>
        <v>122.000000132</v>
      </c>
      <c r="F3" s="9">
        <f t="shared" ref="F3:F27" si="0">C3+D3-E3</f>
        <v>7601.2000590177786</v>
      </c>
      <c r="G3" s="9">
        <v>0.23999999999796273</v>
      </c>
      <c r="H3" s="1">
        <v>0</v>
      </c>
      <c r="I3" s="33">
        <f>'Daily CEM-1'!AK4</f>
        <v>0</v>
      </c>
      <c r="J3" s="9">
        <f t="shared" ref="J3:J26" si="1">G3+H3-I3</f>
        <v>0.23999999999796273</v>
      </c>
      <c r="K3" s="39">
        <v>0</v>
      </c>
      <c r="L3" s="1">
        <v>0</v>
      </c>
      <c r="M3" s="33">
        <f>'Daily CEM-1'!AJ4</f>
        <v>0</v>
      </c>
      <c r="N3" s="9">
        <f t="shared" ref="N3:N33" si="2">K3+L3-M3</f>
        <v>0</v>
      </c>
      <c r="O3" s="200"/>
      <c r="P3" s="1">
        <v>0</v>
      </c>
      <c r="Q3" s="34">
        <f>'Daily CEM-1'!AH4+'Daily  CEM - 2'!AG4</f>
        <v>452.85000003551937</v>
      </c>
      <c r="R3" s="202"/>
      <c r="S3" s="39">
        <v>0</v>
      </c>
      <c r="T3" s="1">
        <v>0</v>
      </c>
      <c r="U3" s="35">
        <v>0</v>
      </c>
      <c r="V3" s="40">
        <f t="shared" ref="V3:V33" si="3">S3+T3-U3</f>
        <v>0</v>
      </c>
      <c r="W3" s="39">
        <v>0</v>
      </c>
      <c r="X3" s="1">
        <v>0</v>
      </c>
      <c r="Y3" s="35">
        <v>0</v>
      </c>
      <c r="Z3" s="40">
        <f>W3+X3-Y3</f>
        <v>0</v>
      </c>
      <c r="AA3" s="39">
        <v>0</v>
      </c>
      <c r="AB3" s="1" t="e">
        <f>AC3</f>
        <v>#REF!</v>
      </c>
      <c r="AC3" s="33" t="e">
        <f>'Daily CEM-1'!#REF!</f>
        <v>#REF!</v>
      </c>
      <c r="AD3" s="9" t="e">
        <f>AA3+AB3-AC3</f>
        <v>#REF!</v>
      </c>
      <c r="AE3" s="27"/>
      <c r="AF3" s="14" t="e">
        <f>E3+Q3+Clinker!EK3+AC3</f>
        <v>#REF!</v>
      </c>
      <c r="AG3" s="1"/>
      <c r="AH3" s="52">
        <f t="shared" ref="AH3:AH33" si="4">Q3+U3</f>
        <v>452.85000003551937</v>
      </c>
      <c r="AI3" s="52"/>
    </row>
    <row r="4" spans="2:35" x14ac:dyDescent="0.25">
      <c r="B4" s="4">
        <v>2</v>
      </c>
      <c r="C4" s="39">
        <f t="shared" ref="C4:C27" si="5">F3</f>
        <v>7601.2000590177786</v>
      </c>
      <c r="D4" s="1">
        <v>308.68</v>
      </c>
      <c r="E4" s="34">
        <f>'Daily CEM-1'!AI5+'Daily  CEM - 2'!AH5</f>
        <v>136.39999834</v>
      </c>
      <c r="F4" s="9">
        <f t="shared" si="0"/>
        <v>7773.480060677779</v>
      </c>
      <c r="G4" s="39">
        <f t="shared" ref="G4:G27" si="6">J3</f>
        <v>0.23999999999796273</v>
      </c>
      <c r="H4" s="1">
        <v>0</v>
      </c>
      <c r="I4" s="33">
        <f>'Daily CEM-1'!AK5</f>
        <v>0</v>
      </c>
      <c r="J4" s="9">
        <f t="shared" si="1"/>
        <v>0.23999999999796273</v>
      </c>
      <c r="K4" s="39">
        <f t="shared" ref="K4:K33" si="7">N3</f>
        <v>0</v>
      </c>
      <c r="L4" s="1">
        <v>0</v>
      </c>
      <c r="M4" s="33">
        <f>'Daily CEM-1'!AJ5</f>
        <v>0</v>
      </c>
      <c r="N4" s="9">
        <f t="shared" si="2"/>
        <v>0</v>
      </c>
      <c r="O4" s="201"/>
      <c r="P4" s="1">
        <v>0</v>
      </c>
      <c r="Q4" s="34">
        <f>'Daily CEM-1'!AH5+'Daily  CEM - 2'!AG5</f>
        <v>473.3999989875</v>
      </c>
      <c r="R4" s="202"/>
      <c r="S4" s="47">
        <f>V3</f>
        <v>0</v>
      </c>
      <c r="T4" s="1">
        <v>0</v>
      </c>
      <c r="U4" s="35">
        <v>0</v>
      </c>
      <c r="V4" s="40">
        <f t="shared" si="3"/>
        <v>0</v>
      </c>
      <c r="W4" s="47">
        <f>Z3</f>
        <v>0</v>
      </c>
      <c r="X4" s="1">
        <v>0</v>
      </c>
      <c r="Y4" s="35">
        <v>0</v>
      </c>
      <c r="Z4" s="40">
        <f t="shared" ref="Z4:Z33" si="8">W4+X4-Y4</f>
        <v>0</v>
      </c>
      <c r="AA4" s="39" t="e">
        <f t="shared" ref="AA4:AA33" si="9">AD3</f>
        <v>#REF!</v>
      </c>
      <c r="AB4" s="1" t="e">
        <f t="shared" ref="AB4:AB33" si="10">AC4</f>
        <v>#REF!</v>
      </c>
      <c r="AC4" s="33" t="e">
        <f>'Daily CEM-1'!#REF!</f>
        <v>#REF!</v>
      </c>
      <c r="AD4" s="9" t="e">
        <f t="shared" ref="AD4:AD33" si="11">AA4+AB4-AC4</f>
        <v>#REF!</v>
      </c>
      <c r="AE4" s="27"/>
      <c r="AF4" s="14" t="e">
        <f>E4+Q4+Clinker!EK4+AC4</f>
        <v>#REF!</v>
      </c>
      <c r="AG4" s="1"/>
      <c r="AH4" s="52">
        <f t="shared" si="4"/>
        <v>473.3999989875</v>
      </c>
      <c r="AI4" s="52"/>
    </row>
    <row r="5" spans="2:35" x14ac:dyDescent="0.25">
      <c r="B5" s="4">
        <v>3</v>
      </c>
      <c r="C5" s="39">
        <f t="shared" si="5"/>
        <v>7773.480060677779</v>
      </c>
      <c r="D5" s="1">
        <v>0</v>
      </c>
      <c r="E5" s="34">
        <f>'Daily CEM-1'!AI6+'Daily  CEM - 2'!AH6</f>
        <v>125.89999911999999</v>
      </c>
      <c r="F5" s="9">
        <f t="shared" si="0"/>
        <v>7647.5800615577791</v>
      </c>
      <c r="G5" s="39">
        <f t="shared" si="6"/>
        <v>0.23999999999796273</v>
      </c>
      <c r="H5" s="1">
        <v>0</v>
      </c>
      <c r="I5" s="33">
        <f>'Daily CEM-1'!AK6</f>
        <v>0</v>
      </c>
      <c r="J5" s="9">
        <f t="shared" si="1"/>
        <v>0.23999999999796273</v>
      </c>
      <c r="K5" s="39">
        <f t="shared" si="7"/>
        <v>0</v>
      </c>
      <c r="L5" s="1">
        <v>0</v>
      </c>
      <c r="M5" s="33">
        <f>'Daily CEM-1'!AJ6</f>
        <v>0</v>
      </c>
      <c r="N5" s="9">
        <f t="shared" si="2"/>
        <v>0</v>
      </c>
      <c r="O5" s="201"/>
      <c r="P5" s="1">
        <v>0</v>
      </c>
      <c r="Q5" s="34">
        <f>'Daily CEM-1'!AH6+'Daily  CEM - 2'!AG6</f>
        <v>449.79999926760001</v>
      </c>
      <c r="R5" s="202"/>
      <c r="S5" s="47">
        <f t="shared" ref="S5:S33" si="12">V4</f>
        <v>0</v>
      </c>
      <c r="T5" s="1">
        <v>0</v>
      </c>
      <c r="U5" s="35">
        <v>0</v>
      </c>
      <c r="V5" s="40">
        <f t="shared" si="3"/>
        <v>0</v>
      </c>
      <c r="W5" s="47">
        <f t="shared" ref="W5:W33" si="13">Z4</f>
        <v>0</v>
      </c>
      <c r="X5" s="1">
        <v>0</v>
      </c>
      <c r="Y5" s="35">
        <v>0</v>
      </c>
      <c r="Z5" s="40">
        <f t="shared" si="8"/>
        <v>0</v>
      </c>
      <c r="AA5" s="39" t="e">
        <f t="shared" si="9"/>
        <v>#REF!</v>
      </c>
      <c r="AB5" s="1" t="e">
        <f t="shared" si="10"/>
        <v>#REF!</v>
      </c>
      <c r="AC5" s="33" t="e">
        <f>'Daily CEM-1'!#REF!</f>
        <v>#REF!</v>
      </c>
      <c r="AD5" s="9" t="e">
        <f t="shared" si="11"/>
        <v>#REF!</v>
      </c>
      <c r="AE5" s="27"/>
      <c r="AF5" s="14" t="e">
        <f>E5+Q5+Clinker!EK5+AC5</f>
        <v>#REF!</v>
      </c>
      <c r="AG5" s="1"/>
      <c r="AH5" s="52">
        <f t="shared" si="4"/>
        <v>449.79999926760001</v>
      </c>
      <c r="AI5" s="52"/>
    </row>
    <row r="6" spans="2:35" x14ac:dyDescent="0.25">
      <c r="B6" s="4">
        <v>4</v>
      </c>
      <c r="C6" s="39">
        <f t="shared" si="5"/>
        <v>7647.5800615577791</v>
      </c>
      <c r="D6" s="1">
        <v>154.24</v>
      </c>
      <c r="E6" s="34">
        <f>'Daily CEM-1'!AI7+'Daily  CEM - 2'!AH7</f>
        <v>110.29999995999999</v>
      </c>
      <c r="F6" s="9">
        <f t="shared" si="0"/>
        <v>7691.5200615977792</v>
      </c>
      <c r="G6" s="39">
        <f t="shared" si="6"/>
        <v>0.23999999999796273</v>
      </c>
      <c r="H6" s="1">
        <v>0</v>
      </c>
      <c r="I6" s="33">
        <f>'Daily CEM-1'!AK7</f>
        <v>0</v>
      </c>
      <c r="J6" s="9">
        <f t="shared" si="1"/>
        <v>0.23999999999796273</v>
      </c>
      <c r="K6" s="39">
        <f t="shared" si="7"/>
        <v>0</v>
      </c>
      <c r="L6" s="1">
        <v>0</v>
      </c>
      <c r="M6" s="33">
        <f>'Daily CEM-1'!AJ7</f>
        <v>0</v>
      </c>
      <c r="N6" s="9">
        <f t="shared" si="2"/>
        <v>0</v>
      </c>
      <c r="O6" s="201"/>
      <c r="P6" s="1">
        <v>0</v>
      </c>
      <c r="Q6" s="34">
        <f>'Daily CEM-1'!AH7+'Daily  CEM - 2'!AG7</f>
        <v>401.49999831059995</v>
      </c>
      <c r="R6" s="202"/>
      <c r="S6" s="47">
        <f t="shared" si="12"/>
        <v>0</v>
      </c>
      <c r="T6" s="1">
        <v>0</v>
      </c>
      <c r="U6" s="35">
        <v>0</v>
      </c>
      <c r="V6" s="40">
        <f t="shared" si="3"/>
        <v>0</v>
      </c>
      <c r="W6" s="47">
        <f t="shared" si="13"/>
        <v>0</v>
      </c>
      <c r="X6" s="1">
        <v>0</v>
      </c>
      <c r="Y6" s="35">
        <v>0</v>
      </c>
      <c r="Z6" s="40">
        <f t="shared" si="8"/>
        <v>0</v>
      </c>
      <c r="AA6" s="39" t="e">
        <f t="shared" si="9"/>
        <v>#REF!</v>
      </c>
      <c r="AB6" s="1" t="e">
        <f t="shared" si="10"/>
        <v>#REF!</v>
      </c>
      <c r="AC6" s="33" t="e">
        <f>'Daily CEM-1'!#REF!</f>
        <v>#REF!</v>
      </c>
      <c r="AD6" s="9" t="e">
        <f t="shared" si="11"/>
        <v>#REF!</v>
      </c>
      <c r="AE6" s="27"/>
      <c r="AF6" s="14" t="e">
        <f>E6+Q6+Clinker!EK6+AC6</f>
        <v>#REF!</v>
      </c>
      <c r="AG6" s="1"/>
      <c r="AH6" s="52">
        <f t="shared" si="4"/>
        <v>401.49999831059995</v>
      </c>
      <c r="AI6" s="52"/>
    </row>
    <row r="7" spans="2:35" x14ac:dyDescent="0.25">
      <c r="B7" s="4">
        <v>5</v>
      </c>
      <c r="C7" s="39">
        <f t="shared" si="5"/>
        <v>7691.5200615977792</v>
      </c>
      <c r="D7" s="1">
        <v>0</v>
      </c>
      <c r="E7" s="34">
        <f>'Daily CEM-1'!AI8+'Daily  CEM - 2'!AH8</f>
        <v>145.699998365</v>
      </c>
      <c r="F7" s="9">
        <f t="shared" si="0"/>
        <v>7545.8200632327789</v>
      </c>
      <c r="G7" s="39">
        <f t="shared" si="6"/>
        <v>0.23999999999796273</v>
      </c>
      <c r="H7" s="1">
        <v>0</v>
      </c>
      <c r="I7" s="33">
        <f>'Daily CEM-1'!AK8</f>
        <v>0</v>
      </c>
      <c r="J7" s="9">
        <f t="shared" si="1"/>
        <v>0.23999999999796273</v>
      </c>
      <c r="K7" s="39">
        <f t="shared" si="7"/>
        <v>0</v>
      </c>
      <c r="L7" s="1">
        <v>0</v>
      </c>
      <c r="M7" s="33">
        <f>'Daily CEM-1'!AJ8</f>
        <v>0</v>
      </c>
      <c r="N7" s="9">
        <f t="shared" si="2"/>
        <v>0</v>
      </c>
      <c r="O7" s="201"/>
      <c r="P7" s="1">
        <v>0</v>
      </c>
      <c r="Q7" s="34">
        <f>'Daily CEM-1'!AH8+'Daily  CEM - 2'!AG8</f>
        <v>587.99999905920004</v>
      </c>
      <c r="R7" s="202"/>
      <c r="S7" s="47">
        <f t="shared" si="12"/>
        <v>0</v>
      </c>
      <c r="T7" s="1">
        <v>0</v>
      </c>
      <c r="U7" s="35">
        <v>0</v>
      </c>
      <c r="V7" s="40">
        <f t="shared" si="3"/>
        <v>0</v>
      </c>
      <c r="W7" s="47">
        <f t="shared" si="13"/>
        <v>0</v>
      </c>
      <c r="X7" s="1">
        <v>0</v>
      </c>
      <c r="Y7" s="35">
        <v>0</v>
      </c>
      <c r="Z7" s="40">
        <f t="shared" si="8"/>
        <v>0</v>
      </c>
      <c r="AA7" s="39" t="e">
        <f t="shared" si="9"/>
        <v>#REF!</v>
      </c>
      <c r="AB7" s="1" t="e">
        <f t="shared" si="10"/>
        <v>#REF!</v>
      </c>
      <c r="AC7" s="33" t="e">
        <f>'Daily CEM-1'!#REF!</f>
        <v>#REF!</v>
      </c>
      <c r="AD7" s="9" t="e">
        <f t="shared" si="11"/>
        <v>#REF!</v>
      </c>
      <c r="AE7" s="27"/>
      <c r="AF7" s="14" t="e">
        <f>E7+Q7+Clinker!EK7+AC7</f>
        <v>#REF!</v>
      </c>
      <c r="AG7" s="1"/>
      <c r="AH7" s="52">
        <f t="shared" si="4"/>
        <v>587.99999905920004</v>
      </c>
      <c r="AI7" s="52"/>
    </row>
    <row r="8" spans="2:35" x14ac:dyDescent="0.25">
      <c r="B8" s="4">
        <v>6</v>
      </c>
      <c r="C8" s="39">
        <f t="shared" si="5"/>
        <v>7545.8200632327789</v>
      </c>
      <c r="D8" s="1">
        <v>0</v>
      </c>
      <c r="E8" s="34">
        <f>'Daily CEM-1'!AI9+'Daily  CEM - 2'!AH9</f>
        <v>114.30000000000001</v>
      </c>
      <c r="F8" s="9">
        <f t="shared" si="0"/>
        <v>7431.5200632327787</v>
      </c>
      <c r="G8" s="39">
        <f t="shared" si="6"/>
        <v>0.23999999999796273</v>
      </c>
      <c r="H8" s="1">
        <v>0</v>
      </c>
      <c r="I8" s="33">
        <f>'Daily CEM-1'!AK9</f>
        <v>0</v>
      </c>
      <c r="J8" s="9">
        <f t="shared" si="1"/>
        <v>0.23999999999796273</v>
      </c>
      <c r="K8" s="39">
        <f t="shared" si="7"/>
        <v>0</v>
      </c>
      <c r="L8" s="1">
        <v>0</v>
      </c>
      <c r="M8" s="33">
        <f>'Daily CEM-1'!AJ9</f>
        <v>0</v>
      </c>
      <c r="N8" s="9">
        <f t="shared" si="2"/>
        <v>0</v>
      </c>
      <c r="O8" s="201"/>
      <c r="P8" s="1">
        <v>0</v>
      </c>
      <c r="Q8" s="34">
        <f>'Daily CEM-1'!AH9+'Daily  CEM - 2'!AG9</f>
        <v>391.68000000000006</v>
      </c>
      <c r="R8" s="202"/>
      <c r="S8" s="47">
        <f t="shared" si="12"/>
        <v>0</v>
      </c>
      <c r="T8" s="1">
        <v>0</v>
      </c>
      <c r="U8" s="35">
        <v>0</v>
      </c>
      <c r="V8" s="40">
        <f t="shared" si="3"/>
        <v>0</v>
      </c>
      <c r="W8" s="47">
        <f t="shared" si="13"/>
        <v>0</v>
      </c>
      <c r="X8" s="1">
        <v>0</v>
      </c>
      <c r="Y8" s="35">
        <v>0</v>
      </c>
      <c r="Z8" s="40">
        <f t="shared" si="8"/>
        <v>0</v>
      </c>
      <c r="AA8" s="39" t="e">
        <f t="shared" si="9"/>
        <v>#REF!</v>
      </c>
      <c r="AB8" s="1" t="e">
        <f t="shared" si="10"/>
        <v>#REF!</v>
      </c>
      <c r="AC8" s="33" t="e">
        <f>'Daily CEM-1'!#REF!</f>
        <v>#REF!</v>
      </c>
      <c r="AD8" s="9" t="e">
        <f t="shared" si="11"/>
        <v>#REF!</v>
      </c>
      <c r="AE8" s="27"/>
      <c r="AF8" s="14" t="e">
        <f>E8+Q8+Clinker!EK8+AC8</f>
        <v>#REF!</v>
      </c>
      <c r="AG8" s="1"/>
      <c r="AH8" s="52">
        <f t="shared" si="4"/>
        <v>391.68000000000006</v>
      </c>
      <c r="AI8" s="52"/>
    </row>
    <row r="9" spans="2:35" x14ac:dyDescent="0.25">
      <c r="B9" s="4">
        <v>7</v>
      </c>
      <c r="C9" s="39">
        <f t="shared" si="5"/>
        <v>7431.5200632327787</v>
      </c>
      <c r="D9" s="1">
        <v>0</v>
      </c>
      <c r="E9" s="34">
        <f>'Daily CEM-1'!AI10+'Daily  CEM - 2'!AH10</f>
        <v>117.25</v>
      </c>
      <c r="F9" s="9">
        <f t="shared" si="0"/>
        <v>7314.2700632327787</v>
      </c>
      <c r="G9" s="39">
        <f t="shared" si="6"/>
        <v>0.23999999999796273</v>
      </c>
      <c r="H9" s="1">
        <v>0</v>
      </c>
      <c r="I9" s="33">
        <f>'Daily CEM-1'!AK10</f>
        <v>0</v>
      </c>
      <c r="J9" s="9">
        <f t="shared" si="1"/>
        <v>0.23999999999796273</v>
      </c>
      <c r="K9" s="39">
        <f t="shared" si="7"/>
        <v>0</v>
      </c>
      <c r="L9" s="1">
        <v>0</v>
      </c>
      <c r="M9" s="33">
        <f>'Daily CEM-1'!AJ10</f>
        <v>0</v>
      </c>
      <c r="N9" s="9">
        <f t="shared" si="2"/>
        <v>0</v>
      </c>
      <c r="O9" s="201"/>
      <c r="P9" s="1">
        <v>0</v>
      </c>
      <c r="Q9" s="34">
        <f>'Daily CEM-1'!AH10+'Daily  CEM - 2'!AG10</f>
        <v>404.94999999999902</v>
      </c>
      <c r="R9" s="202"/>
      <c r="S9" s="47">
        <f t="shared" si="12"/>
        <v>0</v>
      </c>
      <c r="T9" s="1">
        <v>0</v>
      </c>
      <c r="U9" s="35">
        <v>0</v>
      </c>
      <c r="V9" s="40">
        <f t="shared" si="3"/>
        <v>0</v>
      </c>
      <c r="W9" s="47">
        <f t="shared" si="13"/>
        <v>0</v>
      </c>
      <c r="X9" s="1">
        <v>0</v>
      </c>
      <c r="Y9" s="35">
        <v>0</v>
      </c>
      <c r="Z9" s="40">
        <f t="shared" si="8"/>
        <v>0</v>
      </c>
      <c r="AA9" s="39" t="e">
        <f t="shared" si="9"/>
        <v>#REF!</v>
      </c>
      <c r="AB9" s="1" t="e">
        <f t="shared" si="10"/>
        <v>#REF!</v>
      </c>
      <c r="AC9" s="33" t="e">
        <f>'Daily CEM-1'!#REF!</f>
        <v>#REF!</v>
      </c>
      <c r="AD9" s="9" t="e">
        <f t="shared" si="11"/>
        <v>#REF!</v>
      </c>
      <c r="AE9" s="27"/>
      <c r="AF9" s="14" t="e">
        <f>E9+Q9+Clinker!EK9+AC9</f>
        <v>#REF!</v>
      </c>
      <c r="AG9" s="1"/>
      <c r="AH9" s="52">
        <f t="shared" si="4"/>
        <v>404.94999999999902</v>
      </c>
      <c r="AI9" s="52"/>
    </row>
    <row r="10" spans="2:35" x14ac:dyDescent="0.25">
      <c r="B10" s="4">
        <v>8</v>
      </c>
      <c r="C10" s="39">
        <f t="shared" si="5"/>
        <v>7314.2700632327787</v>
      </c>
      <c r="D10" s="1">
        <v>377.2</v>
      </c>
      <c r="E10" s="34">
        <f>'Daily CEM-1'!AI11+'Daily  CEM - 2'!AH11</f>
        <v>78.5</v>
      </c>
      <c r="F10" s="9">
        <f t="shared" si="0"/>
        <v>7612.9700632327786</v>
      </c>
      <c r="G10" s="39">
        <f t="shared" si="6"/>
        <v>0.23999999999796273</v>
      </c>
      <c r="H10" s="1">
        <v>0</v>
      </c>
      <c r="I10" s="33">
        <f>'Daily CEM-1'!AK11</f>
        <v>0</v>
      </c>
      <c r="J10" s="9">
        <f t="shared" si="1"/>
        <v>0.23999999999796273</v>
      </c>
      <c r="K10" s="39">
        <f t="shared" si="7"/>
        <v>0</v>
      </c>
      <c r="L10" s="1">
        <v>0</v>
      </c>
      <c r="M10" s="33">
        <f>'Daily CEM-1'!AJ11</f>
        <v>0</v>
      </c>
      <c r="N10" s="9">
        <f t="shared" si="2"/>
        <v>0</v>
      </c>
      <c r="O10" s="201"/>
      <c r="P10" s="1">
        <v>0</v>
      </c>
      <c r="Q10" s="34">
        <f>'Daily CEM-1'!AH11+'Daily  CEM - 2'!AG11</f>
        <v>279</v>
      </c>
      <c r="R10" s="202"/>
      <c r="S10" s="47">
        <f t="shared" si="12"/>
        <v>0</v>
      </c>
      <c r="T10" s="1">
        <v>0</v>
      </c>
      <c r="U10" s="35">
        <v>0</v>
      </c>
      <c r="V10" s="40">
        <f t="shared" si="3"/>
        <v>0</v>
      </c>
      <c r="W10" s="47">
        <f t="shared" si="13"/>
        <v>0</v>
      </c>
      <c r="X10" s="1">
        <v>0</v>
      </c>
      <c r="Y10" s="35">
        <v>0</v>
      </c>
      <c r="Z10" s="40">
        <f t="shared" si="8"/>
        <v>0</v>
      </c>
      <c r="AA10" s="39" t="e">
        <f t="shared" si="9"/>
        <v>#REF!</v>
      </c>
      <c r="AB10" s="1" t="e">
        <f t="shared" si="10"/>
        <v>#REF!</v>
      </c>
      <c r="AC10" s="33" t="e">
        <f>'Daily CEM-1'!#REF!</f>
        <v>#REF!</v>
      </c>
      <c r="AD10" s="9" t="e">
        <f t="shared" si="11"/>
        <v>#REF!</v>
      </c>
      <c r="AE10" s="27"/>
      <c r="AF10" s="14" t="e">
        <f>E10+Q10+Clinker!EK10+AC10</f>
        <v>#REF!</v>
      </c>
      <c r="AG10" s="1"/>
      <c r="AH10" s="52">
        <f t="shared" si="4"/>
        <v>279</v>
      </c>
      <c r="AI10" s="52"/>
    </row>
    <row r="11" spans="2:35" x14ac:dyDescent="0.25">
      <c r="B11" s="4">
        <v>9</v>
      </c>
      <c r="C11" s="39">
        <f t="shared" si="5"/>
        <v>7612.9700632327786</v>
      </c>
      <c r="D11" s="1">
        <v>33.119999999999997</v>
      </c>
      <c r="E11" s="34">
        <f>'Daily CEM-1'!AI12+'Daily  CEM - 2'!AH12</f>
        <v>78.450000009999997</v>
      </c>
      <c r="F11" s="9">
        <f t="shared" si="0"/>
        <v>7567.6400632227787</v>
      </c>
      <c r="G11" s="39">
        <f t="shared" si="6"/>
        <v>0.23999999999796273</v>
      </c>
      <c r="H11" s="1">
        <v>0</v>
      </c>
      <c r="I11" s="33">
        <f>'Daily CEM-1'!AK12</f>
        <v>0</v>
      </c>
      <c r="J11" s="9">
        <f t="shared" si="1"/>
        <v>0.23999999999796273</v>
      </c>
      <c r="K11" s="39">
        <f t="shared" si="7"/>
        <v>0</v>
      </c>
      <c r="L11" s="1">
        <v>0</v>
      </c>
      <c r="M11" s="33">
        <f>'Daily CEM-1'!AJ12</f>
        <v>0</v>
      </c>
      <c r="N11" s="9">
        <f t="shared" si="2"/>
        <v>0</v>
      </c>
      <c r="O11" s="201"/>
      <c r="P11" s="1">
        <v>0</v>
      </c>
      <c r="Q11" s="34">
        <f>'Daily CEM-1'!AH12+'Daily  CEM - 2'!AG12</f>
        <v>280.24999938539997</v>
      </c>
      <c r="R11" s="202"/>
      <c r="S11" s="47">
        <f t="shared" si="12"/>
        <v>0</v>
      </c>
      <c r="T11" s="1">
        <v>0</v>
      </c>
      <c r="U11" s="35">
        <v>0</v>
      </c>
      <c r="V11" s="40">
        <f t="shared" si="3"/>
        <v>0</v>
      </c>
      <c r="W11" s="47">
        <f t="shared" si="13"/>
        <v>0</v>
      </c>
      <c r="X11" s="1">
        <v>0</v>
      </c>
      <c r="Y11" s="35">
        <v>0</v>
      </c>
      <c r="Z11" s="40">
        <f t="shared" si="8"/>
        <v>0</v>
      </c>
      <c r="AA11" s="39" t="e">
        <f t="shared" si="9"/>
        <v>#REF!</v>
      </c>
      <c r="AB11" s="1" t="e">
        <f t="shared" si="10"/>
        <v>#REF!</v>
      </c>
      <c r="AC11" s="33" t="e">
        <f>'Daily CEM-1'!#REF!</f>
        <v>#REF!</v>
      </c>
      <c r="AD11" s="9" t="e">
        <f t="shared" si="11"/>
        <v>#REF!</v>
      </c>
      <c r="AE11" s="27"/>
      <c r="AF11" s="14" t="e">
        <f>E11+Q11+Clinker!EK11+AC11</f>
        <v>#REF!</v>
      </c>
      <c r="AG11" s="1"/>
      <c r="AH11" s="52">
        <f t="shared" si="4"/>
        <v>280.24999938539997</v>
      </c>
      <c r="AI11" s="52"/>
    </row>
    <row r="12" spans="2:35" x14ac:dyDescent="0.25">
      <c r="B12" s="4">
        <v>10</v>
      </c>
      <c r="C12" s="39">
        <f t="shared" si="5"/>
        <v>7567.6400632227787</v>
      </c>
      <c r="D12" s="1">
        <v>95.8</v>
      </c>
      <c r="E12" s="34">
        <f>'Daily CEM-1'!AI13+'Daily  CEM - 2'!AH13</f>
        <v>74.749999945000013</v>
      </c>
      <c r="F12" s="9">
        <f t="shared" si="0"/>
        <v>7588.6900632777788</v>
      </c>
      <c r="G12" s="39">
        <f t="shared" si="6"/>
        <v>0.23999999999796273</v>
      </c>
      <c r="H12" s="1">
        <v>0</v>
      </c>
      <c r="I12" s="33">
        <f>'Daily CEM-1'!AK13</f>
        <v>0</v>
      </c>
      <c r="J12" s="9">
        <f t="shared" si="1"/>
        <v>0.23999999999796273</v>
      </c>
      <c r="K12" s="39">
        <f t="shared" si="7"/>
        <v>0</v>
      </c>
      <c r="L12" s="1">
        <v>0</v>
      </c>
      <c r="M12" s="33">
        <f>'Daily CEM-1'!AJ13</f>
        <v>0</v>
      </c>
      <c r="N12" s="9">
        <f t="shared" si="2"/>
        <v>0</v>
      </c>
      <c r="O12" s="201"/>
      <c r="P12" s="1">
        <v>0</v>
      </c>
      <c r="Q12" s="34">
        <f>'Daily CEM-1'!AH13+'Daily  CEM - 2'!AG13</f>
        <v>309.49999901550001</v>
      </c>
      <c r="R12" s="202"/>
      <c r="S12" s="47">
        <f t="shared" si="12"/>
        <v>0</v>
      </c>
      <c r="T12" s="1">
        <v>0</v>
      </c>
      <c r="U12" s="35">
        <v>0</v>
      </c>
      <c r="V12" s="40">
        <f t="shared" si="3"/>
        <v>0</v>
      </c>
      <c r="W12" s="47">
        <f t="shared" si="13"/>
        <v>0</v>
      </c>
      <c r="X12" s="1">
        <v>0</v>
      </c>
      <c r="Y12" s="35">
        <v>0</v>
      </c>
      <c r="Z12" s="40">
        <f t="shared" si="8"/>
        <v>0</v>
      </c>
      <c r="AA12" s="39" t="e">
        <f t="shared" si="9"/>
        <v>#REF!</v>
      </c>
      <c r="AB12" s="1" t="e">
        <f t="shared" si="10"/>
        <v>#REF!</v>
      </c>
      <c r="AC12" s="33" t="e">
        <f>'Daily CEM-1'!#REF!</f>
        <v>#REF!</v>
      </c>
      <c r="AD12" s="9" t="e">
        <f t="shared" si="11"/>
        <v>#REF!</v>
      </c>
      <c r="AE12" s="27"/>
      <c r="AF12" s="14" t="e">
        <f>E12+Q12+Clinker!EK12+AC12</f>
        <v>#REF!</v>
      </c>
      <c r="AG12" s="1"/>
      <c r="AH12" s="52">
        <f t="shared" si="4"/>
        <v>309.49999901550001</v>
      </c>
      <c r="AI12" s="52"/>
    </row>
    <row r="13" spans="2:35" x14ac:dyDescent="0.25">
      <c r="B13" s="4">
        <v>11</v>
      </c>
      <c r="C13" s="39">
        <f t="shared" si="5"/>
        <v>7588.6900632777788</v>
      </c>
      <c r="D13" s="1">
        <v>0</v>
      </c>
      <c r="E13" s="34">
        <f>'Daily CEM-1'!AI14+'Daily  CEM - 2'!AH14</f>
        <v>60.5</v>
      </c>
      <c r="F13" s="9">
        <f t="shared" si="0"/>
        <v>7528.1900632777788</v>
      </c>
      <c r="G13" s="39">
        <f t="shared" si="6"/>
        <v>0.23999999999796273</v>
      </c>
      <c r="H13" s="1">
        <v>0</v>
      </c>
      <c r="I13" s="33">
        <f>'Daily CEM-1'!AK14</f>
        <v>0</v>
      </c>
      <c r="J13" s="9">
        <f t="shared" si="1"/>
        <v>0.23999999999796273</v>
      </c>
      <c r="K13" s="39">
        <f t="shared" si="7"/>
        <v>0</v>
      </c>
      <c r="L13" s="1">
        <v>0</v>
      </c>
      <c r="M13" s="33">
        <f>'Daily CEM-1'!AJ14</f>
        <v>0</v>
      </c>
      <c r="N13" s="9">
        <f t="shared" si="2"/>
        <v>0</v>
      </c>
      <c r="O13" s="201"/>
      <c r="P13" s="1">
        <v>0</v>
      </c>
      <c r="Q13" s="35">
        <f>'Daily CEM-1'!AH14+'Daily  CEM - 2'!AG14</f>
        <v>217.99999920600001</v>
      </c>
      <c r="R13" s="202"/>
      <c r="S13" s="47">
        <f t="shared" si="12"/>
        <v>0</v>
      </c>
      <c r="T13" s="1">
        <v>0</v>
      </c>
      <c r="U13" s="35">
        <v>0</v>
      </c>
      <c r="V13" s="40">
        <f t="shared" si="3"/>
        <v>0</v>
      </c>
      <c r="W13" s="47">
        <f t="shared" si="13"/>
        <v>0</v>
      </c>
      <c r="X13" s="1">
        <v>0</v>
      </c>
      <c r="Y13" s="35">
        <v>0</v>
      </c>
      <c r="Z13" s="40">
        <f t="shared" si="8"/>
        <v>0</v>
      </c>
      <c r="AA13" s="39" t="e">
        <f t="shared" si="9"/>
        <v>#REF!</v>
      </c>
      <c r="AB13" s="1" t="e">
        <f t="shared" si="10"/>
        <v>#REF!</v>
      </c>
      <c r="AC13" s="33" t="e">
        <f>'Daily CEM-1'!#REF!</f>
        <v>#REF!</v>
      </c>
      <c r="AD13" s="9" t="e">
        <f t="shared" si="11"/>
        <v>#REF!</v>
      </c>
      <c r="AE13" s="27"/>
      <c r="AF13" s="14" t="e">
        <f>E13+Q13+Clinker!EK13+AC13</f>
        <v>#REF!</v>
      </c>
      <c r="AG13" s="1"/>
      <c r="AH13" s="52">
        <f t="shared" si="4"/>
        <v>217.99999920600001</v>
      </c>
      <c r="AI13" s="52"/>
    </row>
    <row r="14" spans="2:35" x14ac:dyDescent="0.25">
      <c r="B14" s="4">
        <v>12</v>
      </c>
      <c r="C14" s="39">
        <f t="shared" si="5"/>
        <v>7528.1900632777788</v>
      </c>
      <c r="D14" s="1">
        <v>0</v>
      </c>
      <c r="E14" s="34">
        <f>'Daily CEM-1'!AI15+'Daily  CEM - 2'!AH15</f>
        <v>71.25</v>
      </c>
      <c r="F14" s="9">
        <f t="shared" si="0"/>
        <v>7456.9400632777788</v>
      </c>
      <c r="G14" s="39">
        <f t="shared" si="6"/>
        <v>0.23999999999796273</v>
      </c>
      <c r="H14" s="1">
        <v>0</v>
      </c>
      <c r="I14" s="33">
        <f>'Daily CEM-1'!AK15</f>
        <v>0</v>
      </c>
      <c r="J14" s="9">
        <f t="shared" si="1"/>
        <v>0.23999999999796273</v>
      </c>
      <c r="K14" s="39">
        <f t="shared" si="7"/>
        <v>0</v>
      </c>
      <c r="L14" s="1">
        <v>0</v>
      </c>
      <c r="M14" s="33">
        <f>'Daily CEM-1'!AJ15</f>
        <v>0</v>
      </c>
      <c r="N14" s="9">
        <f t="shared" si="2"/>
        <v>0</v>
      </c>
      <c r="O14" s="201"/>
      <c r="P14" s="1">
        <v>0</v>
      </c>
      <c r="Q14" s="35">
        <f>'Daily CEM-1'!AH15+'Daily  CEM - 2'!AG15</f>
        <v>261.24999999999989</v>
      </c>
      <c r="R14" s="202"/>
      <c r="S14" s="47">
        <f t="shared" si="12"/>
        <v>0</v>
      </c>
      <c r="T14" s="1">
        <v>0</v>
      </c>
      <c r="U14" s="35">
        <v>0</v>
      </c>
      <c r="V14" s="40">
        <f t="shared" si="3"/>
        <v>0</v>
      </c>
      <c r="W14" s="47">
        <f t="shared" si="13"/>
        <v>0</v>
      </c>
      <c r="X14" s="1">
        <v>0</v>
      </c>
      <c r="Y14" s="35">
        <v>0</v>
      </c>
      <c r="Z14" s="40">
        <f t="shared" si="8"/>
        <v>0</v>
      </c>
      <c r="AA14" s="39" t="e">
        <f t="shared" si="9"/>
        <v>#REF!</v>
      </c>
      <c r="AB14" s="1" t="e">
        <f t="shared" si="10"/>
        <v>#REF!</v>
      </c>
      <c r="AC14" s="33" t="e">
        <f>'Daily CEM-1'!#REF!</f>
        <v>#REF!</v>
      </c>
      <c r="AD14" s="9" t="e">
        <f t="shared" si="11"/>
        <v>#REF!</v>
      </c>
      <c r="AE14" s="27"/>
      <c r="AF14" s="14" t="e">
        <f>E14+Q14+Clinker!EK14+AC14</f>
        <v>#REF!</v>
      </c>
      <c r="AG14" s="1"/>
      <c r="AH14" s="52">
        <f t="shared" si="4"/>
        <v>261.24999999999989</v>
      </c>
      <c r="AI14" s="52"/>
    </row>
    <row r="15" spans="2:35" x14ac:dyDescent="0.25">
      <c r="B15" s="4">
        <v>13</v>
      </c>
      <c r="C15" s="39">
        <f t="shared" si="5"/>
        <v>7456.9400632777788</v>
      </c>
      <c r="D15" s="1">
        <v>177.18</v>
      </c>
      <c r="E15" s="34">
        <f>'Daily CEM-1'!AI16+'Daily  CEM - 2'!AH16</f>
        <v>58</v>
      </c>
      <c r="F15" s="9">
        <f t="shared" si="0"/>
        <v>7576.1200632777791</v>
      </c>
      <c r="G15" s="39">
        <f t="shared" si="6"/>
        <v>0.23999999999796273</v>
      </c>
      <c r="H15" s="1">
        <v>0</v>
      </c>
      <c r="I15" s="33">
        <f>'Daily CEM-1'!AK16</f>
        <v>0</v>
      </c>
      <c r="J15" s="9">
        <f t="shared" si="1"/>
        <v>0.23999999999796273</v>
      </c>
      <c r="K15" s="39">
        <f t="shared" si="7"/>
        <v>0</v>
      </c>
      <c r="L15" s="1">
        <v>0</v>
      </c>
      <c r="M15" s="33">
        <f>'Daily CEM-1'!AJ16</f>
        <v>0</v>
      </c>
      <c r="N15" s="9">
        <f t="shared" si="2"/>
        <v>0</v>
      </c>
      <c r="O15" s="201"/>
      <c r="P15" s="1">
        <v>0</v>
      </c>
      <c r="Q15" s="35">
        <f>'Daily CEM-1'!AH16+'Daily  CEM - 2'!AG16</f>
        <v>205.29999999999941</v>
      </c>
      <c r="R15" s="202"/>
      <c r="S15" s="47">
        <f t="shared" si="12"/>
        <v>0</v>
      </c>
      <c r="T15" s="1">
        <v>0</v>
      </c>
      <c r="U15" s="35">
        <v>0</v>
      </c>
      <c r="V15" s="40">
        <f t="shared" si="3"/>
        <v>0</v>
      </c>
      <c r="W15" s="47">
        <f t="shared" si="13"/>
        <v>0</v>
      </c>
      <c r="X15" s="1">
        <v>0</v>
      </c>
      <c r="Y15" s="35">
        <v>0</v>
      </c>
      <c r="Z15" s="40">
        <f t="shared" si="8"/>
        <v>0</v>
      </c>
      <c r="AA15" s="39" t="e">
        <f t="shared" si="9"/>
        <v>#REF!</v>
      </c>
      <c r="AB15" s="1" t="e">
        <f t="shared" si="10"/>
        <v>#REF!</v>
      </c>
      <c r="AC15" s="33" t="e">
        <f>'Daily CEM-1'!#REF!</f>
        <v>#REF!</v>
      </c>
      <c r="AD15" s="9" t="e">
        <f t="shared" si="11"/>
        <v>#REF!</v>
      </c>
      <c r="AE15" s="27"/>
      <c r="AF15" s="14" t="e">
        <f>E15+Q15+Clinker!EK15+AC15</f>
        <v>#REF!</v>
      </c>
      <c r="AG15" s="1"/>
      <c r="AH15" s="52">
        <f t="shared" si="4"/>
        <v>205.29999999999941</v>
      </c>
      <c r="AI15" s="52"/>
    </row>
    <row r="16" spans="2:35" x14ac:dyDescent="0.25">
      <c r="B16" s="4">
        <v>14</v>
      </c>
      <c r="C16" s="39">
        <f t="shared" si="5"/>
        <v>7576.1200632777791</v>
      </c>
      <c r="D16" s="1">
        <v>33.06</v>
      </c>
      <c r="E16" s="34">
        <f>'Daily CEM-1'!AI17+'Daily  CEM - 2'!AH17</f>
        <v>73.300000003500003</v>
      </c>
      <c r="F16" s="9">
        <f t="shared" si="0"/>
        <v>7535.8800632742796</v>
      </c>
      <c r="G16" s="39">
        <f t="shared" si="6"/>
        <v>0.23999999999796273</v>
      </c>
      <c r="H16" s="1">
        <v>0</v>
      </c>
      <c r="I16" s="33">
        <f>'Daily CEM-1'!AK17</f>
        <v>0</v>
      </c>
      <c r="J16" s="9">
        <f t="shared" si="1"/>
        <v>0.23999999999796273</v>
      </c>
      <c r="K16" s="39">
        <f t="shared" si="7"/>
        <v>0</v>
      </c>
      <c r="L16" s="1">
        <v>0</v>
      </c>
      <c r="M16" s="33">
        <f>'Daily CEM-1'!AJ17</f>
        <v>0</v>
      </c>
      <c r="N16" s="9">
        <f t="shared" si="2"/>
        <v>0</v>
      </c>
      <c r="O16" s="201"/>
      <c r="P16" s="1">
        <v>0</v>
      </c>
      <c r="Q16" s="35">
        <f>'Daily CEM-1'!AH17+'Daily  CEM - 2'!AG17</f>
        <v>279.60000000000002</v>
      </c>
      <c r="R16" s="202"/>
      <c r="S16" s="47">
        <f t="shared" si="12"/>
        <v>0</v>
      </c>
      <c r="T16" s="1">
        <v>0</v>
      </c>
      <c r="U16" s="35">
        <v>0</v>
      </c>
      <c r="V16" s="40">
        <f t="shared" si="3"/>
        <v>0</v>
      </c>
      <c r="W16" s="47">
        <f t="shared" si="13"/>
        <v>0</v>
      </c>
      <c r="X16" s="1">
        <v>0</v>
      </c>
      <c r="Y16" s="35">
        <v>0</v>
      </c>
      <c r="Z16" s="40">
        <f t="shared" si="8"/>
        <v>0</v>
      </c>
      <c r="AA16" s="39" t="e">
        <f t="shared" si="9"/>
        <v>#REF!</v>
      </c>
      <c r="AB16" s="1" t="e">
        <f t="shared" si="10"/>
        <v>#REF!</v>
      </c>
      <c r="AC16" s="33" t="e">
        <f>'Daily CEM-1'!#REF!</f>
        <v>#REF!</v>
      </c>
      <c r="AD16" s="9" t="e">
        <f t="shared" si="11"/>
        <v>#REF!</v>
      </c>
      <c r="AE16" s="27"/>
      <c r="AF16" s="14" t="e">
        <f>E16+Q16+Clinker!EK16+AC16</f>
        <v>#REF!</v>
      </c>
      <c r="AG16" s="1"/>
      <c r="AH16" s="52">
        <f t="shared" si="4"/>
        <v>279.60000000000002</v>
      </c>
      <c r="AI16" s="52"/>
    </row>
    <row r="17" spans="2:35" x14ac:dyDescent="0.25">
      <c r="B17" s="4">
        <v>15</v>
      </c>
      <c r="C17" s="39">
        <f t="shared" si="5"/>
        <v>7535.8800632742796</v>
      </c>
      <c r="D17" s="1">
        <v>124.66</v>
      </c>
      <c r="E17" s="34">
        <f>'Daily CEM-1'!AI18+'Daily  CEM - 2'!AH18</f>
        <v>104.6</v>
      </c>
      <c r="F17" s="9">
        <f t="shared" si="0"/>
        <v>7555.9400632742791</v>
      </c>
      <c r="G17" s="39">
        <f t="shared" si="6"/>
        <v>0.23999999999796273</v>
      </c>
      <c r="H17" s="1">
        <v>0</v>
      </c>
      <c r="I17" s="33">
        <f>'Daily CEM-1'!AK18</f>
        <v>0</v>
      </c>
      <c r="J17" s="9">
        <f t="shared" si="1"/>
        <v>0.23999999999796273</v>
      </c>
      <c r="K17" s="39">
        <f t="shared" si="7"/>
        <v>0</v>
      </c>
      <c r="L17" s="1">
        <v>0</v>
      </c>
      <c r="M17" s="33">
        <f>'Daily CEM-1'!AJ18</f>
        <v>0</v>
      </c>
      <c r="N17" s="9">
        <f t="shared" si="2"/>
        <v>0</v>
      </c>
      <c r="O17" s="201"/>
      <c r="P17" s="1">
        <v>0</v>
      </c>
      <c r="Q17" s="35">
        <f>'Daily CEM-1'!AH18+'Daily  CEM - 2'!AG18</f>
        <v>363.84999999999934</v>
      </c>
      <c r="R17" s="202"/>
      <c r="S17" s="47">
        <f t="shared" si="12"/>
        <v>0</v>
      </c>
      <c r="T17" s="1">
        <v>0</v>
      </c>
      <c r="U17" s="35">
        <v>0</v>
      </c>
      <c r="V17" s="40">
        <f t="shared" si="3"/>
        <v>0</v>
      </c>
      <c r="W17" s="47">
        <f t="shared" si="13"/>
        <v>0</v>
      </c>
      <c r="X17" s="1">
        <v>0</v>
      </c>
      <c r="Y17" s="35">
        <v>0</v>
      </c>
      <c r="Z17" s="40">
        <f t="shared" si="8"/>
        <v>0</v>
      </c>
      <c r="AA17" s="39" t="e">
        <f t="shared" si="9"/>
        <v>#REF!</v>
      </c>
      <c r="AB17" s="1" t="e">
        <f t="shared" si="10"/>
        <v>#REF!</v>
      </c>
      <c r="AC17" s="33" t="e">
        <f>'Daily CEM-1'!#REF!</f>
        <v>#REF!</v>
      </c>
      <c r="AD17" s="9" t="e">
        <f t="shared" si="11"/>
        <v>#REF!</v>
      </c>
      <c r="AE17" s="27"/>
      <c r="AF17" s="14" t="e">
        <f>E17+Q17+Clinker!EK17+AC17</f>
        <v>#REF!</v>
      </c>
      <c r="AG17" s="1"/>
      <c r="AH17" s="52">
        <f t="shared" si="4"/>
        <v>363.84999999999934</v>
      </c>
      <c r="AI17" s="52"/>
    </row>
    <row r="18" spans="2:35" x14ac:dyDescent="0.25">
      <c r="B18" s="4">
        <v>16</v>
      </c>
      <c r="C18" s="39">
        <f t="shared" si="5"/>
        <v>7555.9400632742791</v>
      </c>
      <c r="D18" s="1">
        <v>61</v>
      </c>
      <c r="E18" s="34">
        <f>'Daily CEM-1'!AI19+'Daily  CEM - 2'!AH19</f>
        <v>93.5</v>
      </c>
      <c r="F18" s="9">
        <f>C18+D18-E18</f>
        <v>7523.4400632742791</v>
      </c>
      <c r="G18" s="39">
        <f t="shared" si="6"/>
        <v>0.23999999999796273</v>
      </c>
      <c r="H18" s="1">
        <v>0</v>
      </c>
      <c r="I18" s="33">
        <f>'Daily CEM-1'!AK19</f>
        <v>0</v>
      </c>
      <c r="J18" s="9">
        <f t="shared" si="1"/>
        <v>0.23999999999796273</v>
      </c>
      <c r="K18" s="39">
        <f t="shared" si="7"/>
        <v>0</v>
      </c>
      <c r="L18" s="1">
        <v>0</v>
      </c>
      <c r="M18" s="33">
        <f>'Daily CEM-1'!AJ19</f>
        <v>0</v>
      </c>
      <c r="N18" s="9">
        <f t="shared" si="2"/>
        <v>0</v>
      </c>
      <c r="O18" s="201"/>
      <c r="P18" s="1">
        <v>0</v>
      </c>
      <c r="Q18" s="35">
        <f>'Daily CEM-1'!AH19+'Daily  CEM - 2'!AG19</f>
        <v>372.84999999999991</v>
      </c>
      <c r="R18" s="202"/>
      <c r="S18" s="47">
        <f t="shared" si="12"/>
        <v>0</v>
      </c>
      <c r="T18" s="1">
        <v>0</v>
      </c>
      <c r="U18" s="35">
        <v>0</v>
      </c>
      <c r="V18" s="40">
        <f t="shared" si="3"/>
        <v>0</v>
      </c>
      <c r="W18" s="47">
        <f t="shared" si="13"/>
        <v>0</v>
      </c>
      <c r="X18" s="1">
        <v>0</v>
      </c>
      <c r="Y18" s="35">
        <v>0</v>
      </c>
      <c r="Z18" s="40">
        <f t="shared" si="8"/>
        <v>0</v>
      </c>
      <c r="AA18" s="39" t="e">
        <f t="shared" si="9"/>
        <v>#REF!</v>
      </c>
      <c r="AB18" s="1" t="e">
        <f t="shared" si="10"/>
        <v>#REF!</v>
      </c>
      <c r="AC18" s="33" t="e">
        <f>'Daily CEM-1'!#REF!</f>
        <v>#REF!</v>
      </c>
      <c r="AD18" s="9" t="e">
        <f t="shared" si="11"/>
        <v>#REF!</v>
      </c>
      <c r="AE18" s="27"/>
      <c r="AF18" s="14" t="e">
        <f>E18+Q18+Clinker!EK18+AC18</f>
        <v>#REF!</v>
      </c>
      <c r="AG18" s="1"/>
      <c r="AH18" s="52">
        <f t="shared" si="4"/>
        <v>372.84999999999991</v>
      </c>
      <c r="AI18" s="52"/>
    </row>
    <row r="19" spans="2:35" x14ac:dyDescent="0.25">
      <c r="B19" s="4">
        <v>17</v>
      </c>
      <c r="C19" s="39">
        <f t="shared" si="5"/>
        <v>7523.4400632742791</v>
      </c>
      <c r="D19" s="1">
        <v>0</v>
      </c>
      <c r="E19" s="34">
        <f>'Daily CEM-1'!AI20+'Daily  CEM - 2'!AH20</f>
        <v>44.5</v>
      </c>
      <c r="F19" s="9">
        <f>C19+D19-E19</f>
        <v>7478.9400632742791</v>
      </c>
      <c r="G19" s="39">
        <f t="shared" si="6"/>
        <v>0.23999999999796273</v>
      </c>
      <c r="H19" s="1">
        <v>0</v>
      </c>
      <c r="I19" s="33">
        <f>'Daily CEM-1'!AK20</f>
        <v>0</v>
      </c>
      <c r="J19" s="9">
        <f t="shared" si="1"/>
        <v>0.23999999999796273</v>
      </c>
      <c r="K19" s="39">
        <f t="shared" si="7"/>
        <v>0</v>
      </c>
      <c r="L19" s="1">
        <v>0</v>
      </c>
      <c r="M19" s="33">
        <f>'Daily CEM-1'!AJ20</f>
        <v>0</v>
      </c>
      <c r="N19" s="9">
        <f t="shared" si="2"/>
        <v>0</v>
      </c>
      <c r="O19" s="201"/>
      <c r="P19" s="1">
        <v>0</v>
      </c>
      <c r="Q19" s="35">
        <f>'Daily CEM-1'!AH20+'Daily  CEM - 2'!AG20</f>
        <v>160.49999980800001</v>
      </c>
      <c r="R19" s="202"/>
      <c r="S19" s="47">
        <f t="shared" si="12"/>
        <v>0</v>
      </c>
      <c r="T19" s="1">
        <v>0</v>
      </c>
      <c r="U19" s="35">
        <v>0</v>
      </c>
      <c r="V19" s="40">
        <f t="shared" si="3"/>
        <v>0</v>
      </c>
      <c r="W19" s="47">
        <f t="shared" si="13"/>
        <v>0</v>
      </c>
      <c r="X19" s="1">
        <v>0</v>
      </c>
      <c r="Y19" s="35">
        <v>0</v>
      </c>
      <c r="Z19" s="40">
        <f t="shared" si="8"/>
        <v>0</v>
      </c>
      <c r="AA19" s="39" t="e">
        <f t="shared" si="9"/>
        <v>#REF!</v>
      </c>
      <c r="AB19" s="1" t="e">
        <f t="shared" si="10"/>
        <v>#REF!</v>
      </c>
      <c r="AC19" s="33" t="e">
        <f>'Daily CEM-1'!#REF!</f>
        <v>#REF!</v>
      </c>
      <c r="AD19" s="9">
        <v>0</v>
      </c>
      <c r="AE19" s="27"/>
      <c r="AF19" s="14" t="e">
        <f>E19+Q19+Clinker!EK19+AC19</f>
        <v>#REF!</v>
      </c>
      <c r="AG19" s="1"/>
      <c r="AH19" s="52">
        <f t="shared" si="4"/>
        <v>160.49999980800001</v>
      </c>
      <c r="AI19" s="52"/>
    </row>
    <row r="20" spans="2:35" x14ac:dyDescent="0.25">
      <c r="B20" s="4">
        <v>18</v>
      </c>
      <c r="C20" s="39">
        <f t="shared" si="5"/>
        <v>7478.9400632742791</v>
      </c>
      <c r="D20" s="1">
        <v>93.02</v>
      </c>
      <c r="E20" s="34">
        <f>'Daily CEM-1'!AI21+'Daily  CEM - 2'!AH21</f>
        <v>89.749999676000002</v>
      </c>
      <c r="F20" s="9">
        <f t="shared" si="0"/>
        <v>7482.2100635982797</v>
      </c>
      <c r="G20" s="39">
        <f t="shared" si="6"/>
        <v>0.23999999999796273</v>
      </c>
      <c r="H20" s="1">
        <v>0</v>
      </c>
      <c r="I20" s="33">
        <f>'Daily CEM-1'!AK21</f>
        <v>0</v>
      </c>
      <c r="J20" s="9">
        <f t="shared" si="1"/>
        <v>0.23999999999796273</v>
      </c>
      <c r="K20" s="39">
        <f t="shared" si="7"/>
        <v>0</v>
      </c>
      <c r="L20" s="1">
        <v>0</v>
      </c>
      <c r="M20" s="33">
        <f>'Daily CEM-1'!AJ21</f>
        <v>0</v>
      </c>
      <c r="N20" s="9">
        <f t="shared" si="2"/>
        <v>0</v>
      </c>
      <c r="O20" s="201"/>
      <c r="P20" s="1">
        <v>0</v>
      </c>
      <c r="Q20" s="35">
        <f>'Daily CEM-1'!AH21+'Daily  CEM - 2'!AG21</f>
        <v>390.99999998970003</v>
      </c>
      <c r="R20" s="202"/>
      <c r="S20" s="47">
        <f t="shared" si="12"/>
        <v>0</v>
      </c>
      <c r="T20" s="1">
        <v>0</v>
      </c>
      <c r="U20" s="35">
        <v>0</v>
      </c>
      <c r="V20" s="40">
        <f t="shared" si="3"/>
        <v>0</v>
      </c>
      <c r="W20" s="47">
        <f t="shared" si="13"/>
        <v>0</v>
      </c>
      <c r="X20" s="1">
        <v>0</v>
      </c>
      <c r="Y20" s="35">
        <v>0</v>
      </c>
      <c r="Z20" s="40">
        <f t="shared" si="8"/>
        <v>0</v>
      </c>
      <c r="AA20" s="39">
        <f t="shared" si="9"/>
        <v>0</v>
      </c>
      <c r="AB20" s="1" t="e">
        <f t="shared" si="10"/>
        <v>#REF!</v>
      </c>
      <c r="AC20" s="33" t="e">
        <f>'Daily CEM-1'!#REF!</f>
        <v>#REF!</v>
      </c>
      <c r="AD20" s="9" t="e">
        <f t="shared" si="11"/>
        <v>#REF!</v>
      </c>
      <c r="AE20" s="27"/>
      <c r="AF20" s="14" t="e">
        <f>E20+Q20+Clinker!EK20+AC20</f>
        <v>#REF!</v>
      </c>
      <c r="AG20" s="1"/>
      <c r="AH20" s="52">
        <f t="shared" si="4"/>
        <v>390.99999998970003</v>
      </c>
      <c r="AI20" s="52"/>
    </row>
    <row r="21" spans="2:35" x14ac:dyDescent="0.25">
      <c r="B21" s="4">
        <v>19</v>
      </c>
      <c r="C21" s="39">
        <f t="shared" si="5"/>
        <v>7482.2100635982797</v>
      </c>
      <c r="D21" s="1">
        <v>0</v>
      </c>
      <c r="E21" s="34">
        <f>'Daily CEM-1'!AI22+'Daily  CEM - 2'!AH22</f>
        <v>44.5</v>
      </c>
      <c r="F21" s="9">
        <f t="shared" si="0"/>
        <v>7437.7100635982797</v>
      </c>
      <c r="G21" s="39">
        <f t="shared" si="6"/>
        <v>0.23999999999796273</v>
      </c>
      <c r="H21" s="1">
        <v>0</v>
      </c>
      <c r="I21" s="33">
        <f>'Daily CEM-1'!AK22</f>
        <v>0</v>
      </c>
      <c r="J21" s="9">
        <f t="shared" si="1"/>
        <v>0.23999999999796273</v>
      </c>
      <c r="K21" s="39">
        <f t="shared" si="7"/>
        <v>0</v>
      </c>
      <c r="L21" s="1">
        <v>0</v>
      </c>
      <c r="M21" s="33">
        <f>'Daily CEM-1'!AJ22</f>
        <v>0</v>
      </c>
      <c r="N21" s="9">
        <f t="shared" si="2"/>
        <v>0</v>
      </c>
      <c r="O21" s="201"/>
      <c r="P21" s="1">
        <v>0</v>
      </c>
      <c r="Q21" s="35">
        <f>'Daily CEM-1'!AH22+'Daily  CEM - 2'!AG22</f>
        <v>151.3000000000001</v>
      </c>
      <c r="R21" s="202"/>
      <c r="S21" s="47">
        <f t="shared" si="12"/>
        <v>0</v>
      </c>
      <c r="T21" s="1">
        <v>0</v>
      </c>
      <c r="U21" s="35">
        <v>0</v>
      </c>
      <c r="V21" s="40">
        <f t="shared" si="3"/>
        <v>0</v>
      </c>
      <c r="W21" s="47">
        <f t="shared" si="13"/>
        <v>0</v>
      </c>
      <c r="X21" s="1">
        <v>0</v>
      </c>
      <c r="Y21" s="35">
        <v>0</v>
      </c>
      <c r="Z21" s="184">
        <f t="shared" si="8"/>
        <v>0</v>
      </c>
      <c r="AA21" s="39" t="e">
        <f t="shared" si="9"/>
        <v>#REF!</v>
      </c>
      <c r="AB21" s="1" t="e">
        <f t="shared" si="10"/>
        <v>#REF!</v>
      </c>
      <c r="AC21" s="33" t="e">
        <f>'Daily CEM-1'!#REF!</f>
        <v>#REF!</v>
      </c>
      <c r="AD21" s="9" t="e">
        <f t="shared" si="11"/>
        <v>#REF!</v>
      </c>
      <c r="AE21" s="27"/>
      <c r="AF21" s="14" t="e">
        <f>E21+Q21+Clinker!EK21+AC21</f>
        <v>#REF!</v>
      </c>
      <c r="AG21" s="1"/>
      <c r="AH21" s="52">
        <f t="shared" si="4"/>
        <v>151.3000000000001</v>
      </c>
      <c r="AI21" s="52"/>
    </row>
    <row r="22" spans="2:35" x14ac:dyDescent="0.25">
      <c r="B22" s="4">
        <v>20</v>
      </c>
      <c r="C22" s="39">
        <f t="shared" si="5"/>
        <v>7437.7100635982797</v>
      </c>
      <c r="D22" s="1">
        <v>120.68</v>
      </c>
      <c r="E22" s="34">
        <f>'Daily CEM-1'!AI23+'Daily  CEM - 2'!AH23</f>
        <v>42</v>
      </c>
      <c r="F22" s="9">
        <f t="shared" si="0"/>
        <v>7516.39006359828</v>
      </c>
      <c r="G22" s="39">
        <f t="shared" si="6"/>
        <v>0.23999999999796273</v>
      </c>
      <c r="H22" s="1">
        <v>0</v>
      </c>
      <c r="I22" s="33">
        <f>'Daily CEM-1'!AK23</f>
        <v>0</v>
      </c>
      <c r="J22" s="9">
        <f t="shared" si="1"/>
        <v>0.23999999999796273</v>
      </c>
      <c r="K22" s="39">
        <f t="shared" si="7"/>
        <v>0</v>
      </c>
      <c r="L22" s="1">
        <v>0</v>
      </c>
      <c r="M22" s="33">
        <f>'Daily CEM-1'!AJ23</f>
        <v>0</v>
      </c>
      <c r="N22" s="9">
        <f t="shared" si="2"/>
        <v>0</v>
      </c>
      <c r="O22" s="201"/>
      <c r="P22" s="1">
        <v>0</v>
      </c>
      <c r="Q22" s="35">
        <f>'Daily CEM-1'!AH23+'Daily  CEM - 2'!AG23</f>
        <v>175.30999999999977</v>
      </c>
      <c r="R22" s="202"/>
      <c r="S22" s="47">
        <f t="shared" si="12"/>
        <v>0</v>
      </c>
      <c r="T22" s="1">
        <v>0</v>
      </c>
      <c r="U22" s="35">
        <v>0</v>
      </c>
      <c r="V22" s="40">
        <f t="shared" si="3"/>
        <v>0</v>
      </c>
      <c r="W22" s="47">
        <f t="shared" si="13"/>
        <v>0</v>
      </c>
      <c r="X22" s="1">
        <v>0</v>
      </c>
      <c r="Y22" s="35">
        <v>0</v>
      </c>
      <c r="Z22" s="40">
        <f>W22+X22-Y22</f>
        <v>0</v>
      </c>
      <c r="AA22" s="39" t="e">
        <f t="shared" si="9"/>
        <v>#REF!</v>
      </c>
      <c r="AB22" s="1" t="e">
        <f t="shared" si="10"/>
        <v>#REF!</v>
      </c>
      <c r="AC22" s="33" t="e">
        <f>'Daily CEM-1'!#REF!</f>
        <v>#REF!</v>
      </c>
      <c r="AD22" s="9" t="e">
        <f t="shared" si="11"/>
        <v>#REF!</v>
      </c>
      <c r="AE22" s="27"/>
      <c r="AF22" s="14" t="e">
        <f>E22+Q22+Clinker!EK22+AC22</f>
        <v>#REF!</v>
      </c>
      <c r="AG22" s="1"/>
      <c r="AH22" s="52">
        <f t="shared" si="4"/>
        <v>175.30999999999977</v>
      </c>
      <c r="AI22" s="52"/>
    </row>
    <row r="23" spans="2:35" x14ac:dyDescent="0.25">
      <c r="B23" s="4">
        <v>21</v>
      </c>
      <c r="C23" s="39">
        <f t="shared" si="5"/>
        <v>7516.39006359828</v>
      </c>
      <c r="D23" s="1">
        <v>22.96</v>
      </c>
      <c r="E23" s="34">
        <f>'Daily CEM-1'!AI24+'Daily  CEM - 2'!AH24</f>
        <v>49.75</v>
      </c>
      <c r="F23" s="9">
        <f t="shared" si="0"/>
        <v>7489.60006359828</v>
      </c>
      <c r="G23" s="39">
        <f t="shared" si="6"/>
        <v>0.23999999999796273</v>
      </c>
      <c r="H23" s="1">
        <v>0</v>
      </c>
      <c r="I23" s="33">
        <f>'Daily CEM-1'!AK24</f>
        <v>0</v>
      </c>
      <c r="J23" s="9">
        <f t="shared" si="1"/>
        <v>0.23999999999796273</v>
      </c>
      <c r="K23" s="39">
        <f t="shared" si="7"/>
        <v>0</v>
      </c>
      <c r="L23" s="1">
        <v>0</v>
      </c>
      <c r="M23" s="33">
        <f>'Daily CEM-1'!AJ24</f>
        <v>0</v>
      </c>
      <c r="N23" s="9">
        <f t="shared" si="2"/>
        <v>0</v>
      </c>
      <c r="O23" s="201"/>
      <c r="P23" s="1">
        <v>0</v>
      </c>
      <c r="Q23" s="35">
        <f>'Daily CEM-1'!AH24+'Daily  CEM - 2'!AG24</f>
        <v>216.64999999999941</v>
      </c>
      <c r="R23" s="202"/>
      <c r="S23" s="47">
        <f t="shared" si="12"/>
        <v>0</v>
      </c>
      <c r="T23" s="1">
        <v>0</v>
      </c>
      <c r="U23" s="35">
        <v>0</v>
      </c>
      <c r="V23" s="40">
        <f t="shared" si="3"/>
        <v>0</v>
      </c>
      <c r="W23" s="47">
        <f t="shared" si="13"/>
        <v>0</v>
      </c>
      <c r="X23" s="1">
        <v>0</v>
      </c>
      <c r="Y23" s="35">
        <v>0</v>
      </c>
      <c r="Z23" s="40">
        <f t="shared" si="8"/>
        <v>0</v>
      </c>
      <c r="AA23" s="39" t="e">
        <f t="shared" si="9"/>
        <v>#REF!</v>
      </c>
      <c r="AB23" s="1" t="e">
        <f t="shared" si="10"/>
        <v>#REF!</v>
      </c>
      <c r="AC23" s="33" t="e">
        <f>'Daily CEM-1'!#REF!</f>
        <v>#REF!</v>
      </c>
      <c r="AD23" s="9" t="e">
        <f t="shared" si="11"/>
        <v>#REF!</v>
      </c>
      <c r="AE23" s="27"/>
      <c r="AF23" s="14" t="e">
        <f>E23+Q23+Clinker!EK23+AC23</f>
        <v>#REF!</v>
      </c>
      <c r="AG23" s="1"/>
      <c r="AH23" s="52">
        <f t="shared" si="4"/>
        <v>216.64999999999941</v>
      </c>
      <c r="AI23" s="52"/>
    </row>
    <row r="24" spans="2:35" x14ac:dyDescent="0.25">
      <c r="B24" s="4">
        <v>22</v>
      </c>
      <c r="C24" s="39">
        <f t="shared" si="5"/>
        <v>7489.60006359828</v>
      </c>
      <c r="D24" s="1">
        <v>0</v>
      </c>
      <c r="E24" s="34">
        <f>'Daily CEM-1'!AI25+'Daily  CEM - 2'!AH25</f>
        <v>10.5</v>
      </c>
      <c r="F24" s="9">
        <f t="shared" si="0"/>
        <v>7479.10006359828</v>
      </c>
      <c r="G24" s="39">
        <f t="shared" si="6"/>
        <v>0.23999999999796273</v>
      </c>
      <c r="H24" s="1">
        <v>0</v>
      </c>
      <c r="I24" s="33">
        <f>'Daily CEM-1'!AK25</f>
        <v>0</v>
      </c>
      <c r="J24" s="9">
        <f t="shared" si="1"/>
        <v>0.23999999999796273</v>
      </c>
      <c r="K24" s="39">
        <f t="shared" si="7"/>
        <v>0</v>
      </c>
      <c r="L24" s="1">
        <v>0</v>
      </c>
      <c r="M24" s="33">
        <f>'Daily CEM-1'!AJ25</f>
        <v>0</v>
      </c>
      <c r="N24" s="9">
        <f t="shared" si="2"/>
        <v>0</v>
      </c>
      <c r="O24" s="201"/>
      <c r="P24" s="1">
        <v>0</v>
      </c>
      <c r="Q24" s="35">
        <f>'Daily CEM-1'!AH25+'Daily  CEM - 2'!AG25</f>
        <v>37.800000000000004</v>
      </c>
      <c r="R24" s="202"/>
      <c r="S24" s="47">
        <f t="shared" si="12"/>
        <v>0</v>
      </c>
      <c r="T24" s="1">
        <v>0</v>
      </c>
      <c r="U24" s="35">
        <v>0</v>
      </c>
      <c r="V24" s="40">
        <f t="shared" si="3"/>
        <v>0</v>
      </c>
      <c r="W24" s="47">
        <f t="shared" si="13"/>
        <v>0</v>
      </c>
      <c r="X24" s="1">
        <v>0</v>
      </c>
      <c r="Y24" s="35">
        <v>0</v>
      </c>
      <c r="Z24" s="40">
        <f t="shared" si="8"/>
        <v>0</v>
      </c>
      <c r="AA24" s="39" t="e">
        <f t="shared" si="9"/>
        <v>#REF!</v>
      </c>
      <c r="AB24" s="1" t="e">
        <f t="shared" si="10"/>
        <v>#REF!</v>
      </c>
      <c r="AC24" s="33" t="e">
        <f>'Daily CEM-1'!#REF!</f>
        <v>#REF!</v>
      </c>
      <c r="AD24" s="9" t="e">
        <f t="shared" si="11"/>
        <v>#REF!</v>
      </c>
      <c r="AE24" s="27"/>
      <c r="AF24" s="14" t="e">
        <f>E24+Q24+Clinker!EK24+AC24</f>
        <v>#REF!</v>
      </c>
      <c r="AG24" s="1"/>
      <c r="AH24" s="52">
        <f t="shared" si="4"/>
        <v>37.800000000000004</v>
      </c>
      <c r="AI24" s="52"/>
    </row>
    <row r="25" spans="2:35" x14ac:dyDescent="0.25">
      <c r="B25" s="4">
        <v>23</v>
      </c>
      <c r="C25" s="39">
        <f t="shared" si="5"/>
        <v>7479.10006359828</v>
      </c>
      <c r="D25" s="1">
        <v>0</v>
      </c>
      <c r="E25" s="34">
        <f>'Daily CEM-1'!AI26+'Daily  CEM - 2'!AH26</f>
        <v>10.600000000000001</v>
      </c>
      <c r="F25" s="9">
        <f t="shared" si="0"/>
        <v>7468.5000635982797</v>
      </c>
      <c r="G25" s="39">
        <f t="shared" si="6"/>
        <v>0.23999999999796273</v>
      </c>
      <c r="H25" s="1">
        <v>0</v>
      </c>
      <c r="I25" s="33">
        <f>'Daily CEM-1'!AK26</f>
        <v>0</v>
      </c>
      <c r="J25" s="9">
        <f t="shared" si="1"/>
        <v>0.23999999999796273</v>
      </c>
      <c r="K25" s="39">
        <f t="shared" si="7"/>
        <v>0</v>
      </c>
      <c r="L25" s="1">
        <v>0</v>
      </c>
      <c r="M25" s="33">
        <f>'Daily CEM-1'!AJ26</f>
        <v>0</v>
      </c>
      <c r="N25" s="9">
        <f t="shared" si="2"/>
        <v>0</v>
      </c>
      <c r="O25" s="201"/>
      <c r="P25" s="1">
        <v>0</v>
      </c>
      <c r="Q25" s="35">
        <f>'Daily CEM-1'!AH26+'Daily  CEM - 2'!AG26</f>
        <v>38.579999984021221</v>
      </c>
      <c r="R25" s="202"/>
      <c r="S25" s="47">
        <f t="shared" si="12"/>
        <v>0</v>
      </c>
      <c r="T25" s="1">
        <v>0</v>
      </c>
      <c r="U25" s="35">
        <v>0</v>
      </c>
      <c r="V25" s="40">
        <f t="shared" si="3"/>
        <v>0</v>
      </c>
      <c r="W25" s="47">
        <f t="shared" si="13"/>
        <v>0</v>
      </c>
      <c r="X25" s="1">
        <v>0</v>
      </c>
      <c r="Y25" s="35">
        <v>0</v>
      </c>
      <c r="Z25" s="40">
        <f t="shared" si="8"/>
        <v>0</v>
      </c>
      <c r="AA25" s="39" t="e">
        <f t="shared" si="9"/>
        <v>#REF!</v>
      </c>
      <c r="AB25" s="1" t="e">
        <f t="shared" si="10"/>
        <v>#REF!</v>
      </c>
      <c r="AC25" s="33" t="e">
        <f>'Daily CEM-1'!#REF!</f>
        <v>#REF!</v>
      </c>
      <c r="AD25" s="9" t="e">
        <f t="shared" si="11"/>
        <v>#REF!</v>
      </c>
      <c r="AE25" s="27"/>
      <c r="AF25" s="14" t="e">
        <f>E25+Q25+Clinker!EK25+AC25</f>
        <v>#REF!</v>
      </c>
      <c r="AG25" s="1"/>
      <c r="AH25" s="52">
        <f t="shared" si="4"/>
        <v>38.579999984021221</v>
      </c>
      <c r="AI25" s="52"/>
    </row>
    <row r="26" spans="2:35" x14ac:dyDescent="0.25">
      <c r="B26" s="4">
        <v>24</v>
      </c>
      <c r="C26" s="39">
        <f t="shared" si="5"/>
        <v>7468.5000635982797</v>
      </c>
      <c r="D26" s="1">
        <v>30.84</v>
      </c>
      <c r="E26" s="34">
        <f>'Daily CEM-1'!AI27+'Daily  CEM - 2'!AH27</f>
        <v>44</v>
      </c>
      <c r="F26" s="9">
        <f t="shared" si="0"/>
        <v>7455.3400635982798</v>
      </c>
      <c r="G26" s="39">
        <f t="shared" si="6"/>
        <v>0.23999999999796273</v>
      </c>
      <c r="H26" s="1">
        <v>0</v>
      </c>
      <c r="I26" s="33">
        <f>'Daily CEM-1'!AK27</f>
        <v>0</v>
      </c>
      <c r="J26" s="9">
        <f t="shared" si="1"/>
        <v>0.23999999999796273</v>
      </c>
      <c r="K26" s="39">
        <f t="shared" si="7"/>
        <v>0</v>
      </c>
      <c r="L26" s="1">
        <v>0</v>
      </c>
      <c r="M26" s="33">
        <f>'Daily CEM-1'!AJ27</f>
        <v>0</v>
      </c>
      <c r="N26" s="9">
        <f t="shared" si="2"/>
        <v>0</v>
      </c>
      <c r="O26" s="201"/>
      <c r="P26" s="1">
        <v>0</v>
      </c>
      <c r="Q26" s="35">
        <f>'Daily CEM-1'!AH27+'Daily  CEM - 2'!AG27</f>
        <v>158.4</v>
      </c>
      <c r="R26" s="202"/>
      <c r="S26" s="47">
        <f t="shared" si="12"/>
        <v>0</v>
      </c>
      <c r="T26" s="1">
        <v>0</v>
      </c>
      <c r="U26" s="35">
        <v>0</v>
      </c>
      <c r="V26" s="40">
        <f t="shared" si="3"/>
        <v>0</v>
      </c>
      <c r="W26" s="47">
        <f t="shared" si="13"/>
        <v>0</v>
      </c>
      <c r="X26" s="1">
        <v>0</v>
      </c>
      <c r="Y26" s="35">
        <v>0</v>
      </c>
      <c r="Z26" s="40">
        <f t="shared" si="8"/>
        <v>0</v>
      </c>
      <c r="AA26" s="39" t="e">
        <f t="shared" si="9"/>
        <v>#REF!</v>
      </c>
      <c r="AB26" s="1" t="e">
        <f t="shared" si="10"/>
        <v>#REF!</v>
      </c>
      <c r="AC26" s="33" t="e">
        <f>'Daily CEM-1'!#REF!</f>
        <v>#REF!</v>
      </c>
      <c r="AD26" s="9" t="e">
        <f t="shared" si="11"/>
        <v>#REF!</v>
      </c>
      <c r="AE26" s="27"/>
      <c r="AF26" s="14" t="e">
        <f>E26+Q26+Clinker!EK26+AC26</f>
        <v>#REF!</v>
      </c>
      <c r="AG26" s="1"/>
      <c r="AH26" s="52">
        <f t="shared" si="4"/>
        <v>158.4</v>
      </c>
      <c r="AI26" s="52"/>
    </row>
    <row r="27" spans="2:35" x14ac:dyDescent="0.25">
      <c r="B27" s="4">
        <v>25</v>
      </c>
      <c r="C27" s="39">
        <f t="shared" si="5"/>
        <v>7455.3400635982798</v>
      </c>
      <c r="D27" s="1">
        <v>0</v>
      </c>
      <c r="E27" s="34">
        <f>'Daily CEM-1'!AI28+'Daily  CEM - 2'!AH28</f>
        <v>64.650000000000006</v>
      </c>
      <c r="F27" s="9">
        <f t="shared" si="0"/>
        <v>7390.6900635982802</v>
      </c>
      <c r="G27" s="39">
        <f t="shared" si="6"/>
        <v>0.23999999999796273</v>
      </c>
      <c r="H27" s="1">
        <v>0</v>
      </c>
      <c r="I27" s="33">
        <f>'Daily CEM-1'!AK28</f>
        <v>0</v>
      </c>
      <c r="J27" s="9">
        <f>G27+H27-I27</f>
        <v>0.23999999999796273</v>
      </c>
      <c r="K27" s="39">
        <f t="shared" si="7"/>
        <v>0</v>
      </c>
      <c r="L27" s="1">
        <v>0</v>
      </c>
      <c r="M27" s="33">
        <f>'Daily CEM-1'!AJ28</f>
        <v>0</v>
      </c>
      <c r="N27" s="9">
        <f t="shared" si="2"/>
        <v>0</v>
      </c>
      <c r="O27" s="201"/>
      <c r="P27" s="1">
        <v>0</v>
      </c>
      <c r="Q27" s="35">
        <f>'Daily CEM-1'!AH28+'Daily  CEM - 2'!AG28</f>
        <v>232.99999967250002</v>
      </c>
      <c r="R27" s="202"/>
      <c r="S27" s="47">
        <f t="shared" si="12"/>
        <v>0</v>
      </c>
      <c r="T27" s="1">
        <v>0</v>
      </c>
      <c r="U27" s="35">
        <v>0</v>
      </c>
      <c r="V27" s="40">
        <f t="shared" si="3"/>
        <v>0</v>
      </c>
      <c r="W27" s="47">
        <f t="shared" si="13"/>
        <v>0</v>
      </c>
      <c r="X27" s="1">
        <v>0</v>
      </c>
      <c r="Y27" s="35">
        <v>0</v>
      </c>
      <c r="Z27" s="40">
        <f t="shared" si="8"/>
        <v>0</v>
      </c>
      <c r="AA27" s="39" t="e">
        <f t="shared" si="9"/>
        <v>#REF!</v>
      </c>
      <c r="AB27" s="1" t="e">
        <f t="shared" si="10"/>
        <v>#REF!</v>
      </c>
      <c r="AC27" s="33" t="e">
        <f>'Daily CEM-1'!#REF!</f>
        <v>#REF!</v>
      </c>
      <c r="AD27" s="9" t="e">
        <f t="shared" si="11"/>
        <v>#REF!</v>
      </c>
      <c r="AE27" s="27"/>
      <c r="AF27" s="14" t="e">
        <f>E27+Q27+Clinker!EK27+AC27</f>
        <v>#REF!</v>
      </c>
      <c r="AG27" s="1"/>
      <c r="AH27" s="52">
        <f t="shared" si="4"/>
        <v>232.99999967250002</v>
      </c>
      <c r="AI27" s="52"/>
    </row>
    <row r="28" spans="2:35" x14ac:dyDescent="0.25">
      <c r="B28" s="4">
        <v>26</v>
      </c>
      <c r="C28" s="39">
        <f t="shared" ref="C28:C33" si="14">F27</f>
        <v>7390.6900635982802</v>
      </c>
      <c r="D28" s="1">
        <v>0</v>
      </c>
      <c r="E28" s="34">
        <f>'Daily CEM-1'!AI29+'Daily  CEM - 2'!AH29</f>
        <v>102.5</v>
      </c>
      <c r="F28" s="9">
        <f t="shared" ref="F28:F33" si="15">C28+D28-E28</f>
        <v>7288.1900635982802</v>
      </c>
      <c r="G28" s="39">
        <f t="shared" ref="G28:G33" si="16">J27</f>
        <v>0.23999999999796273</v>
      </c>
      <c r="H28" s="1">
        <v>0</v>
      </c>
      <c r="I28" s="33">
        <f>'Daily CEM-1'!AK29</f>
        <v>0</v>
      </c>
      <c r="J28" s="9">
        <f t="shared" ref="J28:J33" si="17">G28+H28-I28</f>
        <v>0.23999999999796273</v>
      </c>
      <c r="K28" s="39">
        <f t="shared" si="7"/>
        <v>0</v>
      </c>
      <c r="L28" s="1">
        <v>0</v>
      </c>
      <c r="M28" s="33">
        <f>'Daily CEM-1'!AJ29</f>
        <v>0</v>
      </c>
      <c r="N28" s="9">
        <f t="shared" si="2"/>
        <v>0</v>
      </c>
      <c r="O28" s="201"/>
      <c r="P28" s="1">
        <v>0</v>
      </c>
      <c r="Q28" s="34">
        <f>'Daily CEM-1'!AH29+'Daily  CEM - 2'!AG29</f>
        <v>358.74999999999909</v>
      </c>
      <c r="R28" s="202"/>
      <c r="S28" s="47">
        <f t="shared" si="12"/>
        <v>0</v>
      </c>
      <c r="T28" s="1">
        <v>0</v>
      </c>
      <c r="U28" s="35">
        <v>0</v>
      </c>
      <c r="V28" s="40">
        <f t="shared" si="3"/>
        <v>0</v>
      </c>
      <c r="W28" s="47">
        <f t="shared" si="13"/>
        <v>0</v>
      </c>
      <c r="X28" s="1">
        <v>0</v>
      </c>
      <c r="Y28" s="35">
        <v>0</v>
      </c>
      <c r="Z28" s="40">
        <f t="shared" si="8"/>
        <v>0</v>
      </c>
      <c r="AA28" s="39" t="e">
        <f t="shared" si="9"/>
        <v>#REF!</v>
      </c>
      <c r="AB28" s="1" t="e">
        <f t="shared" si="10"/>
        <v>#REF!</v>
      </c>
      <c r="AC28" s="33" t="e">
        <f>'Daily CEM-1'!#REF!</f>
        <v>#REF!</v>
      </c>
      <c r="AD28" s="9" t="e">
        <f t="shared" si="11"/>
        <v>#REF!</v>
      </c>
      <c r="AE28" s="27"/>
      <c r="AF28" s="14" t="e">
        <f>E28+Q28+Clinker!EK28+AC28</f>
        <v>#REF!</v>
      </c>
      <c r="AG28" s="1"/>
      <c r="AH28" s="52">
        <f t="shared" si="4"/>
        <v>358.74999999999909</v>
      </c>
      <c r="AI28" s="52"/>
    </row>
    <row r="29" spans="2:35" x14ac:dyDescent="0.25">
      <c r="B29" s="4">
        <v>27</v>
      </c>
      <c r="C29" s="39">
        <f t="shared" si="14"/>
        <v>7288.1900635982802</v>
      </c>
      <c r="D29" s="1">
        <v>30.88</v>
      </c>
      <c r="E29" s="34">
        <f>'Daily CEM-1'!AI30+'Daily  CEM - 2'!AH30</f>
        <v>84</v>
      </c>
      <c r="F29" s="9">
        <f t="shared" si="15"/>
        <v>7235.0700635982803</v>
      </c>
      <c r="G29" s="39">
        <f t="shared" si="16"/>
        <v>0.23999999999796273</v>
      </c>
      <c r="H29" s="1">
        <v>0</v>
      </c>
      <c r="I29" s="33">
        <f>'Daily CEM-1'!AK30</f>
        <v>0</v>
      </c>
      <c r="J29" s="9">
        <f t="shared" si="17"/>
        <v>0.23999999999796273</v>
      </c>
      <c r="K29" s="39">
        <f t="shared" si="7"/>
        <v>0</v>
      </c>
      <c r="L29" s="1">
        <v>0</v>
      </c>
      <c r="M29" s="33">
        <f>'Daily CEM-1'!AJ30</f>
        <v>0</v>
      </c>
      <c r="N29" s="9">
        <f t="shared" si="2"/>
        <v>0</v>
      </c>
      <c r="O29" s="201"/>
      <c r="P29" s="1">
        <v>0</v>
      </c>
      <c r="Q29" s="35">
        <f>'Daily CEM-1'!AH30+'Daily  CEM - 2'!AG30</f>
        <v>302.54999999999984</v>
      </c>
      <c r="R29" s="202"/>
      <c r="S29" s="47">
        <f t="shared" si="12"/>
        <v>0</v>
      </c>
      <c r="T29" s="1">
        <v>0</v>
      </c>
      <c r="U29" s="35">
        <v>0</v>
      </c>
      <c r="V29" s="40">
        <f t="shared" si="3"/>
        <v>0</v>
      </c>
      <c r="W29" s="47">
        <f t="shared" si="13"/>
        <v>0</v>
      </c>
      <c r="X29" s="1">
        <v>0</v>
      </c>
      <c r="Y29" s="35">
        <v>0</v>
      </c>
      <c r="Z29" s="40">
        <f t="shared" si="8"/>
        <v>0</v>
      </c>
      <c r="AA29" s="39" t="e">
        <f t="shared" si="9"/>
        <v>#REF!</v>
      </c>
      <c r="AB29" s="1" t="e">
        <f t="shared" si="10"/>
        <v>#REF!</v>
      </c>
      <c r="AC29" s="33" t="e">
        <f>'Daily CEM-1'!#REF!</f>
        <v>#REF!</v>
      </c>
      <c r="AD29" s="9" t="e">
        <f t="shared" si="11"/>
        <v>#REF!</v>
      </c>
      <c r="AE29" s="27"/>
      <c r="AF29" s="14" t="e">
        <f>E29+Q29+Clinker!EK29+AC29</f>
        <v>#REF!</v>
      </c>
      <c r="AG29" s="1"/>
      <c r="AH29" s="52">
        <f t="shared" si="4"/>
        <v>302.54999999999984</v>
      </c>
    </row>
    <row r="30" spans="2:35" x14ac:dyDescent="0.25">
      <c r="B30" s="4">
        <v>28</v>
      </c>
      <c r="C30" s="39">
        <f t="shared" si="14"/>
        <v>7235.0700635982803</v>
      </c>
      <c r="D30" s="1">
        <v>29.76</v>
      </c>
      <c r="E30" s="34">
        <f>'Daily CEM-1'!AI31+'Daily  CEM - 2'!AH31</f>
        <v>43.25</v>
      </c>
      <c r="F30" s="9">
        <f t="shared" si="15"/>
        <v>7221.5800635982805</v>
      </c>
      <c r="G30" s="39">
        <f t="shared" si="16"/>
        <v>0.23999999999796273</v>
      </c>
      <c r="H30" s="1">
        <v>0</v>
      </c>
      <c r="I30" s="33">
        <f>'Daily CEM-1'!AK31</f>
        <v>0</v>
      </c>
      <c r="J30" s="9">
        <f t="shared" si="17"/>
        <v>0.23999999999796273</v>
      </c>
      <c r="K30" s="39">
        <f t="shared" si="7"/>
        <v>0</v>
      </c>
      <c r="L30" s="1">
        <v>0</v>
      </c>
      <c r="M30" s="33">
        <f>'Daily CEM-1'!AJ31</f>
        <v>0</v>
      </c>
      <c r="N30" s="9">
        <f t="shared" si="2"/>
        <v>0</v>
      </c>
      <c r="O30" s="201"/>
      <c r="P30" s="1">
        <v>0</v>
      </c>
      <c r="Q30" s="34">
        <f>'Daily CEM-1'!AH31+'Daily  CEM - 2'!AG31</f>
        <v>164.6999998407</v>
      </c>
      <c r="R30" s="202"/>
      <c r="S30" s="47">
        <f t="shared" si="12"/>
        <v>0</v>
      </c>
      <c r="T30" s="1">
        <v>0</v>
      </c>
      <c r="U30" s="35">
        <v>0</v>
      </c>
      <c r="V30" s="40">
        <f t="shared" si="3"/>
        <v>0</v>
      </c>
      <c r="W30" s="47">
        <f t="shared" si="13"/>
        <v>0</v>
      </c>
      <c r="X30" s="1">
        <v>0</v>
      </c>
      <c r="Y30" s="35">
        <v>0</v>
      </c>
      <c r="Z30" s="40">
        <f t="shared" si="8"/>
        <v>0</v>
      </c>
      <c r="AA30" s="39" t="e">
        <f t="shared" si="9"/>
        <v>#REF!</v>
      </c>
      <c r="AB30" s="1" t="e">
        <f t="shared" si="10"/>
        <v>#REF!</v>
      </c>
      <c r="AC30" s="33" t="e">
        <f>'Daily CEM-1'!#REF!</f>
        <v>#REF!</v>
      </c>
      <c r="AD30" s="9" t="e">
        <f t="shared" si="11"/>
        <v>#REF!</v>
      </c>
      <c r="AE30" s="27"/>
      <c r="AF30" s="14" t="e">
        <f>E30+Q30+Clinker!EK30+AC30</f>
        <v>#REF!</v>
      </c>
      <c r="AG30" s="1"/>
      <c r="AH30" s="52">
        <f t="shared" si="4"/>
        <v>164.6999998407</v>
      </c>
    </row>
    <row r="31" spans="2:35" x14ac:dyDescent="0.25">
      <c r="B31" s="4">
        <v>29</v>
      </c>
      <c r="C31" s="39">
        <f t="shared" si="14"/>
        <v>7221.5800635982805</v>
      </c>
      <c r="D31" s="1">
        <v>0</v>
      </c>
      <c r="E31" s="34">
        <f>'Daily CEM-1'!AI32+'Daily  CEM - 2'!AH32</f>
        <v>72.5</v>
      </c>
      <c r="F31" s="9">
        <f t="shared" si="15"/>
        <v>7149.0800635982805</v>
      </c>
      <c r="G31" s="39">
        <f t="shared" si="16"/>
        <v>0.23999999999796273</v>
      </c>
      <c r="H31" s="1">
        <v>0</v>
      </c>
      <c r="I31" s="33">
        <f>'Daily CEM-1'!AK32</f>
        <v>0</v>
      </c>
      <c r="J31" s="9">
        <f t="shared" si="17"/>
        <v>0.23999999999796273</v>
      </c>
      <c r="K31" s="39">
        <f t="shared" si="7"/>
        <v>0</v>
      </c>
      <c r="L31" s="1">
        <v>0</v>
      </c>
      <c r="M31" s="33">
        <f>'Daily CEM-1'!AJ32</f>
        <v>0</v>
      </c>
      <c r="N31" s="9">
        <f t="shared" si="2"/>
        <v>0</v>
      </c>
      <c r="O31" s="201"/>
      <c r="P31" s="1">
        <v>0</v>
      </c>
      <c r="Q31" s="35">
        <f>'Daily CEM-1'!AH32+'Daily  CEM - 2'!AG32</f>
        <v>273.89999999999907</v>
      </c>
      <c r="R31" s="202"/>
      <c r="S31" s="47">
        <f t="shared" si="12"/>
        <v>0</v>
      </c>
      <c r="T31" s="1">
        <v>0</v>
      </c>
      <c r="U31" s="35">
        <v>0</v>
      </c>
      <c r="V31" s="40">
        <f t="shared" si="3"/>
        <v>0</v>
      </c>
      <c r="W31" s="47">
        <f t="shared" si="13"/>
        <v>0</v>
      </c>
      <c r="X31" s="1">
        <v>0</v>
      </c>
      <c r="Y31" s="35">
        <v>0</v>
      </c>
      <c r="Z31" s="40">
        <f t="shared" si="8"/>
        <v>0</v>
      </c>
      <c r="AA31" s="39" t="e">
        <f t="shared" si="9"/>
        <v>#REF!</v>
      </c>
      <c r="AB31" s="1" t="e">
        <f t="shared" si="10"/>
        <v>#REF!</v>
      </c>
      <c r="AC31" s="33" t="e">
        <f>'Daily CEM-1'!#REF!</f>
        <v>#REF!</v>
      </c>
      <c r="AD31" s="9" t="e">
        <f t="shared" si="11"/>
        <v>#REF!</v>
      </c>
      <c r="AE31" s="27"/>
      <c r="AF31" s="14" t="e">
        <f>E31+Q31+Clinker!EK31+AC31</f>
        <v>#REF!</v>
      </c>
      <c r="AG31" s="1"/>
      <c r="AH31" s="52">
        <f t="shared" si="4"/>
        <v>273.89999999999907</v>
      </c>
    </row>
    <row r="32" spans="2:35" x14ac:dyDescent="0.25">
      <c r="B32" s="4">
        <v>30</v>
      </c>
      <c r="C32" s="39">
        <f t="shared" si="14"/>
        <v>7149.0800635982805</v>
      </c>
      <c r="D32" s="1">
        <v>0</v>
      </c>
      <c r="E32" s="34">
        <f>'Daily CEM-1'!AI33+'Daily  CEM - 2'!AH33</f>
        <v>72</v>
      </c>
      <c r="F32" s="9">
        <f t="shared" si="15"/>
        <v>7077.0800635982805</v>
      </c>
      <c r="G32" s="39">
        <f t="shared" si="16"/>
        <v>0.23999999999796273</v>
      </c>
      <c r="H32" s="1">
        <v>0</v>
      </c>
      <c r="I32" s="33">
        <f>'Daily CEM-1'!AK33</f>
        <v>0</v>
      </c>
      <c r="J32" s="9">
        <f t="shared" si="17"/>
        <v>0.23999999999796273</v>
      </c>
      <c r="K32" s="39">
        <f t="shared" si="7"/>
        <v>0</v>
      </c>
      <c r="L32" s="1">
        <v>0</v>
      </c>
      <c r="M32" s="33">
        <f>'Daily CEM-1'!AJ33</f>
        <v>0</v>
      </c>
      <c r="N32" s="9">
        <f t="shared" si="2"/>
        <v>0</v>
      </c>
      <c r="O32" s="201"/>
      <c r="P32" s="1">
        <v>0</v>
      </c>
      <c r="Q32" s="35">
        <f>'Daily CEM-1'!AH33+'Daily  CEM - 2'!AG33</f>
        <v>237.59999999999957</v>
      </c>
      <c r="R32" s="202"/>
      <c r="S32" s="47">
        <f t="shared" si="12"/>
        <v>0</v>
      </c>
      <c r="T32" s="1">
        <v>0</v>
      </c>
      <c r="U32" s="35">
        <v>0</v>
      </c>
      <c r="V32" s="40">
        <f t="shared" si="3"/>
        <v>0</v>
      </c>
      <c r="W32" s="47">
        <f t="shared" si="13"/>
        <v>0</v>
      </c>
      <c r="X32" s="1">
        <v>0</v>
      </c>
      <c r="Y32" s="35">
        <v>0</v>
      </c>
      <c r="Z32" s="40">
        <f t="shared" si="8"/>
        <v>0</v>
      </c>
      <c r="AA32" s="39" t="e">
        <f t="shared" si="9"/>
        <v>#REF!</v>
      </c>
      <c r="AB32" s="1" t="e">
        <f t="shared" si="10"/>
        <v>#REF!</v>
      </c>
      <c r="AC32" s="33" t="e">
        <f>'Daily CEM-1'!#REF!</f>
        <v>#REF!</v>
      </c>
      <c r="AD32" s="9" t="e">
        <f t="shared" si="11"/>
        <v>#REF!</v>
      </c>
      <c r="AE32" s="27"/>
      <c r="AF32" s="14" t="e">
        <f>E32+Q32+Clinker!EK32+AC32</f>
        <v>#REF!</v>
      </c>
      <c r="AG32" s="1"/>
      <c r="AH32" s="52">
        <f t="shared" si="4"/>
        <v>237.59999999999957</v>
      </c>
    </row>
    <row r="33" spans="2:35" s="160" customFormat="1" x14ac:dyDescent="0.25">
      <c r="B33" s="162">
        <v>31</v>
      </c>
      <c r="C33" s="156">
        <f t="shared" si="14"/>
        <v>7077.0800635982805</v>
      </c>
      <c r="D33" s="1">
        <v>0</v>
      </c>
      <c r="E33" s="34">
        <f>'Daily CEM-1'!AI34+'Daily  CEM - 2'!AH34</f>
        <v>0</v>
      </c>
      <c r="F33" s="158">
        <f t="shared" si="15"/>
        <v>7077.0800635982805</v>
      </c>
      <c r="G33" s="156">
        <f t="shared" si="16"/>
        <v>0.23999999999796273</v>
      </c>
      <c r="H33" s="157">
        <v>0</v>
      </c>
      <c r="I33" s="157">
        <f>'Daily CEM-1'!AK33</f>
        <v>0</v>
      </c>
      <c r="J33" s="158">
        <f t="shared" si="17"/>
        <v>0.23999999999796273</v>
      </c>
      <c r="K33" s="156">
        <f t="shared" si="7"/>
        <v>0</v>
      </c>
      <c r="L33" s="157">
        <v>0</v>
      </c>
      <c r="M33" s="33">
        <f>'Daily CEM-1'!AJ34</f>
        <v>0</v>
      </c>
      <c r="N33" s="9">
        <f t="shared" si="2"/>
        <v>0</v>
      </c>
      <c r="O33" s="201"/>
      <c r="P33" s="1">
        <v>0</v>
      </c>
      <c r="Q33" s="35">
        <f>'Daily CEM-1'!AH34+'Daily  CEM - 2'!AG34</f>
        <v>0</v>
      </c>
      <c r="R33" s="202"/>
      <c r="S33" s="164">
        <f t="shared" si="12"/>
        <v>0</v>
      </c>
      <c r="T33" s="1">
        <v>0</v>
      </c>
      <c r="U33" s="35">
        <v>0</v>
      </c>
      <c r="V33" s="40">
        <f t="shared" si="3"/>
        <v>0</v>
      </c>
      <c r="W33" s="164">
        <f t="shared" si="13"/>
        <v>0</v>
      </c>
      <c r="X33" s="1">
        <v>0</v>
      </c>
      <c r="Y33" s="35">
        <v>0</v>
      </c>
      <c r="Z33" s="40">
        <f t="shared" si="8"/>
        <v>0</v>
      </c>
      <c r="AA33" s="156" t="e">
        <f t="shared" si="9"/>
        <v>#REF!</v>
      </c>
      <c r="AB33" s="1" t="e">
        <f t="shared" si="10"/>
        <v>#REF!</v>
      </c>
      <c r="AC33" s="157" t="e">
        <f>'Daily CEM-1'!#REF!</f>
        <v>#REF!</v>
      </c>
      <c r="AD33" s="158" t="e">
        <f t="shared" si="11"/>
        <v>#REF!</v>
      </c>
      <c r="AE33" s="159"/>
      <c r="AF33" s="165" t="e">
        <f>E33+Q33+Clinker!#REF!+AC33</f>
        <v>#REF!</v>
      </c>
      <c r="AG33" s="157"/>
      <c r="AH33" s="52">
        <f t="shared" si="4"/>
        <v>0</v>
      </c>
    </row>
    <row r="34" spans="2:35" ht="15.75" thickBot="1" x14ac:dyDescent="0.3">
      <c r="B34" s="5" t="s">
        <v>26</v>
      </c>
      <c r="C34" s="8">
        <f>SUM(C3:C33)</f>
        <v>231566.06195114067</v>
      </c>
      <c r="D34" s="8">
        <f>SUM(D3:D33)</f>
        <v>1970.9</v>
      </c>
      <c r="E34" s="8">
        <f t="shared" ref="E34:N34" si="18">SUM(E3:E33)</f>
        <v>2339.1999955514993</v>
      </c>
      <c r="F34" s="10">
        <v>0</v>
      </c>
      <c r="G34" s="8">
        <f t="shared" si="18"/>
        <v>7.4399999999368447</v>
      </c>
      <c r="H34" s="8">
        <f t="shared" si="18"/>
        <v>0</v>
      </c>
      <c r="I34" s="8">
        <f t="shared" si="18"/>
        <v>0</v>
      </c>
      <c r="J34" s="10">
        <f t="shared" si="18"/>
        <v>7.4399999999368447</v>
      </c>
      <c r="K34" s="8">
        <f t="shared" si="18"/>
        <v>0</v>
      </c>
      <c r="L34" s="8">
        <f t="shared" si="18"/>
        <v>0</v>
      </c>
      <c r="M34" s="8">
        <f t="shared" si="18"/>
        <v>0</v>
      </c>
      <c r="N34" s="10">
        <f t="shared" si="18"/>
        <v>0</v>
      </c>
      <c r="O34" s="6">
        <f>R33</f>
        <v>0</v>
      </c>
      <c r="P34" s="8">
        <f t="shared" ref="P34:AC34" si="19">SUM(P3:P33)</f>
        <v>0</v>
      </c>
      <c r="Q34" s="8">
        <f t="shared" si="19"/>
        <v>8631.8199925622357</v>
      </c>
      <c r="R34" s="10">
        <f t="shared" si="19"/>
        <v>0</v>
      </c>
      <c r="S34" s="6">
        <f>V33</f>
        <v>0</v>
      </c>
      <c r="T34" s="8">
        <f t="shared" ref="T34:V34" si="20">SUM(T3:T33)</f>
        <v>0</v>
      </c>
      <c r="U34" s="8">
        <f t="shared" si="20"/>
        <v>0</v>
      </c>
      <c r="V34" s="10">
        <f t="shared" si="20"/>
        <v>0</v>
      </c>
      <c r="W34" s="6">
        <f>Z33</f>
        <v>0</v>
      </c>
      <c r="X34" s="8">
        <f t="shared" ref="X34:Z34" si="21">SUM(X3:X33)</f>
        <v>0</v>
      </c>
      <c r="Y34" s="8">
        <f t="shared" si="21"/>
        <v>0</v>
      </c>
      <c r="Z34" s="10">
        <f t="shared" si="21"/>
        <v>0</v>
      </c>
      <c r="AA34" s="8" t="e">
        <f t="shared" si="19"/>
        <v>#REF!</v>
      </c>
      <c r="AB34" s="8" t="e">
        <f t="shared" si="19"/>
        <v>#REF!</v>
      </c>
      <c r="AC34" s="8" t="e">
        <f t="shared" si="19"/>
        <v>#REF!</v>
      </c>
      <c r="AD34" s="46" t="e">
        <f>AA34+AB34-AC34</f>
        <v>#REF!</v>
      </c>
      <c r="AE34" s="28"/>
      <c r="AF34" s="14" t="e">
        <f>E34+Q34+Clinker!EK34+AC34</f>
        <v>#REF!</v>
      </c>
      <c r="AG34" s="1"/>
    </row>
    <row r="35" spans="2:35" x14ac:dyDescent="0.25">
      <c r="B35" t="s">
        <v>27</v>
      </c>
      <c r="D35" s="17">
        <f>D36+D34</f>
        <v>1970.9</v>
      </c>
      <c r="E35" s="17">
        <f t="shared" ref="E35:AC35" si="22">E36+E34</f>
        <v>2339.1999955514993</v>
      </c>
      <c r="F35" s="17">
        <v>0</v>
      </c>
      <c r="G35" s="17"/>
      <c r="H35" s="17">
        <f t="shared" si="22"/>
        <v>0</v>
      </c>
      <c r="I35" s="17">
        <f t="shared" si="22"/>
        <v>0</v>
      </c>
      <c r="J35" s="17"/>
      <c r="K35" s="17">
        <f t="shared" si="22"/>
        <v>0</v>
      </c>
      <c r="L35" s="17">
        <f t="shared" si="22"/>
        <v>0</v>
      </c>
      <c r="M35" s="17">
        <f t="shared" si="22"/>
        <v>0</v>
      </c>
      <c r="N35" s="17"/>
      <c r="O35" s="17"/>
      <c r="P35" s="17">
        <f t="shared" si="22"/>
        <v>0</v>
      </c>
      <c r="Q35" s="17">
        <f t="shared" si="22"/>
        <v>8631.8199925622357</v>
      </c>
      <c r="R35" s="17"/>
      <c r="S35" s="17"/>
      <c r="T35" s="17">
        <f t="shared" ref="T35:U35" si="23">T36+T34</f>
        <v>0</v>
      </c>
      <c r="U35" s="17">
        <f t="shared" si="23"/>
        <v>0</v>
      </c>
      <c r="V35" s="17"/>
      <c r="W35" s="17"/>
      <c r="X35" s="17">
        <f t="shared" ref="X35:Y35" si="24">X36+X34</f>
        <v>0</v>
      </c>
      <c r="Y35" s="17">
        <f t="shared" si="24"/>
        <v>0</v>
      </c>
      <c r="Z35" s="17"/>
      <c r="AA35" s="17">
        <v>0</v>
      </c>
      <c r="AB35" s="17" t="e">
        <f t="shared" si="22"/>
        <v>#REF!</v>
      </c>
      <c r="AC35" s="17" t="e">
        <f t="shared" si="22"/>
        <v>#REF!</v>
      </c>
      <c r="AF35" s="14">
        <v>164201.03720367979</v>
      </c>
      <c r="AH35" s="52"/>
      <c r="AI35" s="52"/>
    </row>
    <row r="36" spans="2:35" ht="16.5" customHeight="1" x14ac:dyDescent="0.25">
      <c r="B36" t="s">
        <v>27</v>
      </c>
      <c r="D36">
        <v>0</v>
      </c>
      <c r="E36">
        <v>0</v>
      </c>
      <c r="F36">
        <v>0</v>
      </c>
      <c r="H36">
        <v>0</v>
      </c>
      <c r="I36">
        <v>0</v>
      </c>
      <c r="K36">
        <v>0</v>
      </c>
      <c r="L36">
        <v>0</v>
      </c>
      <c r="M36">
        <v>0</v>
      </c>
      <c r="P36">
        <v>0</v>
      </c>
      <c r="Q36">
        <v>0</v>
      </c>
      <c r="T36">
        <v>0</v>
      </c>
      <c r="U36">
        <v>0</v>
      </c>
      <c r="X36">
        <v>0</v>
      </c>
      <c r="Y36">
        <v>0</v>
      </c>
      <c r="AA36">
        <v>0</v>
      </c>
      <c r="AB36">
        <v>0</v>
      </c>
      <c r="AC36">
        <v>0</v>
      </c>
      <c r="AF36" s="14">
        <v>164201.03720367979</v>
      </c>
    </row>
  </sheetData>
  <mergeCells count="7">
    <mergeCell ref="C1:F1"/>
    <mergeCell ref="G1:J1"/>
    <mergeCell ref="K1:N1"/>
    <mergeCell ref="O1:R1"/>
    <mergeCell ref="AA1:AD1"/>
    <mergeCell ref="S1:V1"/>
    <mergeCell ref="W1:Z1"/>
  </mergeCells>
  <pageMargins left="0" right="0" top="0.75" bottom="0.75" header="0.3" footer="0.3"/>
  <pageSetup paperSize="9"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1:DB54"/>
  <sheetViews>
    <sheetView zoomScale="60" zoomScaleNormal="6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L24" sqref="L24"/>
    </sheetView>
  </sheetViews>
  <sheetFormatPr defaultRowHeight="15" x14ac:dyDescent="0.25"/>
  <cols>
    <col min="1" max="1" width="3.85546875" customWidth="1"/>
    <col min="2" max="2" width="8.140625" customWidth="1"/>
    <col min="3" max="3" width="9.7109375" bestFit="1" customWidth="1"/>
    <col min="4" max="4" width="12.7109375" bestFit="1" customWidth="1"/>
    <col min="5" max="5" width="12.7109375" customWidth="1"/>
    <col min="6" max="6" width="15.140625" bestFit="1" customWidth="1"/>
    <col min="7" max="7" width="16.28515625" bestFit="1" customWidth="1"/>
    <col min="8" max="13" width="16.28515625" customWidth="1"/>
    <col min="14" max="14" width="12.7109375" bestFit="1" customWidth="1"/>
    <col min="15" max="15" width="15.140625" bestFit="1" customWidth="1"/>
    <col min="16" max="18" width="15.140625" customWidth="1"/>
    <col min="19" max="19" width="16.28515625" bestFit="1" customWidth="1"/>
    <col min="20" max="20" width="16.28515625" customWidth="1"/>
    <col min="21" max="21" width="12.7109375" bestFit="1" customWidth="1"/>
    <col min="22" max="22" width="14.7109375" bestFit="1" customWidth="1"/>
    <col min="23" max="23" width="14.7109375" customWidth="1"/>
    <col min="24" max="24" width="15.140625" bestFit="1" customWidth="1"/>
    <col min="25" max="25" width="16.28515625" bestFit="1" customWidth="1"/>
    <col min="26" max="26" width="12.7109375" bestFit="1" customWidth="1"/>
    <col min="27" max="27" width="15.140625" bestFit="1" customWidth="1"/>
    <col min="28" max="28" width="13.140625" customWidth="1"/>
    <col min="29" max="29" width="12.7109375" bestFit="1" customWidth="1"/>
    <col min="30" max="30" width="15.140625" bestFit="1" customWidth="1"/>
    <col min="31" max="31" width="9.7109375" bestFit="1" customWidth="1"/>
    <col min="32" max="32" width="12.7109375" bestFit="1" customWidth="1"/>
    <col min="43" max="43" width="13.140625" customWidth="1"/>
    <col min="44" max="44" width="12.7109375" bestFit="1" customWidth="1"/>
    <col min="45" max="45" width="15.140625" bestFit="1" customWidth="1"/>
    <col min="46" max="46" width="9.7109375" bestFit="1" customWidth="1"/>
    <col min="47" max="47" width="12.7109375" bestFit="1" customWidth="1"/>
    <col min="58" max="60" width="12.5703125" customWidth="1"/>
    <col min="61" max="61" width="13.7109375" customWidth="1"/>
    <col min="64" max="64" width="11.140625" bestFit="1" customWidth="1"/>
    <col min="65" max="77" width="13.42578125" customWidth="1"/>
    <col min="78" max="78" width="9.140625" customWidth="1"/>
    <col min="79" max="80" width="7.28515625" customWidth="1"/>
    <col min="81" max="81" width="7.42578125" customWidth="1"/>
    <col min="82" max="82" width="13" bestFit="1" customWidth="1"/>
    <col min="84" max="84" width="10.42578125" bestFit="1" customWidth="1"/>
    <col min="85" max="85" width="10.85546875" bestFit="1" customWidth="1"/>
    <col min="86" max="86" width="10.85546875" customWidth="1"/>
  </cols>
  <sheetData>
    <row r="1" spans="2:102" x14ac:dyDescent="0.25">
      <c r="B1" s="3" t="s">
        <v>84</v>
      </c>
      <c r="C1" s="622" t="s">
        <v>85</v>
      </c>
      <c r="D1" s="623"/>
      <c r="E1" s="623"/>
      <c r="F1" s="623"/>
      <c r="G1" s="622" t="s">
        <v>86</v>
      </c>
      <c r="H1" s="640"/>
      <c r="I1" s="640"/>
      <c r="J1" s="640"/>
      <c r="K1" s="640"/>
      <c r="L1" s="640"/>
      <c r="M1" s="640"/>
      <c r="N1" s="623"/>
      <c r="O1" s="623"/>
      <c r="P1" s="625" t="s">
        <v>87</v>
      </c>
      <c r="Q1" s="627"/>
      <c r="R1" s="628"/>
      <c r="S1" s="622" t="s">
        <v>88</v>
      </c>
      <c r="T1" s="640"/>
      <c r="U1" s="623"/>
      <c r="V1" s="623"/>
      <c r="W1" s="623"/>
      <c r="X1" s="623"/>
      <c r="Y1" s="622" t="s">
        <v>89</v>
      </c>
      <c r="Z1" s="623"/>
      <c r="AA1" s="623"/>
      <c r="AB1" s="622" t="s">
        <v>90</v>
      </c>
      <c r="AC1" s="623"/>
      <c r="AD1" s="623"/>
      <c r="AE1" s="622" t="s">
        <v>91</v>
      </c>
      <c r="AF1" s="623"/>
      <c r="AG1" s="624"/>
      <c r="AH1" s="622" t="s">
        <v>92</v>
      </c>
      <c r="AI1" s="623"/>
      <c r="AJ1" s="624"/>
      <c r="AK1" s="641" t="s">
        <v>93</v>
      </c>
      <c r="AL1" s="642"/>
      <c r="AM1" s="643"/>
      <c r="AN1" s="641" t="s">
        <v>308</v>
      </c>
      <c r="AO1" s="642"/>
      <c r="AP1" s="643"/>
      <c r="AQ1" s="622" t="s">
        <v>94</v>
      </c>
      <c r="AR1" s="623"/>
      <c r="AS1" s="623"/>
      <c r="AT1" s="622" t="s">
        <v>95</v>
      </c>
      <c r="AU1" s="623"/>
      <c r="AV1" s="624"/>
      <c r="AW1" s="622" t="s">
        <v>96</v>
      </c>
      <c r="AX1" s="623"/>
      <c r="AY1" s="624"/>
      <c r="AZ1" s="622" t="s">
        <v>97</v>
      </c>
      <c r="BA1" s="623"/>
      <c r="BB1" s="624"/>
      <c r="BC1" s="622" t="s">
        <v>311</v>
      </c>
      <c r="BD1" s="623"/>
      <c r="BE1" s="624"/>
      <c r="BF1" s="640" t="s">
        <v>98</v>
      </c>
      <c r="BG1" s="640"/>
      <c r="BH1" s="640"/>
      <c r="BI1" s="623"/>
      <c r="BJ1" s="640" t="s">
        <v>99</v>
      </c>
      <c r="BK1" s="640"/>
      <c r="BL1" s="640"/>
      <c r="BM1" s="623"/>
      <c r="BN1" s="640" t="s">
        <v>100</v>
      </c>
      <c r="BO1" s="640"/>
      <c r="BP1" s="640"/>
      <c r="BQ1" s="623"/>
      <c r="BR1" s="640" t="s">
        <v>101</v>
      </c>
      <c r="BS1" s="640"/>
      <c r="BT1" s="640"/>
      <c r="BU1" s="623"/>
      <c r="BV1" s="640" t="s">
        <v>307</v>
      </c>
      <c r="BW1" s="640"/>
      <c r="BX1" s="640"/>
      <c r="BY1" s="623"/>
    </row>
    <row r="2" spans="2:102" ht="67.5" customHeight="1" x14ac:dyDescent="0.25">
      <c r="B2" s="4" t="s">
        <v>9</v>
      </c>
      <c r="C2" s="6" t="s">
        <v>102</v>
      </c>
      <c r="D2" s="1" t="s">
        <v>11</v>
      </c>
      <c r="E2" s="1" t="s">
        <v>34</v>
      </c>
      <c r="F2" s="1" t="s">
        <v>103</v>
      </c>
      <c r="G2" s="6" t="s">
        <v>102</v>
      </c>
      <c r="H2" s="2" t="s">
        <v>104</v>
      </c>
      <c r="I2" s="2" t="s">
        <v>105</v>
      </c>
      <c r="J2" s="2" t="s">
        <v>106</v>
      </c>
      <c r="K2" s="2" t="s">
        <v>107</v>
      </c>
      <c r="L2" s="2" t="s">
        <v>108</v>
      </c>
      <c r="M2" s="2" t="s">
        <v>109</v>
      </c>
      <c r="N2" s="1" t="s">
        <v>11</v>
      </c>
      <c r="O2" s="1" t="s">
        <v>103</v>
      </c>
      <c r="P2" s="6" t="s">
        <v>102</v>
      </c>
      <c r="Q2" s="2" t="s">
        <v>35</v>
      </c>
      <c r="R2" s="1" t="s">
        <v>103</v>
      </c>
      <c r="S2" s="6" t="s">
        <v>102</v>
      </c>
      <c r="T2" s="2" t="s">
        <v>104</v>
      </c>
      <c r="U2" s="1" t="s">
        <v>11</v>
      </c>
      <c r="V2" s="1" t="s">
        <v>110</v>
      </c>
      <c r="W2" s="1" t="s">
        <v>105</v>
      </c>
      <c r="X2" s="1" t="s">
        <v>103</v>
      </c>
      <c r="Y2" s="6" t="s">
        <v>102</v>
      </c>
      <c r="Z2" s="1" t="s">
        <v>11</v>
      </c>
      <c r="AA2" s="1" t="s">
        <v>103</v>
      </c>
      <c r="AB2" s="6" t="s">
        <v>102</v>
      </c>
      <c r="AC2" s="1" t="s">
        <v>11</v>
      </c>
      <c r="AD2" s="1" t="s">
        <v>103</v>
      </c>
      <c r="AE2" s="6" t="s">
        <v>102</v>
      </c>
      <c r="AF2" s="1" t="s">
        <v>11</v>
      </c>
      <c r="AG2" s="7" t="s">
        <v>103</v>
      </c>
      <c r="AH2" s="6" t="s">
        <v>102</v>
      </c>
      <c r="AI2" s="1" t="s">
        <v>11</v>
      </c>
      <c r="AJ2" s="7" t="s">
        <v>103</v>
      </c>
      <c r="AK2" s="6" t="s">
        <v>102</v>
      </c>
      <c r="AL2" s="1" t="s">
        <v>11</v>
      </c>
      <c r="AM2" s="1" t="s">
        <v>103</v>
      </c>
      <c r="AN2" s="6" t="s">
        <v>102</v>
      </c>
      <c r="AO2" s="1" t="s">
        <v>11</v>
      </c>
      <c r="AP2" s="1" t="s">
        <v>103</v>
      </c>
      <c r="AQ2" s="6" t="s">
        <v>102</v>
      </c>
      <c r="AR2" s="1" t="s">
        <v>11</v>
      </c>
      <c r="AS2" s="1" t="s">
        <v>103</v>
      </c>
      <c r="AT2" s="6" t="s">
        <v>102</v>
      </c>
      <c r="AU2" s="1" t="s">
        <v>11</v>
      </c>
      <c r="AV2" s="7" t="s">
        <v>103</v>
      </c>
      <c r="AW2" s="6" t="s">
        <v>102</v>
      </c>
      <c r="AX2" s="1" t="s">
        <v>11</v>
      </c>
      <c r="AY2" s="7" t="s">
        <v>103</v>
      </c>
      <c r="AZ2" s="6" t="s">
        <v>102</v>
      </c>
      <c r="BA2" s="1" t="s">
        <v>11</v>
      </c>
      <c r="BB2" s="7" t="s">
        <v>103</v>
      </c>
      <c r="BC2" s="6" t="s">
        <v>102</v>
      </c>
      <c r="BD2" s="1" t="s">
        <v>11</v>
      </c>
      <c r="BE2" s="7" t="s">
        <v>103</v>
      </c>
      <c r="BF2" s="16" t="s">
        <v>111</v>
      </c>
      <c r="BG2" s="2" t="s">
        <v>11</v>
      </c>
      <c r="BH2" s="2" t="s">
        <v>112</v>
      </c>
      <c r="BI2" s="18" t="s">
        <v>113</v>
      </c>
      <c r="BJ2" s="16" t="s">
        <v>111</v>
      </c>
      <c r="BK2" s="2" t="s">
        <v>11</v>
      </c>
      <c r="BL2" s="2" t="s">
        <v>112</v>
      </c>
      <c r="BM2" s="18" t="s">
        <v>113</v>
      </c>
      <c r="BN2" s="16" t="s">
        <v>111</v>
      </c>
      <c r="BO2" s="2" t="s">
        <v>11</v>
      </c>
      <c r="BP2" s="2" t="s">
        <v>112</v>
      </c>
      <c r="BQ2" s="18" t="s">
        <v>113</v>
      </c>
      <c r="BR2" s="16" t="s">
        <v>111</v>
      </c>
      <c r="BS2" s="2" t="s">
        <v>11</v>
      </c>
      <c r="BT2" s="2" t="s">
        <v>112</v>
      </c>
      <c r="BU2" s="18" t="s">
        <v>113</v>
      </c>
      <c r="BV2" s="16" t="s">
        <v>111</v>
      </c>
      <c r="BW2" s="2" t="s">
        <v>11</v>
      </c>
      <c r="BX2" s="2" t="s">
        <v>112</v>
      </c>
      <c r="BY2" s="18" t="s">
        <v>113</v>
      </c>
      <c r="BZ2" s="23" t="s">
        <v>114</v>
      </c>
      <c r="CA2" s="23" t="s">
        <v>115</v>
      </c>
      <c r="CB2" s="23" t="s">
        <v>116</v>
      </c>
      <c r="CC2" s="19" t="s">
        <v>8</v>
      </c>
      <c r="CD2" s="19" t="s">
        <v>117</v>
      </c>
      <c r="CE2" s="429" t="s">
        <v>118</v>
      </c>
      <c r="CF2" s="24" t="s">
        <v>119</v>
      </c>
      <c r="CG2" s="24" t="s">
        <v>120</v>
      </c>
      <c r="CH2" s="270" t="s">
        <v>121</v>
      </c>
      <c r="CK2" s="1"/>
      <c r="CL2" s="1" t="s">
        <v>122</v>
      </c>
      <c r="CM2" s="1" t="s">
        <v>123</v>
      </c>
      <c r="CN2" s="1" t="s">
        <v>124</v>
      </c>
      <c r="CO2" s="1" t="s">
        <v>125</v>
      </c>
      <c r="CP2" s="1" t="s">
        <v>69</v>
      </c>
      <c r="CQ2" s="2"/>
      <c r="CR2" s="1"/>
      <c r="CS2" s="1" t="s">
        <v>126</v>
      </c>
      <c r="CT2" s="1" t="s">
        <v>125</v>
      </c>
    </row>
    <row r="3" spans="2:102" x14ac:dyDescent="0.25">
      <c r="B3" s="4">
        <v>1</v>
      </c>
      <c r="C3" s="1">
        <v>0</v>
      </c>
      <c r="D3" s="34">
        <f>'Mines (2)'!D3+'Mines (2)'!I3+'Mines (2)'!W3+'Mines (2)'!AA3+'Mines (2)'!AE3</f>
        <v>401.14000000000004</v>
      </c>
      <c r="E3" s="169">
        <f>'Mines (2)'!E3+'Mines (2)'!J3+'Mines (2)'!X3+'Mines (2)'!AB3+'Mines (2)'!AF3</f>
        <v>0</v>
      </c>
      <c r="F3" s="34" t="e">
        <f>D3/C3</f>
        <v>#DIV/0!</v>
      </c>
      <c r="G3" s="1">
        <v>0</v>
      </c>
      <c r="H3" s="36">
        <f>1996.00001683752-2.27</f>
        <v>1993.73001683752</v>
      </c>
      <c r="I3" s="303">
        <f>H3+(N3)+(Q3)-K3</f>
        <v>1993.73001683752</v>
      </c>
      <c r="J3" s="1">
        <v>0</v>
      </c>
      <c r="K3" s="36">
        <f t="shared" ref="K3:K20" si="0">L3</f>
        <v>0</v>
      </c>
      <c r="L3" s="36">
        <f>Clinker!EJ3*1.55</f>
        <v>0</v>
      </c>
      <c r="M3" s="36">
        <v>0</v>
      </c>
      <c r="N3" s="1">
        <v>0</v>
      </c>
      <c r="O3" s="15" t="e">
        <f t="shared" ref="O3:O34" si="1">N3/G3</f>
        <v>#DIV/0!</v>
      </c>
      <c r="P3" s="1">
        <v>0</v>
      </c>
      <c r="Q3" s="1">
        <v>0</v>
      </c>
      <c r="R3" s="15" t="e">
        <f>Q3/P3</f>
        <v>#DIV/0!</v>
      </c>
      <c r="S3" s="1">
        <v>0</v>
      </c>
      <c r="T3" s="16">
        <v>15.51</v>
      </c>
      <c r="U3" s="1">
        <v>0</v>
      </c>
      <c r="V3" s="1">
        <v>0</v>
      </c>
      <c r="W3" s="18">
        <f t="shared" ref="W3:W27" si="2">T3+U3-V3</f>
        <v>15.51</v>
      </c>
      <c r="X3" s="15" t="e">
        <f t="shared" ref="X3:X34" si="3">U3/S3</f>
        <v>#DIV/0!</v>
      </c>
      <c r="Y3" s="1">
        <v>0</v>
      </c>
      <c r="Z3" s="33">
        <f>Clinker!EJ3</f>
        <v>0</v>
      </c>
      <c r="AA3" s="15" t="e">
        <f t="shared" ref="AA3:AA25" si="4">Z3/Y3</f>
        <v>#DIV/0!</v>
      </c>
      <c r="AB3" s="37">
        <f>'Daily CEM-1'!H4</f>
        <v>20.399999999999999</v>
      </c>
      <c r="AC3" s="33">
        <f>'Daily CEM-1'!C4</f>
        <v>1250</v>
      </c>
      <c r="AD3" s="15">
        <f t="shared" ref="AD3:AD25" si="5">AC3/AB3</f>
        <v>61.274509803921575</v>
      </c>
      <c r="AE3" s="37">
        <f>'Daily CEM-1'!I4</f>
        <v>0</v>
      </c>
      <c r="AF3" s="33">
        <f>'Daily CEM-1'!D4</f>
        <v>0</v>
      </c>
      <c r="AG3" s="15" t="e">
        <f>AF3/AE3</f>
        <v>#DIV/0!</v>
      </c>
      <c r="AH3" s="61">
        <f>'Daily CEM-1'!J4</f>
        <v>0</v>
      </c>
      <c r="AI3" s="61">
        <f>'Daily CEM-1'!E4</f>
        <v>0</v>
      </c>
      <c r="AJ3" s="60"/>
      <c r="AK3" s="61">
        <f>'Daily CEM-1'!K4</f>
        <v>0</v>
      </c>
      <c r="AL3" s="61">
        <f>'Daily CEM-1'!F4</f>
        <v>0</v>
      </c>
      <c r="AM3" s="60" t="e">
        <f>AL3/AK3</f>
        <v>#DIV/0!</v>
      </c>
      <c r="AN3" s="60">
        <f>'Daily CEM-1'!L4</f>
        <v>3</v>
      </c>
      <c r="AO3" s="60">
        <f>'Daily CEM-1'!G4</f>
        <v>190</v>
      </c>
      <c r="AP3" s="60">
        <f>AO3/AN3</f>
        <v>63.333333333333336</v>
      </c>
      <c r="AQ3" s="37">
        <f>'Daily  CEM - 2'!H4</f>
        <v>14</v>
      </c>
      <c r="AR3" s="33">
        <f>'Daily  CEM - 2'!C4</f>
        <v>812</v>
      </c>
      <c r="AS3" s="15">
        <f t="shared" ref="AS3:AS25" si="6">AR3/AQ3</f>
        <v>58</v>
      </c>
      <c r="AT3" s="37">
        <f>'Daily  CEM - 2'!I4</f>
        <v>3</v>
      </c>
      <c r="AU3" s="33">
        <f>'Daily  CEM - 2'!D4</f>
        <v>180</v>
      </c>
      <c r="AV3" s="15">
        <f t="shared" ref="AV3:AV25" si="7">AU3/AT3</f>
        <v>60</v>
      </c>
      <c r="AW3" s="61">
        <f>'Daily  CEM - 2'!J4</f>
        <v>0</v>
      </c>
      <c r="AX3" s="61">
        <f>'Daily  CEM - 2'!E4</f>
        <v>0</v>
      </c>
      <c r="AY3" s="197" t="e">
        <f>AX3/AW3</f>
        <v>#DIV/0!</v>
      </c>
      <c r="AZ3" s="61">
        <f>'Daily  CEM - 2'!K4</f>
        <v>0</v>
      </c>
      <c r="BA3" s="61">
        <f>'Daily  CEM - 2'!F4</f>
        <v>0</v>
      </c>
      <c r="BB3" s="60" t="e">
        <f>BA3/AZ3</f>
        <v>#DIV/0!</v>
      </c>
      <c r="BC3" s="61">
        <f>'Daily  CEM - 2'!L4</f>
        <v>0</v>
      </c>
      <c r="BD3" s="61">
        <f>'Daily  CEM - 2'!G4</f>
        <v>0</v>
      </c>
      <c r="BE3" s="60" t="e">
        <f>BD3/BC3</f>
        <v>#DIV/0!</v>
      </c>
      <c r="BF3" s="603">
        <f>1277.58799999998+0.97</f>
        <v>1278.55799999998</v>
      </c>
      <c r="BG3" s="36">
        <f>AC3+AR3</f>
        <v>2062</v>
      </c>
      <c r="BH3" s="1">
        <v>1888.5</v>
      </c>
      <c r="BI3" s="18">
        <f>BF3+BG3-BH3-'Internal use cement'!F3</f>
        <v>1452.05799999998</v>
      </c>
      <c r="BJ3" s="602">
        <f>232.85-0.55</f>
        <v>232.29999999999998</v>
      </c>
      <c r="BK3" s="36">
        <f>AF3+AU3</f>
        <v>180</v>
      </c>
      <c r="BL3" s="1">
        <v>151</v>
      </c>
      <c r="BM3" s="18">
        <f>BJ3+BK3-BL3-'Internal use cement'!AB3</f>
        <v>261.29999999999995</v>
      </c>
      <c r="BN3" s="603">
        <f>2.69000000000085-0.75</f>
        <v>1.9400000000008499</v>
      </c>
      <c r="BO3" s="63">
        <f>AI3+AX3</f>
        <v>0</v>
      </c>
      <c r="BP3" s="1">
        <v>0</v>
      </c>
      <c r="BQ3" s="66">
        <f>BN3+BO3-BP3-'Internal use cement'!Q3</f>
        <v>1.9400000000008499</v>
      </c>
      <c r="BR3" s="18">
        <v>213.3</v>
      </c>
      <c r="BS3" s="63">
        <f>BA3+AL3</f>
        <v>0</v>
      </c>
      <c r="BT3" s="1">
        <v>60</v>
      </c>
      <c r="BU3" s="66">
        <f>BR3+BS3-BT3-'Internal use cement'!AG3</f>
        <v>153.30000000000001</v>
      </c>
      <c r="BV3" s="66">
        <v>373.71</v>
      </c>
      <c r="BW3" s="34">
        <f>AO3+BD3</f>
        <v>190</v>
      </c>
      <c r="BX3" s="15">
        <v>301</v>
      </c>
      <c r="BY3" s="66">
        <f>BV3+BW3-BX3</f>
        <v>262.71000000000004</v>
      </c>
      <c r="BZ3" s="1">
        <v>668</v>
      </c>
      <c r="CA3" s="1">
        <v>1894</v>
      </c>
      <c r="CB3" s="1">
        <v>0</v>
      </c>
      <c r="CC3" s="1">
        <f>SUM(BZ3:CB3)</f>
        <v>2562</v>
      </c>
      <c r="CD3" s="15">
        <f>BI3+BM3+BQ3+BU3+BY3</f>
        <v>2131.3079999999809</v>
      </c>
      <c r="CE3" s="272">
        <f>CC3-CD3</f>
        <v>430.69200000001911</v>
      </c>
      <c r="CF3" s="15">
        <f>BH3+BL3+BP3+BT3+BX3</f>
        <v>2400.5</v>
      </c>
      <c r="CG3" s="15">
        <f>AC3+AF3+AI3+AR3+AU3+AX3+BA3+AL3+BW3</f>
        <v>2432</v>
      </c>
      <c r="CH3" s="272">
        <f>J3-I3</f>
        <v>-1993.73001683752</v>
      </c>
      <c r="CI3">
        <f>BF3+BJ3</f>
        <v>1510.8579999999799</v>
      </c>
      <c r="CJ3" s="52">
        <f t="shared" ref="CJ3:CJ31" si="8">AB3+AH3+AE3</f>
        <v>20.399999999999999</v>
      </c>
      <c r="CK3" s="1">
        <v>1</v>
      </c>
      <c r="CL3" s="1">
        <f>24-G3</f>
        <v>24</v>
      </c>
      <c r="CM3" s="1">
        <f>24-S3</f>
        <v>24</v>
      </c>
      <c r="CN3" s="15">
        <f>24-CS3</f>
        <v>0.60000000000000142</v>
      </c>
      <c r="CO3" s="15">
        <f>24-CT3</f>
        <v>7</v>
      </c>
      <c r="CP3" s="1">
        <f>24-Y3</f>
        <v>24</v>
      </c>
      <c r="CQ3" s="2">
        <v>1</v>
      </c>
      <c r="CR3" s="15">
        <f>AR3+AU3+AX3</f>
        <v>992</v>
      </c>
      <c r="CS3" s="15">
        <f>'Daily CEM-1'!H4+'Daily CEM-1'!I4+'Daily CEM-1'!J4+'Daily CEM-1'!K4+'Daily CEM-1'!L4</f>
        <v>23.4</v>
      </c>
      <c r="CT3" s="15">
        <f>AQ3+AT3+AW3+'Daily  CEM - 2'!K4+'Daily  CEM - 2'!L4</f>
        <v>17</v>
      </c>
      <c r="CU3" s="52">
        <f>24-CS3</f>
        <v>0.60000000000000142</v>
      </c>
      <c r="CW3" s="52">
        <f>N3+Q3</f>
        <v>0</v>
      </c>
      <c r="CX3" s="52"/>
    </row>
    <row r="4" spans="2:102" x14ac:dyDescent="0.25">
      <c r="B4" s="4">
        <v>2</v>
      </c>
      <c r="C4" s="1">
        <v>2.25</v>
      </c>
      <c r="D4" s="34">
        <f>'Mines (2)'!D4+'Mines (2)'!I4+'Mines (2)'!W4+'Mines (2)'!AA4+'Mines (2)'!AE4</f>
        <v>808.48000000000013</v>
      </c>
      <c r="E4" s="169">
        <f>'Mines (2)'!E4+'Mines (2)'!J4+'Mines (2)'!X4+'Mines (2)'!AB4+'Mines (2)'!AF4</f>
        <v>0</v>
      </c>
      <c r="F4" s="34">
        <f>D4/C4</f>
        <v>359.32444444444451</v>
      </c>
      <c r="G4" s="1">
        <v>0</v>
      </c>
      <c r="H4" s="303">
        <f>I3</f>
        <v>1993.73001683752</v>
      </c>
      <c r="I4" s="303">
        <f t="shared" ref="I4:I33" si="9">H4+(N4)+(Q4)-K4</f>
        <v>1993.73001683752</v>
      </c>
      <c r="J4" s="1">
        <v>0</v>
      </c>
      <c r="K4" s="36">
        <f t="shared" si="0"/>
        <v>0</v>
      </c>
      <c r="L4" s="36">
        <f>Clinker!EJ4*1.55</f>
        <v>0</v>
      </c>
      <c r="M4" s="36">
        <v>0</v>
      </c>
      <c r="N4" s="1">
        <v>0</v>
      </c>
      <c r="O4" s="15" t="e">
        <f t="shared" si="1"/>
        <v>#DIV/0!</v>
      </c>
      <c r="P4" s="1">
        <v>0</v>
      </c>
      <c r="Q4" s="1">
        <v>0</v>
      </c>
      <c r="R4" s="15" t="e">
        <f t="shared" ref="R4:R33" si="10">Q4/P4</f>
        <v>#DIV/0!</v>
      </c>
      <c r="S4" s="1">
        <v>4</v>
      </c>
      <c r="T4" s="16">
        <f t="shared" ref="T4:T28" si="11">W3</f>
        <v>15.51</v>
      </c>
      <c r="U4" s="1">
        <v>10</v>
      </c>
      <c r="V4" s="1">
        <v>0</v>
      </c>
      <c r="W4" s="18">
        <f>T4+U4-V4</f>
        <v>25.509999999999998</v>
      </c>
      <c r="X4" s="15">
        <f t="shared" si="3"/>
        <v>2.5</v>
      </c>
      <c r="Y4" s="1">
        <v>0</v>
      </c>
      <c r="Z4" s="33">
        <f>Clinker!EJ4</f>
        <v>0</v>
      </c>
      <c r="AA4" s="15" t="e">
        <f t="shared" si="4"/>
        <v>#DIV/0!</v>
      </c>
      <c r="AB4" s="37">
        <f>'Daily CEM-1'!H5</f>
        <v>20</v>
      </c>
      <c r="AC4" s="33">
        <f>'Daily CEM-1'!C5</f>
        <v>1158</v>
      </c>
      <c r="AD4" s="15">
        <f t="shared" si="5"/>
        <v>57.9</v>
      </c>
      <c r="AE4" s="37">
        <f>'Daily CEM-1'!I5</f>
        <v>0</v>
      </c>
      <c r="AF4" s="33">
        <f>'Daily CEM-1'!D5</f>
        <v>0</v>
      </c>
      <c r="AG4" s="15" t="e">
        <f t="shared" ref="AG4:AG25" si="12">AF4/AE4</f>
        <v>#DIV/0!</v>
      </c>
      <c r="AH4" s="61">
        <f>'Daily CEM-1'!J5</f>
        <v>0</v>
      </c>
      <c r="AI4" s="61">
        <f>'Daily CEM-1'!E5</f>
        <v>0</v>
      </c>
      <c r="AJ4" s="60"/>
      <c r="AK4" s="61">
        <f>'Daily CEM-1'!K5</f>
        <v>0</v>
      </c>
      <c r="AL4" s="61">
        <f>'Daily CEM-1'!F5</f>
        <v>0</v>
      </c>
      <c r="AM4" s="60" t="e">
        <f t="shared" ref="AM4:AM32" si="13">AL4/AK4</f>
        <v>#DIV/0!</v>
      </c>
      <c r="AN4" s="60">
        <f>'Daily CEM-1'!L5</f>
        <v>4</v>
      </c>
      <c r="AO4" s="60">
        <f>'Daily CEM-1'!G5</f>
        <v>252</v>
      </c>
      <c r="AP4" s="60">
        <f t="shared" ref="AP4:AP33" si="14">AO4/AN4</f>
        <v>63</v>
      </c>
      <c r="AQ4" s="37">
        <f>'Daily  CEM - 2'!H5</f>
        <v>21</v>
      </c>
      <c r="AR4" s="33">
        <f>'Daily  CEM - 2'!C5</f>
        <v>1145</v>
      </c>
      <c r="AS4" s="15">
        <f t="shared" si="6"/>
        <v>54.523809523809526</v>
      </c>
      <c r="AT4" s="37">
        <f>'Daily  CEM - 2'!I5</f>
        <v>0</v>
      </c>
      <c r="AU4" s="33">
        <f>'Daily  CEM - 2'!D5</f>
        <v>0</v>
      </c>
      <c r="AV4" s="15" t="e">
        <f t="shared" si="7"/>
        <v>#DIV/0!</v>
      </c>
      <c r="AW4" s="61">
        <f>'Daily  CEM - 2'!J5</f>
        <v>0</v>
      </c>
      <c r="AX4" s="61">
        <f>'Daily  CEM - 2'!E5</f>
        <v>0</v>
      </c>
      <c r="AY4" s="197" t="e">
        <f t="shared" ref="AY4:AY33" si="15">AX4/AW4</f>
        <v>#DIV/0!</v>
      </c>
      <c r="AZ4" s="61">
        <f>'Daily  CEM - 2'!K5</f>
        <v>3</v>
      </c>
      <c r="BA4" s="61">
        <f>'Daily  CEM - 2'!F5</f>
        <v>165</v>
      </c>
      <c r="BB4" s="60">
        <f t="shared" ref="BB4:BB25" si="16">BA4/AZ4</f>
        <v>55</v>
      </c>
      <c r="BC4" s="61">
        <f>'Daily  CEM - 2'!L5</f>
        <v>0</v>
      </c>
      <c r="BD4" s="61">
        <f>'Daily  CEM - 2'!G5</f>
        <v>0</v>
      </c>
      <c r="BE4" s="60" t="e">
        <f t="shared" ref="BE4:BE33" si="17">BD4/BC4</f>
        <v>#DIV/0!</v>
      </c>
      <c r="BF4" s="16">
        <f t="shared" ref="BF4:BF27" si="18">BI3</f>
        <v>1452.05799999998</v>
      </c>
      <c r="BG4" s="36">
        <f t="shared" ref="BG4:BG33" si="19">AC4+AR4</f>
        <v>2303</v>
      </c>
      <c r="BH4" s="1">
        <v>2431.15</v>
      </c>
      <c r="BI4" s="18">
        <f>BF4+BG4-BH4-'Internal use cement'!F4</f>
        <v>1323.9079999999799</v>
      </c>
      <c r="BJ4" s="16">
        <f t="shared" ref="BJ4:BJ27" si="20">BM3</f>
        <v>261.29999999999995</v>
      </c>
      <c r="BK4" s="36">
        <f t="shared" ref="BK4:BK33" si="21">AF4+AU4</f>
        <v>0</v>
      </c>
      <c r="BL4" s="1">
        <v>0</v>
      </c>
      <c r="BM4" s="18">
        <f>BJ4+BK4-BL4-'Internal use cement'!AB4</f>
        <v>261.29999999999995</v>
      </c>
      <c r="BN4" s="18">
        <f>BQ3</f>
        <v>1.9400000000008499</v>
      </c>
      <c r="BO4" s="63">
        <f t="shared" ref="BO4:BO5" si="22">AI4+AX4</f>
        <v>0</v>
      </c>
      <c r="BP4" s="1">
        <v>0</v>
      </c>
      <c r="BQ4" s="66">
        <f>BN4+BO4-BP4-'Internal use cement'!Q4</f>
        <v>1.9400000000008499</v>
      </c>
      <c r="BR4" s="18">
        <f>BU3</f>
        <v>153.30000000000001</v>
      </c>
      <c r="BS4" s="63">
        <f t="shared" ref="BS4:BS33" si="23">BA4+AL4</f>
        <v>165</v>
      </c>
      <c r="BT4" s="1">
        <v>183</v>
      </c>
      <c r="BU4" s="66">
        <f>BR4+BS4-BT4-'Internal use cement'!AG4</f>
        <v>135.30000000000001</v>
      </c>
      <c r="BV4" s="66">
        <f>BY3</f>
        <v>262.71000000000004</v>
      </c>
      <c r="BW4" s="34">
        <f t="shared" ref="BW4:BW33" si="24">AO4+BD4</f>
        <v>252</v>
      </c>
      <c r="BX4" s="15">
        <v>359.66</v>
      </c>
      <c r="BY4" s="66">
        <f t="shared" ref="BY4:BY32" si="25">BV4+BW4-BX4</f>
        <v>155.05000000000001</v>
      </c>
      <c r="BZ4" s="1">
        <v>594</v>
      </c>
      <c r="CA4" s="1">
        <v>1718</v>
      </c>
      <c r="CB4" s="1">
        <v>76</v>
      </c>
      <c r="CC4" s="1">
        <f>SUM(BZ4:CB4)</f>
        <v>2388</v>
      </c>
      <c r="CD4" s="15">
        <f t="shared" ref="CD4:CD32" si="26">BI4+BM4+BQ4+BU4+BY4</f>
        <v>1877.4979999999805</v>
      </c>
      <c r="CE4" s="272">
        <f>CC4-CD4</f>
        <v>510.50200000001951</v>
      </c>
      <c r="CF4" s="15">
        <f t="shared" ref="CF4:CF33" si="27">BH4+BL4+BP4+BT4+BX4</f>
        <v>2973.81</v>
      </c>
      <c r="CG4" s="15">
        <f t="shared" ref="CG4:CG33" si="28">AC4+AF4+AI4+AR4+AU4+AX4+BA4+AL4+BW4</f>
        <v>2720</v>
      </c>
      <c r="CH4" s="272">
        <f t="shared" ref="CH4:CH33" si="29">J4-I4</f>
        <v>-1993.73001683752</v>
      </c>
      <c r="CJ4" s="52">
        <f t="shared" si="8"/>
        <v>20</v>
      </c>
      <c r="CK4" s="1">
        <v>2</v>
      </c>
      <c r="CL4" s="1">
        <f t="shared" ref="CL4:CL24" si="30">24-G4</f>
        <v>24</v>
      </c>
      <c r="CM4" s="1">
        <f t="shared" ref="CM4:CM33" si="31">24-S4</f>
        <v>20</v>
      </c>
      <c r="CN4" s="15">
        <f t="shared" ref="CN4:CN32" si="32">24-CS4</f>
        <v>0</v>
      </c>
      <c r="CO4" s="15">
        <f t="shared" ref="CO4:CO33" si="33">24-CT4</f>
        <v>0</v>
      </c>
      <c r="CP4" s="1">
        <f t="shared" ref="CP4:CP33" si="34">24-Y4</f>
        <v>24</v>
      </c>
      <c r="CQ4" s="2">
        <v>2</v>
      </c>
      <c r="CR4" s="15">
        <f t="shared" ref="CR4:CR33" si="35">AR4+AU4+AX4</f>
        <v>1145</v>
      </c>
      <c r="CS4" s="15">
        <f>'Daily CEM-1'!H5+'Daily CEM-1'!I5+'Daily CEM-1'!J5+'Daily CEM-1'!K5+'Daily CEM-1'!L5</f>
        <v>24</v>
      </c>
      <c r="CT4" s="15">
        <f>AQ4+AT4+AW4+'Daily  CEM - 2'!K5+'Daily  CEM - 2'!L5</f>
        <v>24</v>
      </c>
      <c r="CU4" s="52">
        <f t="shared" ref="CU4:CU33" si="36">24-CS4</f>
        <v>0</v>
      </c>
      <c r="CW4" s="52">
        <f t="shared" ref="CW4:CW32" si="37">N4+Q4</f>
        <v>0</v>
      </c>
      <c r="CX4" s="52"/>
    </row>
    <row r="5" spans="2:102" x14ac:dyDescent="0.25">
      <c r="B5" s="4">
        <v>3</v>
      </c>
      <c r="C5" s="1">
        <v>0</v>
      </c>
      <c r="D5" s="34">
        <f>'Mines (2)'!D5+'Mines (2)'!I5+'Mines (2)'!W5+'Mines (2)'!AA5+'Mines (2)'!AE5</f>
        <v>239.08</v>
      </c>
      <c r="E5" s="169">
        <f>'Mines (2)'!E5+'Mines (2)'!J5+'Mines (2)'!X5+'Mines (2)'!AB5+'Mines (2)'!AF5</f>
        <v>488</v>
      </c>
      <c r="F5" s="34" t="e">
        <f>D5/C5</f>
        <v>#DIV/0!</v>
      </c>
      <c r="G5" s="1">
        <v>4.12</v>
      </c>
      <c r="H5" s="16">
        <f t="shared" ref="H5:H33" si="38">I4</f>
        <v>1993.73001683752</v>
      </c>
      <c r="I5" s="303">
        <f t="shared" si="9"/>
        <v>1589.73001683752</v>
      </c>
      <c r="J5" s="1">
        <v>2480</v>
      </c>
      <c r="K5" s="36">
        <f t="shared" si="0"/>
        <v>852.5</v>
      </c>
      <c r="L5" s="36">
        <f>Clinker!EJ5*1.55</f>
        <v>852.5</v>
      </c>
      <c r="M5" s="36">
        <v>0</v>
      </c>
      <c r="N5" s="1">
        <v>448.5</v>
      </c>
      <c r="O5" s="15">
        <f t="shared" si="1"/>
        <v>108.85922330097087</v>
      </c>
      <c r="P5" s="1">
        <v>0</v>
      </c>
      <c r="Q5" s="1">
        <v>0</v>
      </c>
      <c r="R5" s="15" t="e">
        <f t="shared" si="10"/>
        <v>#DIV/0!</v>
      </c>
      <c r="S5" s="1">
        <v>11</v>
      </c>
      <c r="T5" s="16">
        <f t="shared" si="11"/>
        <v>25.509999999999998</v>
      </c>
      <c r="U5" s="1">
        <v>120</v>
      </c>
      <c r="V5" s="1">
        <v>128</v>
      </c>
      <c r="W5" s="18">
        <f t="shared" si="2"/>
        <v>17.509999999999991</v>
      </c>
      <c r="X5" s="15">
        <f t="shared" si="3"/>
        <v>10.909090909090908</v>
      </c>
      <c r="Y5" s="1">
        <v>11.45</v>
      </c>
      <c r="Z5" s="33">
        <f>Clinker!EJ5</f>
        <v>550</v>
      </c>
      <c r="AA5" s="15">
        <f t="shared" si="4"/>
        <v>48.0349344978166</v>
      </c>
      <c r="AB5" s="37">
        <f>'Daily CEM-1'!H6</f>
        <v>15.57</v>
      </c>
      <c r="AC5" s="33">
        <f>'Daily CEM-1'!C6</f>
        <v>948</v>
      </c>
      <c r="AD5" s="15">
        <f t="shared" si="5"/>
        <v>60.886319845857415</v>
      </c>
      <c r="AE5" s="37">
        <f>'Daily CEM-1'!I6</f>
        <v>0</v>
      </c>
      <c r="AF5" s="33">
        <f>'Daily CEM-1'!D6</f>
        <v>0</v>
      </c>
      <c r="AG5" s="15" t="e">
        <f t="shared" si="12"/>
        <v>#DIV/0!</v>
      </c>
      <c r="AH5" s="61">
        <f>'Daily CEM-1'!J6</f>
        <v>0</v>
      </c>
      <c r="AI5" s="61">
        <f>'Daily CEM-1'!E6</f>
        <v>0</v>
      </c>
      <c r="AJ5" s="60"/>
      <c r="AK5" s="61">
        <f>'Daily CEM-1'!K6</f>
        <v>0</v>
      </c>
      <c r="AL5" s="61">
        <f>'Daily CEM-1'!F6</f>
        <v>0</v>
      </c>
      <c r="AM5" s="60" t="e">
        <f t="shared" si="13"/>
        <v>#DIV/0!</v>
      </c>
      <c r="AN5" s="60">
        <f>'Daily CEM-1'!L6</f>
        <v>6</v>
      </c>
      <c r="AO5" s="60">
        <f>'Daily CEM-1'!G6</f>
        <v>382</v>
      </c>
      <c r="AP5" s="60">
        <f t="shared" si="14"/>
        <v>63.666666666666664</v>
      </c>
      <c r="AQ5" s="37">
        <f>'Daily  CEM - 2'!H6</f>
        <v>18</v>
      </c>
      <c r="AR5" s="33">
        <f>'Daily  CEM - 2'!C6</f>
        <v>1070</v>
      </c>
      <c r="AS5" s="15">
        <f t="shared" si="6"/>
        <v>59.444444444444443</v>
      </c>
      <c r="AT5" s="37">
        <f>'Daily  CEM - 2'!I6</f>
        <v>0</v>
      </c>
      <c r="AU5" s="33">
        <f>'Daily  CEM - 2'!D6</f>
        <v>0</v>
      </c>
      <c r="AV5" s="15" t="e">
        <f t="shared" si="7"/>
        <v>#DIV/0!</v>
      </c>
      <c r="AW5" s="61">
        <f>'Daily  CEM - 2'!J6</f>
        <v>0</v>
      </c>
      <c r="AX5" s="61">
        <f>'Daily  CEM - 2'!E6</f>
        <v>0</v>
      </c>
      <c r="AY5" s="197" t="e">
        <f t="shared" si="15"/>
        <v>#DIV/0!</v>
      </c>
      <c r="AZ5" s="61">
        <f>'Daily  CEM - 2'!K6</f>
        <v>2</v>
      </c>
      <c r="BA5" s="61">
        <f>'Daily  CEM - 2'!F6</f>
        <v>110</v>
      </c>
      <c r="BB5" s="60">
        <f t="shared" si="16"/>
        <v>55</v>
      </c>
      <c r="BC5" s="61">
        <f>'Daily  CEM - 2'!L6</f>
        <v>0</v>
      </c>
      <c r="BD5" s="61">
        <f>'Daily  CEM - 2'!G6</f>
        <v>0</v>
      </c>
      <c r="BE5" s="60" t="e">
        <f t="shared" si="17"/>
        <v>#DIV/0!</v>
      </c>
      <c r="BF5" s="16">
        <f t="shared" si="18"/>
        <v>1323.9079999999799</v>
      </c>
      <c r="BG5" s="36">
        <f t="shared" si="19"/>
        <v>2018</v>
      </c>
      <c r="BH5" s="1">
        <v>1717</v>
      </c>
      <c r="BI5" s="18">
        <f>BF5+BG5-BH5-'Internal use cement'!F5</f>
        <v>1624.9079999999799</v>
      </c>
      <c r="BJ5" s="16">
        <f t="shared" si="20"/>
        <v>261.29999999999995</v>
      </c>
      <c r="BK5" s="36">
        <f t="shared" si="21"/>
        <v>0</v>
      </c>
      <c r="BL5" s="1">
        <v>61</v>
      </c>
      <c r="BM5" s="18">
        <f>BJ5+BK5-BL5-'Internal use cement'!AB5</f>
        <v>200.29999999999995</v>
      </c>
      <c r="BN5" s="18">
        <f t="shared" ref="BN5:BN33" si="39">BQ4</f>
        <v>1.9400000000008499</v>
      </c>
      <c r="BO5" s="63">
        <f t="shared" si="22"/>
        <v>0</v>
      </c>
      <c r="BP5" s="1">
        <v>0</v>
      </c>
      <c r="BQ5" s="66">
        <f>BN5+BO5-BP5-'Internal use cement'!Q5</f>
        <v>1.9400000000008499</v>
      </c>
      <c r="BR5" s="18">
        <f t="shared" ref="BR5:BR33" si="40">BU4</f>
        <v>135.30000000000001</v>
      </c>
      <c r="BS5" s="63">
        <f t="shared" si="23"/>
        <v>110</v>
      </c>
      <c r="BT5" s="1">
        <v>61</v>
      </c>
      <c r="BU5" s="66">
        <f>BR5+BS5-BT5-'Internal use cement'!AG5</f>
        <v>184.3</v>
      </c>
      <c r="BV5" s="66">
        <f t="shared" ref="BV5:BV33" si="41">BY4</f>
        <v>155.05000000000001</v>
      </c>
      <c r="BW5" s="34">
        <f t="shared" si="24"/>
        <v>382</v>
      </c>
      <c r="BX5" s="15">
        <v>301.88</v>
      </c>
      <c r="BY5" s="66">
        <f t="shared" si="25"/>
        <v>235.16999999999996</v>
      </c>
      <c r="BZ5" s="1">
        <v>752</v>
      </c>
      <c r="CA5" s="1">
        <v>1842</v>
      </c>
      <c r="CB5" s="1">
        <v>77</v>
      </c>
      <c r="CC5" s="1">
        <f t="shared" ref="CC5:CC31" si="42">SUM(BZ5:CB5)</f>
        <v>2671</v>
      </c>
      <c r="CD5" s="15">
        <f t="shared" si="26"/>
        <v>2246.6179999999804</v>
      </c>
      <c r="CE5" s="271">
        <f t="shared" ref="CE5:CE8" si="43">CC5-CD5</f>
        <v>424.38200000001962</v>
      </c>
      <c r="CF5" s="15">
        <f t="shared" si="27"/>
        <v>2140.88</v>
      </c>
      <c r="CG5" s="15">
        <f t="shared" si="28"/>
        <v>2510</v>
      </c>
      <c r="CH5" s="272">
        <f t="shared" si="29"/>
        <v>890.26998316248</v>
      </c>
      <c r="CJ5" s="52">
        <f t="shared" si="8"/>
        <v>15.57</v>
      </c>
      <c r="CK5" s="1">
        <v>3</v>
      </c>
      <c r="CL5" s="1">
        <f t="shared" si="30"/>
        <v>19.88</v>
      </c>
      <c r="CM5" s="1">
        <f t="shared" si="31"/>
        <v>13</v>
      </c>
      <c r="CN5" s="15">
        <f t="shared" si="32"/>
        <v>2.4299999999999997</v>
      </c>
      <c r="CO5" s="15">
        <f t="shared" si="33"/>
        <v>4</v>
      </c>
      <c r="CP5" s="1">
        <f t="shared" si="34"/>
        <v>12.55</v>
      </c>
      <c r="CQ5" s="2">
        <v>3</v>
      </c>
      <c r="CR5" s="15">
        <f t="shared" si="35"/>
        <v>1070</v>
      </c>
      <c r="CS5" s="15">
        <f>'Daily CEM-1'!H6+'Daily CEM-1'!I6+'Daily CEM-1'!J6+'Daily CEM-1'!K6+'Daily CEM-1'!L6</f>
        <v>21.57</v>
      </c>
      <c r="CT5" s="15">
        <f>AQ5+AT5+AW5+'Daily  CEM - 2'!K6+'Daily  CEM - 2'!L6</f>
        <v>20</v>
      </c>
      <c r="CU5" s="52">
        <f t="shared" si="36"/>
        <v>2.4299999999999997</v>
      </c>
      <c r="CW5" s="52">
        <f t="shared" si="37"/>
        <v>448.5</v>
      </c>
      <c r="CX5" s="52"/>
    </row>
    <row r="6" spans="2:102" x14ac:dyDescent="0.25">
      <c r="B6" s="4">
        <v>4</v>
      </c>
      <c r="C6" s="1">
        <v>11.7</v>
      </c>
      <c r="D6" s="34">
        <f>'Mines (2)'!D6+'Mines (2)'!I6+'Mines (2)'!W6+'Mines (2)'!AA6+'Mines (2)'!AE6</f>
        <v>2165.9</v>
      </c>
      <c r="E6" s="169">
        <f>'Mines (2)'!E6+'Mines (2)'!J6+'Mines (2)'!X6+'Mines (2)'!AB6+'Mines (2)'!AF6</f>
        <v>1137</v>
      </c>
      <c r="F6" s="34">
        <f t="shared" ref="F6:F25" si="44">D6/C6</f>
        <v>185.11965811965814</v>
      </c>
      <c r="G6" s="1">
        <v>9</v>
      </c>
      <c r="H6" s="16">
        <f t="shared" si="38"/>
        <v>1589.73001683752</v>
      </c>
      <c r="I6" s="303">
        <f t="shared" si="9"/>
        <v>1471.9200168375201</v>
      </c>
      <c r="J6" s="1">
        <v>2716</v>
      </c>
      <c r="K6" s="36">
        <f>L6</f>
        <v>1162.5</v>
      </c>
      <c r="L6" s="36">
        <f>Clinker!EJ6*1.55</f>
        <v>1162.5</v>
      </c>
      <c r="M6" s="36">
        <v>0</v>
      </c>
      <c r="N6" s="1">
        <v>1044.69</v>
      </c>
      <c r="O6" s="34">
        <f t="shared" si="1"/>
        <v>116.07666666666667</v>
      </c>
      <c r="P6" s="1">
        <v>0</v>
      </c>
      <c r="Q6" s="1">
        <v>0</v>
      </c>
      <c r="R6" s="15" t="e">
        <f t="shared" si="10"/>
        <v>#DIV/0!</v>
      </c>
      <c r="S6" s="1">
        <v>8</v>
      </c>
      <c r="T6" s="16">
        <f t="shared" si="11"/>
        <v>17.509999999999991</v>
      </c>
      <c r="U6" s="1">
        <v>124</v>
      </c>
      <c r="V6" s="1">
        <v>124</v>
      </c>
      <c r="W6" s="18">
        <f t="shared" si="2"/>
        <v>17.509999999999991</v>
      </c>
      <c r="X6" s="34">
        <f t="shared" si="3"/>
        <v>15.5</v>
      </c>
      <c r="Y6" s="1">
        <v>11.4</v>
      </c>
      <c r="Z6" s="33">
        <f>Clinker!EJ6</f>
        <v>750</v>
      </c>
      <c r="AA6" s="34">
        <f t="shared" si="4"/>
        <v>65.78947368421052</v>
      </c>
      <c r="AB6" s="37">
        <f>'Daily CEM-1'!H7</f>
        <v>11.8</v>
      </c>
      <c r="AC6" s="33">
        <f>'Daily CEM-1'!C7</f>
        <v>750</v>
      </c>
      <c r="AD6" s="34">
        <f t="shared" si="5"/>
        <v>63.559322033898304</v>
      </c>
      <c r="AE6" s="37">
        <f>'Daily CEM-1'!I7</f>
        <v>0</v>
      </c>
      <c r="AF6" s="33">
        <f>'Daily CEM-1'!D7</f>
        <v>0</v>
      </c>
      <c r="AG6" s="34" t="e">
        <f t="shared" si="12"/>
        <v>#DIV/0!</v>
      </c>
      <c r="AH6" s="61">
        <f>'Daily CEM-1'!J7</f>
        <v>0</v>
      </c>
      <c r="AI6" s="61">
        <f>'Daily CEM-1'!E7</f>
        <v>0</v>
      </c>
      <c r="AJ6" s="61"/>
      <c r="AK6" s="61">
        <f>'Daily CEM-1'!K7</f>
        <v>0</v>
      </c>
      <c r="AL6" s="61">
        <f>'Daily CEM-1'!F7</f>
        <v>0</v>
      </c>
      <c r="AM6" s="61" t="e">
        <f t="shared" si="13"/>
        <v>#DIV/0!</v>
      </c>
      <c r="AN6" s="60">
        <f>'Daily CEM-1'!L7</f>
        <v>2</v>
      </c>
      <c r="AO6" s="60">
        <f>'Daily CEM-1'!G7</f>
        <v>130</v>
      </c>
      <c r="AP6" s="60">
        <f t="shared" si="14"/>
        <v>65</v>
      </c>
      <c r="AQ6" s="37">
        <f>'Daily  CEM - 2'!H7</f>
        <v>23.62</v>
      </c>
      <c r="AR6" s="33">
        <f>'Daily  CEM - 2'!C7</f>
        <v>1346</v>
      </c>
      <c r="AS6" s="34">
        <f t="shared" si="6"/>
        <v>56.98560541913632</v>
      </c>
      <c r="AT6" s="37">
        <f>'Daily  CEM - 2'!I7</f>
        <v>0</v>
      </c>
      <c r="AU6" s="33">
        <f>'Daily  CEM - 2'!D7</f>
        <v>0</v>
      </c>
      <c r="AV6" s="34" t="e">
        <f t="shared" si="7"/>
        <v>#DIV/0!</v>
      </c>
      <c r="AW6" s="61">
        <f>'Daily  CEM - 2'!J7</f>
        <v>0</v>
      </c>
      <c r="AX6" s="61">
        <f>'Daily  CEM - 2'!E7</f>
        <v>0</v>
      </c>
      <c r="AY6" s="197" t="e">
        <f t="shared" si="15"/>
        <v>#DIV/0!</v>
      </c>
      <c r="AZ6" s="61">
        <f>'Daily  CEM - 2'!K7</f>
        <v>0</v>
      </c>
      <c r="BA6" s="61">
        <f>'Daily  CEM - 2'!F7</f>
        <v>0</v>
      </c>
      <c r="BB6" s="60" t="e">
        <f t="shared" si="16"/>
        <v>#DIV/0!</v>
      </c>
      <c r="BC6" s="61">
        <f>'Daily  CEM - 2'!L7</f>
        <v>0</v>
      </c>
      <c r="BD6" s="61">
        <f>'Daily  CEM - 2'!G7</f>
        <v>0</v>
      </c>
      <c r="BE6" s="60" t="e">
        <f t="shared" si="17"/>
        <v>#DIV/0!</v>
      </c>
      <c r="BF6" s="16">
        <f t="shared" si="18"/>
        <v>1624.9079999999799</v>
      </c>
      <c r="BG6" s="36">
        <f t="shared" si="19"/>
        <v>2096</v>
      </c>
      <c r="BH6" s="1">
        <v>1419.98</v>
      </c>
      <c r="BI6" s="18">
        <f>BF6+BG6-BH6-'Internal use cement'!F6</f>
        <v>2300.9279999999799</v>
      </c>
      <c r="BJ6" s="16">
        <f t="shared" si="20"/>
        <v>200.29999999999995</v>
      </c>
      <c r="BK6" s="36">
        <f t="shared" si="21"/>
        <v>0</v>
      </c>
      <c r="BL6" s="1">
        <v>30</v>
      </c>
      <c r="BM6" s="18">
        <f>BJ6+BK6-BL6-'Internal use cement'!AB6</f>
        <v>170.29999999999995</v>
      </c>
      <c r="BN6" s="18">
        <f t="shared" si="39"/>
        <v>1.9400000000008499</v>
      </c>
      <c r="BO6" s="63">
        <f t="shared" ref="BO6:BO33" si="45">AI6+AX6</f>
        <v>0</v>
      </c>
      <c r="BP6" s="1">
        <v>0</v>
      </c>
      <c r="BQ6" s="66">
        <f>BN6+BO6-BP6-'Internal use cement'!Q6</f>
        <v>1.9400000000008499</v>
      </c>
      <c r="BR6" s="18">
        <f t="shared" si="40"/>
        <v>184.3</v>
      </c>
      <c r="BS6" s="63">
        <f t="shared" si="23"/>
        <v>0</v>
      </c>
      <c r="BT6" s="1">
        <v>92</v>
      </c>
      <c r="BU6" s="66">
        <f>BR6+BS6-BT6-'Internal use cement'!AG6</f>
        <v>92.300000000000011</v>
      </c>
      <c r="BV6" s="66">
        <f t="shared" si="41"/>
        <v>235.16999999999996</v>
      </c>
      <c r="BW6" s="34">
        <f>AO6+BD6</f>
        <v>130</v>
      </c>
      <c r="BX6" s="15">
        <v>150.97999999999999</v>
      </c>
      <c r="BY6" s="66">
        <f t="shared" si="25"/>
        <v>214.18999999999997</v>
      </c>
      <c r="BZ6" s="1">
        <v>1109</v>
      </c>
      <c r="CA6" s="1">
        <v>2262</v>
      </c>
      <c r="CB6" s="1">
        <v>131</v>
      </c>
      <c r="CC6" s="1">
        <f t="shared" si="42"/>
        <v>3502</v>
      </c>
      <c r="CD6" s="15">
        <f t="shared" si="26"/>
        <v>2779.6579999999813</v>
      </c>
      <c r="CE6" s="271">
        <f t="shared" si="43"/>
        <v>722.34200000001874</v>
      </c>
      <c r="CF6" s="15">
        <f t="shared" si="27"/>
        <v>1692.96</v>
      </c>
      <c r="CG6" s="15">
        <f t="shared" si="28"/>
        <v>2226</v>
      </c>
      <c r="CH6" s="272">
        <f t="shared" si="29"/>
        <v>1244.0799831624799</v>
      </c>
      <c r="CJ6" s="52">
        <f t="shared" si="8"/>
        <v>11.8</v>
      </c>
      <c r="CK6" s="1">
        <v>4</v>
      </c>
      <c r="CL6" s="1">
        <f t="shared" si="30"/>
        <v>15</v>
      </c>
      <c r="CM6" s="1">
        <f t="shared" si="31"/>
        <v>16</v>
      </c>
      <c r="CN6" s="15">
        <f t="shared" si="32"/>
        <v>10.199999999999999</v>
      </c>
      <c r="CO6" s="15">
        <f t="shared" si="33"/>
        <v>0.37999999999999901</v>
      </c>
      <c r="CP6" s="1">
        <f t="shared" si="34"/>
        <v>12.6</v>
      </c>
      <c r="CQ6" s="2">
        <v>4</v>
      </c>
      <c r="CR6" s="15">
        <f t="shared" si="35"/>
        <v>1346</v>
      </c>
      <c r="CS6" s="15">
        <f>'Daily CEM-1'!H7+'Daily CEM-1'!I7+'Daily CEM-1'!J7+'Daily CEM-1'!K7+'Daily CEM-1'!L7</f>
        <v>13.8</v>
      </c>
      <c r="CT6" s="15">
        <f>AQ6+AT6+AW6+'Daily  CEM - 2'!K7+'Daily  CEM - 2'!L7</f>
        <v>23.62</v>
      </c>
      <c r="CU6" s="52">
        <f t="shared" si="36"/>
        <v>10.199999999999999</v>
      </c>
      <c r="CW6" s="52">
        <f t="shared" si="37"/>
        <v>1044.69</v>
      </c>
      <c r="CX6" s="52"/>
    </row>
    <row r="7" spans="2:102" x14ac:dyDescent="0.25">
      <c r="B7" s="4">
        <v>5</v>
      </c>
      <c r="C7" s="1">
        <v>4.92</v>
      </c>
      <c r="D7" s="34">
        <f>'Mines (2)'!D7+'Mines (2)'!I7+'Mines (2)'!W7+'Mines (2)'!AA7+'Mines (2)'!AE7</f>
        <v>1485.3799999999999</v>
      </c>
      <c r="E7" s="169">
        <f>'Mines (2)'!E7+'Mines (2)'!J7+'Mines (2)'!X7+'Mines (2)'!AB7+'Mines (2)'!AF7</f>
        <v>0</v>
      </c>
      <c r="F7" s="34">
        <f t="shared" si="44"/>
        <v>301.90650406504062</v>
      </c>
      <c r="G7" s="1">
        <v>0</v>
      </c>
      <c r="H7" s="16">
        <f t="shared" si="38"/>
        <v>1471.9200168375201</v>
      </c>
      <c r="I7" s="303">
        <f t="shared" si="9"/>
        <v>1471.9200168375201</v>
      </c>
      <c r="J7" s="1">
        <v>0</v>
      </c>
      <c r="K7" s="36">
        <f t="shared" si="0"/>
        <v>0</v>
      </c>
      <c r="L7" s="36">
        <f>Clinker!EJ7*1.55</f>
        <v>0</v>
      </c>
      <c r="M7" s="36">
        <v>0</v>
      </c>
      <c r="N7" s="1">
        <v>0</v>
      </c>
      <c r="O7" s="34" t="e">
        <f t="shared" si="1"/>
        <v>#DIV/0!</v>
      </c>
      <c r="P7" s="1">
        <v>0</v>
      </c>
      <c r="Q7" s="1">
        <v>0</v>
      </c>
      <c r="R7" s="15" t="e">
        <f t="shared" si="10"/>
        <v>#DIV/0!</v>
      </c>
      <c r="S7" s="1">
        <v>0</v>
      </c>
      <c r="T7" s="16">
        <f t="shared" si="11"/>
        <v>17.509999999999991</v>
      </c>
      <c r="U7" s="1">
        <v>0</v>
      </c>
      <c r="V7" s="1">
        <v>0</v>
      </c>
      <c r="W7" s="18">
        <f t="shared" si="2"/>
        <v>17.509999999999991</v>
      </c>
      <c r="X7" s="34" t="e">
        <f t="shared" si="3"/>
        <v>#DIV/0!</v>
      </c>
      <c r="Y7" s="1">
        <v>0</v>
      </c>
      <c r="Z7" s="33">
        <f>Clinker!EJ7</f>
        <v>0</v>
      </c>
      <c r="AA7" s="34" t="e">
        <f t="shared" si="4"/>
        <v>#DIV/0!</v>
      </c>
      <c r="AB7" s="37">
        <f>'Daily CEM-1'!H8</f>
        <v>7.42</v>
      </c>
      <c r="AC7" s="33">
        <f>'Daily CEM-1'!C8</f>
        <v>490</v>
      </c>
      <c r="AD7" s="34">
        <f>AC7/AB7</f>
        <v>66.037735849056602</v>
      </c>
      <c r="AE7" s="37">
        <f>'Daily CEM-1'!I8</f>
        <v>6</v>
      </c>
      <c r="AF7" s="33">
        <f>'Daily CEM-1'!D8</f>
        <v>384</v>
      </c>
      <c r="AG7" s="34">
        <f t="shared" si="12"/>
        <v>64</v>
      </c>
      <c r="AH7" s="61">
        <f>'Daily CEM-1'!J8</f>
        <v>0</v>
      </c>
      <c r="AI7" s="61">
        <f>'Daily CEM-1'!E8</f>
        <v>0</v>
      </c>
      <c r="AJ7" s="61"/>
      <c r="AK7" s="61">
        <f>'Daily CEM-1'!K8</f>
        <v>0</v>
      </c>
      <c r="AL7" s="61">
        <f>'Daily CEM-1'!F8</f>
        <v>0</v>
      </c>
      <c r="AM7" s="61" t="e">
        <f t="shared" si="13"/>
        <v>#DIV/0!</v>
      </c>
      <c r="AN7" s="60">
        <f>'Daily CEM-1'!L8</f>
        <v>9</v>
      </c>
      <c r="AO7" s="60">
        <f>'Daily CEM-1'!G8</f>
        <v>566</v>
      </c>
      <c r="AP7" s="60">
        <f t="shared" si="14"/>
        <v>62.888888888888886</v>
      </c>
      <c r="AQ7" s="37">
        <f>'Daily  CEM - 2'!H8</f>
        <v>17</v>
      </c>
      <c r="AR7" s="33">
        <f>'Daily  CEM - 2'!C8</f>
        <v>1053</v>
      </c>
      <c r="AS7" s="34">
        <f t="shared" si="6"/>
        <v>61.941176470588232</v>
      </c>
      <c r="AT7" s="37">
        <f>'Daily  CEM - 2'!I8</f>
        <v>0</v>
      </c>
      <c r="AU7" s="33">
        <f>'Daily  CEM - 2'!D8</f>
        <v>0</v>
      </c>
      <c r="AV7" s="34" t="e">
        <f t="shared" si="7"/>
        <v>#DIV/0!</v>
      </c>
      <c r="AW7" s="61">
        <f>'Daily  CEM - 2'!J8</f>
        <v>0</v>
      </c>
      <c r="AX7" s="61">
        <f>'Daily  CEM - 2'!E8</f>
        <v>0</v>
      </c>
      <c r="AY7" s="197" t="e">
        <f t="shared" si="15"/>
        <v>#DIV/0!</v>
      </c>
      <c r="AZ7" s="61">
        <f>'Daily  CEM - 2'!K8</f>
        <v>3</v>
      </c>
      <c r="BA7" s="61">
        <f>'Daily  CEM - 2'!F8</f>
        <v>165</v>
      </c>
      <c r="BB7" s="60">
        <f t="shared" si="16"/>
        <v>55</v>
      </c>
      <c r="BC7" s="61">
        <f>'Daily  CEM - 2'!L8</f>
        <v>4</v>
      </c>
      <c r="BD7" s="61">
        <f>'Daily  CEM - 2'!G8</f>
        <v>252</v>
      </c>
      <c r="BE7" s="60">
        <f t="shared" si="17"/>
        <v>63</v>
      </c>
      <c r="BF7" s="16">
        <f t="shared" si="18"/>
        <v>2300.9279999999799</v>
      </c>
      <c r="BG7" s="36">
        <f t="shared" si="19"/>
        <v>1543</v>
      </c>
      <c r="BH7" s="1">
        <v>1686</v>
      </c>
      <c r="BI7" s="18">
        <f>BF7+BG7-BH7-'Internal use cement'!F7</f>
        <v>2157.9279999999799</v>
      </c>
      <c r="BJ7" s="16">
        <f t="shared" si="20"/>
        <v>170.29999999999995</v>
      </c>
      <c r="BK7" s="36">
        <f t="shared" si="21"/>
        <v>384</v>
      </c>
      <c r="BL7" s="1">
        <v>272</v>
      </c>
      <c r="BM7" s="18">
        <f>BJ7+BK7-BL7-'Internal use cement'!AB7</f>
        <v>282.29999999999995</v>
      </c>
      <c r="BN7" s="18">
        <f t="shared" si="39"/>
        <v>1.9400000000008499</v>
      </c>
      <c r="BO7" s="63">
        <f t="shared" si="45"/>
        <v>0</v>
      </c>
      <c r="BP7" s="1">
        <v>0</v>
      </c>
      <c r="BQ7" s="66">
        <f>BN7+BO7-BP7-'Internal use cement'!Q7</f>
        <v>1.9400000000008499</v>
      </c>
      <c r="BR7" s="18">
        <f t="shared" si="40"/>
        <v>92.300000000000011</v>
      </c>
      <c r="BS7" s="63">
        <f>BA7+AL7</f>
        <v>165</v>
      </c>
      <c r="BT7" s="1">
        <v>90</v>
      </c>
      <c r="BU7" s="66">
        <f>BR7+BS7-BT7-'Internal use cement'!AG7</f>
        <v>167.3</v>
      </c>
      <c r="BV7" s="66">
        <f t="shared" si="41"/>
        <v>214.18999999999997</v>
      </c>
      <c r="BW7" s="34">
        <f>AO7+BD7</f>
        <v>818</v>
      </c>
      <c r="BX7" s="15">
        <v>394.58</v>
      </c>
      <c r="BY7" s="66">
        <f t="shared" si="25"/>
        <v>637.61000000000013</v>
      </c>
      <c r="BZ7" s="1">
        <v>1120</v>
      </c>
      <c r="CA7" s="1">
        <v>2307</v>
      </c>
      <c r="CB7" s="1">
        <v>281</v>
      </c>
      <c r="CC7" s="1">
        <f t="shared" si="42"/>
        <v>3708</v>
      </c>
      <c r="CD7" s="15">
        <f t="shared" si="26"/>
        <v>3247.0779999999813</v>
      </c>
      <c r="CE7" s="271">
        <f t="shared" si="43"/>
        <v>460.92200000001867</v>
      </c>
      <c r="CF7" s="15">
        <f t="shared" si="27"/>
        <v>2442.58</v>
      </c>
      <c r="CG7" s="15">
        <f t="shared" si="28"/>
        <v>2910</v>
      </c>
      <c r="CH7" s="272">
        <f t="shared" si="29"/>
        <v>-1471.9200168375201</v>
      </c>
      <c r="CJ7" s="52">
        <f t="shared" si="8"/>
        <v>13.42</v>
      </c>
      <c r="CK7" s="1">
        <v>5</v>
      </c>
      <c r="CL7" s="1">
        <f t="shared" si="30"/>
        <v>24</v>
      </c>
      <c r="CM7" s="1">
        <f t="shared" si="31"/>
        <v>24</v>
      </c>
      <c r="CN7" s="15">
        <f t="shared" si="32"/>
        <v>1.5799999999999983</v>
      </c>
      <c r="CO7" s="15">
        <f t="shared" si="33"/>
        <v>0</v>
      </c>
      <c r="CP7" s="1">
        <f t="shared" si="34"/>
        <v>24</v>
      </c>
      <c r="CQ7" s="2">
        <v>5</v>
      </c>
      <c r="CR7" s="15">
        <f t="shared" si="35"/>
        <v>1053</v>
      </c>
      <c r="CS7" s="15">
        <f>'Daily CEM-1'!H8+'Daily CEM-1'!I8+'Daily CEM-1'!J8+'Daily CEM-1'!K8+'Daily CEM-1'!L8</f>
        <v>22.42</v>
      </c>
      <c r="CT7" s="15">
        <f>AQ7+AT7+AW7+'Daily  CEM - 2'!K8+'Daily  CEM - 2'!L8</f>
        <v>24</v>
      </c>
      <c r="CU7" s="52">
        <f t="shared" si="36"/>
        <v>1.5799999999999983</v>
      </c>
      <c r="CW7" s="52">
        <f t="shared" si="37"/>
        <v>0</v>
      </c>
      <c r="CX7" s="52"/>
    </row>
    <row r="8" spans="2:102" x14ac:dyDescent="0.25">
      <c r="B8" s="4">
        <v>6</v>
      </c>
      <c r="C8" s="1">
        <v>0</v>
      </c>
      <c r="D8" s="34">
        <f>'Mines (2)'!D8+'Mines (2)'!I8+'Mines (2)'!W8+'Mines (2)'!AA8+'Mines (2)'!AE8</f>
        <v>420.1</v>
      </c>
      <c r="E8" s="169">
        <f>'Mines (2)'!E8+'Mines (2)'!J8+'Mines (2)'!X8+'Mines (2)'!AB8+'Mines (2)'!AF8</f>
        <v>2471</v>
      </c>
      <c r="F8" s="34" t="e">
        <f t="shared" si="44"/>
        <v>#DIV/0!</v>
      </c>
      <c r="G8" s="1">
        <v>18.5</v>
      </c>
      <c r="H8" s="16">
        <f t="shared" si="38"/>
        <v>1471.9200168375201</v>
      </c>
      <c r="I8" s="303">
        <f t="shared" si="9"/>
        <v>1627.02001683752</v>
      </c>
      <c r="J8" s="1">
        <v>2920</v>
      </c>
      <c r="K8" s="36">
        <f t="shared" si="0"/>
        <v>2139</v>
      </c>
      <c r="L8" s="36">
        <f>Clinker!EJ8*1.55</f>
        <v>2139</v>
      </c>
      <c r="M8" s="36">
        <v>0</v>
      </c>
      <c r="N8" s="1">
        <v>2294.1</v>
      </c>
      <c r="O8" s="34">
        <f t="shared" si="1"/>
        <v>124.0054054054054</v>
      </c>
      <c r="P8" s="1">
        <v>0</v>
      </c>
      <c r="Q8" s="1">
        <v>0</v>
      </c>
      <c r="R8" s="15" t="e">
        <f>Q8/P8</f>
        <v>#DIV/0!</v>
      </c>
      <c r="S8" s="1">
        <v>17.86</v>
      </c>
      <c r="T8" s="16">
        <f t="shared" si="11"/>
        <v>17.509999999999991</v>
      </c>
      <c r="U8" s="1">
        <v>245</v>
      </c>
      <c r="V8" s="1">
        <v>224</v>
      </c>
      <c r="W8" s="18">
        <f t="shared" si="2"/>
        <v>38.509999999999991</v>
      </c>
      <c r="X8" s="34">
        <f t="shared" si="3"/>
        <v>13.717805151175812</v>
      </c>
      <c r="Y8" s="1">
        <v>22.83</v>
      </c>
      <c r="Z8" s="33">
        <f>Clinker!EJ8</f>
        <v>1380</v>
      </c>
      <c r="AA8" s="34">
        <f t="shared" si="4"/>
        <v>60.446780551905391</v>
      </c>
      <c r="AB8" s="37">
        <f>'Daily CEM-1'!H9</f>
        <v>13.93</v>
      </c>
      <c r="AC8" s="33">
        <f>'Daily CEM-1'!C9</f>
        <v>891</v>
      </c>
      <c r="AD8" s="34">
        <f t="shared" si="5"/>
        <v>63.962670495333811</v>
      </c>
      <c r="AE8" s="37">
        <f>'Daily CEM-1'!I9</f>
        <v>0</v>
      </c>
      <c r="AF8" s="33">
        <f>'Daily CEM-1'!D9</f>
        <v>0</v>
      </c>
      <c r="AG8" s="34" t="e">
        <f t="shared" si="12"/>
        <v>#DIV/0!</v>
      </c>
      <c r="AH8" s="61">
        <f>'Daily CEM-1'!J9</f>
        <v>0</v>
      </c>
      <c r="AI8" s="61">
        <f>'Daily CEM-1'!E9</f>
        <v>0</v>
      </c>
      <c r="AJ8" s="61"/>
      <c r="AK8" s="61">
        <f>'Daily CEM-1'!K9</f>
        <v>0</v>
      </c>
      <c r="AL8" s="61">
        <f>'Daily CEM-1'!F9</f>
        <v>0</v>
      </c>
      <c r="AM8" s="61" t="e">
        <f t="shared" si="13"/>
        <v>#DIV/0!</v>
      </c>
      <c r="AN8" s="60">
        <f>'Daily CEM-1'!L9</f>
        <v>0</v>
      </c>
      <c r="AO8" s="60">
        <f>'Daily CEM-1'!G9</f>
        <v>0</v>
      </c>
      <c r="AP8" s="60" t="e">
        <f t="shared" si="14"/>
        <v>#DIV/0!</v>
      </c>
      <c r="AQ8" s="37">
        <f>'Daily  CEM - 2'!H9</f>
        <v>21.35</v>
      </c>
      <c r="AR8" s="33">
        <f>'Daily  CEM - 2'!C9</f>
        <v>1285</v>
      </c>
      <c r="AS8" s="34">
        <f t="shared" si="6"/>
        <v>60.187353629976577</v>
      </c>
      <c r="AT8" s="37">
        <f>'Daily  CEM - 2'!I9</f>
        <v>0</v>
      </c>
      <c r="AU8" s="33">
        <f>'Daily  CEM - 2'!D9</f>
        <v>0</v>
      </c>
      <c r="AV8" s="34" t="e">
        <f t="shared" si="7"/>
        <v>#DIV/0!</v>
      </c>
      <c r="AW8" s="61">
        <f>'Daily  CEM - 2'!J9</f>
        <v>0</v>
      </c>
      <c r="AX8" s="61">
        <f>'Daily  CEM - 2'!E9</f>
        <v>0</v>
      </c>
      <c r="AY8" s="197" t="e">
        <f t="shared" si="15"/>
        <v>#DIV/0!</v>
      </c>
      <c r="AZ8" s="61">
        <f>'Daily  CEM - 2'!K9</f>
        <v>2</v>
      </c>
      <c r="BA8" s="61">
        <f>'Daily  CEM - 2'!F9</f>
        <v>110</v>
      </c>
      <c r="BB8" s="60">
        <f t="shared" si="16"/>
        <v>55</v>
      </c>
      <c r="BC8" s="61">
        <f>'Daily  CEM - 2'!L9</f>
        <v>0</v>
      </c>
      <c r="BD8" s="61">
        <f>'Daily  CEM - 2'!G9</f>
        <v>0</v>
      </c>
      <c r="BE8" s="60" t="e">
        <f t="shared" si="17"/>
        <v>#DIV/0!</v>
      </c>
      <c r="BF8" s="16">
        <f t="shared" si="18"/>
        <v>2157.9279999999799</v>
      </c>
      <c r="BG8" s="36">
        <f t="shared" si="19"/>
        <v>2176</v>
      </c>
      <c r="BH8" s="1">
        <v>2045.5</v>
      </c>
      <c r="BI8" s="18">
        <f>BF8+BG8-BH8-'Internal use cement'!F8</f>
        <v>2288.4279999999799</v>
      </c>
      <c r="BJ8" s="16">
        <f t="shared" si="20"/>
        <v>282.29999999999995</v>
      </c>
      <c r="BK8" s="36">
        <f t="shared" si="21"/>
        <v>0</v>
      </c>
      <c r="BL8" s="1">
        <v>121</v>
      </c>
      <c r="BM8" s="18">
        <f>BJ8+BK8-BL8-'Internal use cement'!AB8</f>
        <v>161.29999999999995</v>
      </c>
      <c r="BN8" s="18">
        <f t="shared" si="39"/>
        <v>1.9400000000008499</v>
      </c>
      <c r="BO8" s="63">
        <f t="shared" si="45"/>
        <v>0</v>
      </c>
      <c r="BP8" s="1">
        <v>0</v>
      </c>
      <c r="BQ8" s="66">
        <f>BN8+BO8-BP8-'Internal use cement'!Q8</f>
        <v>1.9400000000008499</v>
      </c>
      <c r="BR8" s="18">
        <f t="shared" si="40"/>
        <v>167.3</v>
      </c>
      <c r="BS8" s="63">
        <f t="shared" si="23"/>
        <v>110</v>
      </c>
      <c r="BT8" s="1">
        <v>121</v>
      </c>
      <c r="BU8" s="66">
        <f>BR8+BS8-BT8-'Internal use cement'!AG8</f>
        <v>156.30000000000001</v>
      </c>
      <c r="BV8" s="66">
        <f t="shared" si="41"/>
        <v>637.61000000000013</v>
      </c>
      <c r="BW8" s="34">
        <f t="shared" si="24"/>
        <v>0</v>
      </c>
      <c r="BX8" s="15">
        <v>150.72</v>
      </c>
      <c r="BY8" s="66">
        <f t="shared" si="25"/>
        <v>486.8900000000001</v>
      </c>
      <c r="BZ8" s="1">
        <v>1303</v>
      </c>
      <c r="CA8" s="1">
        <v>1887</v>
      </c>
      <c r="CB8" s="1">
        <v>149</v>
      </c>
      <c r="CC8" s="1">
        <f t="shared" si="42"/>
        <v>3339</v>
      </c>
      <c r="CD8" s="15">
        <f t="shared" si="26"/>
        <v>3094.8579999999811</v>
      </c>
      <c r="CE8" s="271">
        <f t="shared" si="43"/>
        <v>244.14200000001892</v>
      </c>
      <c r="CF8" s="15">
        <f t="shared" si="27"/>
        <v>2438.2199999999998</v>
      </c>
      <c r="CG8" s="15">
        <f t="shared" si="28"/>
        <v>2286</v>
      </c>
      <c r="CH8" s="272">
        <f t="shared" si="29"/>
        <v>1292.97998316248</v>
      </c>
      <c r="CJ8" s="52">
        <f t="shared" si="8"/>
        <v>13.93</v>
      </c>
      <c r="CK8" s="1">
        <v>6</v>
      </c>
      <c r="CL8" s="1">
        <f t="shared" si="30"/>
        <v>5.5</v>
      </c>
      <c r="CM8" s="1">
        <f t="shared" si="31"/>
        <v>6.1400000000000006</v>
      </c>
      <c r="CN8" s="15">
        <f t="shared" si="32"/>
        <v>10.07</v>
      </c>
      <c r="CO8" s="15">
        <f t="shared" si="33"/>
        <v>0.64999999999999858</v>
      </c>
      <c r="CP8" s="1">
        <f t="shared" si="34"/>
        <v>1.1700000000000017</v>
      </c>
      <c r="CQ8" s="2">
        <v>6</v>
      </c>
      <c r="CR8" s="15">
        <f t="shared" si="35"/>
        <v>1285</v>
      </c>
      <c r="CS8" s="15">
        <f>'Daily CEM-1'!H9+'Daily CEM-1'!I9+'Daily CEM-1'!J9+'Daily CEM-1'!K9+'Daily CEM-1'!L9</f>
        <v>13.93</v>
      </c>
      <c r="CT8" s="15">
        <f>AQ8+AT8+AW8+'Daily  CEM - 2'!K9+'Daily  CEM - 2'!L9</f>
        <v>23.35</v>
      </c>
      <c r="CU8" s="52">
        <f t="shared" si="36"/>
        <v>10.07</v>
      </c>
      <c r="CW8" s="52">
        <f t="shared" si="37"/>
        <v>2294.1</v>
      </c>
      <c r="CX8" s="52"/>
    </row>
    <row r="9" spans="2:102" x14ac:dyDescent="0.25">
      <c r="B9" s="4">
        <v>7</v>
      </c>
      <c r="C9" s="1">
        <v>15.03</v>
      </c>
      <c r="D9" s="34">
        <f>'Mines (2)'!D9+'Mines (2)'!I9+'Mines (2)'!W9+'Mines (2)'!AA9+'Mines (2)'!AE9</f>
        <v>3283.62</v>
      </c>
      <c r="E9" s="169">
        <f>'Mines (2)'!E9+'Mines (2)'!J9+'Mines (2)'!X9+'Mines (2)'!AB9+'Mines (2)'!AF9</f>
        <v>3314</v>
      </c>
      <c r="F9" s="34">
        <f t="shared" si="44"/>
        <v>218.47105788423153</v>
      </c>
      <c r="G9" s="1">
        <v>22.1</v>
      </c>
      <c r="H9" s="16">
        <f t="shared" si="38"/>
        <v>1627.02001683752</v>
      </c>
      <c r="I9" s="303">
        <f t="shared" si="9"/>
        <v>1753.9200168375191</v>
      </c>
      <c r="J9" s="1">
        <v>2910</v>
      </c>
      <c r="K9" s="36">
        <f t="shared" si="0"/>
        <v>2929.5</v>
      </c>
      <c r="L9" s="36">
        <f>Clinker!EJ9*1.55</f>
        <v>2929.5</v>
      </c>
      <c r="M9" s="36">
        <v>0</v>
      </c>
      <c r="N9" s="1">
        <v>2838</v>
      </c>
      <c r="O9" s="34">
        <f t="shared" si="1"/>
        <v>128.41628959276017</v>
      </c>
      <c r="P9" s="1">
        <v>23.67</v>
      </c>
      <c r="Q9" s="1">
        <v>218.4</v>
      </c>
      <c r="R9" s="15">
        <f>Q9/P9</f>
        <v>9.2268694550063373</v>
      </c>
      <c r="S9" s="1">
        <v>19</v>
      </c>
      <c r="T9" s="16">
        <f t="shared" si="11"/>
        <v>38.509999999999991</v>
      </c>
      <c r="U9" s="1">
        <v>272</v>
      </c>
      <c r="V9" s="1">
        <v>286</v>
      </c>
      <c r="W9" s="18">
        <f t="shared" si="2"/>
        <v>24.509999999999991</v>
      </c>
      <c r="X9" s="34">
        <f t="shared" si="3"/>
        <v>14.315789473684211</v>
      </c>
      <c r="Y9" s="1">
        <v>24</v>
      </c>
      <c r="Z9" s="33">
        <f>Clinker!EJ9</f>
        <v>1890</v>
      </c>
      <c r="AA9" s="34">
        <f t="shared" si="4"/>
        <v>78.75</v>
      </c>
      <c r="AB9" s="37">
        <f>'Daily CEM-1'!H10</f>
        <v>15.62</v>
      </c>
      <c r="AC9" s="33">
        <f>'Daily CEM-1'!C10</f>
        <v>950</v>
      </c>
      <c r="AD9" s="34">
        <f t="shared" si="5"/>
        <v>60.819462227912936</v>
      </c>
      <c r="AE9" s="37">
        <f>'Daily CEM-1'!I10</f>
        <v>0</v>
      </c>
      <c r="AF9" s="33">
        <f>'Daily CEM-1'!D10</f>
        <v>0</v>
      </c>
      <c r="AG9" s="34" t="e">
        <f t="shared" si="12"/>
        <v>#DIV/0!</v>
      </c>
      <c r="AH9" s="61">
        <f>'Daily CEM-1'!J10</f>
        <v>0</v>
      </c>
      <c r="AI9" s="61">
        <f>'Daily CEM-1'!E10</f>
        <v>0</v>
      </c>
      <c r="AJ9" s="61"/>
      <c r="AK9" s="61">
        <f>'Daily CEM-1'!K10</f>
        <v>0</v>
      </c>
      <c r="AL9" s="61">
        <f>'Daily CEM-1'!F10</f>
        <v>0</v>
      </c>
      <c r="AM9" s="61" t="e">
        <f t="shared" si="13"/>
        <v>#DIV/0!</v>
      </c>
      <c r="AN9" s="60">
        <f>'Daily CEM-1'!L10</f>
        <v>0</v>
      </c>
      <c r="AO9" s="60">
        <f>'Daily CEM-1'!G10</f>
        <v>0</v>
      </c>
      <c r="AP9" s="60" t="e">
        <f t="shared" si="14"/>
        <v>#DIV/0!</v>
      </c>
      <c r="AQ9" s="37">
        <f>'Daily  CEM - 2'!H10</f>
        <v>16.8</v>
      </c>
      <c r="AR9" s="33">
        <f>'Daily  CEM - 2'!C10</f>
        <v>1000</v>
      </c>
      <c r="AS9" s="34">
        <f t="shared" si="6"/>
        <v>59.523809523809518</v>
      </c>
      <c r="AT9" s="37">
        <f>'Daily  CEM - 2'!I10</f>
        <v>0</v>
      </c>
      <c r="AU9" s="33">
        <f>'Daily  CEM - 2'!D10</f>
        <v>0</v>
      </c>
      <c r="AV9" s="34" t="e">
        <f t="shared" si="7"/>
        <v>#DIV/0!</v>
      </c>
      <c r="AW9" s="61">
        <f>'Daily  CEM - 2'!J10</f>
        <v>0</v>
      </c>
      <c r="AX9" s="61">
        <f>'Daily  CEM - 2'!E10</f>
        <v>0</v>
      </c>
      <c r="AY9" s="197" t="e">
        <f t="shared" si="15"/>
        <v>#DIV/0!</v>
      </c>
      <c r="AZ9" s="61">
        <f>'Daily  CEM - 2'!K10</f>
        <v>2.58</v>
      </c>
      <c r="BA9" s="61">
        <f>'Daily  CEM - 2'!F10</f>
        <v>150</v>
      </c>
      <c r="BB9" s="60">
        <f t="shared" si="16"/>
        <v>58.139534883720927</v>
      </c>
      <c r="BC9" s="61">
        <f>'Daily  CEM - 2'!L10</f>
        <v>4</v>
      </c>
      <c r="BD9" s="61">
        <f>'Daily  CEM - 2'!G10</f>
        <v>245</v>
      </c>
      <c r="BE9" s="60">
        <f t="shared" si="17"/>
        <v>61.25</v>
      </c>
      <c r="BF9" s="16">
        <f t="shared" si="18"/>
        <v>2288.4279999999799</v>
      </c>
      <c r="BG9" s="36">
        <f t="shared" si="19"/>
        <v>1950</v>
      </c>
      <c r="BH9" s="1">
        <v>1646.5</v>
      </c>
      <c r="BI9" s="18">
        <f>BF9+BG9-BH9-'Internal use cement'!F9</f>
        <v>2591.9279999999799</v>
      </c>
      <c r="BJ9" s="16">
        <f t="shared" si="20"/>
        <v>161.29999999999995</v>
      </c>
      <c r="BK9" s="36">
        <f t="shared" si="21"/>
        <v>0</v>
      </c>
      <c r="BL9" s="1">
        <v>30</v>
      </c>
      <c r="BM9" s="18">
        <f>BJ9+BK9-BL9-'Internal use cement'!AB9</f>
        <v>131.29999999999995</v>
      </c>
      <c r="BN9" s="18">
        <f t="shared" si="39"/>
        <v>1.9400000000008499</v>
      </c>
      <c r="BO9" s="63">
        <f t="shared" si="45"/>
        <v>0</v>
      </c>
      <c r="BP9" s="1">
        <v>0</v>
      </c>
      <c r="BQ9" s="66">
        <f>BN9+BO9-BP9-'Internal use cement'!Q9</f>
        <v>1.9400000000008499</v>
      </c>
      <c r="BR9" s="18">
        <f t="shared" si="40"/>
        <v>156.30000000000001</v>
      </c>
      <c r="BS9" s="63">
        <f t="shared" si="23"/>
        <v>150</v>
      </c>
      <c r="BT9" s="1">
        <v>92</v>
      </c>
      <c r="BU9" s="66">
        <f>BR9+BS9-BT9-'Internal use cement'!AG9</f>
        <v>214.3</v>
      </c>
      <c r="BV9" s="66">
        <f t="shared" si="41"/>
        <v>486.8900000000001</v>
      </c>
      <c r="BW9" s="34">
        <f t="shared" si="24"/>
        <v>245</v>
      </c>
      <c r="BX9" s="15">
        <v>211.76</v>
      </c>
      <c r="BY9" s="66">
        <f t="shared" si="25"/>
        <v>520.13000000000011</v>
      </c>
      <c r="BZ9" s="1">
        <v>1434</v>
      </c>
      <c r="CA9" s="1">
        <v>2072</v>
      </c>
      <c r="CB9" s="1">
        <v>152</v>
      </c>
      <c r="CC9" s="1">
        <f>SUM(BZ9:CB9)</f>
        <v>3658</v>
      </c>
      <c r="CD9" s="15">
        <f t="shared" si="26"/>
        <v>3459.5979999999813</v>
      </c>
      <c r="CE9" s="271">
        <f>CC9-CD9</f>
        <v>198.40200000001869</v>
      </c>
      <c r="CF9" s="15">
        <f t="shared" si="27"/>
        <v>1980.26</v>
      </c>
      <c r="CG9" s="15">
        <f t="shared" si="28"/>
        <v>2345</v>
      </c>
      <c r="CH9" s="272">
        <f t="shared" si="29"/>
        <v>1156.0799831624809</v>
      </c>
      <c r="CJ9" s="52">
        <f t="shared" si="8"/>
        <v>15.62</v>
      </c>
      <c r="CK9" s="1">
        <v>7</v>
      </c>
      <c r="CL9" s="1">
        <f t="shared" si="30"/>
        <v>1.8999999999999986</v>
      </c>
      <c r="CM9" s="1">
        <f t="shared" si="31"/>
        <v>5</v>
      </c>
      <c r="CN9" s="15">
        <f t="shared" si="32"/>
        <v>8.3800000000000008</v>
      </c>
      <c r="CO9" s="15">
        <f t="shared" si="33"/>
        <v>0.61999999999999744</v>
      </c>
      <c r="CP9" s="1">
        <f t="shared" si="34"/>
        <v>0</v>
      </c>
      <c r="CQ9" s="2">
        <v>7</v>
      </c>
      <c r="CR9" s="15">
        <f t="shared" si="35"/>
        <v>1000</v>
      </c>
      <c r="CS9" s="15">
        <f>'Daily CEM-1'!H10+'Daily CEM-1'!I10+'Daily CEM-1'!J10+'Daily CEM-1'!K10+'Daily CEM-1'!L10</f>
        <v>15.62</v>
      </c>
      <c r="CT9" s="15">
        <f>AQ9+AT9+AW9+'Daily  CEM - 2'!K10+'Daily  CEM - 2'!L10</f>
        <v>23.380000000000003</v>
      </c>
      <c r="CU9" s="52">
        <f t="shared" si="36"/>
        <v>8.3800000000000008</v>
      </c>
      <c r="CW9" s="52">
        <f t="shared" si="37"/>
        <v>3056.4</v>
      </c>
      <c r="CX9" s="52"/>
    </row>
    <row r="10" spans="2:102" x14ac:dyDescent="0.25">
      <c r="B10" s="4">
        <v>8</v>
      </c>
      <c r="C10" s="1">
        <v>14.23</v>
      </c>
      <c r="D10" s="34">
        <f>'Mines (2)'!D10+'Mines (2)'!I10+'Mines (2)'!W10+'Mines (2)'!AA10+'Mines (2)'!AE10</f>
        <v>2999.7999999999997</v>
      </c>
      <c r="E10" s="169">
        <f>'Mines (2)'!E10+'Mines (2)'!J10+'Mines (2)'!X10+'Mines (2)'!AB10+'Mines (2)'!AF10</f>
        <v>3312</v>
      </c>
      <c r="F10" s="34">
        <f t="shared" si="44"/>
        <v>210.80815179198873</v>
      </c>
      <c r="G10" s="1">
        <v>21.9</v>
      </c>
      <c r="H10" s="16">
        <f t="shared" si="38"/>
        <v>1753.9200168375191</v>
      </c>
      <c r="I10" s="303">
        <f t="shared" si="9"/>
        <v>1687.0000168375191</v>
      </c>
      <c r="J10" s="1">
        <v>2895</v>
      </c>
      <c r="K10" s="36">
        <f t="shared" si="0"/>
        <v>3107.75</v>
      </c>
      <c r="L10" s="36">
        <f>Clinker!EJ10*1.55</f>
        <v>3107.75</v>
      </c>
      <c r="M10" s="36">
        <v>0</v>
      </c>
      <c r="N10" s="1">
        <v>2860</v>
      </c>
      <c r="O10" s="34">
        <f t="shared" si="1"/>
        <v>130.59360730593608</v>
      </c>
      <c r="P10" s="1">
        <v>18.55</v>
      </c>
      <c r="Q10" s="1">
        <v>180.83</v>
      </c>
      <c r="R10" s="15">
        <f t="shared" si="10"/>
        <v>9.7482479784366571</v>
      </c>
      <c r="S10" s="1">
        <v>20.5</v>
      </c>
      <c r="T10" s="16">
        <f t="shared" si="11"/>
        <v>24.509999999999991</v>
      </c>
      <c r="U10" s="1">
        <v>297</v>
      </c>
      <c r="V10" s="1">
        <v>295</v>
      </c>
      <c r="W10" s="18">
        <f t="shared" si="2"/>
        <v>26.509999999999991</v>
      </c>
      <c r="X10" s="34">
        <f t="shared" si="3"/>
        <v>14.487804878048781</v>
      </c>
      <c r="Y10" s="1">
        <v>24</v>
      </c>
      <c r="Z10" s="33">
        <f>Clinker!EJ10</f>
        <v>2005</v>
      </c>
      <c r="AA10" s="34">
        <f t="shared" si="4"/>
        <v>83.541666666666671</v>
      </c>
      <c r="AB10" s="37">
        <f>'Daily CEM-1'!H11</f>
        <v>11.9</v>
      </c>
      <c r="AC10" s="33">
        <f>'Daily CEM-1'!C11</f>
        <v>690</v>
      </c>
      <c r="AD10" s="34">
        <f t="shared" si="5"/>
        <v>57.983193277310924</v>
      </c>
      <c r="AE10" s="37">
        <f>'Daily CEM-1'!I11</f>
        <v>0</v>
      </c>
      <c r="AF10" s="33">
        <f>'Daily CEM-1'!D11</f>
        <v>0</v>
      </c>
      <c r="AG10" s="34" t="e">
        <f t="shared" si="12"/>
        <v>#DIV/0!</v>
      </c>
      <c r="AH10" s="61">
        <f>'Daily CEM-1'!J11</f>
        <v>0</v>
      </c>
      <c r="AI10" s="61">
        <f>'Daily CEM-1'!E11</f>
        <v>0</v>
      </c>
      <c r="AJ10" s="61"/>
      <c r="AK10" s="61">
        <f>'Daily CEM-1'!K11</f>
        <v>0</v>
      </c>
      <c r="AL10" s="61">
        <f>'Daily CEM-1'!F11</f>
        <v>0</v>
      </c>
      <c r="AM10" s="61" t="e">
        <f t="shared" si="13"/>
        <v>#DIV/0!</v>
      </c>
      <c r="AN10" s="60">
        <f>'Daily CEM-1'!L11</f>
        <v>3.35</v>
      </c>
      <c r="AO10" s="60">
        <f>'Daily CEM-1'!G11</f>
        <v>200</v>
      </c>
      <c r="AP10" s="60">
        <f t="shared" si="14"/>
        <v>59.701492537313435</v>
      </c>
      <c r="AQ10" s="37">
        <f>'Daily  CEM - 2'!H11</f>
        <v>9.73</v>
      </c>
      <c r="AR10" s="33">
        <f>'Daily  CEM - 2'!C11</f>
        <v>560</v>
      </c>
      <c r="AS10" s="34">
        <f t="shared" si="6"/>
        <v>57.553956834532372</v>
      </c>
      <c r="AT10" s="37">
        <f>'Daily  CEM - 2'!I11</f>
        <v>0</v>
      </c>
      <c r="AU10" s="33">
        <f>'Daily  CEM - 2'!D11</f>
        <v>0</v>
      </c>
      <c r="AV10" s="34" t="e">
        <f t="shared" si="7"/>
        <v>#DIV/0!</v>
      </c>
      <c r="AW10" s="61">
        <f>'Daily  CEM - 2'!J11</f>
        <v>0</v>
      </c>
      <c r="AX10" s="61">
        <f>'Daily  CEM - 2'!E11</f>
        <v>0</v>
      </c>
      <c r="AY10" s="197" t="e">
        <f t="shared" si="15"/>
        <v>#DIV/0!</v>
      </c>
      <c r="AZ10" s="61">
        <f>'Daily  CEM - 2'!K11</f>
        <v>2.2000000000000002</v>
      </c>
      <c r="BA10" s="61">
        <f>'Daily  CEM - 2'!F11</f>
        <v>120</v>
      </c>
      <c r="BB10" s="60">
        <f t="shared" si="16"/>
        <v>54.54545454545454</v>
      </c>
      <c r="BC10" s="61">
        <f>'Daily  CEM - 2'!L11</f>
        <v>0</v>
      </c>
      <c r="BD10" s="61">
        <f>'Daily  CEM - 2'!G11</f>
        <v>0</v>
      </c>
      <c r="BE10" s="60" t="e">
        <f t="shared" si="17"/>
        <v>#DIV/0!</v>
      </c>
      <c r="BF10" s="16">
        <f t="shared" si="18"/>
        <v>2591.9279999999799</v>
      </c>
      <c r="BG10" s="36">
        <f t="shared" si="19"/>
        <v>1250</v>
      </c>
      <c r="BH10" s="1">
        <v>1045.5</v>
      </c>
      <c r="BI10" s="18">
        <f>BF10+BG10-BH10-'Internal use cement'!F10</f>
        <v>2796.4279999999799</v>
      </c>
      <c r="BJ10" s="16">
        <f t="shared" si="20"/>
        <v>131.29999999999995</v>
      </c>
      <c r="BK10" s="36">
        <f t="shared" si="21"/>
        <v>0</v>
      </c>
      <c r="BL10" s="1">
        <v>12.5</v>
      </c>
      <c r="BM10" s="18">
        <f>BJ10+BK10-BL10-'Internal use cement'!AB10</f>
        <v>118.79999999999995</v>
      </c>
      <c r="BN10" s="18">
        <f t="shared" si="39"/>
        <v>1.9400000000008499</v>
      </c>
      <c r="BO10" s="63">
        <f t="shared" si="45"/>
        <v>0</v>
      </c>
      <c r="BP10" s="1">
        <v>0</v>
      </c>
      <c r="BQ10" s="66">
        <f>BN10+BO10-BP10-'Internal use cement'!Q10</f>
        <v>1.9400000000008499</v>
      </c>
      <c r="BR10" s="18">
        <f t="shared" si="40"/>
        <v>214.3</v>
      </c>
      <c r="BS10" s="63">
        <f t="shared" si="23"/>
        <v>120</v>
      </c>
      <c r="BT10" s="1">
        <v>92</v>
      </c>
      <c r="BU10" s="66">
        <f>BR10+BS10-BT10-'Internal use cement'!AG10</f>
        <v>242.3</v>
      </c>
      <c r="BV10" s="66">
        <f t="shared" si="41"/>
        <v>520.13000000000011</v>
      </c>
      <c r="BW10" s="34">
        <f t="shared" si="24"/>
        <v>200</v>
      </c>
      <c r="BX10" s="15">
        <v>211.92</v>
      </c>
      <c r="BY10" s="66">
        <f t="shared" si="25"/>
        <v>508.21000000000015</v>
      </c>
      <c r="BZ10" s="1">
        <v>1890</v>
      </c>
      <c r="CA10" s="1">
        <v>1926</v>
      </c>
      <c r="CB10" s="1">
        <v>193</v>
      </c>
      <c r="CC10" s="1">
        <f t="shared" si="42"/>
        <v>4009</v>
      </c>
      <c r="CD10" s="15">
        <f t="shared" si="26"/>
        <v>3667.6779999999812</v>
      </c>
      <c r="CE10" s="272">
        <f>CC10-CD10</f>
        <v>341.32200000001876</v>
      </c>
      <c r="CF10" s="15">
        <f t="shared" si="27"/>
        <v>1361.92</v>
      </c>
      <c r="CG10" s="15">
        <f t="shared" si="28"/>
        <v>1570</v>
      </c>
      <c r="CH10" s="272">
        <f t="shared" si="29"/>
        <v>1207.9999831624809</v>
      </c>
      <c r="CJ10" s="52">
        <f t="shared" si="8"/>
        <v>11.9</v>
      </c>
      <c r="CK10" s="1">
        <v>8</v>
      </c>
      <c r="CL10" s="1">
        <f t="shared" si="30"/>
        <v>2.1000000000000014</v>
      </c>
      <c r="CM10" s="1">
        <f t="shared" si="31"/>
        <v>3.5</v>
      </c>
      <c r="CN10" s="15">
        <f t="shared" si="32"/>
        <v>8.75</v>
      </c>
      <c r="CO10" s="15">
        <f t="shared" si="33"/>
        <v>12.07</v>
      </c>
      <c r="CP10" s="1">
        <f t="shared" si="34"/>
        <v>0</v>
      </c>
      <c r="CQ10" s="2">
        <v>8</v>
      </c>
      <c r="CR10" s="15">
        <f t="shared" si="35"/>
        <v>560</v>
      </c>
      <c r="CS10" s="15">
        <f>'Daily CEM-1'!H11+'Daily CEM-1'!I11+'Daily CEM-1'!J11+'Daily CEM-1'!K11+'Daily CEM-1'!L11</f>
        <v>15.25</v>
      </c>
      <c r="CT10" s="15">
        <f>AQ10+AT10+AW10+'Daily  CEM - 2'!K11+'Daily  CEM - 2'!L11</f>
        <v>11.93</v>
      </c>
      <c r="CU10" s="52">
        <f t="shared" si="36"/>
        <v>8.75</v>
      </c>
      <c r="CW10" s="52">
        <f t="shared" si="37"/>
        <v>3040.83</v>
      </c>
      <c r="CX10" s="52"/>
    </row>
    <row r="11" spans="2:102" x14ac:dyDescent="0.25">
      <c r="B11" s="4">
        <v>9</v>
      </c>
      <c r="C11" s="1">
        <v>19.28</v>
      </c>
      <c r="D11" s="34">
        <f>'Mines (2)'!D11+'Mines (2)'!I11+'Mines (2)'!W11+'Mines (2)'!AA11+'Mines (2)'!AE11</f>
        <v>3157.38</v>
      </c>
      <c r="E11" s="169">
        <f>'Mines (2)'!E11+'Mines (2)'!J11+'Mines (2)'!X11+'Mines (2)'!AB11+'Mines (2)'!AF11</f>
        <v>2743</v>
      </c>
      <c r="F11" s="34">
        <f t="shared" si="44"/>
        <v>163.76452282157675</v>
      </c>
      <c r="G11" s="1">
        <v>18.73</v>
      </c>
      <c r="H11" s="16">
        <f t="shared" si="38"/>
        <v>1687.0000168375191</v>
      </c>
      <c r="I11" s="303">
        <f t="shared" si="9"/>
        <v>1441.3800168375192</v>
      </c>
      <c r="J11" s="1">
        <v>2603</v>
      </c>
      <c r="K11" s="36">
        <f t="shared" si="0"/>
        <v>2774.5</v>
      </c>
      <c r="L11" s="36">
        <f>Clinker!EJ11*1.55</f>
        <v>2774.5</v>
      </c>
      <c r="M11" s="36">
        <v>0</v>
      </c>
      <c r="N11" s="1">
        <v>2453</v>
      </c>
      <c r="O11" s="34">
        <f t="shared" si="1"/>
        <v>130.96636412172984</v>
      </c>
      <c r="P11" s="1">
        <v>8</v>
      </c>
      <c r="Q11" s="1">
        <v>75.88</v>
      </c>
      <c r="R11" s="15">
        <f t="shared" si="10"/>
        <v>9.4849999999999994</v>
      </c>
      <c r="S11" s="1">
        <v>18.84</v>
      </c>
      <c r="T11" s="16">
        <f t="shared" si="11"/>
        <v>26.509999999999991</v>
      </c>
      <c r="U11" s="1">
        <v>274</v>
      </c>
      <c r="V11" s="1">
        <v>265</v>
      </c>
      <c r="W11" s="18">
        <f t="shared" si="2"/>
        <v>35.509999999999991</v>
      </c>
      <c r="X11" s="34">
        <f>U11/S11</f>
        <v>14.543524416135881</v>
      </c>
      <c r="Y11" s="1">
        <v>21.79</v>
      </c>
      <c r="Z11" s="33">
        <f>Clinker!EJ11</f>
        <v>1790</v>
      </c>
      <c r="AA11" s="34">
        <f t="shared" si="4"/>
        <v>82.147774208352459</v>
      </c>
      <c r="AB11" s="37">
        <f>'Daily CEM-1'!H12</f>
        <v>0</v>
      </c>
      <c r="AC11" s="33">
        <f>'Daily CEM-1'!C12</f>
        <v>0</v>
      </c>
      <c r="AD11" s="34" t="e">
        <f t="shared" si="5"/>
        <v>#DIV/0!</v>
      </c>
      <c r="AE11" s="37">
        <f>'Daily CEM-1'!I12</f>
        <v>3</v>
      </c>
      <c r="AF11" s="33">
        <f>'Daily CEM-1'!D12</f>
        <v>190</v>
      </c>
      <c r="AG11" s="34">
        <f t="shared" si="12"/>
        <v>63.333333333333336</v>
      </c>
      <c r="AH11" s="61">
        <f>'Daily CEM-1'!J12</f>
        <v>0</v>
      </c>
      <c r="AI11" s="61">
        <f>'Daily CEM-1'!E12</f>
        <v>0</v>
      </c>
      <c r="AJ11" s="61"/>
      <c r="AK11" s="61">
        <f>'Daily CEM-1'!K12</f>
        <v>0</v>
      </c>
      <c r="AL11" s="61">
        <f>'Daily CEM-1'!F12</f>
        <v>0</v>
      </c>
      <c r="AM11" s="61" t="e">
        <f t="shared" si="13"/>
        <v>#DIV/0!</v>
      </c>
      <c r="AN11" s="60">
        <f>'Daily CEM-1'!L12</f>
        <v>0</v>
      </c>
      <c r="AO11" s="60">
        <f>'Daily CEM-1'!G12</f>
        <v>0</v>
      </c>
      <c r="AP11" s="60" t="e">
        <f t="shared" si="14"/>
        <v>#DIV/0!</v>
      </c>
      <c r="AQ11" s="37">
        <f>'Daily  CEM - 2'!H12</f>
        <v>18</v>
      </c>
      <c r="AR11" s="33">
        <f>'Daily  CEM - 2'!C12</f>
        <v>1029</v>
      </c>
      <c r="AS11" s="34">
        <f t="shared" si="6"/>
        <v>57.166666666666664</v>
      </c>
      <c r="AT11" s="37">
        <f>'Daily  CEM - 2'!I12</f>
        <v>3</v>
      </c>
      <c r="AU11" s="33">
        <f>'Daily  CEM - 2'!D12</f>
        <v>175</v>
      </c>
      <c r="AV11" s="34">
        <f t="shared" si="7"/>
        <v>58.333333333333336</v>
      </c>
      <c r="AW11" s="61">
        <f>'Daily  CEM - 2'!J12</f>
        <v>0</v>
      </c>
      <c r="AX11" s="61">
        <f>'Daily  CEM - 2'!E12</f>
        <v>0</v>
      </c>
      <c r="AY11" s="197" t="e">
        <f t="shared" si="15"/>
        <v>#DIV/0!</v>
      </c>
      <c r="AZ11" s="61">
        <f>'Daily  CEM - 2'!K12</f>
        <v>3</v>
      </c>
      <c r="BA11" s="61">
        <f>'Daily  CEM - 2'!F12</f>
        <v>165</v>
      </c>
      <c r="BB11" s="60">
        <f t="shared" si="16"/>
        <v>55</v>
      </c>
      <c r="BC11" s="61">
        <f>'Daily  CEM - 2'!L12</f>
        <v>0</v>
      </c>
      <c r="BD11" s="61">
        <f>'Daily  CEM - 2'!G12</f>
        <v>0</v>
      </c>
      <c r="BE11" s="60" t="e">
        <f t="shared" si="17"/>
        <v>#DIV/0!</v>
      </c>
      <c r="BF11" s="16">
        <f t="shared" si="18"/>
        <v>2796.4279999999799</v>
      </c>
      <c r="BG11" s="36">
        <f t="shared" si="19"/>
        <v>1029</v>
      </c>
      <c r="BH11" s="1">
        <v>754.5</v>
      </c>
      <c r="BI11" s="18">
        <f>BF11+BG11-BH11-'Internal use cement'!F11</f>
        <v>3070.9279999999799</v>
      </c>
      <c r="BJ11" s="16">
        <f t="shared" si="20"/>
        <v>118.79999999999995</v>
      </c>
      <c r="BK11" s="36">
        <f t="shared" si="21"/>
        <v>365</v>
      </c>
      <c r="BL11" s="1">
        <v>0</v>
      </c>
      <c r="BM11" s="18">
        <f>BJ11+BK11-BL11-'Internal use cement'!AB11</f>
        <v>483.79999999999995</v>
      </c>
      <c r="BN11" s="18">
        <f t="shared" si="39"/>
        <v>1.9400000000008499</v>
      </c>
      <c r="BO11" s="63">
        <f t="shared" si="45"/>
        <v>0</v>
      </c>
      <c r="BP11" s="322">
        <v>-0.15</v>
      </c>
      <c r="BQ11" s="66">
        <f>BN11+BO11-BP11-'Internal use cement'!Q11</f>
        <v>2.0900000000008498</v>
      </c>
      <c r="BR11" s="18">
        <f t="shared" si="40"/>
        <v>242.3</v>
      </c>
      <c r="BS11" s="63">
        <f t="shared" si="23"/>
        <v>165</v>
      </c>
      <c r="BT11" s="1">
        <v>120</v>
      </c>
      <c r="BU11" s="66">
        <f>BR11+BS11-BT11-'Internal use cement'!AG11</f>
        <v>287.3</v>
      </c>
      <c r="BV11" s="66">
        <f t="shared" si="41"/>
        <v>508.21000000000015</v>
      </c>
      <c r="BW11" s="34">
        <f t="shared" si="24"/>
        <v>0</v>
      </c>
      <c r="BX11" s="15">
        <v>152</v>
      </c>
      <c r="BY11" s="66">
        <f t="shared" si="25"/>
        <v>356.21000000000015</v>
      </c>
      <c r="BZ11" s="1">
        <v>1727</v>
      </c>
      <c r="CA11" s="1">
        <v>2474</v>
      </c>
      <c r="CB11" s="1">
        <v>166</v>
      </c>
      <c r="CC11" s="1">
        <f t="shared" si="42"/>
        <v>4367</v>
      </c>
      <c r="CD11" s="15">
        <f t="shared" si="26"/>
        <v>4200.3279999999813</v>
      </c>
      <c r="CE11" s="271">
        <f t="shared" ref="CE11:CE28" si="46">CC11-CD11</f>
        <v>166.67200000001867</v>
      </c>
      <c r="CF11" s="15">
        <f t="shared" si="27"/>
        <v>1026.3499999999999</v>
      </c>
      <c r="CG11" s="15">
        <f t="shared" si="28"/>
        <v>1559</v>
      </c>
      <c r="CH11" s="272">
        <f t="shared" si="29"/>
        <v>1161.6199831624808</v>
      </c>
      <c r="CJ11" s="52">
        <f t="shared" si="8"/>
        <v>3</v>
      </c>
      <c r="CK11" s="1">
        <v>9</v>
      </c>
      <c r="CL11" s="1">
        <f t="shared" si="30"/>
        <v>5.27</v>
      </c>
      <c r="CM11" s="1">
        <f t="shared" si="31"/>
        <v>5.16</v>
      </c>
      <c r="CN11" s="15">
        <f t="shared" si="32"/>
        <v>21</v>
      </c>
      <c r="CO11" s="15">
        <f t="shared" si="33"/>
        <v>0</v>
      </c>
      <c r="CP11" s="1">
        <f t="shared" si="34"/>
        <v>2.2100000000000009</v>
      </c>
      <c r="CQ11" s="2">
        <v>9</v>
      </c>
      <c r="CR11" s="15">
        <f t="shared" si="35"/>
        <v>1204</v>
      </c>
      <c r="CS11" s="15">
        <f>'Daily CEM-1'!H12+'Daily CEM-1'!I12+'Daily CEM-1'!J12+'Daily CEM-1'!K12+'Daily CEM-1'!L12</f>
        <v>3</v>
      </c>
      <c r="CT11" s="15">
        <f>AQ11+AT11+AW11+'Daily  CEM - 2'!K12+'Daily  CEM - 2'!L12</f>
        <v>24</v>
      </c>
      <c r="CU11" s="52">
        <f t="shared" si="36"/>
        <v>21</v>
      </c>
      <c r="CW11" s="52">
        <f t="shared" si="37"/>
        <v>2528.88</v>
      </c>
      <c r="CX11" s="52"/>
    </row>
    <row r="12" spans="2:102" x14ac:dyDescent="0.25">
      <c r="B12" s="4">
        <v>10</v>
      </c>
      <c r="C12" s="1">
        <v>19.88</v>
      </c>
      <c r="D12" s="34">
        <f>'Mines (2)'!D12+'Mines (2)'!I12+'Mines (2)'!W12+'Mines (2)'!AA12+'Mines (2)'!AE12</f>
        <v>2760.6</v>
      </c>
      <c r="E12" s="169">
        <f>'Mines (2)'!E12+'Mines (2)'!J12+'Mines (2)'!X12+'Mines (2)'!AB12+'Mines (2)'!AF12</f>
        <v>3150</v>
      </c>
      <c r="F12" s="34">
        <f t="shared" si="44"/>
        <v>138.86317907444669</v>
      </c>
      <c r="G12" s="1">
        <v>20.3</v>
      </c>
      <c r="H12" s="16">
        <f t="shared" si="38"/>
        <v>1441.3800168375192</v>
      </c>
      <c r="I12" s="303">
        <f t="shared" si="9"/>
        <v>1385.3000168375193</v>
      </c>
      <c r="J12" s="1">
        <v>2603</v>
      </c>
      <c r="K12" s="36">
        <f t="shared" si="0"/>
        <v>2960.5</v>
      </c>
      <c r="L12" s="36">
        <f>Clinker!EJ12*1.55</f>
        <v>2960.5</v>
      </c>
      <c r="M12" s="36">
        <v>0</v>
      </c>
      <c r="N12" s="1">
        <v>2669</v>
      </c>
      <c r="O12" s="34">
        <f t="shared" si="1"/>
        <v>131.47783251231527</v>
      </c>
      <c r="P12" s="1">
        <v>24</v>
      </c>
      <c r="Q12" s="1">
        <v>235.42</v>
      </c>
      <c r="R12" s="15">
        <f t="shared" si="10"/>
        <v>9.8091666666666661</v>
      </c>
      <c r="S12" s="1">
        <v>17</v>
      </c>
      <c r="T12" s="16">
        <f t="shared" si="11"/>
        <v>35.509999999999991</v>
      </c>
      <c r="U12" s="1">
        <v>270</v>
      </c>
      <c r="V12" s="1">
        <v>281</v>
      </c>
      <c r="W12" s="18">
        <f t="shared" si="2"/>
        <v>24.509999999999991</v>
      </c>
      <c r="X12" s="34">
        <f t="shared" si="3"/>
        <v>15.882352941176471</v>
      </c>
      <c r="Y12" s="1">
        <v>23.5</v>
      </c>
      <c r="Z12" s="33">
        <f>Clinker!EJ12</f>
        <v>1910</v>
      </c>
      <c r="AA12" s="34">
        <f t="shared" si="4"/>
        <v>81.276595744680847</v>
      </c>
      <c r="AB12" s="37">
        <f>'Daily CEM-1'!H13</f>
        <v>0</v>
      </c>
      <c r="AC12" s="33">
        <f>'Daily CEM-1'!C13</f>
        <v>0</v>
      </c>
      <c r="AD12" s="34" t="e">
        <f t="shared" si="5"/>
        <v>#DIV/0!</v>
      </c>
      <c r="AE12" s="37">
        <f>'Daily CEM-1'!I13</f>
        <v>0</v>
      </c>
      <c r="AF12" s="33">
        <f>'Daily CEM-1'!D13</f>
        <v>0</v>
      </c>
      <c r="AG12" s="34" t="e">
        <f t="shared" si="12"/>
        <v>#DIV/0!</v>
      </c>
      <c r="AH12" s="61">
        <f>'Daily CEM-1'!J13</f>
        <v>0</v>
      </c>
      <c r="AI12" s="61">
        <f>'Daily CEM-1'!E13</f>
        <v>0</v>
      </c>
      <c r="AJ12" s="61"/>
      <c r="AK12" s="61">
        <f>'Daily CEM-1'!K13</f>
        <v>0</v>
      </c>
      <c r="AL12" s="61">
        <f>'Daily CEM-1'!F13</f>
        <v>0</v>
      </c>
      <c r="AM12" s="61" t="e">
        <f t="shared" si="13"/>
        <v>#DIV/0!</v>
      </c>
      <c r="AN12" s="60">
        <f>'Daily CEM-1'!L13</f>
        <v>0</v>
      </c>
      <c r="AO12" s="60">
        <f>'Daily CEM-1'!G13</f>
        <v>0</v>
      </c>
      <c r="AP12" s="60" t="e">
        <f t="shared" si="14"/>
        <v>#DIV/0!</v>
      </c>
      <c r="AQ12" s="37">
        <f>'Daily  CEM - 2'!H13</f>
        <v>18</v>
      </c>
      <c r="AR12" s="33">
        <f>'Daily  CEM - 2'!C13</f>
        <v>1103</v>
      </c>
      <c r="AS12" s="34">
        <f t="shared" si="6"/>
        <v>61.277777777777779</v>
      </c>
      <c r="AT12" s="37">
        <f>'Daily  CEM - 2'!I13</f>
        <v>3</v>
      </c>
      <c r="AU12" s="33">
        <f>'Daily  CEM - 2'!D13</f>
        <v>195</v>
      </c>
      <c r="AV12" s="34">
        <f t="shared" si="7"/>
        <v>65</v>
      </c>
      <c r="AW12" s="61">
        <f>'Daily  CEM - 2'!J13</f>
        <v>0</v>
      </c>
      <c r="AX12" s="61">
        <f>'Daily  CEM - 2'!E13</f>
        <v>0</v>
      </c>
      <c r="AY12" s="197" t="e">
        <f t="shared" si="15"/>
        <v>#DIV/0!</v>
      </c>
      <c r="AZ12" s="61">
        <f>'Daily  CEM - 2'!K13</f>
        <v>0</v>
      </c>
      <c r="BA12" s="61">
        <f>'Daily  CEM - 2'!F13</f>
        <v>0</v>
      </c>
      <c r="BB12" s="60" t="e">
        <f t="shared" si="16"/>
        <v>#DIV/0!</v>
      </c>
      <c r="BC12" s="61">
        <f>'Daily  CEM - 2'!L13</f>
        <v>3</v>
      </c>
      <c r="BD12" s="61">
        <f>'Daily  CEM - 2'!G13</f>
        <v>192</v>
      </c>
      <c r="BE12" s="60">
        <f t="shared" si="17"/>
        <v>64</v>
      </c>
      <c r="BF12" s="16">
        <f t="shared" si="18"/>
        <v>3070.9279999999799</v>
      </c>
      <c r="BG12" s="36">
        <f t="shared" si="19"/>
        <v>1103</v>
      </c>
      <c r="BH12" s="1">
        <v>1354.5</v>
      </c>
      <c r="BI12" s="18">
        <f>BF12+BG12-BH12-'Internal use cement'!F12</f>
        <v>2819.4279999999799</v>
      </c>
      <c r="BJ12" s="16">
        <f t="shared" si="20"/>
        <v>483.79999999999995</v>
      </c>
      <c r="BK12" s="36">
        <f t="shared" si="21"/>
        <v>195</v>
      </c>
      <c r="BL12" s="1">
        <v>283</v>
      </c>
      <c r="BM12" s="18">
        <f>BJ12+BK12-BL12-'Internal use cement'!AB12</f>
        <v>395.79999999999995</v>
      </c>
      <c r="BN12" s="18">
        <f t="shared" si="39"/>
        <v>2.0900000000008498</v>
      </c>
      <c r="BO12" s="63">
        <f t="shared" si="45"/>
        <v>0</v>
      </c>
      <c r="BP12" s="1">
        <v>0</v>
      </c>
      <c r="BQ12" s="66">
        <f>BN12+BO12-BP12-'Internal use cement'!Q12</f>
        <v>2.0900000000008498</v>
      </c>
      <c r="BR12" s="18">
        <f t="shared" si="40"/>
        <v>287.3</v>
      </c>
      <c r="BS12" s="63">
        <f t="shared" si="23"/>
        <v>0</v>
      </c>
      <c r="BT12" s="1">
        <v>90</v>
      </c>
      <c r="BU12" s="66">
        <f>BR12+BS12-BT12-'Internal use cement'!AG12</f>
        <v>197.3</v>
      </c>
      <c r="BV12" s="66">
        <f t="shared" si="41"/>
        <v>356.21000000000015</v>
      </c>
      <c r="BW12" s="34">
        <f t="shared" si="24"/>
        <v>192</v>
      </c>
      <c r="BX12" s="15">
        <v>92.5</v>
      </c>
      <c r="BY12" s="66">
        <f t="shared" si="25"/>
        <v>455.71000000000015</v>
      </c>
      <c r="BZ12" s="1">
        <v>1584</v>
      </c>
      <c r="CA12" s="1">
        <v>1950</v>
      </c>
      <c r="CB12" s="1">
        <v>152</v>
      </c>
      <c r="CC12" s="1">
        <f>SUM(BZ12:CB12)</f>
        <v>3686</v>
      </c>
      <c r="CD12" s="15">
        <f t="shared" si="26"/>
        <v>3870.3279999999813</v>
      </c>
      <c r="CE12" s="272">
        <f>CC12-CD12</f>
        <v>-184.32799999998133</v>
      </c>
      <c r="CF12" s="15">
        <f t="shared" si="27"/>
        <v>1820</v>
      </c>
      <c r="CG12" s="15">
        <f t="shared" si="28"/>
        <v>1490</v>
      </c>
      <c r="CH12" s="272">
        <f t="shared" si="29"/>
        <v>1217.6999831624807</v>
      </c>
      <c r="CJ12" s="52">
        <f t="shared" si="8"/>
        <v>0</v>
      </c>
      <c r="CK12" s="1">
        <v>10</v>
      </c>
      <c r="CL12" s="1">
        <f t="shared" si="30"/>
        <v>3.6999999999999993</v>
      </c>
      <c r="CM12" s="1">
        <f t="shared" si="31"/>
        <v>7</v>
      </c>
      <c r="CN12" s="15">
        <f t="shared" si="32"/>
        <v>24</v>
      </c>
      <c r="CO12" s="15">
        <f t="shared" si="33"/>
        <v>0</v>
      </c>
      <c r="CP12" s="1">
        <f t="shared" si="34"/>
        <v>0.5</v>
      </c>
      <c r="CQ12" s="2">
        <v>10</v>
      </c>
      <c r="CR12" s="15">
        <f t="shared" si="35"/>
        <v>1298</v>
      </c>
      <c r="CS12" s="15">
        <f>'Daily CEM-1'!H13+'Daily CEM-1'!I13+'Daily CEM-1'!J13+'Daily CEM-1'!K13+'Daily CEM-1'!L13</f>
        <v>0</v>
      </c>
      <c r="CT12" s="15">
        <f>AQ12+AT12+AW12+'Daily  CEM - 2'!K13+'Daily  CEM - 2'!L13</f>
        <v>24</v>
      </c>
      <c r="CU12" s="52">
        <f t="shared" si="36"/>
        <v>24</v>
      </c>
      <c r="CW12" s="52">
        <f t="shared" si="37"/>
        <v>2904.42</v>
      </c>
      <c r="CX12" s="52"/>
    </row>
    <row r="13" spans="2:102" x14ac:dyDescent="0.25">
      <c r="B13" s="4">
        <v>11</v>
      </c>
      <c r="C13" s="1">
        <v>19.07</v>
      </c>
      <c r="D13" s="34">
        <f>'Mines (2)'!D13+'Mines (2)'!I13+'Mines (2)'!W13+'Mines (2)'!AA13+'Mines (2)'!AE13</f>
        <v>3282.3000000000015</v>
      </c>
      <c r="E13" s="169">
        <f>'Mines (2)'!E13+'Mines (2)'!J13+'Mines (2)'!X13+'Mines (2)'!AB13+'Mines (2)'!AF13</f>
        <v>2807</v>
      </c>
      <c r="F13" s="34">
        <f t="shared" si="44"/>
        <v>172.11851074986899</v>
      </c>
      <c r="G13" s="1">
        <v>19.100000000000001</v>
      </c>
      <c r="H13" s="16">
        <f t="shared" si="38"/>
        <v>1385.3000168375193</v>
      </c>
      <c r="I13" s="303">
        <f t="shared" si="9"/>
        <v>1175.8900168375194</v>
      </c>
      <c r="J13" s="1">
        <v>1543</v>
      </c>
      <c r="K13" s="36">
        <f t="shared" si="0"/>
        <v>2797.75</v>
      </c>
      <c r="L13" s="36">
        <f>Clinker!EJ13*1.55</f>
        <v>2797.75</v>
      </c>
      <c r="M13" s="36">
        <v>0</v>
      </c>
      <c r="N13" s="1">
        <v>2451</v>
      </c>
      <c r="O13" s="34">
        <f t="shared" si="1"/>
        <v>128.32460732984293</v>
      </c>
      <c r="P13" s="1">
        <v>14</v>
      </c>
      <c r="Q13" s="1">
        <v>137.34</v>
      </c>
      <c r="R13" s="15">
        <f t="shared" si="10"/>
        <v>9.81</v>
      </c>
      <c r="S13" s="1">
        <v>21.2</v>
      </c>
      <c r="T13" s="16">
        <f t="shared" si="11"/>
        <v>24.509999999999991</v>
      </c>
      <c r="U13" s="1">
        <v>296</v>
      </c>
      <c r="V13" s="1">
        <v>265</v>
      </c>
      <c r="W13" s="18">
        <f t="shared" si="2"/>
        <v>55.509999999999991</v>
      </c>
      <c r="X13" s="34">
        <f t="shared" si="3"/>
        <v>13.962264150943398</v>
      </c>
      <c r="Y13" s="1">
        <v>23.3</v>
      </c>
      <c r="Z13" s="33">
        <f>Clinker!EJ13</f>
        <v>1805</v>
      </c>
      <c r="AA13" s="34">
        <f t="shared" si="4"/>
        <v>77.467811158798284</v>
      </c>
      <c r="AB13" s="37">
        <f>'Daily CEM-1'!H14</f>
        <v>0</v>
      </c>
      <c r="AC13" s="33">
        <f>'Daily CEM-1'!C14</f>
        <v>0</v>
      </c>
      <c r="AD13" s="34" t="e">
        <f t="shared" si="5"/>
        <v>#DIV/0!</v>
      </c>
      <c r="AE13" s="37">
        <f>'Daily CEM-1'!I14</f>
        <v>0</v>
      </c>
      <c r="AF13" s="33">
        <f>'Daily CEM-1'!D14</f>
        <v>0</v>
      </c>
      <c r="AG13" s="34" t="e">
        <f t="shared" si="12"/>
        <v>#DIV/0!</v>
      </c>
      <c r="AH13" s="61">
        <f>'Daily CEM-1'!J14</f>
        <v>0</v>
      </c>
      <c r="AI13" s="61">
        <f>'Daily CEM-1'!E14</f>
        <v>0</v>
      </c>
      <c r="AJ13" s="61"/>
      <c r="AK13" s="61">
        <f>'Daily CEM-1'!K14</f>
        <v>0</v>
      </c>
      <c r="AL13" s="61">
        <f>'Daily CEM-1'!F14</f>
        <v>0</v>
      </c>
      <c r="AM13" s="61" t="e">
        <f t="shared" si="13"/>
        <v>#DIV/0!</v>
      </c>
      <c r="AN13" s="60">
        <f>'Daily CEM-1'!L14</f>
        <v>0</v>
      </c>
      <c r="AO13" s="60">
        <f>'Daily CEM-1'!G14</f>
        <v>0</v>
      </c>
      <c r="AP13" s="60" t="e">
        <f t="shared" si="14"/>
        <v>#DIV/0!</v>
      </c>
      <c r="AQ13" s="37">
        <f>'Daily  CEM - 2'!H14</f>
        <v>20.56</v>
      </c>
      <c r="AR13" s="33">
        <f>'Daily  CEM - 2'!C14</f>
        <v>1210</v>
      </c>
      <c r="AS13" s="34">
        <f t="shared" si="6"/>
        <v>58.852140077821012</v>
      </c>
      <c r="AT13" s="37">
        <f>'Daily  CEM - 2'!I14</f>
        <v>0</v>
      </c>
      <c r="AU13" s="33">
        <f>'Daily  CEM - 2'!D14</f>
        <v>0</v>
      </c>
      <c r="AV13" s="34" t="e">
        <f t="shared" si="7"/>
        <v>#DIV/0!</v>
      </c>
      <c r="AW13" s="61">
        <f>'Daily  CEM - 2'!J14</f>
        <v>0</v>
      </c>
      <c r="AX13" s="61">
        <f>'Daily  CEM - 2'!E14</f>
        <v>0</v>
      </c>
      <c r="AY13" s="197" t="e">
        <f t="shared" si="15"/>
        <v>#DIV/0!</v>
      </c>
      <c r="AZ13" s="61">
        <f>'Daily  CEM - 2'!K14</f>
        <v>0</v>
      </c>
      <c r="BA13" s="61">
        <f>'Daily  CEM - 2'!F14</f>
        <v>0</v>
      </c>
      <c r="BB13" s="60" t="e">
        <f t="shared" si="16"/>
        <v>#DIV/0!</v>
      </c>
      <c r="BC13" s="61">
        <f>'Daily  CEM - 2'!L14</f>
        <v>0</v>
      </c>
      <c r="BD13" s="61">
        <f>'Daily  CEM - 2'!G14</f>
        <v>0</v>
      </c>
      <c r="BE13" s="60" t="e">
        <f t="shared" si="17"/>
        <v>#DIV/0!</v>
      </c>
      <c r="BF13" s="16">
        <f t="shared" si="18"/>
        <v>2819.4279999999799</v>
      </c>
      <c r="BG13" s="36">
        <f t="shared" si="19"/>
        <v>1210</v>
      </c>
      <c r="BH13" s="1">
        <v>1679.75</v>
      </c>
      <c r="BI13" s="18">
        <f>BF13+BG13-BH13-'Internal use cement'!F13</f>
        <v>2349.6779999999799</v>
      </c>
      <c r="BJ13" s="16">
        <f t="shared" si="20"/>
        <v>395.79999999999995</v>
      </c>
      <c r="BK13" s="36">
        <f t="shared" si="21"/>
        <v>0</v>
      </c>
      <c r="BL13" s="1">
        <v>10</v>
      </c>
      <c r="BM13" s="18">
        <f>BJ13+BK13-BL13-'Internal use cement'!AB13</f>
        <v>385.79999999999995</v>
      </c>
      <c r="BN13" s="18">
        <f t="shared" si="39"/>
        <v>2.0900000000008498</v>
      </c>
      <c r="BO13" s="63">
        <f t="shared" si="45"/>
        <v>0</v>
      </c>
      <c r="BP13" s="1">
        <v>0</v>
      </c>
      <c r="BQ13" s="66">
        <f>BN13+BO13-BP13-'Internal use cement'!Q13</f>
        <v>2.0900000000008498</v>
      </c>
      <c r="BR13" s="18">
        <f t="shared" si="40"/>
        <v>197.3</v>
      </c>
      <c r="BS13" s="63">
        <f t="shared" si="23"/>
        <v>0</v>
      </c>
      <c r="BT13" s="1">
        <v>61</v>
      </c>
      <c r="BU13" s="66">
        <f>BR13+BS13-BT13-'Internal use cement'!AG13</f>
        <v>136.30000000000001</v>
      </c>
      <c r="BV13" s="66">
        <f t="shared" si="41"/>
        <v>455.71000000000015</v>
      </c>
      <c r="BW13" s="34">
        <f t="shared" si="24"/>
        <v>0</v>
      </c>
      <c r="BX13" s="15">
        <v>60.5</v>
      </c>
      <c r="BY13" s="66">
        <f t="shared" si="25"/>
        <v>395.21000000000015</v>
      </c>
      <c r="BZ13" s="1">
        <v>1549</v>
      </c>
      <c r="CA13" s="1">
        <v>1452</v>
      </c>
      <c r="CB13" s="1">
        <v>112</v>
      </c>
      <c r="CC13" s="1">
        <f>SUM(BZ13:CB13)</f>
        <v>3113</v>
      </c>
      <c r="CD13" s="15">
        <f>BI13+BM13+BQ13+BU13+BY13</f>
        <v>3269.0779999999813</v>
      </c>
      <c r="CE13" s="272">
        <f>CC13-CD13</f>
        <v>-156.07799999998133</v>
      </c>
      <c r="CF13" s="15">
        <f t="shared" si="27"/>
        <v>1811.25</v>
      </c>
      <c r="CG13" s="15">
        <f t="shared" si="28"/>
        <v>1210</v>
      </c>
      <c r="CH13" s="272">
        <f t="shared" si="29"/>
        <v>367.1099831624806</v>
      </c>
      <c r="CJ13" s="52">
        <f t="shared" si="8"/>
        <v>0</v>
      </c>
      <c r="CK13" s="1">
        <v>11</v>
      </c>
      <c r="CL13" s="1">
        <f t="shared" si="30"/>
        <v>4.8999999999999986</v>
      </c>
      <c r="CM13" s="1">
        <f t="shared" si="31"/>
        <v>2.8000000000000007</v>
      </c>
      <c r="CN13" s="15">
        <f t="shared" si="32"/>
        <v>24</v>
      </c>
      <c r="CO13" s="15">
        <f t="shared" si="33"/>
        <v>3.4400000000000013</v>
      </c>
      <c r="CP13" s="1">
        <f t="shared" si="34"/>
        <v>0.69999999999999929</v>
      </c>
      <c r="CQ13" s="2">
        <v>11</v>
      </c>
      <c r="CR13" s="15">
        <f t="shared" si="35"/>
        <v>1210</v>
      </c>
      <c r="CS13" s="15">
        <f>'Daily CEM-1'!H14+'Daily CEM-1'!I14+'Daily CEM-1'!J14+'Daily CEM-1'!K14+'Daily CEM-1'!L14</f>
        <v>0</v>
      </c>
      <c r="CT13" s="15">
        <f>AQ13+AT13+AW13+'Daily  CEM - 2'!K14+'Daily  CEM - 2'!L14</f>
        <v>20.56</v>
      </c>
      <c r="CU13" s="52">
        <f t="shared" si="36"/>
        <v>24</v>
      </c>
      <c r="CW13" s="52">
        <f t="shared" si="37"/>
        <v>2588.34</v>
      </c>
      <c r="CX13" s="52"/>
    </row>
    <row r="14" spans="2:102" x14ac:dyDescent="0.25">
      <c r="B14" s="4">
        <v>12</v>
      </c>
      <c r="C14" s="1">
        <v>19.43</v>
      </c>
      <c r="D14" s="34">
        <f>'Mines (2)'!D14+'Mines (2)'!I14+'Mines (2)'!W14+'Mines (2)'!AA14+'Mines (2)'!AE14</f>
        <v>2898.9399999999996</v>
      </c>
      <c r="E14" s="169">
        <f>'Mines (2)'!E14+'Mines (2)'!J14+'Mines (2)'!X14+'Mines (2)'!AB14+'Mines (2)'!AF14</f>
        <v>3141</v>
      </c>
      <c r="F14" s="34">
        <f t="shared" si="44"/>
        <v>149.1991765311374</v>
      </c>
      <c r="G14" s="1">
        <v>22</v>
      </c>
      <c r="H14" s="16">
        <f t="shared" si="38"/>
        <v>1175.8900168375194</v>
      </c>
      <c r="I14" s="303">
        <f t="shared" si="9"/>
        <v>1300.6900168375196</v>
      </c>
      <c r="J14" s="1">
        <v>1773</v>
      </c>
      <c r="K14" s="36">
        <f t="shared" si="0"/>
        <v>2790</v>
      </c>
      <c r="L14" s="36">
        <f>Clinker!EJ14*1.55</f>
        <v>2790</v>
      </c>
      <c r="M14" s="36">
        <v>0</v>
      </c>
      <c r="N14" s="1">
        <v>2790</v>
      </c>
      <c r="O14" s="34">
        <f t="shared" si="1"/>
        <v>126.81818181818181</v>
      </c>
      <c r="P14" s="1">
        <v>13.25</v>
      </c>
      <c r="Q14" s="1">
        <v>124.8</v>
      </c>
      <c r="R14" s="15">
        <f t="shared" si="10"/>
        <v>9.4188679245283016</v>
      </c>
      <c r="S14" s="1">
        <v>19</v>
      </c>
      <c r="T14" s="16">
        <f t="shared" si="11"/>
        <v>55.509999999999991</v>
      </c>
      <c r="U14" s="1">
        <v>261</v>
      </c>
      <c r="V14" s="1">
        <v>262</v>
      </c>
      <c r="W14" s="18">
        <f t="shared" si="2"/>
        <v>54.509999999999991</v>
      </c>
      <c r="X14" s="34">
        <f t="shared" si="3"/>
        <v>13.736842105263158</v>
      </c>
      <c r="Y14" s="1">
        <v>24</v>
      </c>
      <c r="Z14" s="33">
        <f>Clinker!EJ14</f>
        <v>1800</v>
      </c>
      <c r="AA14" s="34">
        <f t="shared" si="4"/>
        <v>75</v>
      </c>
      <c r="AB14" s="37">
        <f>'Daily CEM-1'!H15</f>
        <v>0</v>
      </c>
      <c r="AC14" s="33">
        <f>'Daily CEM-1'!C15</f>
        <v>0</v>
      </c>
      <c r="AD14" s="34" t="e">
        <f t="shared" si="5"/>
        <v>#DIV/0!</v>
      </c>
      <c r="AE14" s="37">
        <f>'Daily CEM-1'!I15</f>
        <v>0</v>
      </c>
      <c r="AF14" s="33">
        <f>'Daily CEM-1'!D15</f>
        <v>0</v>
      </c>
      <c r="AG14" s="34" t="e">
        <f t="shared" si="12"/>
        <v>#DIV/0!</v>
      </c>
      <c r="AH14" s="61">
        <f>'Daily CEM-1'!J15</f>
        <v>0</v>
      </c>
      <c r="AI14" s="61">
        <f>'Daily CEM-1'!E15</f>
        <v>0</v>
      </c>
      <c r="AJ14" s="61"/>
      <c r="AK14" s="61">
        <f>'Daily CEM-1'!K15</f>
        <v>0</v>
      </c>
      <c r="AL14" s="61">
        <f>'Daily CEM-1'!F15</f>
        <v>0</v>
      </c>
      <c r="AM14" s="61" t="e">
        <f t="shared" si="13"/>
        <v>#DIV/0!</v>
      </c>
      <c r="AN14" s="60">
        <f>'Daily CEM-1'!L15</f>
        <v>0</v>
      </c>
      <c r="AO14" s="60">
        <f>'Daily CEM-1'!G15</f>
        <v>0</v>
      </c>
      <c r="AP14" s="60" t="e">
        <f t="shared" si="14"/>
        <v>#DIV/0!</v>
      </c>
      <c r="AQ14" s="37">
        <f>'Daily  CEM - 2'!H15</f>
        <v>14.4</v>
      </c>
      <c r="AR14" s="33">
        <f>'Daily  CEM - 2'!C15</f>
        <v>850</v>
      </c>
      <c r="AS14" s="34">
        <f t="shared" si="6"/>
        <v>59.027777777777779</v>
      </c>
      <c r="AT14" s="37">
        <f>'Daily  CEM - 2'!I15</f>
        <v>2.5</v>
      </c>
      <c r="AU14" s="33">
        <f>'Daily  CEM - 2'!D15</f>
        <v>150</v>
      </c>
      <c r="AV14" s="34">
        <f t="shared" si="7"/>
        <v>60</v>
      </c>
      <c r="AW14" s="61">
        <f>'Daily  CEM - 2'!J15</f>
        <v>0</v>
      </c>
      <c r="AX14" s="61">
        <f>'Daily  CEM - 2'!E15</f>
        <v>0</v>
      </c>
      <c r="AY14" s="197" t="e">
        <f t="shared" si="15"/>
        <v>#DIV/0!</v>
      </c>
      <c r="AZ14" s="61">
        <f>'Daily  CEM - 2'!K15</f>
        <v>3</v>
      </c>
      <c r="BA14" s="61">
        <f>'Daily  CEM - 2'!F15</f>
        <v>175</v>
      </c>
      <c r="BB14" s="60">
        <f t="shared" si="16"/>
        <v>58.333333333333336</v>
      </c>
      <c r="BC14" s="61">
        <f>'Daily  CEM - 2'!L15</f>
        <v>4.0999999999999996</v>
      </c>
      <c r="BD14" s="61">
        <f>'Daily  CEM - 2'!G15</f>
        <v>250</v>
      </c>
      <c r="BE14" s="60">
        <f t="shared" si="17"/>
        <v>60.975609756097569</v>
      </c>
      <c r="BF14" s="16">
        <f t="shared" si="18"/>
        <v>2349.6779999999799</v>
      </c>
      <c r="BG14" s="36">
        <f t="shared" si="19"/>
        <v>850</v>
      </c>
      <c r="BH14" s="1">
        <v>1136.96</v>
      </c>
      <c r="BI14" s="18">
        <f>BF14+BG14-BH14-'Internal use cement'!F14</f>
        <v>2062.7179999999798</v>
      </c>
      <c r="BJ14" s="16">
        <f t="shared" si="20"/>
        <v>385.79999999999995</v>
      </c>
      <c r="BK14" s="36">
        <f t="shared" si="21"/>
        <v>150</v>
      </c>
      <c r="BL14" s="1">
        <v>332</v>
      </c>
      <c r="BM14" s="18">
        <f>BJ14+BK14-BL14-'Internal use cement'!AB14</f>
        <v>203.79999999999995</v>
      </c>
      <c r="BN14" s="18">
        <f t="shared" si="39"/>
        <v>2.0900000000008498</v>
      </c>
      <c r="BO14" s="63">
        <f t="shared" si="45"/>
        <v>0</v>
      </c>
      <c r="BP14" s="1">
        <v>0</v>
      </c>
      <c r="BQ14" s="66">
        <f>BN14+BO14-BP14-'Internal use cement'!Q14</f>
        <v>2.0900000000008498</v>
      </c>
      <c r="BR14" s="18">
        <f t="shared" si="40"/>
        <v>136.30000000000001</v>
      </c>
      <c r="BS14" s="63">
        <f t="shared" si="23"/>
        <v>175</v>
      </c>
      <c r="BT14" s="1">
        <v>212</v>
      </c>
      <c r="BU14" s="66">
        <f>BR14+BS14-BT14-'Internal use cement'!AG14</f>
        <v>99.300000000000011</v>
      </c>
      <c r="BV14" s="66">
        <f t="shared" si="41"/>
        <v>395.21000000000015</v>
      </c>
      <c r="BW14" s="34">
        <f t="shared" si="24"/>
        <v>250</v>
      </c>
      <c r="BX14" s="15">
        <v>245.44</v>
      </c>
      <c r="BY14" s="66">
        <f t="shared" si="25"/>
        <v>399.77000000000015</v>
      </c>
      <c r="BZ14" s="1">
        <v>1549</v>
      </c>
      <c r="CA14" s="1">
        <v>1578</v>
      </c>
      <c r="CB14" s="1">
        <v>55</v>
      </c>
      <c r="CC14" s="1">
        <f t="shared" si="42"/>
        <v>3182</v>
      </c>
      <c r="CD14" s="15">
        <f t="shared" si="26"/>
        <v>2767.6779999999812</v>
      </c>
      <c r="CE14" s="271">
        <f t="shared" si="46"/>
        <v>414.32200000001876</v>
      </c>
      <c r="CF14" s="15">
        <f t="shared" si="27"/>
        <v>1926.4</v>
      </c>
      <c r="CG14" s="15">
        <f t="shared" si="28"/>
        <v>1425</v>
      </c>
      <c r="CH14" s="272">
        <f t="shared" si="29"/>
        <v>472.30998316248042</v>
      </c>
      <c r="CJ14" s="52">
        <f t="shared" si="8"/>
        <v>0</v>
      </c>
      <c r="CK14" s="1">
        <v>12</v>
      </c>
      <c r="CL14" s="1">
        <f t="shared" si="30"/>
        <v>2</v>
      </c>
      <c r="CM14" s="1">
        <f t="shared" si="31"/>
        <v>5</v>
      </c>
      <c r="CN14" s="15">
        <f t="shared" si="32"/>
        <v>24</v>
      </c>
      <c r="CO14" s="15">
        <f t="shared" si="33"/>
        <v>0</v>
      </c>
      <c r="CP14" s="1">
        <f t="shared" si="34"/>
        <v>0</v>
      </c>
      <c r="CQ14" s="2">
        <v>12</v>
      </c>
      <c r="CR14" s="15">
        <f t="shared" si="35"/>
        <v>1000</v>
      </c>
      <c r="CS14" s="15">
        <f>'Daily CEM-1'!H15+'Daily CEM-1'!I15+'Daily CEM-1'!J15+'Daily CEM-1'!K15+'Daily CEM-1'!L15</f>
        <v>0</v>
      </c>
      <c r="CT14" s="15">
        <f>AQ14+AT14+AW14+'Daily  CEM - 2'!K15+'Daily  CEM - 2'!L15</f>
        <v>24</v>
      </c>
      <c r="CU14" s="52">
        <f t="shared" si="36"/>
        <v>24</v>
      </c>
      <c r="CW14" s="52">
        <f t="shared" si="37"/>
        <v>2914.8</v>
      </c>
      <c r="CX14" s="52"/>
    </row>
    <row r="15" spans="2:102" x14ac:dyDescent="0.25">
      <c r="B15" s="4">
        <v>13</v>
      </c>
      <c r="C15" s="1">
        <v>18.82</v>
      </c>
      <c r="D15" s="34">
        <f>'Mines (2)'!D15+'Mines (2)'!I15+'Mines (2)'!W15+'Mines (2)'!AA15+'Mines (2)'!AE15</f>
        <v>2390.2600000000002</v>
      </c>
      <c r="E15" s="169">
        <f>'Mines (2)'!E15+'Mines (2)'!J15+'Mines (2)'!X15+'Mines (2)'!AB15+'Mines (2)'!AF15</f>
        <v>2859</v>
      </c>
      <c r="F15" s="34">
        <f t="shared" si="44"/>
        <v>127.00637619553667</v>
      </c>
      <c r="G15" s="1">
        <v>19.68</v>
      </c>
      <c r="H15" s="16">
        <f t="shared" si="38"/>
        <v>1300.6900168375196</v>
      </c>
      <c r="I15" s="303">
        <f t="shared" si="9"/>
        <v>1115.3900168375194</v>
      </c>
      <c r="J15" s="1">
        <v>1390</v>
      </c>
      <c r="K15" s="36">
        <f>L15</f>
        <v>2852</v>
      </c>
      <c r="L15" s="36">
        <f>Clinker!EJ15*1.55</f>
        <v>2852</v>
      </c>
      <c r="M15" s="36">
        <v>0</v>
      </c>
      <c r="N15" s="1">
        <v>2460</v>
      </c>
      <c r="O15" s="34">
        <f t="shared" si="1"/>
        <v>125</v>
      </c>
      <c r="P15" s="1">
        <v>23.67</v>
      </c>
      <c r="Q15" s="1">
        <v>206.7</v>
      </c>
      <c r="R15" s="15">
        <f t="shared" si="10"/>
        <v>8.7325728770595674</v>
      </c>
      <c r="S15" s="1">
        <v>19.579999999999998</v>
      </c>
      <c r="T15" s="16">
        <f t="shared" si="11"/>
        <v>54.509999999999991</v>
      </c>
      <c r="U15" s="1">
        <v>270</v>
      </c>
      <c r="V15" s="1">
        <v>269</v>
      </c>
      <c r="W15" s="18">
        <f t="shared" si="2"/>
        <v>55.509999999999991</v>
      </c>
      <c r="X15" s="34">
        <f t="shared" si="3"/>
        <v>13.789581205311544</v>
      </c>
      <c r="Y15" s="1">
        <v>24</v>
      </c>
      <c r="Z15" s="33">
        <f>Clinker!EJ15</f>
        <v>1840</v>
      </c>
      <c r="AA15" s="34">
        <f t="shared" si="4"/>
        <v>76.666666666666671</v>
      </c>
      <c r="AB15" s="37">
        <f>'Daily CEM-1'!H16</f>
        <v>0</v>
      </c>
      <c r="AC15" s="33">
        <f>'Daily CEM-1'!C16</f>
        <v>0</v>
      </c>
      <c r="AD15" s="34" t="e">
        <f t="shared" si="5"/>
        <v>#DIV/0!</v>
      </c>
      <c r="AE15" s="37">
        <f>'Daily CEM-1'!I16</f>
        <v>0</v>
      </c>
      <c r="AF15" s="33">
        <f>'Daily CEM-1'!D16</f>
        <v>0</v>
      </c>
      <c r="AG15" s="34" t="e">
        <f t="shared" si="12"/>
        <v>#DIV/0!</v>
      </c>
      <c r="AH15" s="61">
        <f>'Daily CEM-1'!J16</f>
        <v>0</v>
      </c>
      <c r="AI15" s="61">
        <f>'Daily CEM-1'!E16</f>
        <v>0</v>
      </c>
      <c r="AJ15" s="61"/>
      <c r="AK15" s="61">
        <f>'Daily CEM-1'!K16</f>
        <v>0</v>
      </c>
      <c r="AL15" s="61">
        <f>'Daily CEM-1'!F16</f>
        <v>0</v>
      </c>
      <c r="AM15" s="61" t="e">
        <f t="shared" si="13"/>
        <v>#DIV/0!</v>
      </c>
      <c r="AN15" s="60">
        <f>'Daily CEM-1'!L16</f>
        <v>0</v>
      </c>
      <c r="AO15" s="60">
        <f>'Daily CEM-1'!G16</f>
        <v>0</v>
      </c>
      <c r="AP15" s="60" t="e">
        <f t="shared" si="14"/>
        <v>#DIV/0!</v>
      </c>
      <c r="AQ15" s="37">
        <f>'Daily  CEM - 2'!H16</f>
        <v>15</v>
      </c>
      <c r="AR15" s="33">
        <f>'Daily  CEM - 2'!C16</f>
        <v>850</v>
      </c>
      <c r="AS15" s="34">
        <f t="shared" si="6"/>
        <v>56.666666666666664</v>
      </c>
      <c r="AT15" s="37">
        <f>'Daily  CEM - 2'!I16</f>
        <v>0</v>
      </c>
      <c r="AU15" s="33">
        <f>'Daily  CEM - 2'!D16</f>
        <v>0</v>
      </c>
      <c r="AV15" s="34" t="e">
        <f t="shared" si="7"/>
        <v>#DIV/0!</v>
      </c>
      <c r="AW15" s="61">
        <f>'Daily  CEM - 2'!J16</f>
        <v>0</v>
      </c>
      <c r="AX15" s="61">
        <f>'Daily  CEM - 2'!E16</f>
        <v>0</v>
      </c>
      <c r="AY15" s="197" t="e">
        <f t="shared" si="15"/>
        <v>#DIV/0!</v>
      </c>
      <c r="AZ15" s="61">
        <f>'Daily  CEM - 2'!K16</f>
        <v>2</v>
      </c>
      <c r="BA15" s="61">
        <f>'Daily  CEM - 2'!F16</f>
        <v>110</v>
      </c>
      <c r="BB15" s="60">
        <f t="shared" si="16"/>
        <v>55</v>
      </c>
      <c r="BC15" s="61">
        <f>'Daily  CEM - 2'!L16</f>
        <v>3.32</v>
      </c>
      <c r="BD15" s="61">
        <f>'Daily  CEM - 2'!G16</f>
        <v>200</v>
      </c>
      <c r="BE15" s="60">
        <f t="shared" si="17"/>
        <v>60.24096385542169</v>
      </c>
      <c r="BF15" s="16">
        <f t="shared" si="18"/>
        <v>2062.7179999999798</v>
      </c>
      <c r="BG15" s="36">
        <f t="shared" si="19"/>
        <v>850</v>
      </c>
      <c r="BH15" s="1">
        <v>980.5</v>
      </c>
      <c r="BI15" s="18">
        <f>BF15+BG15-BH15-'Internal use cement'!F15</f>
        <v>1932.2179999999798</v>
      </c>
      <c r="BJ15" s="16">
        <f t="shared" si="20"/>
        <v>203.79999999999995</v>
      </c>
      <c r="BK15" s="36">
        <f t="shared" si="21"/>
        <v>0</v>
      </c>
      <c r="BL15" s="1">
        <v>0</v>
      </c>
      <c r="BM15" s="18">
        <f>BJ15+BK15-BL15-'Internal use cement'!AB15</f>
        <v>203.79999999999995</v>
      </c>
      <c r="BN15" s="18">
        <f t="shared" si="39"/>
        <v>2.0900000000008498</v>
      </c>
      <c r="BO15" s="63">
        <f t="shared" si="45"/>
        <v>0</v>
      </c>
      <c r="BP15" s="1">
        <v>0</v>
      </c>
      <c r="BQ15" s="66">
        <f>BN15+BO15-BP15-'Internal use cement'!Q15</f>
        <v>2.0900000000008498</v>
      </c>
      <c r="BR15" s="18">
        <f t="shared" si="40"/>
        <v>99.300000000000011</v>
      </c>
      <c r="BS15" s="63">
        <f t="shared" si="23"/>
        <v>110</v>
      </c>
      <c r="BT15" s="1">
        <v>60</v>
      </c>
      <c r="BU15" s="66">
        <f>BR15+BS15-BT15-'Internal use cement'!AG15</f>
        <v>149.30000000000001</v>
      </c>
      <c r="BV15" s="66">
        <f t="shared" si="41"/>
        <v>399.77000000000015</v>
      </c>
      <c r="BW15" s="34">
        <f t="shared" si="24"/>
        <v>200</v>
      </c>
      <c r="BX15" s="15">
        <v>211.94</v>
      </c>
      <c r="BY15" s="66">
        <f t="shared" si="25"/>
        <v>387.83000000000021</v>
      </c>
      <c r="BZ15" s="1">
        <v>1549</v>
      </c>
      <c r="CA15" s="1">
        <v>1913</v>
      </c>
      <c r="CB15" s="1">
        <v>60</v>
      </c>
      <c r="CC15" s="1">
        <f t="shared" si="42"/>
        <v>3522</v>
      </c>
      <c r="CD15" s="15">
        <f t="shared" si="26"/>
        <v>2675.2379999999816</v>
      </c>
      <c r="CE15" s="271">
        <f t="shared" si="46"/>
        <v>846.76200000001836</v>
      </c>
      <c r="CF15" s="15">
        <f t="shared" si="27"/>
        <v>1252.44</v>
      </c>
      <c r="CG15" s="15">
        <f t="shared" si="28"/>
        <v>1160</v>
      </c>
      <c r="CH15" s="272">
        <f t="shared" si="29"/>
        <v>274.6099831624806</v>
      </c>
      <c r="CJ15" s="52">
        <f t="shared" si="8"/>
        <v>0</v>
      </c>
      <c r="CK15" s="1">
        <v>13</v>
      </c>
      <c r="CL15" s="1">
        <f t="shared" si="30"/>
        <v>4.32</v>
      </c>
      <c r="CM15" s="1">
        <f t="shared" si="31"/>
        <v>4.4200000000000017</v>
      </c>
      <c r="CN15" s="15">
        <f t="shared" si="32"/>
        <v>24</v>
      </c>
      <c r="CO15" s="15">
        <f t="shared" si="33"/>
        <v>3.6799999999999997</v>
      </c>
      <c r="CP15" s="1">
        <f t="shared" si="34"/>
        <v>0</v>
      </c>
      <c r="CQ15" s="2">
        <v>13</v>
      </c>
      <c r="CR15" s="15">
        <f t="shared" si="35"/>
        <v>850</v>
      </c>
      <c r="CS15" s="15">
        <f>'Daily CEM-1'!H16+'Daily CEM-1'!I16+'Daily CEM-1'!J16+'Daily CEM-1'!K16+'Daily CEM-1'!L16</f>
        <v>0</v>
      </c>
      <c r="CT15" s="15">
        <f>AQ15+AT15+AW15+'Daily  CEM - 2'!K16+'Daily  CEM - 2'!L16</f>
        <v>20.32</v>
      </c>
      <c r="CU15" s="52">
        <f t="shared" si="36"/>
        <v>24</v>
      </c>
      <c r="CW15" s="52">
        <f t="shared" si="37"/>
        <v>2666.7</v>
      </c>
      <c r="CX15" s="52"/>
    </row>
    <row r="16" spans="2:102" x14ac:dyDescent="0.25">
      <c r="B16" s="4">
        <v>14</v>
      </c>
      <c r="C16" s="1">
        <v>12.52</v>
      </c>
      <c r="D16" s="34">
        <f>'Mines (2)'!D16+'Mines (2)'!I16+'Mines (2)'!W16+'Mines (2)'!AA16+'Mines (2)'!AE16</f>
        <v>2389.2600000000002</v>
      </c>
      <c r="E16" s="169">
        <f>'Mines (2)'!E16+'Mines (2)'!J16+'Mines (2)'!X16+'Mines (2)'!AB16+'Mines (2)'!AF16</f>
        <v>2912</v>
      </c>
      <c r="F16" s="65">
        <f t="shared" si="44"/>
        <v>190.83546325878598</v>
      </c>
      <c r="G16" s="1">
        <v>19.7</v>
      </c>
      <c r="H16" s="16">
        <f t="shared" si="38"/>
        <v>1115.3900168375194</v>
      </c>
      <c r="I16" s="303">
        <f t="shared" si="9"/>
        <v>1103.7900168375195</v>
      </c>
      <c r="J16" s="1">
        <v>1310</v>
      </c>
      <c r="K16" s="36">
        <f t="shared" si="0"/>
        <v>2712.5</v>
      </c>
      <c r="L16" s="36">
        <f>Clinker!EJ16*1.55</f>
        <v>2712.5</v>
      </c>
      <c r="M16" s="36">
        <v>0</v>
      </c>
      <c r="N16" s="1">
        <v>2501</v>
      </c>
      <c r="O16" s="34">
        <f t="shared" si="1"/>
        <v>126.95431472081219</v>
      </c>
      <c r="P16" s="1">
        <v>21.1</v>
      </c>
      <c r="Q16" s="1">
        <v>199.9</v>
      </c>
      <c r="R16" s="15">
        <f t="shared" si="10"/>
        <v>9.4739336492890995</v>
      </c>
      <c r="S16" s="1">
        <v>19.100000000000001</v>
      </c>
      <c r="T16" s="16">
        <f t="shared" si="11"/>
        <v>55.509999999999991</v>
      </c>
      <c r="U16" s="1">
        <v>250</v>
      </c>
      <c r="V16" s="1">
        <v>257</v>
      </c>
      <c r="W16" s="18">
        <f t="shared" si="2"/>
        <v>48.509999999999991</v>
      </c>
      <c r="X16" s="34">
        <f t="shared" si="3"/>
        <v>13.089005235602093</v>
      </c>
      <c r="Y16" s="1">
        <v>24</v>
      </c>
      <c r="Z16" s="33">
        <f>Clinker!EJ16</f>
        <v>1750</v>
      </c>
      <c r="AA16" s="34">
        <f t="shared" si="4"/>
        <v>72.916666666666671</v>
      </c>
      <c r="AB16" s="37">
        <f>'Daily CEM-1'!H17</f>
        <v>3.3</v>
      </c>
      <c r="AC16" s="33">
        <f>'Daily CEM-1'!C17</f>
        <v>170</v>
      </c>
      <c r="AD16" s="34">
        <f t="shared" si="5"/>
        <v>51.515151515151516</v>
      </c>
      <c r="AE16" s="37">
        <f>'Daily CEM-1'!I17</f>
        <v>0</v>
      </c>
      <c r="AF16" s="33">
        <f>'Daily CEM-1'!D17</f>
        <v>0</v>
      </c>
      <c r="AG16" s="34" t="e">
        <f t="shared" si="12"/>
        <v>#DIV/0!</v>
      </c>
      <c r="AH16" s="61">
        <f>'Daily CEM-1'!J17</f>
        <v>0</v>
      </c>
      <c r="AI16" s="61">
        <f>'Daily CEM-1'!E17</f>
        <v>0</v>
      </c>
      <c r="AJ16" s="61"/>
      <c r="AK16" s="61">
        <f>'Daily CEM-1'!K17</f>
        <v>0</v>
      </c>
      <c r="AL16" s="61">
        <f>'Daily CEM-1'!F17</f>
        <v>0</v>
      </c>
      <c r="AM16" s="61" t="e">
        <f t="shared" si="13"/>
        <v>#DIV/0!</v>
      </c>
      <c r="AN16" s="60">
        <f>'Daily CEM-1'!L17</f>
        <v>0</v>
      </c>
      <c r="AO16" s="60">
        <f>'Daily CEM-1'!G17</f>
        <v>0</v>
      </c>
      <c r="AP16" s="60" t="e">
        <f t="shared" si="14"/>
        <v>#DIV/0!</v>
      </c>
      <c r="AQ16" s="37">
        <f>'Daily  CEM - 2'!H17</f>
        <v>13.85</v>
      </c>
      <c r="AR16" s="33">
        <f>'Daily  CEM - 2'!C17</f>
        <v>850</v>
      </c>
      <c r="AS16" s="34">
        <f t="shared" si="6"/>
        <v>61.371841155234655</v>
      </c>
      <c r="AT16" s="37">
        <f>'Daily  CEM - 2'!I17</f>
        <v>2.4</v>
      </c>
      <c r="AU16" s="33">
        <f>'Daily  CEM - 2'!D17</f>
        <v>150</v>
      </c>
      <c r="AV16" s="34">
        <f t="shared" si="7"/>
        <v>62.5</v>
      </c>
      <c r="AW16" s="61">
        <f>'Daily  CEM - 2'!J17</f>
        <v>0</v>
      </c>
      <c r="AX16" s="61">
        <f>'Daily  CEM - 2'!E17</f>
        <v>0</v>
      </c>
      <c r="AY16" s="197" t="e">
        <f t="shared" si="15"/>
        <v>#DIV/0!</v>
      </c>
      <c r="AZ16" s="61">
        <f>'Daily  CEM - 2'!K17</f>
        <v>2</v>
      </c>
      <c r="BA16" s="61">
        <f>'Daily  CEM - 2'!F17</f>
        <v>110</v>
      </c>
      <c r="BB16" s="60">
        <f t="shared" si="16"/>
        <v>55</v>
      </c>
      <c r="BC16" s="61">
        <f>'Daily  CEM - 2'!L17</f>
        <v>3.2</v>
      </c>
      <c r="BD16" s="61">
        <f>'Daily  CEM - 2'!G17</f>
        <v>200</v>
      </c>
      <c r="BE16" s="60">
        <f t="shared" si="17"/>
        <v>62.5</v>
      </c>
      <c r="BF16" s="16">
        <f t="shared" si="18"/>
        <v>1932.2179999999798</v>
      </c>
      <c r="BG16" s="36">
        <f t="shared" si="19"/>
        <v>1020</v>
      </c>
      <c r="BH16" s="1">
        <v>1387.25</v>
      </c>
      <c r="BI16" s="18">
        <f>BF16+BG16-BH16-'Internal use cement'!F16</f>
        <v>1564.9679999999798</v>
      </c>
      <c r="BJ16" s="16">
        <f>BM15</f>
        <v>203.79999999999995</v>
      </c>
      <c r="BK16" s="36">
        <f t="shared" si="21"/>
        <v>150</v>
      </c>
      <c r="BL16" s="1">
        <v>94</v>
      </c>
      <c r="BM16" s="18">
        <f>BJ16+BK16-BL16-'Internal use cement'!AB16</f>
        <v>259.79999999999995</v>
      </c>
      <c r="BN16" s="18">
        <f t="shared" si="39"/>
        <v>2.0900000000008498</v>
      </c>
      <c r="BO16" s="63">
        <f t="shared" si="45"/>
        <v>0</v>
      </c>
      <c r="BP16" s="1">
        <v>0</v>
      </c>
      <c r="BQ16" s="66">
        <f>BN16+BO16-BP16-'Internal use cement'!Q16</f>
        <v>2.0900000000008498</v>
      </c>
      <c r="BR16" s="18">
        <f t="shared" si="40"/>
        <v>149.30000000000001</v>
      </c>
      <c r="BS16" s="63">
        <f t="shared" si="23"/>
        <v>110</v>
      </c>
      <c r="BT16" s="1">
        <v>60</v>
      </c>
      <c r="BU16" s="66">
        <f>BR16+BS16-BT16-'Internal use cement'!AG16</f>
        <v>199.3</v>
      </c>
      <c r="BV16" s="66">
        <f t="shared" si="41"/>
        <v>387.83000000000021</v>
      </c>
      <c r="BW16" s="34">
        <f t="shared" si="24"/>
        <v>200</v>
      </c>
      <c r="BX16" s="15">
        <v>300.72000000000003</v>
      </c>
      <c r="BY16" s="66">
        <f t="shared" si="25"/>
        <v>287.11000000000013</v>
      </c>
      <c r="BZ16" s="1">
        <v>538</v>
      </c>
      <c r="CA16" s="1">
        <v>1407</v>
      </c>
      <c r="CB16" s="1">
        <v>97</v>
      </c>
      <c r="CC16" s="1">
        <f t="shared" si="42"/>
        <v>2042</v>
      </c>
      <c r="CD16" s="15">
        <f t="shared" si="26"/>
        <v>2313.2679999999809</v>
      </c>
      <c r="CE16" s="271">
        <f t="shared" si="46"/>
        <v>-271.26799999998093</v>
      </c>
      <c r="CF16" s="15">
        <f t="shared" si="27"/>
        <v>1841.97</v>
      </c>
      <c r="CG16" s="15">
        <f t="shared" si="28"/>
        <v>1480</v>
      </c>
      <c r="CH16" s="272">
        <f t="shared" si="29"/>
        <v>206.20998316248051</v>
      </c>
      <c r="CJ16" s="52">
        <f t="shared" si="8"/>
        <v>3.3</v>
      </c>
      <c r="CK16" s="1">
        <v>14</v>
      </c>
      <c r="CL16" s="1">
        <f t="shared" si="30"/>
        <v>4.3000000000000007</v>
      </c>
      <c r="CM16" s="1">
        <f t="shared" si="31"/>
        <v>4.8999999999999986</v>
      </c>
      <c r="CN16" s="15">
        <f t="shared" si="32"/>
        <v>20.7</v>
      </c>
      <c r="CO16" s="15">
        <f t="shared" si="33"/>
        <v>2.5500000000000007</v>
      </c>
      <c r="CP16" s="1">
        <f t="shared" si="34"/>
        <v>0</v>
      </c>
      <c r="CQ16" s="2">
        <v>14</v>
      </c>
      <c r="CR16" s="15">
        <f t="shared" si="35"/>
        <v>1000</v>
      </c>
      <c r="CS16" s="15">
        <f>'Daily CEM-1'!H17+'Daily CEM-1'!I17+'Daily CEM-1'!J17+'Daily CEM-1'!K17+'Daily CEM-1'!L17</f>
        <v>3.3</v>
      </c>
      <c r="CT16" s="15">
        <f>AQ16+AT16+AW16+'Daily  CEM - 2'!K17+'Daily  CEM - 2'!L17</f>
        <v>21.45</v>
      </c>
      <c r="CU16" s="52">
        <f t="shared" si="36"/>
        <v>20.7</v>
      </c>
      <c r="CW16" s="52">
        <f t="shared" si="37"/>
        <v>2700.9</v>
      </c>
      <c r="CX16" s="52"/>
    </row>
    <row r="17" spans="2:106" x14ac:dyDescent="0.25">
      <c r="B17" s="4">
        <v>15</v>
      </c>
      <c r="C17" s="1">
        <v>14.48</v>
      </c>
      <c r="D17" s="34">
        <f>'Mines (2)'!D17+'Mines (2)'!I17+'Mines (2)'!W17+'Mines (2)'!AA17+'Mines (2)'!AE17</f>
        <v>2178.58</v>
      </c>
      <c r="E17" s="169">
        <f>'Mines (2)'!E17+'Mines (2)'!J17+'Mines (2)'!X17+'Mines (2)'!AB17+'Mines (2)'!AF17</f>
        <v>2666</v>
      </c>
      <c r="F17" s="65">
        <f t="shared" si="44"/>
        <v>150.45441988950276</v>
      </c>
      <c r="G17" s="1">
        <v>18</v>
      </c>
      <c r="H17" s="16">
        <f t="shared" si="38"/>
        <v>1103.7900168375195</v>
      </c>
      <c r="I17" s="303">
        <f t="shared" si="9"/>
        <v>966.93001683751936</v>
      </c>
      <c r="J17" s="1">
        <v>1160</v>
      </c>
      <c r="K17" s="36">
        <f>L17</f>
        <v>2604</v>
      </c>
      <c r="L17" s="36">
        <f>Clinker!EJ17*1.55</f>
        <v>2604</v>
      </c>
      <c r="M17" s="36">
        <v>0</v>
      </c>
      <c r="N17" s="1">
        <v>2232</v>
      </c>
      <c r="O17" s="34">
        <f t="shared" si="1"/>
        <v>124</v>
      </c>
      <c r="P17" s="1">
        <v>24</v>
      </c>
      <c r="Q17" s="1">
        <v>235.14</v>
      </c>
      <c r="R17" s="15">
        <f t="shared" si="10"/>
        <v>9.7974999999999994</v>
      </c>
      <c r="S17" s="1">
        <v>18</v>
      </c>
      <c r="T17" s="16">
        <f t="shared" si="11"/>
        <v>48.509999999999991</v>
      </c>
      <c r="U17" s="1">
        <v>255</v>
      </c>
      <c r="V17" s="1">
        <v>248</v>
      </c>
      <c r="W17" s="18">
        <f t="shared" si="2"/>
        <v>55.509999999999991</v>
      </c>
      <c r="X17" s="34">
        <f t="shared" si="3"/>
        <v>14.166666666666666</v>
      </c>
      <c r="Y17" s="1">
        <v>24</v>
      </c>
      <c r="Z17" s="33">
        <f>Clinker!EJ17</f>
        <v>1680</v>
      </c>
      <c r="AA17" s="34">
        <f t="shared" si="4"/>
        <v>70</v>
      </c>
      <c r="AB17" s="37">
        <f>'Daily CEM-1'!H18</f>
        <v>17.170000000000002</v>
      </c>
      <c r="AC17" s="33">
        <f>'Daily CEM-1'!C18</f>
        <v>1030</v>
      </c>
      <c r="AD17" s="34">
        <f t="shared" si="5"/>
        <v>59.988351776354101</v>
      </c>
      <c r="AE17" s="37">
        <f>'Daily CEM-1'!I18</f>
        <v>0</v>
      </c>
      <c r="AF17" s="33">
        <f>'Daily CEM-1'!D18</f>
        <v>0</v>
      </c>
      <c r="AG17" s="34" t="e">
        <f t="shared" si="12"/>
        <v>#DIV/0!</v>
      </c>
      <c r="AH17" s="61">
        <f>'Daily CEM-1'!J18</f>
        <v>0</v>
      </c>
      <c r="AI17" s="61">
        <f>'Daily CEM-1'!E18</f>
        <v>0</v>
      </c>
      <c r="AJ17" s="61"/>
      <c r="AK17" s="61">
        <f>'Daily CEM-1'!K18</f>
        <v>0</v>
      </c>
      <c r="AL17" s="61">
        <f>'Daily CEM-1'!F18</f>
        <v>0</v>
      </c>
      <c r="AM17" s="61" t="e">
        <f t="shared" si="13"/>
        <v>#DIV/0!</v>
      </c>
      <c r="AN17" s="60">
        <f>'Daily CEM-1'!L18</f>
        <v>0</v>
      </c>
      <c r="AO17" s="60">
        <f>'Daily CEM-1'!G18</f>
        <v>0</v>
      </c>
      <c r="AP17" s="60" t="e">
        <f t="shared" si="14"/>
        <v>#DIV/0!</v>
      </c>
      <c r="AQ17" s="37">
        <f>'Daily  CEM - 2'!H18</f>
        <v>14</v>
      </c>
      <c r="AR17" s="33">
        <f>'Daily  CEM - 2'!C18</f>
        <v>752</v>
      </c>
      <c r="AS17" s="34">
        <f t="shared" si="6"/>
        <v>53.714285714285715</v>
      </c>
      <c r="AT17" s="37">
        <f>'Daily  CEM - 2'!I18</f>
        <v>0</v>
      </c>
      <c r="AU17" s="33">
        <f>'Daily  CEM - 2'!D18</f>
        <v>0</v>
      </c>
      <c r="AV17" s="34" t="e">
        <f t="shared" si="7"/>
        <v>#DIV/0!</v>
      </c>
      <c r="AW17" s="61">
        <f>'Daily  CEM - 2'!J18</f>
        <v>0</v>
      </c>
      <c r="AX17" s="61">
        <f>'Daily  CEM - 2'!E18</f>
        <v>0</v>
      </c>
      <c r="AY17" s="197" t="e">
        <f t="shared" si="15"/>
        <v>#DIV/0!</v>
      </c>
      <c r="AZ17" s="61">
        <f>'Daily  CEM - 2'!K18</f>
        <v>2.1</v>
      </c>
      <c r="BA17" s="61">
        <f>'Daily  CEM - 2'!F18</f>
        <v>110</v>
      </c>
      <c r="BB17" s="60">
        <f t="shared" si="16"/>
        <v>52.38095238095238</v>
      </c>
      <c r="BC17" s="61">
        <f>'Daily  CEM - 2'!L18</f>
        <v>3.57</v>
      </c>
      <c r="BD17" s="61">
        <f>'Daily  CEM - 2'!G18</f>
        <v>200</v>
      </c>
      <c r="BE17" s="60">
        <f t="shared" si="17"/>
        <v>56.022408963585434</v>
      </c>
      <c r="BF17" s="16">
        <f t="shared" si="18"/>
        <v>1564.9679999999798</v>
      </c>
      <c r="BG17" s="36">
        <f t="shared" si="19"/>
        <v>1782</v>
      </c>
      <c r="BH17" s="1">
        <v>1082.75</v>
      </c>
      <c r="BI17" s="18">
        <f>BF17+BG17-BH17-'Internal use cement'!F17</f>
        <v>2264.2179999999798</v>
      </c>
      <c r="BJ17" s="16">
        <f t="shared" si="20"/>
        <v>259.79999999999995</v>
      </c>
      <c r="BK17" s="36">
        <f t="shared" si="21"/>
        <v>0</v>
      </c>
      <c r="BL17" s="1">
        <v>32</v>
      </c>
      <c r="BM17" s="18">
        <f>BJ17+BK17-BL17-'Internal use cement'!AB17</f>
        <v>227.79999999999995</v>
      </c>
      <c r="BN17" s="18">
        <f t="shared" si="39"/>
        <v>2.0900000000008498</v>
      </c>
      <c r="BO17" s="63">
        <f t="shared" si="45"/>
        <v>0</v>
      </c>
      <c r="BP17" s="1">
        <v>0</v>
      </c>
      <c r="BQ17" s="66">
        <f>BN17+BO17-BP17-'Internal use cement'!Q17</f>
        <v>2.0900000000008498</v>
      </c>
      <c r="BR17" s="18">
        <f t="shared" si="40"/>
        <v>199.3</v>
      </c>
      <c r="BS17" s="63">
        <f t="shared" si="23"/>
        <v>110</v>
      </c>
      <c r="BT17" s="1">
        <v>60</v>
      </c>
      <c r="BU17" s="66">
        <f>BR17+BS17-BT17-'Internal use cement'!AG17</f>
        <v>249.3</v>
      </c>
      <c r="BV17" s="66">
        <f t="shared" si="41"/>
        <v>287.11000000000013</v>
      </c>
      <c r="BW17" s="34">
        <f t="shared" si="24"/>
        <v>200</v>
      </c>
      <c r="BX17" s="15">
        <v>149.82</v>
      </c>
      <c r="BY17" s="66">
        <f t="shared" si="25"/>
        <v>337.29000000000013</v>
      </c>
      <c r="BZ17" s="1">
        <v>1012</v>
      </c>
      <c r="CA17" s="1">
        <v>1986</v>
      </c>
      <c r="CB17" s="1">
        <v>250</v>
      </c>
      <c r="CC17" s="1">
        <f t="shared" si="42"/>
        <v>3248</v>
      </c>
      <c r="CD17" s="15">
        <f t="shared" si="26"/>
        <v>3080.6979999999812</v>
      </c>
      <c r="CE17" s="271">
        <f t="shared" si="46"/>
        <v>167.30200000001878</v>
      </c>
      <c r="CF17" s="15">
        <f t="shared" si="27"/>
        <v>1324.57</v>
      </c>
      <c r="CG17" s="15">
        <f t="shared" si="28"/>
        <v>2092</v>
      </c>
      <c r="CH17" s="272">
        <f t="shared" si="29"/>
        <v>193.06998316248064</v>
      </c>
      <c r="CJ17" s="52">
        <f t="shared" si="8"/>
        <v>17.170000000000002</v>
      </c>
      <c r="CK17" s="1">
        <v>15</v>
      </c>
      <c r="CL17" s="1">
        <f t="shared" si="30"/>
        <v>6</v>
      </c>
      <c r="CM17" s="1">
        <f t="shared" si="31"/>
        <v>6</v>
      </c>
      <c r="CN17" s="15">
        <f t="shared" si="32"/>
        <v>6.8299999999999983</v>
      </c>
      <c r="CO17" s="15">
        <f t="shared" si="33"/>
        <v>4.3299999999999983</v>
      </c>
      <c r="CP17" s="1">
        <f t="shared" si="34"/>
        <v>0</v>
      </c>
      <c r="CQ17" s="2">
        <v>15</v>
      </c>
      <c r="CR17" s="15">
        <f t="shared" si="35"/>
        <v>752</v>
      </c>
      <c r="CS17" s="15">
        <f>'Daily CEM-1'!H18+'Daily CEM-1'!I18+'Daily CEM-1'!J18+'Daily CEM-1'!K18+'Daily CEM-1'!L18</f>
        <v>17.170000000000002</v>
      </c>
      <c r="CT17" s="15">
        <f>AQ17+AT17+AW17+'Daily  CEM - 2'!K18+'Daily  CEM - 2'!L18</f>
        <v>19.670000000000002</v>
      </c>
      <c r="CU17" s="52">
        <f t="shared" si="36"/>
        <v>6.8299999999999983</v>
      </c>
      <c r="CW17" s="52">
        <f t="shared" si="37"/>
        <v>2467.14</v>
      </c>
    </row>
    <row r="18" spans="2:106" s="324" customFormat="1" x14ac:dyDescent="0.25">
      <c r="B18" s="351">
        <v>16</v>
      </c>
      <c r="C18" s="1">
        <v>19.87</v>
      </c>
      <c r="D18" s="364">
        <f>'Mines (2)'!D18+'Mines (2)'!I18+'Mines (2)'!W18+'Mines (2)'!AA18+'Mines (2)'!AE18</f>
        <v>2773.16</v>
      </c>
      <c r="E18" s="373">
        <f>'Mines (2)'!E18+'Mines (2)'!J18+'Mines (2)'!X18+'Mines (2)'!AB18+'Mines (2)'!AF18</f>
        <v>2542</v>
      </c>
      <c r="F18" s="364">
        <f t="shared" si="44"/>
        <v>139.5651736285858</v>
      </c>
      <c r="G18" s="1">
        <v>17.53</v>
      </c>
      <c r="H18" s="16">
        <f t="shared" si="38"/>
        <v>966.93001683751936</v>
      </c>
      <c r="I18" s="303">
        <f t="shared" si="9"/>
        <v>967.99001683751931</v>
      </c>
      <c r="J18" s="1">
        <v>1020</v>
      </c>
      <c r="K18" s="374">
        <f t="shared" si="0"/>
        <v>2340.5</v>
      </c>
      <c r="L18" s="374">
        <f>Clinker!EJ18*1.55</f>
        <v>2340.5</v>
      </c>
      <c r="M18" s="36">
        <v>0</v>
      </c>
      <c r="N18" s="1">
        <v>2150</v>
      </c>
      <c r="O18" s="364">
        <f t="shared" si="1"/>
        <v>122.6468910439247</v>
      </c>
      <c r="P18" s="1">
        <v>19.5</v>
      </c>
      <c r="Q18" s="1">
        <v>191.56</v>
      </c>
      <c r="R18" s="367">
        <f t="shared" si="10"/>
        <v>9.8235897435897446</v>
      </c>
      <c r="S18" s="1">
        <v>16</v>
      </c>
      <c r="T18" s="363">
        <f t="shared" si="11"/>
        <v>55.509999999999991</v>
      </c>
      <c r="U18" s="1">
        <v>220</v>
      </c>
      <c r="V18" s="1">
        <v>227</v>
      </c>
      <c r="W18" s="356">
        <f t="shared" si="2"/>
        <v>48.509999999999991</v>
      </c>
      <c r="X18" s="364">
        <f t="shared" si="3"/>
        <v>13.75</v>
      </c>
      <c r="Y18" s="1">
        <v>24</v>
      </c>
      <c r="Z18" s="355">
        <f>Clinker!EJ18</f>
        <v>1510</v>
      </c>
      <c r="AA18" s="364">
        <f t="shared" si="4"/>
        <v>62.916666666666664</v>
      </c>
      <c r="AB18" s="375">
        <f>'Daily CEM-1'!H19</f>
        <v>14.05</v>
      </c>
      <c r="AC18" s="355">
        <f>'Daily CEM-1'!C19</f>
        <v>820</v>
      </c>
      <c r="AD18" s="364">
        <f t="shared" si="5"/>
        <v>58.362989323843415</v>
      </c>
      <c r="AE18" s="375">
        <f>'Daily CEM-1'!I19</f>
        <v>0</v>
      </c>
      <c r="AF18" s="355">
        <f>'Daily CEM-1'!D19</f>
        <v>0</v>
      </c>
      <c r="AG18" s="364" t="e">
        <f t="shared" si="12"/>
        <v>#DIV/0!</v>
      </c>
      <c r="AH18" s="376">
        <f>'Daily CEM-1'!J19</f>
        <v>0</v>
      </c>
      <c r="AI18" s="376">
        <f>'Daily CEM-1'!E19</f>
        <v>0</v>
      </c>
      <c r="AJ18" s="376"/>
      <c r="AK18" s="376">
        <f>'Daily CEM-1'!K19</f>
        <v>0</v>
      </c>
      <c r="AL18" s="376">
        <f>'Daily CEM-1'!F19</f>
        <v>0</v>
      </c>
      <c r="AM18" s="376" t="e">
        <f t="shared" si="13"/>
        <v>#DIV/0!</v>
      </c>
      <c r="AN18" s="60">
        <f>'Daily CEM-1'!L19</f>
        <v>0</v>
      </c>
      <c r="AO18" s="60">
        <f>'Daily CEM-1'!G19</f>
        <v>0</v>
      </c>
      <c r="AP18" s="60" t="e">
        <f t="shared" si="14"/>
        <v>#DIV/0!</v>
      </c>
      <c r="AQ18" s="375">
        <f>'Daily  CEM - 2'!H19</f>
        <v>11.3</v>
      </c>
      <c r="AR18" s="355">
        <f>'Daily  CEM - 2'!C19</f>
        <v>650</v>
      </c>
      <c r="AS18" s="364">
        <f t="shared" si="6"/>
        <v>57.522123893805308</v>
      </c>
      <c r="AT18" s="375">
        <f>'Daily  CEM - 2'!I19</f>
        <v>2.5</v>
      </c>
      <c r="AU18" s="355">
        <f>'Daily  CEM - 2'!D19</f>
        <v>150</v>
      </c>
      <c r="AV18" s="364">
        <f t="shared" si="7"/>
        <v>60</v>
      </c>
      <c r="AW18" s="376">
        <f>'Daily  CEM - 2'!J19</f>
        <v>0</v>
      </c>
      <c r="AX18" s="376">
        <f>'Daily  CEM - 2'!E19</f>
        <v>0</v>
      </c>
      <c r="AY18" s="377" t="e">
        <f t="shared" si="15"/>
        <v>#DIV/0!</v>
      </c>
      <c r="AZ18" s="376">
        <f>'Daily  CEM - 2'!K19</f>
        <v>0</v>
      </c>
      <c r="BA18" s="376">
        <f>'Daily  CEM - 2'!F19</f>
        <v>0</v>
      </c>
      <c r="BB18" s="378" t="e">
        <f t="shared" si="16"/>
        <v>#DIV/0!</v>
      </c>
      <c r="BC18" s="61">
        <f>'Daily  CEM - 2'!L19</f>
        <v>4.2</v>
      </c>
      <c r="BD18" s="61">
        <f>'Daily  CEM - 2'!G19</f>
        <v>250</v>
      </c>
      <c r="BE18" s="378">
        <f t="shared" si="17"/>
        <v>59.523809523809518</v>
      </c>
      <c r="BF18" s="363">
        <f t="shared" si="18"/>
        <v>2264.2179999999798</v>
      </c>
      <c r="BG18" s="374">
        <f t="shared" si="19"/>
        <v>1470</v>
      </c>
      <c r="BH18" s="1">
        <v>667.44</v>
      </c>
      <c r="BI18" s="18">
        <f>BF18+BG18-BH18-'Internal use cement'!F18</f>
        <v>3066.7779999999798</v>
      </c>
      <c r="BJ18" s="363">
        <f t="shared" si="20"/>
        <v>227.79999999999995</v>
      </c>
      <c r="BK18" s="374">
        <f t="shared" si="21"/>
        <v>150</v>
      </c>
      <c r="BL18" s="1">
        <v>10</v>
      </c>
      <c r="BM18" s="356">
        <f>BJ18+BK18-BL18-'Internal use cement'!AB18</f>
        <v>367.79999999999995</v>
      </c>
      <c r="BN18" s="356">
        <f t="shared" si="39"/>
        <v>2.0900000000008498</v>
      </c>
      <c r="BO18" s="379">
        <f t="shared" si="45"/>
        <v>0</v>
      </c>
      <c r="BP18" s="1">
        <v>0</v>
      </c>
      <c r="BQ18" s="380">
        <f>BN18+BO18-BP18-'Internal use cement'!Q18</f>
        <v>2.0900000000008498</v>
      </c>
      <c r="BR18" s="356">
        <f t="shared" si="40"/>
        <v>249.3</v>
      </c>
      <c r="BS18" s="379">
        <f t="shared" si="23"/>
        <v>0</v>
      </c>
      <c r="BT18" s="1">
        <v>0</v>
      </c>
      <c r="BU18" s="380">
        <f>BR18+BS18-BT18-'Internal use cement'!AG18</f>
        <v>249.3</v>
      </c>
      <c r="BV18" s="66">
        <f t="shared" si="41"/>
        <v>337.29000000000013</v>
      </c>
      <c r="BW18" s="34">
        <f t="shared" si="24"/>
        <v>250</v>
      </c>
      <c r="BX18" s="15">
        <v>60</v>
      </c>
      <c r="BY18" s="66">
        <f t="shared" si="25"/>
        <v>527.29000000000019</v>
      </c>
      <c r="BZ18" s="1">
        <v>1737</v>
      </c>
      <c r="CA18" s="1">
        <v>2173</v>
      </c>
      <c r="CB18" s="1">
        <v>228</v>
      </c>
      <c r="CC18" s="325">
        <f t="shared" si="42"/>
        <v>4138</v>
      </c>
      <c r="CD18" s="15">
        <f t="shared" si="26"/>
        <v>4213.2579999999807</v>
      </c>
      <c r="CE18" s="271">
        <f t="shared" si="46"/>
        <v>-75.257999999980711</v>
      </c>
      <c r="CF18" s="15">
        <f t="shared" si="27"/>
        <v>737.44</v>
      </c>
      <c r="CG18" s="15">
        <f t="shared" si="28"/>
        <v>1870</v>
      </c>
      <c r="CH18" s="272">
        <f t="shared" si="29"/>
        <v>52.009983162480694</v>
      </c>
      <c r="CJ18" s="372">
        <f t="shared" si="8"/>
        <v>14.05</v>
      </c>
      <c r="CK18" s="325">
        <v>16</v>
      </c>
      <c r="CL18" s="325">
        <f t="shared" si="30"/>
        <v>6.4699999999999989</v>
      </c>
      <c r="CM18" s="325">
        <f t="shared" si="31"/>
        <v>8</v>
      </c>
      <c r="CN18" s="367">
        <f t="shared" si="32"/>
        <v>9.9499999999999993</v>
      </c>
      <c r="CO18" s="367">
        <f t="shared" si="33"/>
        <v>6</v>
      </c>
      <c r="CP18" s="325">
        <f t="shared" si="34"/>
        <v>0</v>
      </c>
      <c r="CQ18" s="381">
        <v>16</v>
      </c>
      <c r="CR18" s="367">
        <f t="shared" si="35"/>
        <v>800</v>
      </c>
      <c r="CS18" s="15">
        <f>'Daily CEM-1'!H19+'Daily CEM-1'!I19+'Daily CEM-1'!J19+'Daily CEM-1'!K19+'Daily CEM-1'!L19</f>
        <v>14.05</v>
      </c>
      <c r="CT18" s="15">
        <f>AQ18+AT18+AW18+'Daily  CEM - 2'!K19+'Daily  CEM - 2'!L19</f>
        <v>18</v>
      </c>
      <c r="CU18" s="372">
        <f t="shared" si="36"/>
        <v>9.9499999999999993</v>
      </c>
      <c r="CW18" s="52">
        <f t="shared" si="37"/>
        <v>2341.56</v>
      </c>
    </row>
    <row r="19" spans="2:106" x14ac:dyDescent="0.25">
      <c r="B19" s="4">
        <v>17</v>
      </c>
      <c r="C19" s="1">
        <v>20.7</v>
      </c>
      <c r="D19" s="34">
        <f>'Mines (2)'!D19+'Mines (2)'!I19+'Mines (2)'!W19+'Mines (2)'!AA19+'Mines (2)'!AE19</f>
        <v>2514.64</v>
      </c>
      <c r="E19" s="169">
        <f>'Mines (2)'!E19+'Mines (2)'!J19+'Mines (2)'!X19+'Mines (2)'!AB19+'Mines (2)'!AF19</f>
        <v>2609</v>
      </c>
      <c r="F19" s="34">
        <f t="shared" si="44"/>
        <v>121.48019323671497</v>
      </c>
      <c r="G19" s="1">
        <v>18</v>
      </c>
      <c r="H19" s="16">
        <f t="shared" si="38"/>
        <v>967.99001683751931</v>
      </c>
      <c r="I19" s="303">
        <f t="shared" si="9"/>
        <v>1038.0300168375193</v>
      </c>
      <c r="J19" s="1">
        <v>1003</v>
      </c>
      <c r="K19" s="36">
        <f>L19</f>
        <v>2332.75</v>
      </c>
      <c r="L19" s="36">
        <f>Clinker!EJ19*1.55</f>
        <v>2332.75</v>
      </c>
      <c r="M19" s="36">
        <v>0</v>
      </c>
      <c r="N19" s="1">
        <v>2214</v>
      </c>
      <c r="O19" s="34">
        <f t="shared" si="1"/>
        <v>123</v>
      </c>
      <c r="P19" s="1">
        <v>21</v>
      </c>
      <c r="Q19" s="1">
        <v>188.79</v>
      </c>
      <c r="R19" s="15">
        <f t="shared" si="10"/>
        <v>8.99</v>
      </c>
      <c r="S19" s="1">
        <v>16.2</v>
      </c>
      <c r="T19" s="16">
        <f t="shared" si="11"/>
        <v>48.509999999999991</v>
      </c>
      <c r="U19" s="1">
        <v>219</v>
      </c>
      <c r="V19" s="1">
        <v>223</v>
      </c>
      <c r="W19" s="18">
        <f t="shared" si="2"/>
        <v>44.509999999999991</v>
      </c>
      <c r="X19" s="34">
        <f t="shared" si="3"/>
        <v>13.518518518518519</v>
      </c>
      <c r="Y19" s="1">
        <v>24</v>
      </c>
      <c r="Z19" s="33">
        <f>Clinker!EJ19</f>
        <v>1505</v>
      </c>
      <c r="AA19" s="34">
        <f t="shared" si="4"/>
        <v>62.708333333333336</v>
      </c>
      <c r="AB19" s="37">
        <f>'Daily CEM-1'!H20</f>
        <v>4.17</v>
      </c>
      <c r="AC19" s="33">
        <f>'Daily CEM-1'!C20</f>
        <v>240</v>
      </c>
      <c r="AD19" s="34">
        <f t="shared" si="5"/>
        <v>57.553956834532372</v>
      </c>
      <c r="AE19" s="37">
        <f>'Daily CEM-1'!I20</f>
        <v>0</v>
      </c>
      <c r="AF19" s="33">
        <f>'Daily CEM-1'!D20</f>
        <v>0</v>
      </c>
      <c r="AG19" s="34" t="e">
        <f t="shared" si="12"/>
        <v>#DIV/0!</v>
      </c>
      <c r="AH19" s="61">
        <f>'Daily CEM-1'!J20</f>
        <v>0</v>
      </c>
      <c r="AI19" s="61">
        <f>'Daily CEM-1'!E20</f>
        <v>0</v>
      </c>
      <c r="AJ19" s="61"/>
      <c r="AK19" s="61">
        <f>'Daily CEM-1'!K20</f>
        <v>0</v>
      </c>
      <c r="AL19" s="61">
        <f>'Daily CEM-1'!F20</f>
        <v>0</v>
      </c>
      <c r="AM19" s="61" t="e">
        <f t="shared" si="13"/>
        <v>#DIV/0!</v>
      </c>
      <c r="AN19" s="60">
        <f>'Daily CEM-1'!L20</f>
        <v>0</v>
      </c>
      <c r="AO19" s="60">
        <f>'Daily CEM-1'!G20</f>
        <v>0</v>
      </c>
      <c r="AP19" s="60" t="e">
        <f t="shared" si="14"/>
        <v>#DIV/0!</v>
      </c>
      <c r="AQ19" s="37">
        <f>'Daily  CEM - 2'!H20</f>
        <v>11.41</v>
      </c>
      <c r="AR19" s="33">
        <f>'Daily  CEM - 2'!C20</f>
        <v>650</v>
      </c>
      <c r="AS19" s="34">
        <f t="shared" si="6"/>
        <v>56.96757230499562</v>
      </c>
      <c r="AT19" s="37">
        <f>'Daily  CEM - 2'!I20</f>
        <v>0</v>
      </c>
      <c r="AU19" s="33">
        <f>'Daily  CEM - 2'!D20</f>
        <v>0</v>
      </c>
      <c r="AV19" s="34" t="e">
        <f t="shared" si="7"/>
        <v>#DIV/0!</v>
      </c>
      <c r="AW19" s="61">
        <f>'Daily  CEM - 2'!J20</f>
        <v>0</v>
      </c>
      <c r="AX19" s="61">
        <f>'Daily  CEM - 2'!E20</f>
        <v>0</v>
      </c>
      <c r="AY19" s="197" t="e">
        <f t="shared" si="15"/>
        <v>#DIV/0!</v>
      </c>
      <c r="AZ19" s="61">
        <f>'Daily  CEM - 2'!K20</f>
        <v>0</v>
      </c>
      <c r="BA19" s="61">
        <f>'Daily  CEM - 2'!F20</f>
        <v>0</v>
      </c>
      <c r="BB19" s="60" t="e">
        <f t="shared" si="16"/>
        <v>#DIV/0!</v>
      </c>
      <c r="BC19" s="61">
        <f>'Daily  CEM - 2'!L20</f>
        <v>0</v>
      </c>
      <c r="BD19" s="61">
        <f>'Daily  CEM - 2'!G20</f>
        <v>0</v>
      </c>
      <c r="BE19" s="60" t="e">
        <f t="shared" si="17"/>
        <v>#DIV/0!</v>
      </c>
      <c r="BF19" s="16">
        <f t="shared" si="18"/>
        <v>3066.7779999999798</v>
      </c>
      <c r="BG19" s="36">
        <f t="shared" si="19"/>
        <v>890</v>
      </c>
      <c r="BH19" s="1">
        <v>1119.5</v>
      </c>
      <c r="BI19" s="18">
        <f>BF19+BG19-BH19-'Internal use cement'!F19</f>
        <v>2837.2779999999798</v>
      </c>
      <c r="BJ19" s="16">
        <f t="shared" si="20"/>
        <v>367.79999999999995</v>
      </c>
      <c r="BK19" s="36">
        <f t="shared" si="21"/>
        <v>0</v>
      </c>
      <c r="BL19" s="1">
        <v>60</v>
      </c>
      <c r="BM19" s="18">
        <f>BJ19+BK19-BL19-'Internal use cement'!AB19</f>
        <v>307.79999999999995</v>
      </c>
      <c r="BN19" s="18">
        <f t="shared" si="39"/>
        <v>2.0900000000008498</v>
      </c>
      <c r="BO19" s="63">
        <f t="shared" si="45"/>
        <v>0</v>
      </c>
      <c r="BP19" s="1">
        <v>0</v>
      </c>
      <c r="BQ19" s="66">
        <f>BN19+BO19-BP19-'Internal use cement'!Q19</f>
        <v>2.0900000000008498</v>
      </c>
      <c r="BR19" s="18">
        <f t="shared" si="40"/>
        <v>249.3</v>
      </c>
      <c r="BS19" s="63">
        <f t="shared" si="23"/>
        <v>0</v>
      </c>
      <c r="BT19" s="1">
        <v>0</v>
      </c>
      <c r="BU19" s="66">
        <f>BR19+BS19-BT19-'Internal use cement'!AG19</f>
        <v>249.3</v>
      </c>
      <c r="BV19" s="66">
        <f t="shared" si="41"/>
        <v>527.29000000000019</v>
      </c>
      <c r="BW19" s="34">
        <f t="shared" si="24"/>
        <v>0</v>
      </c>
      <c r="BX19" s="15">
        <v>241.82</v>
      </c>
      <c r="BY19" s="66">
        <f t="shared" si="25"/>
        <v>285.4700000000002</v>
      </c>
      <c r="BZ19" s="1">
        <v>1587</v>
      </c>
      <c r="CA19" s="1">
        <v>1508</v>
      </c>
      <c r="CB19" s="1">
        <v>235</v>
      </c>
      <c r="CC19" s="1">
        <f t="shared" si="42"/>
        <v>3330</v>
      </c>
      <c r="CD19" s="15">
        <f t="shared" si="26"/>
        <v>3681.937999999981</v>
      </c>
      <c r="CE19" s="272">
        <f>CC19-CD19</f>
        <v>-351.937999999981</v>
      </c>
      <c r="CF19" s="15">
        <f t="shared" si="27"/>
        <v>1421.32</v>
      </c>
      <c r="CG19" s="15">
        <f t="shared" si="28"/>
        <v>890</v>
      </c>
      <c r="CH19" s="272">
        <f>J19-I19</f>
        <v>-35.03001683751927</v>
      </c>
      <c r="CJ19" s="52">
        <f t="shared" si="8"/>
        <v>4.17</v>
      </c>
      <c r="CK19" s="1">
        <v>17</v>
      </c>
      <c r="CL19" s="1">
        <f t="shared" si="30"/>
        <v>6</v>
      </c>
      <c r="CM19" s="1">
        <f t="shared" si="31"/>
        <v>7.8000000000000007</v>
      </c>
      <c r="CN19" s="15">
        <f t="shared" si="32"/>
        <v>19.829999999999998</v>
      </c>
      <c r="CO19" s="15">
        <f t="shared" si="33"/>
        <v>12.59</v>
      </c>
      <c r="CP19" s="1">
        <f t="shared" si="34"/>
        <v>0</v>
      </c>
      <c r="CQ19" s="2">
        <v>17</v>
      </c>
      <c r="CR19" s="15">
        <f t="shared" si="35"/>
        <v>650</v>
      </c>
      <c r="CS19" s="15">
        <f>'Daily CEM-1'!H20+'Daily CEM-1'!I20+'Daily CEM-1'!J20+'Daily CEM-1'!K20+'Daily CEM-1'!L20</f>
        <v>4.17</v>
      </c>
      <c r="CT19" s="15">
        <f>AQ19+AT19+AW19+'Daily  CEM - 2'!K20+'Daily  CEM - 2'!L20</f>
        <v>11.41</v>
      </c>
      <c r="CU19" s="52">
        <f t="shared" si="36"/>
        <v>19.829999999999998</v>
      </c>
      <c r="CW19" s="52">
        <f t="shared" si="37"/>
        <v>2402.79</v>
      </c>
    </row>
    <row r="20" spans="2:106" x14ac:dyDescent="0.25">
      <c r="B20" s="4">
        <v>18</v>
      </c>
      <c r="C20" s="1">
        <v>18.62</v>
      </c>
      <c r="D20" s="34">
        <f>'Mines (2)'!D20+'Mines (2)'!I20+'Mines (2)'!W20+'Mines (2)'!AA20+'Mines (2)'!AE20</f>
        <v>2207.34</v>
      </c>
      <c r="E20" s="169">
        <f>'Mines (2)'!E20+'Mines (2)'!J20+'Mines (2)'!X20+'Mines (2)'!AB20+'Mines (2)'!AF20</f>
        <v>2073</v>
      </c>
      <c r="F20" s="34">
        <f t="shared" si="44"/>
        <v>118.54672395273899</v>
      </c>
      <c r="G20" s="1">
        <v>15.17</v>
      </c>
      <c r="H20" s="16">
        <f t="shared" si="38"/>
        <v>1038.0300168375193</v>
      </c>
      <c r="I20" s="303">
        <f t="shared" si="9"/>
        <v>823.82001683751923</v>
      </c>
      <c r="J20" s="1">
        <v>759</v>
      </c>
      <c r="K20" s="36">
        <f t="shared" si="0"/>
        <v>2123.5</v>
      </c>
      <c r="L20" s="36">
        <f>Clinker!EJ20*1.55</f>
        <v>2123.5</v>
      </c>
      <c r="M20" s="36">
        <v>0</v>
      </c>
      <c r="N20" s="1">
        <v>1729</v>
      </c>
      <c r="O20" s="34">
        <f t="shared" si="1"/>
        <v>113.97495056031642</v>
      </c>
      <c r="P20" s="1">
        <v>20</v>
      </c>
      <c r="Q20" s="1">
        <v>180.29</v>
      </c>
      <c r="R20" s="15">
        <f t="shared" si="10"/>
        <v>9.0145</v>
      </c>
      <c r="S20" s="1">
        <v>16.2</v>
      </c>
      <c r="T20" s="16">
        <f t="shared" si="11"/>
        <v>44.509999999999991</v>
      </c>
      <c r="U20" s="1">
        <v>220</v>
      </c>
      <c r="V20" s="1">
        <v>214</v>
      </c>
      <c r="W20" s="18">
        <f t="shared" si="2"/>
        <v>50.509999999999991</v>
      </c>
      <c r="X20" s="34">
        <f t="shared" si="3"/>
        <v>13.580246913580247</v>
      </c>
      <c r="Y20" s="1">
        <v>24</v>
      </c>
      <c r="Z20" s="33">
        <f>Clinker!EJ20</f>
        <v>1370</v>
      </c>
      <c r="AA20" s="34">
        <f t="shared" si="4"/>
        <v>57.083333333333336</v>
      </c>
      <c r="AB20" s="37">
        <f>'Daily CEM-1'!H21</f>
        <v>17.5</v>
      </c>
      <c r="AC20" s="33">
        <f>'Daily CEM-1'!C21</f>
        <v>1100</v>
      </c>
      <c r="AD20" s="34">
        <f t="shared" si="5"/>
        <v>62.857142857142854</v>
      </c>
      <c r="AE20" s="37">
        <f>'Daily CEM-1'!I21</f>
        <v>0</v>
      </c>
      <c r="AF20" s="33">
        <f>'Daily CEM-1'!D21</f>
        <v>0</v>
      </c>
      <c r="AG20" s="34" t="e">
        <f t="shared" si="12"/>
        <v>#DIV/0!</v>
      </c>
      <c r="AH20" s="61">
        <f>'Daily CEM-1'!J21</f>
        <v>0</v>
      </c>
      <c r="AI20" s="61">
        <f>'Daily CEM-1'!E21</f>
        <v>0</v>
      </c>
      <c r="AJ20" s="61"/>
      <c r="AK20" s="61">
        <f>'Daily CEM-1'!K21</f>
        <v>0</v>
      </c>
      <c r="AL20" s="61">
        <f>'Daily CEM-1'!F21</f>
        <v>0</v>
      </c>
      <c r="AM20" s="61" t="e">
        <f t="shared" si="13"/>
        <v>#DIV/0!</v>
      </c>
      <c r="AN20" s="60">
        <f>'Daily CEM-1'!L21</f>
        <v>6.5</v>
      </c>
      <c r="AO20" s="60">
        <f>'Daily CEM-1'!G21</f>
        <v>412</v>
      </c>
      <c r="AP20" s="60">
        <f t="shared" si="14"/>
        <v>63.384615384615387</v>
      </c>
      <c r="AQ20" s="37">
        <f>'Daily  CEM - 2'!H21</f>
        <v>0</v>
      </c>
      <c r="AR20" s="33">
        <f>'Daily  CEM - 2'!C21</f>
        <v>0</v>
      </c>
      <c r="AS20" s="34" t="e">
        <f t="shared" si="6"/>
        <v>#DIV/0!</v>
      </c>
      <c r="AT20" s="37">
        <f>'Daily  CEM - 2'!I21</f>
        <v>0</v>
      </c>
      <c r="AU20" s="33">
        <f>'Daily  CEM - 2'!D21</f>
        <v>0</v>
      </c>
      <c r="AV20" s="34" t="e">
        <f t="shared" si="7"/>
        <v>#DIV/0!</v>
      </c>
      <c r="AW20" s="61">
        <f>'Daily  CEM - 2'!J21</f>
        <v>0</v>
      </c>
      <c r="AX20" s="61">
        <f>'Daily  CEM - 2'!E21</f>
        <v>0</v>
      </c>
      <c r="AY20" s="197" t="e">
        <f t="shared" si="15"/>
        <v>#DIV/0!</v>
      </c>
      <c r="AZ20" s="61">
        <f>'Daily  CEM - 2'!K21</f>
        <v>0</v>
      </c>
      <c r="BA20" s="61">
        <f>'Daily  CEM - 2'!F21</f>
        <v>0</v>
      </c>
      <c r="BB20" s="60" t="e">
        <f t="shared" si="16"/>
        <v>#DIV/0!</v>
      </c>
      <c r="BC20" s="61">
        <f>'Daily  CEM - 2'!L21</f>
        <v>5</v>
      </c>
      <c r="BD20" s="61">
        <f>'Daily  CEM - 2'!G21</f>
        <v>275</v>
      </c>
      <c r="BE20" s="60">
        <f t="shared" si="17"/>
        <v>55</v>
      </c>
      <c r="BF20" s="16">
        <f t="shared" si="18"/>
        <v>2837.2779999999798</v>
      </c>
      <c r="BG20" s="36">
        <f t="shared" si="19"/>
        <v>1100</v>
      </c>
      <c r="BH20" s="1">
        <v>1078.75</v>
      </c>
      <c r="BI20" s="18">
        <f>BF20+BG20-BH20-'Internal use cement'!F20</f>
        <v>2858.5279999999798</v>
      </c>
      <c r="BJ20" s="16">
        <f t="shared" si="20"/>
        <v>307.79999999999995</v>
      </c>
      <c r="BK20" s="36">
        <f t="shared" si="21"/>
        <v>0</v>
      </c>
      <c r="BL20" s="1">
        <v>0</v>
      </c>
      <c r="BM20" s="18">
        <f>BJ20+BK20-BL20-'Internal use cement'!AB20</f>
        <v>307.79999999999995</v>
      </c>
      <c r="BN20" s="18">
        <f t="shared" si="39"/>
        <v>2.0900000000008498</v>
      </c>
      <c r="BO20" s="63">
        <f t="shared" si="45"/>
        <v>0</v>
      </c>
      <c r="BP20" s="1">
        <v>0</v>
      </c>
      <c r="BQ20" s="66">
        <f>BN20+BO20-BP20-'Internal use cement'!Q20</f>
        <v>2.0900000000008498</v>
      </c>
      <c r="BR20" s="18">
        <f t="shared" si="40"/>
        <v>249.3</v>
      </c>
      <c r="BS20" s="63">
        <f>BA20+AL20</f>
        <v>0</v>
      </c>
      <c r="BT20" s="1">
        <v>0</v>
      </c>
      <c r="BU20" s="66">
        <f>BR20+BS20-BT20-'Internal use cement'!AG20</f>
        <v>249.3</v>
      </c>
      <c r="BV20" s="66">
        <f t="shared" si="41"/>
        <v>285.4700000000002</v>
      </c>
      <c r="BW20" s="34">
        <f t="shared" si="24"/>
        <v>687</v>
      </c>
      <c r="BX20" s="15">
        <v>90</v>
      </c>
      <c r="BY20" s="66">
        <f t="shared" si="25"/>
        <v>882.47000000000025</v>
      </c>
      <c r="BZ20" s="1">
        <v>1487</v>
      </c>
      <c r="CA20" s="1">
        <v>2454</v>
      </c>
      <c r="CB20" s="1">
        <v>180</v>
      </c>
      <c r="CC20" s="1">
        <f t="shared" si="42"/>
        <v>4121</v>
      </c>
      <c r="CD20" s="15">
        <f t="shared" si="26"/>
        <v>4300.187999999981</v>
      </c>
      <c r="CE20" s="271">
        <f t="shared" si="46"/>
        <v>-179.187999999981</v>
      </c>
      <c r="CF20" s="15">
        <f t="shared" si="27"/>
        <v>1168.75</v>
      </c>
      <c r="CG20" s="15">
        <f t="shared" si="28"/>
        <v>1787</v>
      </c>
      <c r="CH20" s="272">
        <f t="shared" si="29"/>
        <v>-64.820016837519233</v>
      </c>
      <c r="CJ20" s="52">
        <f t="shared" si="8"/>
        <v>17.5</v>
      </c>
      <c r="CK20" s="1">
        <v>18</v>
      </c>
      <c r="CL20" s="1">
        <f t="shared" si="30"/>
        <v>8.83</v>
      </c>
      <c r="CM20" s="1">
        <f t="shared" si="31"/>
        <v>7.8000000000000007</v>
      </c>
      <c r="CN20" s="15">
        <f t="shared" si="32"/>
        <v>0</v>
      </c>
      <c r="CO20" s="15">
        <f t="shared" si="33"/>
        <v>19</v>
      </c>
      <c r="CP20" s="1">
        <f t="shared" si="34"/>
        <v>0</v>
      </c>
      <c r="CQ20" s="2">
        <v>18</v>
      </c>
      <c r="CR20" s="15">
        <f t="shared" si="35"/>
        <v>0</v>
      </c>
      <c r="CS20" s="15">
        <f>'Daily CEM-1'!H21+'Daily CEM-1'!I21+'Daily CEM-1'!J21+'Daily CEM-1'!K21+'Daily CEM-1'!L21</f>
        <v>24</v>
      </c>
      <c r="CT20" s="15">
        <f>AQ20+AT20+AW20+'Daily  CEM - 2'!K21+'Daily  CEM - 2'!L21</f>
        <v>5</v>
      </c>
      <c r="CU20" s="52">
        <f t="shared" si="36"/>
        <v>0</v>
      </c>
      <c r="CW20" s="52">
        <f t="shared" si="37"/>
        <v>1909.29</v>
      </c>
    </row>
    <row r="21" spans="2:106" s="324" customFormat="1" x14ac:dyDescent="0.25">
      <c r="B21" s="351">
        <v>19</v>
      </c>
      <c r="C21" s="1">
        <v>20.8</v>
      </c>
      <c r="D21" s="364">
        <f>'Mines (2)'!D21+'Mines (2)'!I21+'Mines (2)'!W21+'Mines (2)'!AA21+'Mines (2)'!AE21</f>
        <v>3652.06</v>
      </c>
      <c r="E21" s="373">
        <f>'Mines (2)'!E21+'Mines (2)'!J21+'Mines (2)'!X21+'Mines (2)'!AB21+'Mines (2)'!AF21</f>
        <v>1991</v>
      </c>
      <c r="F21" s="364">
        <f t="shared" si="44"/>
        <v>175.5798076923077</v>
      </c>
      <c r="G21" s="1">
        <v>17</v>
      </c>
      <c r="H21" s="16">
        <f t="shared" si="38"/>
        <v>823.82001683751923</v>
      </c>
      <c r="I21" s="303">
        <f t="shared" si="9"/>
        <v>701.78001683751927</v>
      </c>
      <c r="J21" s="1">
        <v>554</v>
      </c>
      <c r="K21" s="374">
        <f t="shared" ref="K21:K33" si="47">L21</f>
        <v>1953</v>
      </c>
      <c r="L21" s="374">
        <f>Clinker!EJ21*1.55</f>
        <v>1953</v>
      </c>
      <c r="M21" s="36">
        <v>0</v>
      </c>
      <c r="N21" s="1">
        <v>1730</v>
      </c>
      <c r="O21" s="364">
        <f t="shared" si="1"/>
        <v>101.76470588235294</v>
      </c>
      <c r="P21" s="1">
        <v>14.42</v>
      </c>
      <c r="Q21" s="1">
        <v>100.96</v>
      </c>
      <c r="R21" s="367">
        <f t="shared" si="10"/>
        <v>7.0013869625520107</v>
      </c>
      <c r="S21" s="1">
        <v>14.27</v>
      </c>
      <c r="T21" s="363">
        <f t="shared" si="11"/>
        <v>50.509999999999991</v>
      </c>
      <c r="U21" s="1">
        <v>193.5</v>
      </c>
      <c r="V21" s="1">
        <v>190</v>
      </c>
      <c r="W21" s="356">
        <f t="shared" si="2"/>
        <v>54.009999999999991</v>
      </c>
      <c r="X21" s="364">
        <f t="shared" si="3"/>
        <v>13.559915907498249</v>
      </c>
      <c r="Y21" s="1">
        <v>24</v>
      </c>
      <c r="Z21" s="355">
        <f>Clinker!EJ21</f>
        <v>1260</v>
      </c>
      <c r="AA21" s="364">
        <f t="shared" si="4"/>
        <v>52.5</v>
      </c>
      <c r="AB21" s="375">
        <f>'Daily CEM-1'!H22</f>
        <v>16</v>
      </c>
      <c r="AC21" s="355">
        <f>'Daily CEM-1'!C22</f>
        <v>890</v>
      </c>
      <c r="AD21" s="364">
        <f t="shared" si="5"/>
        <v>55.625</v>
      </c>
      <c r="AE21" s="375">
        <f>'Daily CEM-1'!I22</f>
        <v>0</v>
      </c>
      <c r="AF21" s="355">
        <f>'Daily CEM-1'!D22</f>
        <v>0</v>
      </c>
      <c r="AG21" s="364" t="e">
        <f t="shared" si="12"/>
        <v>#DIV/0!</v>
      </c>
      <c r="AH21" s="376">
        <f>'Daily CEM-1'!J22</f>
        <v>0</v>
      </c>
      <c r="AI21" s="376">
        <f>'Daily CEM-1'!E22</f>
        <v>0</v>
      </c>
      <c r="AJ21" s="376"/>
      <c r="AK21" s="376">
        <f>'Daily CEM-1'!K22</f>
        <v>0</v>
      </c>
      <c r="AL21" s="376">
        <f>'Daily CEM-1'!F22</f>
        <v>0</v>
      </c>
      <c r="AM21" s="376" t="e">
        <f t="shared" si="13"/>
        <v>#DIV/0!</v>
      </c>
      <c r="AN21" s="60">
        <f>'Daily CEM-1'!L22</f>
        <v>0</v>
      </c>
      <c r="AO21" s="60">
        <f>'Daily CEM-1'!G22</f>
        <v>0</v>
      </c>
      <c r="AP21" s="60" t="e">
        <f t="shared" si="14"/>
        <v>#DIV/0!</v>
      </c>
      <c r="AQ21" s="375">
        <f>'Daily  CEM - 2'!H22</f>
        <v>0</v>
      </c>
      <c r="AR21" s="355">
        <f>'Daily  CEM - 2'!C22</f>
        <v>0</v>
      </c>
      <c r="AS21" s="364" t="e">
        <f t="shared" si="6"/>
        <v>#DIV/0!</v>
      </c>
      <c r="AT21" s="375">
        <f>'Daily  CEM - 2'!I22</f>
        <v>0</v>
      </c>
      <c r="AU21" s="355">
        <f>'Daily  CEM - 2'!D22</f>
        <v>0</v>
      </c>
      <c r="AV21" s="364" t="e">
        <f t="shared" si="7"/>
        <v>#DIV/0!</v>
      </c>
      <c r="AW21" s="376">
        <f>'Daily  CEM - 2'!J22</f>
        <v>0</v>
      </c>
      <c r="AX21" s="376">
        <f>'Daily  CEM - 2'!E22</f>
        <v>0</v>
      </c>
      <c r="AY21" s="377" t="e">
        <f t="shared" si="15"/>
        <v>#DIV/0!</v>
      </c>
      <c r="AZ21" s="376">
        <f>'Daily  CEM - 2'!K22</f>
        <v>0</v>
      </c>
      <c r="BA21" s="376">
        <f>'Daily  CEM - 2'!F22</f>
        <v>0</v>
      </c>
      <c r="BB21" s="378" t="e">
        <f t="shared" si="16"/>
        <v>#DIV/0!</v>
      </c>
      <c r="BC21" s="61">
        <f>'Daily  CEM - 2'!L22</f>
        <v>0</v>
      </c>
      <c r="BD21" s="61">
        <f>'Daily  CEM - 2'!G22</f>
        <v>0</v>
      </c>
      <c r="BE21" s="378" t="e">
        <f t="shared" si="17"/>
        <v>#DIV/0!</v>
      </c>
      <c r="BF21" s="363">
        <f t="shared" si="18"/>
        <v>2858.5279999999798</v>
      </c>
      <c r="BG21" s="374">
        <f t="shared" si="19"/>
        <v>890</v>
      </c>
      <c r="BH21" s="1">
        <v>1003</v>
      </c>
      <c r="BI21" s="18">
        <f>BF21+BG21-BH21-'Internal use cement'!F21</f>
        <v>2745.5279999999798</v>
      </c>
      <c r="BJ21" s="363">
        <f t="shared" si="20"/>
        <v>307.79999999999995</v>
      </c>
      <c r="BK21" s="374">
        <f t="shared" si="21"/>
        <v>0</v>
      </c>
      <c r="BL21" s="1">
        <v>30</v>
      </c>
      <c r="BM21" s="356">
        <f>BJ21+BK21-BL21-'Internal use cement'!AB21</f>
        <v>277.79999999999995</v>
      </c>
      <c r="BN21" s="356">
        <f t="shared" si="39"/>
        <v>2.0900000000008498</v>
      </c>
      <c r="BO21" s="379">
        <f t="shared" si="45"/>
        <v>0</v>
      </c>
      <c r="BP21" s="1">
        <v>0</v>
      </c>
      <c r="BQ21" s="380">
        <f>BN21+BO21-BP21-'Internal use cement'!Q21</f>
        <v>2.0900000000008498</v>
      </c>
      <c r="BR21" s="356">
        <f t="shared" si="40"/>
        <v>249.3</v>
      </c>
      <c r="BS21" s="379">
        <f t="shared" si="23"/>
        <v>0</v>
      </c>
      <c r="BT21" s="1">
        <v>61</v>
      </c>
      <c r="BU21" s="380">
        <f>BR21+BS21-BT21-'Internal use cement'!AG21</f>
        <v>188.3</v>
      </c>
      <c r="BV21" s="66">
        <f t="shared" si="41"/>
        <v>882.47000000000025</v>
      </c>
      <c r="BW21" s="34">
        <f t="shared" si="24"/>
        <v>0</v>
      </c>
      <c r="BX21" s="15">
        <v>270.95999999999998</v>
      </c>
      <c r="BY21" s="66">
        <f t="shared" si="25"/>
        <v>611.51000000000022</v>
      </c>
      <c r="BZ21" s="1">
        <v>1627</v>
      </c>
      <c r="CA21" s="1">
        <v>2132</v>
      </c>
      <c r="CB21" s="1">
        <v>162</v>
      </c>
      <c r="CC21" s="325">
        <f t="shared" si="42"/>
        <v>3921</v>
      </c>
      <c r="CD21" s="15">
        <f t="shared" si="26"/>
        <v>3825.227999999981</v>
      </c>
      <c r="CE21" s="271">
        <f t="shared" si="46"/>
        <v>95.772000000019034</v>
      </c>
      <c r="CF21" s="15">
        <f t="shared" si="27"/>
        <v>1364.96</v>
      </c>
      <c r="CG21" s="15">
        <f t="shared" si="28"/>
        <v>890</v>
      </c>
      <c r="CH21" s="272">
        <f t="shared" si="29"/>
        <v>-147.78001683751927</v>
      </c>
      <c r="CJ21" s="372">
        <f t="shared" si="8"/>
        <v>16</v>
      </c>
      <c r="CK21" s="325">
        <v>19</v>
      </c>
      <c r="CL21" s="325">
        <f t="shared" si="30"/>
        <v>7</v>
      </c>
      <c r="CM21" s="325">
        <f t="shared" si="31"/>
        <v>9.73</v>
      </c>
      <c r="CN21" s="367">
        <f t="shared" si="32"/>
        <v>8</v>
      </c>
      <c r="CO21" s="367">
        <f t="shared" si="33"/>
        <v>24</v>
      </c>
      <c r="CP21" s="325">
        <f t="shared" si="34"/>
        <v>0</v>
      </c>
      <c r="CQ21" s="381">
        <v>19</v>
      </c>
      <c r="CR21" s="367">
        <f t="shared" si="35"/>
        <v>0</v>
      </c>
      <c r="CS21" s="15">
        <f>'Daily CEM-1'!H22+'Daily CEM-1'!I22+'Daily CEM-1'!J22+'Daily CEM-1'!K22+'Daily CEM-1'!L22</f>
        <v>16</v>
      </c>
      <c r="CT21" s="15">
        <f>AQ21+AT21+AW21+'Daily  CEM - 2'!K22+'Daily  CEM - 2'!L22</f>
        <v>0</v>
      </c>
      <c r="CU21" s="372">
        <f t="shared" si="36"/>
        <v>8</v>
      </c>
      <c r="CW21" s="52">
        <f t="shared" si="37"/>
        <v>1830.96</v>
      </c>
    </row>
    <row r="22" spans="2:106" s="324" customFormat="1" x14ac:dyDescent="0.25">
      <c r="B22" s="351">
        <v>20</v>
      </c>
      <c r="C22" s="1">
        <v>21.08</v>
      </c>
      <c r="D22" s="364">
        <f>'Mines (2)'!D22+'Mines (2)'!I22+'Mines (2)'!W22+'Mines (2)'!AA22+'Mines (2)'!AE22</f>
        <v>2806.92</v>
      </c>
      <c r="E22" s="373">
        <f>'Mines (2)'!E22+'Mines (2)'!J22+'Mines (2)'!X22+'Mines (2)'!AB22+'Mines (2)'!AF22</f>
        <v>1979</v>
      </c>
      <c r="F22" s="364">
        <f t="shared" si="44"/>
        <v>133.15559772296015</v>
      </c>
      <c r="G22" s="1">
        <v>18</v>
      </c>
      <c r="H22" s="16">
        <f t="shared" si="38"/>
        <v>701.78001683751927</v>
      </c>
      <c r="I22" s="303">
        <f t="shared" si="9"/>
        <v>633.41001683751938</v>
      </c>
      <c r="J22" s="1">
        <v>553</v>
      </c>
      <c r="K22" s="374">
        <f t="shared" si="47"/>
        <v>1906.5</v>
      </c>
      <c r="L22" s="374">
        <f>Clinker!EJ22*1.55</f>
        <v>1906.5</v>
      </c>
      <c r="M22" s="36">
        <v>0</v>
      </c>
      <c r="N22" s="1">
        <v>1760</v>
      </c>
      <c r="O22" s="364">
        <f t="shared" si="1"/>
        <v>97.777777777777771</v>
      </c>
      <c r="P22" s="1">
        <v>9.75</v>
      </c>
      <c r="Q22" s="1">
        <v>78.13</v>
      </c>
      <c r="R22" s="367">
        <f t="shared" si="10"/>
        <v>8.0133333333333336</v>
      </c>
      <c r="S22" s="1">
        <v>13.5</v>
      </c>
      <c r="T22" s="363">
        <f t="shared" si="11"/>
        <v>54.009999999999991</v>
      </c>
      <c r="U22" s="1">
        <v>183</v>
      </c>
      <c r="V22" s="1">
        <v>185</v>
      </c>
      <c r="W22" s="356">
        <f t="shared" si="2"/>
        <v>52.009999999999991</v>
      </c>
      <c r="X22" s="364">
        <f t="shared" si="3"/>
        <v>13.555555555555555</v>
      </c>
      <c r="Y22" s="1">
        <v>24</v>
      </c>
      <c r="Z22" s="355">
        <f>Clinker!EJ22</f>
        <v>1230</v>
      </c>
      <c r="AA22" s="364">
        <f t="shared" si="4"/>
        <v>51.25</v>
      </c>
      <c r="AB22" s="375">
        <f>'Daily CEM-1'!H23</f>
        <v>8.6</v>
      </c>
      <c r="AC22" s="355">
        <f>'Daily CEM-1'!C23</f>
        <v>542</v>
      </c>
      <c r="AD22" s="364">
        <f t="shared" si="5"/>
        <v>63.02325581395349</v>
      </c>
      <c r="AE22" s="375">
        <f>'Daily CEM-1'!I23</f>
        <v>0</v>
      </c>
      <c r="AF22" s="355">
        <f>'Daily CEM-1'!D23</f>
        <v>0</v>
      </c>
      <c r="AG22" s="364" t="e">
        <f t="shared" si="12"/>
        <v>#DIV/0!</v>
      </c>
      <c r="AH22" s="376">
        <f>'Daily CEM-1'!J23</f>
        <v>0</v>
      </c>
      <c r="AI22" s="376">
        <f>'Daily CEM-1'!E23</f>
        <v>0</v>
      </c>
      <c r="AJ22" s="376"/>
      <c r="AK22" s="376">
        <f>'Daily CEM-1'!K23</f>
        <v>0</v>
      </c>
      <c r="AL22" s="376">
        <f>'Daily CEM-1'!F23</f>
        <v>0</v>
      </c>
      <c r="AM22" s="376" t="e">
        <f t="shared" si="13"/>
        <v>#DIV/0!</v>
      </c>
      <c r="AN22" s="60">
        <f>'Daily CEM-1'!L23</f>
        <v>0</v>
      </c>
      <c r="AO22" s="60">
        <f>'Daily CEM-1'!G23</f>
        <v>0</v>
      </c>
      <c r="AP22" s="60" t="e">
        <f t="shared" si="14"/>
        <v>#DIV/0!</v>
      </c>
      <c r="AQ22" s="375">
        <f>'Daily  CEM - 2'!H23</f>
        <v>0</v>
      </c>
      <c r="AR22" s="355">
        <f>'Daily  CEM - 2'!C23</f>
        <v>0</v>
      </c>
      <c r="AS22" s="364" t="e">
        <f t="shared" si="6"/>
        <v>#DIV/0!</v>
      </c>
      <c r="AT22" s="375">
        <f>'Daily  CEM - 2'!I23</f>
        <v>0</v>
      </c>
      <c r="AU22" s="355">
        <f>'Daily  CEM - 2'!D23</f>
        <v>0</v>
      </c>
      <c r="AV22" s="364" t="e">
        <f t="shared" si="7"/>
        <v>#DIV/0!</v>
      </c>
      <c r="AW22" s="376">
        <f>'Daily  CEM - 2'!J23</f>
        <v>0</v>
      </c>
      <c r="AX22" s="376">
        <f>'Daily  CEM - 2'!E23</f>
        <v>0</v>
      </c>
      <c r="AY22" s="377" t="e">
        <f t="shared" si="15"/>
        <v>#DIV/0!</v>
      </c>
      <c r="AZ22" s="376">
        <f>'Daily  CEM - 2'!K23</f>
        <v>0</v>
      </c>
      <c r="BA22" s="376">
        <f>'Daily  CEM - 2'!F23</f>
        <v>0</v>
      </c>
      <c r="BB22" s="378" t="e">
        <f t="shared" si="16"/>
        <v>#DIV/0!</v>
      </c>
      <c r="BC22" s="61">
        <f>'Daily  CEM - 2'!L23</f>
        <v>5.48</v>
      </c>
      <c r="BD22" s="61">
        <f>'Daily  CEM - 2'!G23</f>
        <v>298</v>
      </c>
      <c r="BE22" s="378">
        <f t="shared" si="17"/>
        <v>54.379562043795616</v>
      </c>
      <c r="BF22" s="363">
        <f t="shared" si="18"/>
        <v>2745.5279999999798</v>
      </c>
      <c r="BG22" s="374">
        <f t="shared" si="19"/>
        <v>542</v>
      </c>
      <c r="BH22" s="1">
        <v>515.5</v>
      </c>
      <c r="BI22" s="18">
        <f>BF22+BG22-BH22-'Internal use cement'!F22</f>
        <v>2772.0279999999798</v>
      </c>
      <c r="BJ22" s="363">
        <f t="shared" si="20"/>
        <v>277.79999999999995</v>
      </c>
      <c r="BK22" s="374">
        <f t="shared" si="21"/>
        <v>0</v>
      </c>
      <c r="BL22" s="1">
        <v>20</v>
      </c>
      <c r="BM22" s="356">
        <f>BJ22+BK22-BL22-'Internal use cement'!AB22</f>
        <v>257.79999999999995</v>
      </c>
      <c r="BN22" s="356">
        <f t="shared" si="39"/>
        <v>2.0900000000008498</v>
      </c>
      <c r="BO22" s="379">
        <f t="shared" si="45"/>
        <v>0</v>
      </c>
      <c r="BP22" s="1">
        <v>0</v>
      </c>
      <c r="BQ22" s="380">
        <f>BN22+BO22-BP22-'Internal use cement'!Q22</f>
        <v>2.0900000000008498</v>
      </c>
      <c r="BR22" s="356">
        <f t="shared" si="40"/>
        <v>188.3</v>
      </c>
      <c r="BS22" s="379">
        <f t="shared" si="23"/>
        <v>0</v>
      </c>
      <c r="BT22" s="1">
        <v>30</v>
      </c>
      <c r="BU22" s="380">
        <f>BR22+BS22-BT22-'Internal use cement'!AG22</f>
        <v>158.30000000000001</v>
      </c>
      <c r="BV22" s="66">
        <f t="shared" si="41"/>
        <v>611.51000000000022</v>
      </c>
      <c r="BW22" s="34">
        <f t="shared" si="24"/>
        <v>298</v>
      </c>
      <c r="BX22" s="15">
        <v>118.98</v>
      </c>
      <c r="BY22" s="66">
        <f t="shared" si="25"/>
        <v>790.5300000000002</v>
      </c>
      <c r="BZ22" s="1">
        <v>1654</v>
      </c>
      <c r="CA22" s="1">
        <v>2198</v>
      </c>
      <c r="CB22" s="1">
        <v>142</v>
      </c>
      <c r="CC22" s="325">
        <f t="shared" si="42"/>
        <v>3994</v>
      </c>
      <c r="CD22" s="15">
        <f t="shared" si="26"/>
        <v>3980.7479999999809</v>
      </c>
      <c r="CE22" s="271">
        <f t="shared" si="46"/>
        <v>13.252000000019052</v>
      </c>
      <c r="CF22" s="15">
        <f t="shared" si="27"/>
        <v>684.48</v>
      </c>
      <c r="CG22" s="15">
        <f t="shared" si="28"/>
        <v>840</v>
      </c>
      <c r="CH22" s="272">
        <f t="shared" si="29"/>
        <v>-80.410016837519379</v>
      </c>
      <c r="CJ22" s="372">
        <f t="shared" si="8"/>
        <v>8.6</v>
      </c>
      <c r="CK22" s="325">
        <v>20</v>
      </c>
      <c r="CL22" s="325">
        <f t="shared" si="30"/>
        <v>6</v>
      </c>
      <c r="CM22" s="325">
        <f t="shared" si="31"/>
        <v>10.5</v>
      </c>
      <c r="CN22" s="367">
        <f t="shared" si="32"/>
        <v>15.4</v>
      </c>
      <c r="CO22" s="367">
        <f t="shared" si="33"/>
        <v>18.52</v>
      </c>
      <c r="CP22" s="325">
        <f t="shared" si="34"/>
        <v>0</v>
      </c>
      <c r="CQ22" s="381">
        <v>20</v>
      </c>
      <c r="CR22" s="367">
        <f t="shared" si="35"/>
        <v>0</v>
      </c>
      <c r="CS22" s="15">
        <f>'Daily CEM-1'!H23+'Daily CEM-1'!I23+'Daily CEM-1'!J23+'Daily CEM-1'!K23+'Daily CEM-1'!L23</f>
        <v>8.6</v>
      </c>
      <c r="CT22" s="15">
        <f>AQ22+AT22+AW22+'Daily  CEM - 2'!K23+'Daily  CEM - 2'!L23</f>
        <v>5.48</v>
      </c>
      <c r="CU22" s="372">
        <f t="shared" si="36"/>
        <v>15.4</v>
      </c>
      <c r="CW22" s="52">
        <f t="shared" si="37"/>
        <v>1838.13</v>
      </c>
    </row>
    <row r="23" spans="2:106" s="324" customFormat="1" x14ac:dyDescent="0.25">
      <c r="B23" s="351">
        <v>21</v>
      </c>
      <c r="C23" s="1">
        <v>19.170000000000002</v>
      </c>
      <c r="D23" s="364">
        <f>'Mines (2)'!D23+'Mines (2)'!I23+'Mines (2)'!W23+'Mines (2)'!AA23+'Mines (2)'!AE23</f>
        <v>3247.9</v>
      </c>
      <c r="E23" s="373">
        <f>'Mines (2)'!E23+'Mines (2)'!J23+'Mines (2)'!X23+'Mines (2)'!AB23+'Mines (2)'!AF23</f>
        <v>1894</v>
      </c>
      <c r="F23" s="364">
        <f t="shared" si="44"/>
        <v>169.4261867501304</v>
      </c>
      <c r="G23" s="1">
        <v>17</v>
      </c>
      <c r="H23" s="16">
        <f t="shared" si="38"/>
        <v>633.41001683751938</v>
      </c>
      <c r="I23" s="303">
        <f t="shared" si="9"/>
        <v>581.82001683751923</v>
      </c>
      <c r="J23" s="1">
        <v>460</v>
      </c>
      <c r="K23" s="374">
        <f t="shared" si="47"/>
        <v>1875.5</v>
      </c>
      <c r="L23" s="374">
        <f>Clinker!EJ23*1.55</f>
        <v>1875.5</v>
      </c>
      <c r="M23" s="36">
        <v>0</v>
      </c>
      <c r="N23" s="1">
        <v>1720</v>
      </c>
      <c r="O23" s="364">
        <f t="shared" si="1"/>
        <v>101.17647058823529</v>
      </c>
      <c r="P23" s="1">
        <v>13</v>
      </c>
      <c r="Q23" s="1">
        <v>103.91</v>
      </c>
      <c r="R23" s="367">
        <f t="shared" si="10"/>
        <v>7.9930769230769227</v>
      </c>
      <c r="S23" s="1">
        <v>13.5</v>
      </c>
      <c r="T23" s="363">
        <f t="shared" si="11"/>
        <v>52.009999999999991</v>
      </c>
      <c r="U23" s="1">
        <v>183.6</v>
      </c>
      <c r="V23" s="1">
        <v>183</v>
      </c>
      <c r="W23" s="356">
        <f t="shared" si="2"/>
        <v>52.609999999999985</v>
      </c>
      <c r="X23" s="364">
        <f t="shared" si="3"/>
        <v>13.6</v>
      </c>
      <c r="Y23" s="1">
        <v>24</v>
      </c>
      <c r="Z23" s="355">
        <f>Clinker!EJ23</f>
        <v>1210</v>
      </c>
      <c r="AA23" s="364">
        <f t="shared" si="4"/>
        <v>50.416666666666664</v>
      </c>
      <c r="AB23" s="375">
        <f>'Daily CEM-1'!H24</f>
        <v>0</v>
      </c>
      <c r="AC23" s="355">
        <f>'Daily CEM-1'!C24</f>
        <v>0</v>
      </c>
      <c r="AD23" s="364" t="e">
        <f t="shared" si="5"/>
        <v>#DIV/0!</v>
      </c>
      <c r="AE23" s="375">
        <f>'Daily CEM-1'!I24</f>
        <v>0</v>
      </c>
      <c r="AF23" s="355">
        <f>'Daily CEM-1'!D24</f>
        <v>0</v>
      </c>
      <c r="AG23" s="364" t="e">
        <f t="shared" si="12"/>
        <v>#DIV/0!</v>
      </c>
      <c r="AH23" s="376">
        <f>'Daily CEM-1'!J24</f>
        <v>0</v>
      </c>
      <c r="AI23" s="376">
        <f>'Daily CEM-1'!E24</f>
        <v>0</v>
      </c>
      <c r="AJ23" s="376"/>
      <c r="AK23" s="376">
        <f>'Daily CEM-1'!K24</f>
        <v>0</v>
      </c>
      <c r="AL23" s="376">
        <f>'Daily CEM-1'!F24</f>
        <v>0</v>
      </c>
      <c r="AM23" s="376" t="e">
        <f t="shared" si="13"/>
        <v>#DIV/0!</v>
      </c>
      <c r="AN23" s="60">
        <f>'Daily CEM-1'!L24</f>
        <v>0</v>
      </c>
      <c r="AO23" s="60">
        <f>'Daily CEM-1'!G24</f>
        <v>0</v>
      </c>
      <c r="AP23" s="60" t="e">
        <f t="shared" si="14"/>
        <v>#DIV/0!</v>
      </c>
      <c r="AQ23" s="375">
        <f>'Daily  CEM - 2'!H24</f>
        <v>10.1</v>
      </c>
      <c r="AR23" s="355">
        <f>'Daily  CEM - 2'!C24</f>
        <v>495</v>
      </c>
      <c r="AS23" s="364">
        <f t="shared" si="6"/>
        <v>49.009900990099013</v>
      </c>
      <c r="AT23" s="375">
        <f>'Daily  CEM - 2'!I24</f>
        <v>4.5</v>
      </c>
      <c r="AU23" s="355">
        <f>'Daily  CEM - 2'!D24</f>
        <v>250</v>
      </c>
      <c r="AV23" s="364">
        <f t="shared" si="7"/>
        <v>55.555555555555557</v>
      </c>
      <c r="AW23" s="376">
        <f>'Daily  CEM - 2'!J24</f>
        <v>0</v>
      </c>
      <c r="AX23" s="376">
        <f>'Daily  CEM - 2'!E24</f>
        <v>0</v>
      </c>
      <c r="AY23" s="377" t="e">
        <f t="shared" si="15"/>
        <v>#DIV/0!</v>
      </c>
      <c r="AZ23" s="376">
        <f>'Daily  CEM - 2'!K24</f>
        <v>0</v>
      </c>
      <c r="BA23" s="376">
        <f>'Daily  CEM - 2'!F24</f>
        <v>0</v>
      </c>
      <c r="BB23" s="378" t="e">
        <f t="shared" si="16"/>
        <v>#DIV/0!</v>
      </c>
      <c r="BC23" s="61">
        <f>'Daily  CEM - 2'!L24</f>
        <v>4.5</v>
      </c>
      <c r="BD23" s="61">
        <f>'Daily  CEM - 2'!G24</f>
        <v>250</v>
      </c>
      <c r="BE23" s="378">
        <f t="shared" si="17"/>
        <v>55.555555555555557</v>
      </c>
      <c r="BF23" s="363">
        <f t="shared" si="18"/>
        <v>2772.0279999999798</v>
      </c>
      <c r="BG23" s="374">
        <f t="shared" si="19"/>
        <v>495</v>
      </c>
      <c r="BH23" s="1">
        <v>346.5</v>
      </c>
      <c r="BI23" s="18">
        <f>BF23+BG23-BH23-'Internal use cement'!F23</f>
        <v>2920.5279999999798</v>
      </c>
      <c r="BJ23" s="363">
        <f t="shared" si="20"/>
        <v>257.79999999999995</v>
      </c>
      <c r="BK23" s="374">
        <f t="shared" si="21"/>
        <v>250</v>
      </c>
      <c r="BL23" s="1">
        <v>0</v>
      </c>
      <c r="BM23" s="356">
        <f>BJ23+BK23-BL23-'Internal use cement'!AB23</f>
        <v>507.79999999999995</v>
      </c>
      <c r="BN23" s="356">
        <f t="shared" si="39"/>
        <v>2.0900000000008498</v>
      </c>
      <c r="BO23" s="379">
        <f t="shared" si="45"/>
        <v>0</v>
      </c>
      <c r="BP23" s="1">
        <v>0</v>
      </c>
      <c r="BQ23" s="380">
        <f>BN23+BO23-BP23-'Internal use cement'!Q23</f>
        <v>2.0900000000008498</v>
      </c>
      <c r="BR23" s="356">
        <f t="shared" si="40"/>
        <v>158.30000000000001</v>
      </c>
      <c r="BS23" s="379">
        <f t="shared" si="23"/>
        <v>0</v>
      </c>
      <c r="BT23" s="1">
        <v>0</v>
      </c>
      <c r="BU23" s="380">
        <f>BR23+BS23-BT23-'Internal use cement'!AG23</f>
        <v>158.30000000000001</v>
      </c>
      <c r="BV23" s="66">
        <f t="shared" si="41"/>
        <v>790.5300000000002</v>
      </c>
      <c r="BW23" s="34">
        <f t="shared" si="24"/>
        <v>250</v>
      </c>
      <c r="BX23" s="15">
        <v>30</v>
      </c>
      <c r="BY23" s="66">
        <f t="shared" si="25"/>
        <v>1010.5300000000002</v>
      </c>
      <c r="BZ23" s="1">
        <v>1948</v>
      </c>
      <c r="CA23" s="1">
        <v>2374</v>
      </c>
      <c r="CB23" s="1">
        <v>143</v>
      </c>
      <c r="CC23" s="325">
        <f t="shared" si="42"/>
        <v>4465</v>
      </c>
      <c r="CD23" s="15">
        <f t="shared" si="26"/>
        <v>4599.2479999999814</v>
      </c>
      <c r="CE23" s="271">
        <f t="shared" si="46"/>
        <v>-134.2479999999814</v>
      </c>
      <c r="CF23" s="15">
        <f t="shared" si="27"/>
        <v>376.5</v>
      </c>
      <c r="CG23" s="15">
        <f t="shared" si="28"/>
        <v>995</v>
      </c>
      <c r="CH23" s="272">
        <f t="shared" si="29"/>
        <v>-121.82001683751923</v>
      </c>
      <c r="CJ23" s="372">
        <f t="shared" si="8"/>
        <v>0</v>
      </c>
      <c r="CK23" s="325">
        <v>21</v>
      </c>
      <c r="CL23" s="325">
        <f t="shared" si="30"/>
        <v>7</v>
      </c>
      <c r="CM23" s="325">
        <f t="shared" si="31"/>
        <v>10.5</v>
      </c>
      <c r="CN23" s="367">
        <f t="shared" si="32"/>
        <v>24</v>
      </c>
      <c r="CO23" s="367">
        <f t="shared" si="33"/>
        <v>4.8999999999999986</v>
      </c>
      <c r="CP23" s="325">
        <f t="shared" si="34"/>
        <v>0</v>
      </c>
      <c r="CQ23" s="381">
        <v>21</v>
      </c>
      <c r="CR23" s="367">
        <f t="shared" si="35"/>
        <v>745</v>
      </c>
      <c r="CS23" s="15">
        <f>'Daily CEM-1'!H24+'Daily CEM-1'!I24+'Daily CEM-1'!J24+'Daily CEM-1'!K24+'Daily CEM-1'!L24</f>
        <v>0</v>
      </c>
      <c r="CT23" s="15">
        <f>AQ23+AT23+AW23+'Daily  CEM - 2'!K24+'Daily  CEM - 2'!L24</f>
        <v>19.100000000000001</v>
      </c>
      <c r="CU23" s="372">
        <f t="shared" si="36"/>
        <v>24</v>
      </c>
      <c r="CW23" s="52">
        <f t="shared" si="37"/>
        <v>1823.91</v>
      </c>
    </row>
    <row r="24" spans="2:106" s="324" customFormat="1" x14ac:dyDescent="0.25">
      <c r="B24" s="351">
        <v>22</v>
      </c>
      <c r="C24" s="1">
        <v>4.05</v>
      </c>
      <c r="D24" s="364">
        <f>'Mines (2)'!D24+'Mines (2)'!I24+'Mines (2)'!W24+'Mines (2)'!AA24+'Mines (2)'!AE24</f>
        <v>1054.56</v>
      </c>
      <c r="E24" s="373">
        <f>'Mines (2)'!E24+'Mines (2)'!J24+'Mines (2)'!X24+'Mines (2)'!AB24+'Mines (2)'!AF24</f>
        <v>2419</v>
      </c>
      <c r="F24" s="364">
        <f t="shared" si="44"/>
        <v>260.38518518518521</v>
      </c>
      <c r="G24" s="1">
        <v>20.58</v>
      </c>
      <c r="H24" s="16">
        <f t="shared" si="38"/>
        <v>581.82001683751923</v>
      </c>
      <c r="I24" s="303">
        <f t="shared" si="9"/>
        <v>1071.6100168375192</v>
      </c>
      <c r="J24" s="1">
        <v>1060</v>
      </c>
      <c r="K24" s="374">
        <f t="shared" si="47"/>
        <v>1782.5</v>
      </c>
      <c r="L24" s="374">
        <f>Clinker!EJ24*1.55</f>
        <v>1782.5</v>
      </c>
      <c r="M24" s="36">
        <v>0</v>
      </c>
      <c r="N24" s="1">
        <v>2099</v>
      </c>
      <c r="O24" s="364">
        <f t="shared" si="1"/>
        <v>101.99222546161323</v>
      </c>
      <c r="P24" s="1">
        <v>21.78</v>
      </c>
      <c r="Q24" s="1">
        <v>173.29</v>
      </c>
      <c r="R24" s="367">
        <f t="shared" si="10"/>
        <v>7.9563820018365465</v>
      </c>
      <c r="S24" s="1">
        <v>13</v>
      </c>
      <c r="T24" s="363">
        <f t="shared" si="11"/>
        <v>52.609999999999985</v>
      </c>
      <c r="U24" s="1">
        <v>180</v>
      </c>
      <c r="V24" s="1">
        <v>181</v>
      </c>
      <c r="W24" s="356">
        <f t="shared" si="2"/>
        <v>51.609999999999985</v>
      </c>
      <c r="X24" s="364">
        <f t="shared" si="3"/>
        <v>13.846153846153847</v>
      </c>
      <c r="Y24" s="1">
        <v>24</v>
      </c>
      <c r="Z24" s="355">
        <f>Clinker!EJ24</f>
        <v>1150</v>
      </c>
      <c r="AA24" s="364">
        <f t="shared" si="4"/>
        <v>47.916666666666664</v>
      </c>
      <c r="AB24" s="375">
        <f>'Daily CEM-1'!H25</f>
        <v>0</v>
      </c>
      <c r="AC24" s="355">
        <f>'Daily CEM-1'!C25</f>
        <v>0</v>
      </c>
      <c r="AD24" s="364" t="e">
        <f t="shared" si="5"/>
        <v>#DIV/0!</v>
      </c>
      <c r="AE24" s="375">
        <f>'Daily CEM-1'!I25</f>
        <v>0</v>
      </c>
      <c r="AF24" s="355">
        <f>'Daily CEM-1'!D25</f>
        <v>0</v>
      </c>
      <c r="AG24" s="364" t="e">
        <f t="shared" si="12"/>
        <v>#DIV/0!</v>
      </c>
      <c r="AH24" s="376">
        <f>'Daily CEM-1'!J25</f>
        <v>0</v>
      </c>
      <c r="AI24" s="376">
        <f>'Daily CEM-1'!E25</f>
        <v>0</v>
      </c>
      <c r="AJ24" s="376" t="e">
        <f>AI24/AH24</f>
        <v>#DIV/0!</v>
      </c>
      <c r="AK24" s="376">
        <f>'Daily CEM-1'!K25</f>
        <v>0</v>
      </c>
      <c r="AL24" s="376">
        <f>'Daily CEM-1'!F25</f>
        <v>0</v>
      </c>
      <c r="AM24" s="376" t="e">
        <f t="shared" si="13"/>
        <v>#DIV/0!</v>
      </c>
      <c r="AN24" s="60">
        <f>'Daily CEM-1'!L25</f>
        <v>0</v>
      </c>
      <c r="AO24" s="60">
        <f>'Daily CEM-1'!G25</f>
        <v>0</v>
      </c>
      <c r="AP24" s="60" t="e">
        <f t="shared" si="14"/>
        <v>#DIV/0!</v>
      </c>
      <c r="AQ24" s="375">
        <f>'Daily  CEM - 2'!H25</f>
        <v>4.0999999999999996</v>
      </c>
      <c r="AR24" s="355">
        <f>'Daily  CEM - 2'!C25</f>
        <v>210</v>
      </c>
      <c r="AS24" s="364">
        <f t="shared" si="6"/>
        <v>51.219512195121958</v>
      </c>
      <c r="AT24" s="375">
        <f>'Daily  CEM - 2'!I25</f>
        <v>0</v>
      </c>
      <c r="AU24" s="355">
        <f>'Daily  CEM - 2'!D25</f>
        <v>0</v>
      </c>
      <c r="AV24" s="364" t="e">
        <f t="shared" si="7"/>
        <v>#DIV/0!</v>
      </c>
      <c r="AW24" s="376">
        <f>'Daily  CEM - 2'!J25</f>
        <v>0</v>
      </c>
      <c r="AX24" s="376">
        <f>'Daily  CEM - 2'!E25</f>
        <v>0</v>
      </c>
      <c r="AY24" s="377" t="e">
        <f t="shared" si="15"/>
        <v>#DIV/0!</v>
      </c>
      <c r="AZ24" s="376">
        <f>'Daily  CEM - 2'!K25</f>
        <v>0</v>
      </c>
      <c r="BA24" s="376">
        <f>'Daily  CEM - 2'!F25</f>
        <v>0</v>
      </c>
      <c r="BB24" s="378" t="e">
        <f t="shared" si="16"/>
        <v>#DIV/0!</v>
      </c>
      <c r="BC24" s="61">
        <f>'Daily  CEM - 2'!L25</f>
        <v>0</v>
      </c>
      <c r="BD24" s="61">
        <f>'Daily  CEM - 2'!G25</f>
        <v>0</v>
      </c>
      <c r="BE24" s="378" t="e">
        <f t="shared" si="17"/>
        <v>#DIV/0!</v>
      </c>
      <c r="BF24" s="363">
        <f t="shared" si="18"/>
        <v>2920.5279999999798</v>
      </c>
      <c r="BG24" s="374">
        <f t="shared" si="19"/>
        <v>210</v>
      </c>
      <c r="BH24" s="1">
        <v>668.5</v>
      </c>
      <c r="BI24" s="18">
        <f>BF24+BG24-BH24-'Internal use cement'!F24</f>
        <v>2462.0279999999798</v>
      </c>
      <c r="BJ24" s="363">
        <f t="shared" si="20"/>
        <v>507.79999999999995</v>
      </c>
      <c r="BK24" s="374">
        <f t="shared" si="21"/>
        <v>0</v>
      </c>
      <c r="BL24" s="1">
        <v>0</v>
      </c>
      <c r="BM24" s="356">
        <f>BJ24+BK24-BL24-'Internal use cement'!AB24</f>
        <v>507.79999999999995</v>
      </c>
      <c r="BN24" s="356">
        <f t="shared" si="39"/>
        <v>2.0900000000008498</v>
      </c>
      <c r="BO24" s="379">
        <f t="shared" si="45"/>
        <v>0</v>
      </c>
      <c r="BP24" s="1">
        <v>0</v>
      </c>
      <c r="BQ24" s="380">
        <f>BN24+BO24-BP24-'Internal use cement'!Q24</f>
        <v>2.0900000000008498</v>
      </c>
      <c r="BR24" s="356">
        <f t="shared" si="40"/>
        <v>158.30000000000001</v>
      </c>
      <c r="BS24" s="379">
        <f t="shared" si="23"/>
        <v>0</v>
      </c>
      <c r="BT24" s="1">
        <v>0</v>
      </c>
      <c r="BU24" s="380">
        <f>BR24+BS24-BT24-'Internal use cement'!AG24</f>
        <v>158.30000000000001</v>
      </c>
      <c r="BV24" s="66">
        <f t="shared" si="41"/>
        <v>1010.5300000000002</v>
      </c>
      <c r="BW24" s="34">
        <f t="shared" si="24"/>
        <v>0</v>
      </c>
      <c r="BX24" s="15">
        <v>119.96</v>
      </c>
      <c r="BY24" s="66">
        <f t="shared" si="25"/>
        <v>890.57000000000016</v>
      </c>
      <c r="BZ24" s="1">
        <v>1836</v>
      </c>
      <c r="CA24" s="1">
        <v>1866</v>
      </c>
      <c r="CB24" s="1">
        <v>143</v>
      </c>
      <c r="CC24" s="325">
        <f t="shared" si="42"/>
        <v>3845</v>
      </c>
      <c r="CD24" s="15">
        <f t="shared" si="26"/>
        <v>4020.7879999999809</v>
      </c>
      <c r="CE24" s="271">
        <f t="shared" si="46"/>
        <v>-175.78799999998091</v>
      </c>
      <c r="CF24" s="15">
        <f t="shared" si="27"/>
        <v>788.46</v>
      </c>
      <c r="CG24" s="15">
        <f t="shared" si="28"/>
        <v>210</v>
      </c>
      <c r="CH24" s="272">
        <f t="shared" si="29"/>
        <v>-11.610016837519197</v>
      </c>
      <c r="CJ24" s="372">
        <f t="shared" si="8"/>
        <v>0</v>
      </c>
      <c r="CK24" s="325">
        <v>22</v>
      </c>
      <c r="CL24" s="325">
        <f t="shared" si="30"/>
        <v>3.4200000000000017</v>
      </c>
      <c r="CM24" s="325">
        <f t="shared" si="31"/>
        <v>11</v>
      </c>
      <c r="CN24" s="367">
        <f t="shared" si="32"/>
        <v>24</v>
      </c>
      <c r="CO24" s="367">
        <f t="shared" si="33"/>
        <v>19.899999999999999</v>
      </c>
      <c r="CP24" s="325">
        <f t="shared" si="34"/>
        <v>0</v>
      </c>
      <c r="CQ24" s="381">
        <v>22</v>
      </c>
      <c r="CR24" s="367">
        <f t="shared" si="35"/>
        <v>210</v>
      </c>
      <c r="CS24" s="15">
        <f>'Daily CEM-1'!H25+'Daily CEM-1'!I25+'Daily CEM-1'!J25+'Daily CEM-1'!K25+'Daily CEM-1'!L25</f>
        <v>0</v>
      </c>
      <c r="CT24" s="15">
        <f>AQ24+AT24+AW24+'Daily  CEM - 2'!K25+'Daily  CEM - 2'!L25</f>
        <v>4.0999999999999996</v>
      </c>
      <c r="CU24" s="372">
        <f t="shared" si="36"/>
        <v>24</v>
      </c>
      <c r="CW24" s="52">
        <f t="shared" si="37"/>
        <v>2272.29</v>
      </c>
    </row>
    <row r="25" spans="2:106" s="324" customFormat="1" x14ac:dyDescent="0.25">
      <c r="B25" s="351">
        <v>23</v>
      </c>
      <c r="C25" s="1">
        <v>3.83</v>
      </c>
      <c r="D25" s="364">
        <f>'Mines (2)'!D25+'Mines (2)'!I25+'Mines (2)'!W25+'Mines (2)'!AA25+'Mines (2)'!AE25</f>
        <v>2007.16</v>
      </c>
      <c r="E25" s="373">
        <f>'Mines (2)'!E25+'Mines (2)'!J25+'Mines (2)'!X25+'Mines (2)'!AB25+'Mines (2)'!AF25</f>
        <v>2013</v>
      </c>
      <c r="F25" s="364">
        <f t="shared" si="44"/>
        <v>524.0626631853786</v>
      </c>
      <c r="G25" s="1">
        <v>17.100000000000001</v>
      </c>
      <c r="H25" s="16">
        <f t="shared" si="38"/>
        <v>1071.6100168375192</v>
      </c>
      <c r="I25" s="303">
        <f t="shared" si="9"/>
        <v>1246.7500168375191</v>
      </c>
      <c r="J25" s="1">
        <v>1365</v>
      </c>
      <c r="K25" s="374">
        <f t="shared" si="47"/>
        <v>1860</v>
      </c>
      <c r="L25" s="374">
        <f>Clinker!EJ25*1.55</f>
        <v>1860</v>
      </c>
      <c r="M25" s="36">
        <v>0</v>
      </c>
      <c r="N25" s="1">
        <v>1915</v>
      </c>
      <c r="O25" s="364">
        <f t="shared" si="1"/>
        <v>111.98830409356724</v>
      </c>
      <c r="P25" s="1">
        <v>15</v>
      </c>
      <c r="Q25" s="1">
        <v>120.14</v>
      </c>
      <c r="R25" s="367">
        <f t="shared" si="10"/>
        <v>8.0093333333333341</v>
      </c>
      <c r="S25" s="1">
        <v>13.3</v>
      </c>
      <c r="T25" s="363">
        <f t="shared" si="11"/>
        <v>51.609999999999985</v>
      </c>
      <c r="U25" s="1">
        <v>180.9</v>
      </c>
      <c r="V25" s="1">
        <v>183</v>
      </c>
      <c r="W25" s="356">
        <f t="shared" si="2"/>
        <v>49.509999999999991</v>
      </c>
      <c r="X25" s="364">
        <f t="shared" si="3"/>
        <v>13.601503759398495</v>
      </c>
      <c r="Y25" s="1">
        <v>24</v>
      </c>
      <c r="Z25" s="355">
        <f>Clinker!EJ25</f>
        <v>1200</v>
      </c>
      <c r="AA25" s="364">
        <f t="shared" si="4"/>
        <v>50</v>
      </c>
      <c r="AB25" s="375">
        <f>'Daily CEM-1'!H26</f>
        <v>0</v>
      </c>
      <c r="AC25" s="355">
        <f>'Daily CEM-1'!C26</f>
        <v>0</v>
      </c>
      <c r="AD25" s="364" t="e">
        <f t="shared" si="5"/>
        <v>#DIV/0!</v>
      </c>
      <c r="AE25" s="375">
        <f>'Daily CEM-1'!I26</f>
        <v>0</v>
      </c>
      <c r="AF25" s="355">
        <f>'Daily CEM-1'!D26</f>
        <v>0</v>
      </c>
      <c r="AG25" s="364" t="e">
        <f t="shared" si="12"/>
        <v>#DIV/0!</v>
      </c>
      <c r="AH25" s="376">
        <f>'Daily CEM-1'!J26</f>
        <v>0</v>
      </c>
      <c r="AI25" s="376">
        <f>'Daily CEM-1'!E26</f>
        <v>0</v>
      </c>
      <c r="AJ25" s="376" t="e">
        <f t="shared" ref="AJ25:AJ33" si="48">AI25/AH25</f>
        <v>#DIV/0!</v>
      </c>
      <c r="AK25" s="376">
        <f>'Daily CEM-1'!K26</f>
        <v>0</v>
      </c>
      <c r="AL25" s="376">
        <f>'Daily CEM-1'!F26</f>
        <v>0</v>
      </c>
      <c r="AM25" s="376" t="e">
        <f t="shared" si="13"/>
        <v>#DIV/0!</v>
      </c>
      <c r="AN25" s="60">
        <f>'Daily CEM-1'!L26</f>
        <v>0</v>
      </c>
      <c r="AO25" s="60">
        <f>'Daily CEM-1'!G26</f>
        <v>0</v>
      </c>
      <c r="AP25" s="60" t="e">
        <f t="shared" si="14"/>
        <v>#DIV/0!</v>
      </c>
      <c r="AQ25" s="375">
        <f>'Daily  CEM - 2'!H26</f>
        <v>4.03</v>
      </c>
      <c r="AR25" s="355">
        <f>'Daily  CEM - 2'!C26</f>
        <v>212</v>
      </c>
      <c r="AS25" s="364">
        <f t="shared" si="6"/>
        <v>52.605459057071954</v>
      </c>
      <c r="AT25" s="375">
        <f>'Daily  CEM - 2'!I26</f>
        <v>0</v>
      </c>
      <c r="AU25" s="355">
        <f>'Daily  CEM - 2'!D26</f>
        <v>0</v>
      </c>
      <c r="AV25" s="364" t="e">
        <f t="shared" si="7"/>
        <v>#DIV/0!</v>
      </c>
      <c r="AW25" s="376">
        <f>'Daily  CEM - 2'!J26</f>
        <v>0</v>
      </c>
      <c r="AX25" s="376">
        <f>'Daily  CEM - 2'!E26</f>
        <v>0</v>
      </c>
      <c r="AY25" s="377" t="e">
        <f t="shared" si="15"/>
        <v>#DIV/0!</v>
      </c>
      <c r="AZ25" s="376">
        <f>'Daily  CEM - 2'!K26</f>
        <v>0</v>
      </c>
      <c r="BA25" s="376">
        <f>'Daily  CEM - 2'!F26</f>
        <v>0</v>
      </c>
      <c r="BB25" s="378" t="e">
        <f t="shared" si="16"/>
        <v>#DIV/0!</v>
      </c>
      <c r="BC25" s="61">
        <f>'Daily  CEM - 2'!L26</f>
        <v>0</v>
      </c>
      <c r="BD25" s="61">
        <f>'Daily  CEM - 2'!G26</f>
        <v>0</v>
      </c>
      <c r="BE25" s="378" t="e">
        <f t="shared" si="17"/>
        <v>#DIV/0!</v>
      </c>
      <c r="BF25" s="363">
        <f t="shared" si="18"/>
        <v>2462.0279999999798</v>
      </c>
      <c r="BG25" s="374">
        <f t="shared" si="19"/>
        <v>212</v>
      </c>
      <c r="BH25" s="1">
        <v>528.5</v>
      </c>
      <c r="BI25" s="18">
        <f>BF25+BG25-BH25-'Internal use cement'!F25</f>
        <v>2145.5279999999798</v>
      </c>
      <c r="BJ25" s="363">
        <f t="shared" si="20"/>
        <v>507.79999999999995</v>
      </c>
      <c r="BK25" s="374">
        <f t="shared" si="21"/>
        <v>0</v>
      </c>
      <c r="BL25" s="1">
        <v>0</v>
      </c>
      <c r="BM25" s="356">
        <f>BJ25+BK25-BL25-'Internal use cement'!AB25</f>
        <v>507.79999999999995</v>
      </c>
      <c r="BN25" s="356">
        <f t="shared" si="39"/>
        <v>2.0900000000008498</v>
      </c>
      <c r="BO25" s="379">
        <f t="shared" si="45"/>
        <v>0</v>
      </c>
      <c r="BP25" s="1">
        <v>0</v>
      </c>
      <c r="BQ25" s="380">
        <f>BN25+BO25-BP25-'Internal use cement'!Q25</f>
        <v>2.0900000000008498</v>
      </c>
      <c r="BR25" s="356">
        <f t="shared" si="40"/>
        <v>158.30000000000001</v>
      </c>
      <c r="BS25" s="379">
        <f t="shared" si="23"/>
        <v>0</v>
      </c>
      <c r="BT25" s="1">
        <v>0</v>
      </c>
      <c r="BU25" s="380">
        <f>BR25+BS25-BT25-'Internal use cement'!AG25</f>
        <v>158.30000000000001</v>
      </c>
      <c r="BV25" s="66">
        <f t="shared" si="41"/>
        <v>890.57000000000016</v>
      </c>
      <c r="BW25" s="34">
        <f t="shared" si="24"/>
        <v>0</v>
      </c>
      <c r="BX25" s="15">
        <v>119.98</v>
      </c>
      <c r="BY25" s="66">
        <f t="shared" si="25"/>
        <v>770.59000000000015</v>
      </c>
      <c r="BZ25" s="1">
        <v>1694</v>
      </c>
      <c r="CA25" s="1">
        <v>1609</v>
      </c>
      <c r="CB25" s="1">
        <v>145</v>
      </c>
      <c r="CC25" s="325">
        <f t="shared" si="42"/>
        <v>3448</v>
      </c>
      <c r="CD25" s="15">
        <f t="shared" si="26"/>
        <v>3584.3079999999809</v>
      </c>
      <c r="CE25" s="271">
        <f t="shared" si="46"/>
        <v>-136.30799999998089</v>
      </c>
      <c r="CF25" s="15">
        <f t="shared" si="27"/>
        <v>648.48</v>
      </c>
      <c r="CG25" s="15">
        <f t="shared" si="28"/>
        <v>212</v>
      </c>
      <c r="CH25" s="272">
        <f t="shared" si="29"/>
        <v>118.24998316248093</v>
      </c>
      <c r="CJ25" s="372">
        <f t="shared" si="8"/>
        <v>0</v>
      </c>
      <c r="CK25" s="325">
        <v>23</v>
      </c>
      <c r="CL25" s="325">
        <f t="shared" ref="CL25:CL33" si="49">24-G25</f>
        <v>6.8999999999999986</v>
      </c>
      <c r="CM25" s="325">
        <f t="shared" si="31"/>
        <v>10.7</v>
      </c>
      <c r="CN25" s="367">
        <f t="shared" si="32"/>
        <v>24</v>
      </c>
      <c r="CO25" s="367">
        <f t="shared" si="33"/>
        <v>19.97</v>
      </c>
      <c r="CP25" s="325">
        <f t="shared" si="34"/>
        <v>0</v>
      </c>
      <c r="CQ25" s="381">
        <v>23</v>
      </c>
      <c r="CR25" s="367">
        <f t="shared" si="35"/>
        <v>212</v>
      </c>
      <c r="CS25" s="15">
        <f>'Daily CEM-1'!H26+'Daily CEM-1'!I26+'Daily CEM-1'!J26+'Daily CEM-1'!K26+'Daily CEM-1'!L26</f>
        <v>0</v>
      </c>
      <c r="CT25" s="15">
        <f>AQ25+AT25+AW25+'Daily  CEM - 2'!K26+'Daily  CEM - 2'!L26</f>
        <v>4.03</v>
      </c>
      <c r="CU25" s="372">
        <f t="shared" si="36"/>
        <v>24</v>
      </c>
      <c r="CW25" s="52">
        <f t="shared" si="37"/>
        <v>2035.14</v>
      </c>
      <c r="CX25"/>
      <c r="CY25"/>
    </row>
    <row r="26" spans="2:106" s="324" customFormat="1" x14ac:dyDescent="0.25">
      <c r="B26" s="351">
        <v>24</v>
      </c>
      <c r="C26" s="1">
        <v>20.3</v>
      </c>
      <c r="D26" s="364">
        <f>'Mines (2)'!D26+'Mines (2)'!I26+'Mines (2)'!W26+'Mines (2)'!AA26+'Mines (2)'!AE26</f>
        <v>3234.38</v>
      </c>
      <c r="E26" s="373">
        <f>'Mines (2)'!E26+'Mines (2)'!J26+'Mines (2)'!X26+'Mines (2)'!AB26+'Mines (2)'!AF26</f>
        <v>2375</v>
      </c>
      <c r="F26" s="364">
        <f>D26/C26</f>
        <v>159.32906403940888</v>
      </c>
      <c r="G26" s="1">
        <v>18.3</v>
      </c>
      <c r="H26" s="16">
        <f t="shared" si="38"/>
        <v>1246.7500168375191</v>
      </c>
      <c r="I26" s="303">
        <f t="shared" si="9"/>
        <v>1448.0100168375193</v>
      </c>
      <c r="J26" s="1">
        <v>1833</v>
      </c>
      <c r="K26" s="374">
        <f t="shared" si="47"/>
        <v>2030.5</v>
      </c>
      <c r="L26" s="374">
        <f>Clinker!EJ26*1.55</f>
        <v>2030.5</v>
      </c>
      <c r="M26" s="36">
        <v>0</v>
      </c>
      <c r="N26" s="1">
        <v>2177</v>
      </c>
      <c r="O26" s="364">
        <f t="shared" si="1"/>
        <v>118.96174863387978</v>
      </c>
      <c r="P26" s="1">
        <v>6.1</v>
      </c>
      <c r="Q26" s="1">
        <v>54.76</v>
      </c>
      <c r="R26" s="367">
        <f t="shared" si="10"/>
        <v>8.9770491803278691</v>
      </c>
      <c r="S26" s="1">
        <v>14.5</v>
      </c>
      <c r="T26" s="363">
        <f t="shared" si="11"/>
        <v>49.509999999999991</v>
      </c>
      <c r="U26" s="1">
        <v>200</v>
      </c>
      <c r="V26" s="1">
        <v>198</v>
      </c>
      <c r="W26" s="356">
        <f t="shared" si="2"/>
        <v>51.509999999999991</v>
      </c>
      <c r="X26" s="364">
        <f t="shared" si="3"/>
        <v>13.793103448275861</v>
      </c>
      <c r="Y26" s="1">
        <v>24</v>
      </c>
      <c r="Z26" s="355">
        <f>Clinker!EJ26</f>
        <v>1310</v>
      </c>
      <c r="AA26" s="364">
        <f>Z26/Y26</f>
        <v>54.583333333333336</v>
      </c>
      <c r="AB26" s="375">
        <f>'Daily CEM-1'!H27</f>
        <v>0</v>
      </c>
      <c r="AC26" s="355">
        <f>'Daily CEM-1'!C27</f>
        <v>0</v>
      </c>
      <c r="AD26" s="364" t="e">
        <f>AC26/AB26</f>
        <v>#DIV/0!</v>
      </c>
      <c r="AE26" s="375">
        <f>'Daily CEM-1'!I27</f>
        <v>0</v>
      </c>
      <c r="AF26" s="355">
        <f>'Daily CEM-1'!D27</f>
        <v>0</v>
      </c>
      <c r="AG26" s="364" t="e">
        <f>AF26/AE26</f>
        <v>#DIV/0!</v>
      </c>
      <c r="AH26" s="376">
        <f>'Daily CEM-1'!J27</f>
        <v>0</v>
      </c>
      <c r="AI26" s="376">
        <f>'Daily CEM-1'!E27</f>
        <v>0</v>
      </c>
      <c r="AJ26" s="376" t="e">
        <f t="shared" si="48"/>
        <v>#DIV/0!</v>
      </c>
      <c r="AK26" s="376">
        <f>'Daily CEM-1'!K27</f>
        <v>0</v>
      </c>
      <c r="AL26" s="376">
        <f>'Daily CEM-1'!F27</f>
        <v>0</v>
      </c>
      <c r="AM26" s="376" t="e">
        <f t="shared" si="13"/>
        <v>#DIV/0!</v>
      </c>
      <c r="AN26" s="60">
        <f>'Daily CEM-1'!L27</f>
        <v>0</v>
      </c>
      <c r="AO26" s="60">
        <f>'Daily CEM-1'!G27</f>
        <v>0</v>
      </c>
      <c r="AP26" s="60" t="e">
        <f t="shared" si="14"/>
        <v>#DIV/0!</v>
      </c>
      <c r="AQ26" s="375">
        <f>'Daily  CEM - 2'!H27</f>
        <v>15</v>
      </c>
      <c r="AR26" s="355">
        <f>'Daily  CEM - 2'!C27</f>
        <v>880</v>
      </c>
      <c r="AS26" s="364">
        <f>AR26/AQ26</f>
        <v>58.666666666666664</v>
      </c>
      <c r="AT26" s="375">
        <f>'Daily  CEM - 2'!I27</f>
        <v>0</v>
      </c>
      <c r="AU26" s="355">
        <f>'Daily  CEM - 2'!D27</f>
        <v>0</v>
      </c>
      <c r="AV26" s="364" t="e">
        <f>AU26/AT26</f>
        <v>#DIV/0!</v>
      </c>
      <c r="AW26" s="376">
        <f>'Daily  CEM - 2'!J27</f>
        <v>0</v>
      </c>
      <c r="AX26" s="376">
        <f>'Daily  CEM - 2'!E27</f>
        <v>0</v>
      </c>
      <c r="AY26" s="377" t="e">
        <f t="shared" si="15"/>
        <v>#DIV/0!</v>
      </c>
      <c r="AZ26" s="376">
        <f>'Daily  CEM - 2'!K27</f>
        <v>0</v>
      </c>
      <c r="BA26" s="376">
        <f>'Daily  CEM - 2'!F27</f>
        <v>0</v>
      </c>
      <c r="BB26" s="376" t="e">
        <f t="shared" ref="BB26:BB33" si="50">BA26/AZ26</f>
        <v>#DIV/0!</v>
      </c>
      <c r="BC26" s="61">
        <f>'Daily  CEM - 2'!L27</f>
        <v>0</v>
      </c>
      <c r="BD26" s="61">
        <f>'Daily  CEM - 2'!G27</f>
        <v>0</v>
      </c>
      <c r="BE26" s="376" t="e">
        <f t="shared" si="17"/>
        <v>#DIV/0!</v>
      </c>
      <c r="BF26" s="363">
        <f t="shared" si="18"/>
        <v>2145.5279999999798</v>
      </c>
      <c r="BG26" s="374">
        <f t="shared" si="19"/>
        <v>880</v>
      </c>
      <c r="BH26" s="1">
        <v>829</v>
      </c>
      <c r="BI26" s="18">
        <f>BF26+BG26-BH26-'Internal use cement'!F26</f>
        <v>2196.5279999999798</v>
      </c>
      <c r="BJ26" s="363">
        <f t="shared" si="20"/>
        <v>507.79999999999995</v>
      </c>
      <c r="BK26" s="374">
        <f t="shared" si="21"/>
        <v>0</v>
      </c>
      <c r="BL26" s="1">
        <v>60</v>
      </c>
      <c r="BM26" s="356">
        <f>BJ26+BK26-BL26-'Internal use cement'!AB26</f>
        <v>447.79999999999995</v>
      </c>
      <c r="BN26" s="380">
        <f>BQ25</f>
        <v>2.0900000000008498</v>
      </c>
      <c r="BO26" s="379">
        <f t="shared" si="45"/>
        <v>0</v>
      </c>
      <c r="BP26" s="1">
        <v>0</v>
      </c>
      <c r="BQ26" s="380">
        <f>BN26+BO26-BP26-'Internal use cement'!Q26</f>
        <v>2.0900000000008498</v>
      </c>
      <c r="BR26" s="356">
        <f t="shared" si="40"/>
        <v>158.30000000000001</v>
      </c>
      <c r="BS26" s="379">
        <f t="shared" si="23"/>
        <v>0</v>
      </c>
      <c r="BT26" s="1">
        <v>0</v>
      </c>
      <c r="BU26" s="380">
        <f>BR26+BS26-BT26-'Internal use cement'!AG26</f>
        <v>158.30000000000001</v>
      </c>
      <c r="BV26" s="66">
        <f t="shared" si="41"/>
        <v>770.59000000000015</v>
      </c>
      <c r="BW26" s="34">
        <f t="shared" si="24"/>
        <v>0</v>
      </c>
      <c r="BX26" s="15">
        <v>30</v>
      </c>
      <c r="BY26" s="66">
        <f>BV26+BW26-BX26</f>
        <v>740.59000000000015</v>
      </c>
      <c r="BZ26" s="1">
        <v>1611</v>
      </c>
      <c r="CA26" s="1">
        <v>1590</v>
      </c>
      <c r="CB26" s="1">
        <v>150</v>
      </c>
      <c r="CC26" s="325">
        <f t="shared" si="42"/>
        <v>3351</v>
      </c>
      <c r="CD26" s="15">
        <f t="shared" si="26"/>
        <v>3545.3079999999809</v>
      </c>
      <c r="CE26" s="272">
        <f>CC26-CD26</f>
        <v>-194.30799999998089</v>
      </c>
      <c r="CF26" s="15">
        <f t="shared" si="27"/>
        <v>919</v>
      </c>
      <c r="CG26" s="15">
        <f t="shared" si="28"/>
        <v>880</v>
      </c>
      <c r="CH26" s="272">
        <f t="shared" si="29"/>
        <v>384.98998316248071</v>
      </c>
      <c r="CI26"/>
      <c r="CJ26" s="372">
        <f t="shared" si="8"/>
        <v>0</v>
      </c>
      <c r="CK26" s="325">
        <v>24</v>
      </c>
      <c r="CL26" s="325">
        <f t="shared" si="49"/>
        <v>5.6999999999999993</v>
      </c>
      <c r="CM26" s="325">
        <f t="shared" si="31"/>
        <v>9.5</v>
      </c>
      <c r="CN26" s="367">
        <f t="shared" si="32"/>
        <v>24</v>
      </c>
      <c r="CO26" s="367">
        <f t="shared" si="33"/>
        <v>9</v>
      </c>
      <c r="CP26" s="325">
        <f t="shared" si="34"/>
        <v>0</v>
      </c>
      <c r="CQ26" s="381">
        <v>24</v>
      </c>
      <c r="CR26" s="367">
        <f t="shared" si="35"/>
        <v>880</v>
      </c>
      <c r="CS26" s="15">
        <f>'Daily CEM-1'!H27+'Daily CEM-1'!I27+'Daily CEM-1'!J27+'Daily CEM-1'!K27+'Daily CEM-1'!L27</f>
        <v>0</v>
      </c>
      <c r="CT26" s="15">
        <f>AQ26+AT26+AW26+'Daily  CEM - 2'!K27+'Daily  CEM - 2'!L27</f>
        <v>15</v>
      </c>
      <c r="CU26" s="372">
        <f t="shared" si="36"/>
        <v>24</v>
      </c>
      <c r="CW26" s="52">
        <f t="shared" si="37"/>
        <v>2231.7600000000002</v>
      </c>
      <c r="CX26"/>
      <c r="CY26"/>
      <c r="CZ26"/>
      <c r="DA26" s="160"/>
      <c r="DB26"/>
    </row>
    <row r="27" spans="2:106" s="324" customFormat="1" x14ac:dyDescent="0.25">
      <c r="B27" s="351">
        <v>25</v>
      </c>
      <c r="C27" s="1">
        <v>21.37</v>
      </c>
      <c r="D27" s="364">
        <f>'Mines (2)'!D27+'Mines (2)'!I27+'Mines (2)'!W27+'Mines (2)'!AA27+'Mines (2)'!AE27</f>
        <v>3709.94</v>
      </c>
      <c r="E27" s="373">
        <f>'Mines (2)'!E27+'Mines (2)'!J27+'Mines (2)'!X27+'Mines (2)'!AB27+'Mines (2)'!AF27</f>
        <v>2356</v>
      </c>
      <c r="F27" s="364">
        <f t="shared" ref="F27:F34" si="51">D27/C27</f>
        <v>173.60505381375759</v>
      </c>
      <c r="G27" s="1">
        <v>19.149999999999999</v>
      </c>
      <c r="H27" s="16">
        <f t="shared" si="38"/>
        <v>1448.0100168375193</v>
      </c>
      <c r="I27" s="303">
        <f t="shared" si="9"/>
        <v>1397.8700168375194</v>
      </c>
      <c r="J27" s="1">
        <v>1765</v>
      </c>
      <c r="K27" s="374">
        <f t="shared" si="47"/>
        <v>2263</v>
      </c>
      <c r="L27" s="374">
        <f>Clinker!EJ27*1.55</f>
        <v>2263</v>
      </c>
      <c r="M27" s="36">
        <v>0</v>
      </c>
      <c r="N27" s="1">
        <v>2212.86</v>
      </c>
      <c r="O27" s="364">
        <f t="shared" si="1"/>
        <v>115.55404699738905</v>
      </c>
      <c r="P27" s="1">
        <v>0</v>
      </c>
      <c r="Q27" s="1">
        <v>0</v>
      </c>
      <c r="R27" s="367" t="e">
        <f t="shared" si="10"/>
        <v>#DIV/0!</v>
      </c>
      <c r="S27" s="1">
        <v>16.149999999999999</v>
      </c>
      <c r="T27" s="363">
        <f t="shared" si="11"/>
        <v>51.509999999999991</v>
      </c>
      <c r="U27" s="1">
        <v>229</v>
      </c>
      <c r="V27" s="1">
        <v>222</v>
      </c>
      <c r="W27" s="356">
        <f t="shared" si="2"/>
        <v>58.509999999999991</v>
      </c>
      <c r="X27" s="364">
        <f t="shared" si="3"/>
        <v>14.179566563467494</v>
      </c>
      <c r="Y27" s="1">
        <v>24</v>
      </c>
      <c r="Z27" s="355">
        <f>Clinker!EJ27</f>
        <v>1460</v>
      </c>
      <c r="AA27" s="364">
        <f t="shared" ref="AA27:AA34" si="52">Z27/Y27</f>
        <v>60.833333333333336</v>
      </c>
      <c r="AB27" s="375">
        <f>'Daily CEM-1'!H28</f>
        <v>0</v>
      </c>
      <c r="AC27" s="355">
        <f>'Daily CEM-1'!C28</f>
        <v>0</v>
      </c>
      <c r="AD27" s="364" t="e">
        <f t="shared" ref="AD27:AD34" si="53">AC27/AB27</f>
        <v>#DIV/0!</v>
      </c>
      <c r="AE27" s="375">
        <f>'Daily CEM-1'!I28</f>
        <v>0</v>
      </c>
      <c r="AF27" s="355">
        <f>'Daily CEM-1'!D28</f>
        <v>0</v>
      </c>
      <c r="AG27" s="364" t="e">
        <f t="shared" ref="AG27:AG34" si="54">AF27/AE27</f>
        <v>#DIV/0!</v>
      </c>
      <c r="AH27" s="376">
        <f>'Daily CEM-1'!J28</f>
        <v>0</v>
      </c>
      <c r="AI27" s="376">
        <f>'Daily CEM-1'!E28</f>
        <v>0</v>
      </c>
      <c r="AJ27" s="376" t="e">
        <f t="shared" si="48"/>
        <v>#DIV/0!</v>
      </c>
      <c r="AK27" s="376">
        <f>'Daily CEM-1'!K28</f>
        <v>0</v>
      </c>
      <c r="AL27" s="376">
        <f>'Daily CEM-1'!F28</f>
        <v>0</v>
      </c>
      <c r="AM27" s="376" t="e">
        <f t="shared" si="13"/>
        <v>#DIV/0!</v>
      </c>
      <c r="AN27" s="60">
        <f>'Daily CEM-1'!L28</f>
        <v>0</v>
      </c>
      <c r="AO27" s="60">
        <f>'Daily CEM-1'!G28</f>
        <v>0</v>
      </c>
      <c r="AP27" s="60" t="e">
        <f t="shared" si="14"/>
        <v>#DIV/0!</v>
      </c>
      <c r="AQ27" s="375">
        <f>'Daily  CEM - 2'!H28</f>
        <v>23.25</v>
      </c>
      <c r="AR27" s="355">
        <f>'Daily  CEM - 2'!C28</f>
        <v>1293</v>
      </c>
      <c r="AS27" s="364">
        <f t="shared" ref="AS27:AS34" si="55">AR27/AQ27</f>
        <v>55.612903225806448</v>
      </c>
      <c r="AT27" s="375">
        <f>'Daily  CEM - 2'!I28</f>
        <v>0</v>
      </c>
      <c r="AU27" s="355">
        <f>'Daily  CEM - 2'!D28</f>
        <v>0</v>
      </c>
      <c r="AV27" s="364" t="e">
        <f t="shared" ref="AV27:AV34" si="56">AU27/AT27</f>
        <v>#DIV/0!</v>
      </c>
      <c r="AW27" s="376">
        <f>'Daily  CEM - 2'!J28</f>
        <v>0</v>
      </c>
      <c r="AX27" s="376">
        <f>'Daily  CEM - 2'!E28</f>
        <v>0</v>
      </c>
      <c r="AY27" s="377" t="e">
        <f t="shared" si="15"/>
        <v>#DIV/0!</v>
      </c>
      <c r="AZ27" s="376">
        <f>'Daily  CEM - 2'!K28</f>
        <v>0</v>
      </c>
      <c r="BA27" s="376">
        <f>'Daily  CEM - 2'!F28</f>
        <v>0</v>
      </c>
      <c r="BB27" s="376" t="e">
        <f t="shared" si="50"/>
        <v>#DIV/0!</v>
      </c>
      <c r="BC27" s="61">
        <f>'Daily  CEM - 2'!L28</f>
        <v>0</v>
      </c>
      <c r="BD27" s="61">
        <f>'Daily  CEM - 2'!G28</f>
        <v>0</v>
      </c>
      <c r="BE27" s="376" t="e">
        <f t="shared" si="17"/>
        <v>#DIV/0!</v>
      </c>
      <c r="BF27" s="363">
        <f t="shared" si="18"/>
        <v>2196.5279999999798</v>
      </c>
      <c r="BG27" s="374">
        <f t="shared" si="19"/>
        <v>1293</v>
      </c>
      <c r="BH27" s="1">
        <v>797.5</v>
      </c>
      <c r="BI27" s="18">
        <f>BF27+BG27-BH27-'Internal use cement'!F27</f>
        <v>2692.0279999999798</v>
      </c>
      <c r="BJ27" s="363">
        <f t="shared" si="20"/>
        <v>447.79999999999995</v>
      </c>
      <c r="BK27" s="374">
        <f t="shared" si="21"/>
        <v>0</v>
      </c>
      <c r="BL27" s="1">
        <v>62</v>
      </c>
      <c r="BM27" s="356">
        <f>BJ27+BK27-BL27-'Internal use cement'!AB27</f>
        <v>385.79999999999995</v>
      </c>
      <c r="BN27" s="356">
        <f t="shared" si="39"/>
        <v>2.0900000000008498</v>
      </c>
      <c r="BO27" s="379">
        <f t="shared" si="45"/>
        <v>0</v>
      </c>
      <c r="BP27" s="1">
        <v>0</v>
      </c>
      <c r="BQ27" s="380">
        <f>BN27+BO27-BP27-'Internal use cement'!Q27</f>
        <v>2.0900000000008498</v>
      </c>
      <c r="BR27" s="380">
        <f>BU26</f>
        <v>158.30000000000001</v>
      </c>
      <c r="BS27" s="379">
        <f t="shared" si="23"/>
        <v>0</v>
      </c>
      <c r="BT27" s="1">
        <v>60</v>
      </c>
      <c r="BU27" s="380">
        <f>BR27+BS27-BT27-'Internal use cement'!AG27</f>
        <v>98.300000000000011</v>
      </c>
      <c r="BV27" s="66">
        <f>BY26</f>
        <v>740.59000000000015</v>
      </c>
      <c r="BW27" s="34">
        <f t="shared" si="24"/>
        <v>0</v>
      </c>
      <c r="BX27" s="15">
        <v>91</v>
      </c>
      <c r="BY27" s="66">
        <f t="shared" si="25"/>
        <v>649.59000000000015</v>
      </c>
      <c r="BZ27" s="1">
        <v>1497</v>
      </c>
      <c r="CA27" s="1">
        <v>2083</v>
      </c>
      <c r="CB27" s="1">
        <v>30</v>
      </c>
      <c r="CC27" s="325">
        <f t="shared" si="42"/>
        <v>3610</v>
      </c>
      <c r="CD27" s="15">
        <f t="shared" si="26"/>
        <v>3827.8079999999809</v>
      </c>
      <c r="CE27" s="272">
        <f>CC27-CD27</f>
        <v>-217.80799999998089</v>
      </c>
      <c r="CF27" s="15">
        <f t="shared" si="27"/>
        <v>1010.5</v>
      </c>
      <c r="CG27" s="15">
        <f t="shared" si="28"/>
        <v>1293</v>
      </c>
      <c r="CH27" s="272">
        <f t="shared" si="29"/>
        <v>367.12998316248058</v>
      </c>
      <c r="CJ27" s="372">
        <f t="shared" si="8"/>
        <v>0</v>
      </c>
      <c r="CK27" s="325">
        <v>25</v>
      </c>
      <c r="CL27" s="325">
        <f t="shared" si="49"/>
        <v>4.8500000000000014</v>
      </c>
      <c r="CM27" s="325">
        <f t="shared" si="31"/>
        <v>7.8500000000000014</v>
      </c>
      <c r="CN27" s="367">
        <f t="shared" si="32"/>
        <v>24</v>
      </c>
      <c r="CO27" s="367">
        <f t="shared" si="33"/>
        <v>0.75</v>
      </c>
      <c r="CP27" s="325">
        <f t="shared" si="34"/>
        <v>0</v>
      </c>
      <c r="CQ27" s="381">
        <v>25</v>
      </c>
      <c r="CR27" s="367">
        <f t="shared" si="35"/>
        <v>1293</v>
      </c>
      <c r="CS27" s="15">
        <f>'Daily CEM-1'!H28+'Daily CEM-1'!I28+'Daily CEM-1'!J28+'Daily CEM-1'!K28+'Daily CEM-1'!L28</f>
        <v>0</v>
      </c>
      <c r="CT27" s="15">
        <f>AQ27+AT27+AW27+'Daily  CEM - 2'!K28+'Daily  CEM - 2'!L28</f>
        <v>23.25</v>
      </c>
      <c r="CU27" s="372">
        <f t="shared" si="36"/>
        <v>24</v>
      </c>
      <c r="CW27" s="52">
        <f t="shared" si="37"/>
        <v>2212.86</v>
      </c>
    </row>
    <row r="28" spans="2:106" s="324" customFormat="1" x14ac:dyDescent="0.25">
      <c r="B28" s="351">
        <v>26</v>
      </c>
      <c r="C28" s="1">
        <v>21.8</v>
      </c>
      <c r="D28" s="364">
        <f>'Mines (2)'!D28+'Mines (2)'!I28+'Mines (2)'!W28+'Mines (2)'!AA28+'Mines (2)'!AE28</f>
        <v>3091</v>
      </c>
      <c r="E28" s="373">
        <f>'Mines (2)'!E28+'Mines (2)'!J28+'Mines (2)'!X28+'Mines (2)'!AB28+'Mines (2)'!AF28</f>
        <v>2634</v>
      </c>
      <c r="F28" s="364">
        <f t="shared" si="51"/>
        <v>141.78899082568807</v>
      </c>
      <c r="G28" s="1">
        <v>19.22</v>
      </c>
      <c r="H28" s="16">
        <f t="shared" si="38"/>
        <v>1397.8700168375194</v>
      </c>
      <c r="I28" s="303">
        <f t="shared" si="9"/>
        <v>1373.6000168375194</v>
      </c>
      <c r="J28" s="1">
        <v>1713</v>
      </c>
      <c r="K28" s="374">
        <f t="shared" si="47"/>
        <v>2464.5</v>
      </c>
      <c r="L28" s="374">
        <f>Clinker!EJ28*1.55</f>
        <v>2464.5</v>
      </c>
      <c r="M28" s="36">
        <v>0</v>
      </c>
      <c r="N28" s="1">
        <v>2325</v>
      </c>
      <c r="O28" s="364">
        <f t="shared" si="1"/>
        <v>120.96774193548387</v>
      </c>
      <c r="P28" s="1">
        <v>14</v>
      </c>
      <c r="Q28" s="1">
        <v>115.23</v>
      </c>
      <c r="R28" s="367">
        <f t="shared" si="10"/>
        <v>8.2307142857142868</v>
      </c>
      <c r="S28" s="1">
        <v>16.37</v>
      </c>
      <c r="T28" s="363">
        <f t="shared" si="11"/>
        <v>58.509999999999991</v>
      </c>
      <c r="U28" s="1">
        <v>241.2</v>
      </c>
      <c r="V28" s="1">
        <v>240</v>
      </c>
      <c r="W28" s="356">
        <f t="shared" ref="W28:W33" si="57">T28+U28-V28</f>
        <v>59.70999999999998</v>
      </c>
      <c r="X28" s="364">
        <f t="shared" si="3"/>
        <v>14.734270006108733</v>
      </c>
      <c r="Y28" s="1">
        <v>24</v>
      </c>
      <c r="Z28" s="355">
        <f>Clinker!EJ28</f>
        <v>1590</v>
      </c>
      <c r="AA28" s="364">
        <f t="shared" si="52"/>
        <v>66.25</v>
      </c>
      <c r="AB28" s="375">
        <f>'Daily CEM-1'!H29</f>
        <v>4.3</v>
      </c>
      <c r="AC28" s="355">
        <f>'Daily CEM-1'!C29</f>
        <v>240</v>
      </c>
      <c r="AD28" s="364">
        <f t="shared" si="53"/>
        <v>55.813953488372093</v>
      </c>
      <c r="AE28" s="375">
        <f>'Daily CEM-1'!I29</f>
        <v>0</v>
      </c>
      <c r="AF28" s="355">
        <f>'Daily CEM-1'!D29</f>
        <v>0</v>
      </c>
      <c r="AG28" s="364" t="e">
        <f t="shared" si="54"/>
        <v>#DIV/0!</v>
      </c>
      <c r="AH28" s="376">
        <f>'Daily CEM-1'!J29</f>
        <v>0</v>
      </c>
      <c r="AI28" s="376">
        <f>'Daily CEM-1'!E29</f>
        <v>0</v>
      </c>
      <c r="AJ28" s="376" t="e">
        <f t="shared" si="48"/>
        <v>#DIV/0!</v>
      </c>
      <c r="AK28" s="376">
        <f>'Daily CEM-1'!K29</f>
        <v>0</v>
      </c>
      <c r="AL28" s="376">
        <f>'Daily CEM-1'!F29</f>
        <v>0</v>
      </c>
      <c r="AM28" s="376" t="e">
        <f t="shared" si="13"/>
        <v>#DIV/0!</v>
      </c>
      <c r="AN28" s="60">
        <f>'Daily CEM-1'!L29</f>
        <v>6.8</v>
      </c>
      <c r="AO28" s="60">
        <f>'Daily CEM-1'!G29</f>
        <v>400</v>
      </c>
      <c r="AP28" s="60">
        <f t="shared" si="14"/>
        <v>58.82352941176471</v>
      </c>
      <c r="AQ28" s="375">
        <f>'Daily  CEM - 2'!H29</f>
        <v>15</v>
      </c>
      <c r="AR28" s="355">
        <f>'Daily  CEM - 2'!C29</f>
        <v>890</v>
      </c>
      <c r="AS28" s="364">
        <f t="shared" si="55"/>
        <v>59.333333333333336</v>
      </c>
      <c r="AT28" s="375">
        <f>'Daily  CEM - 2'!I29</f>
        <v>5</v>
      </c>
      <c r="AU28" s="355">
        <f>'Daily  CEM - 2'!D29</f>
        <v>300</v>
      </c>
      <c r="AV28" s="364">
        <f t="shared" si="56"/>
        <v>60</v>
      </c>
      <c r="AW28" s="376">
        <f>'Daily  CEM - 2'!J29</f>
        <v>0</v>
      </c>
      <c r="AX28" s="376">
        <f>'Daily  CEM - 2'!E29</f>
        <v>0</v>
      </c>
      <c r="AY28" s="377" t="e">
        <f t="shared" si="15"/>
        <v>#DIV/0!</v>
      </c>
      <c r="AZ28" s="376">
        <f>'Daily  CEM - 2'!K29</f>
        <v>4</v>
      </c>
      <c r="BA28" s="376">
        <f>'Daily  CEM - 2'!F29</f>
        <v>220</v>
      </c>
      <c r="BB28" s="376">
        <f t="shared" si="50"/>
        <v>55</v>
      </c>
      <c r="BC28" s="61">
        <f>'Daily  CEM - 2'!L29</f>
        <v>0</v>
      </c>
      <c r="BD28" s="61">
        <f>'Daily  CEM - 2'!G29</f>
        <v>0</v>
      </c>
      <c r="BE28" s="376" t="e">
        <f t="shared" si="17"/>
        <v>#DIV/0!</v>
      </c>
      <c r="BF28" s="363">
        <f t="shared" ref="BF28:BF33" si="58">BI27</f>
        <v>2692.0279999999798</v>
      </c>
      <c r="BG28" s="374">
        <f t="shared" si="19"/>
        <v>1130</v>
      </c>
      <c r="BH28" s="1">
        <v>1375.5</v>
      </c>
      <c r="BI28" s="18">
        <f>BF28+BG28-BH28-'Internal use cement'!F28</f>
        <v>2446.5279999999798</v>
      </c>
      <c r="BJ28" s="363">
        <f t="shared" ref="BJ28:BJ33" si="59">BM27</f>
        <v>385.79999999999995</v>
      </c>
      <c r="BK28" s="374">
        <f t="shared" si="21"/>
        <v>300</v>
      </c>
      <c r="BL28" s="1">
        <v>350</v>
      </c>
      <c r="BM28" s="356">
        <f>BJ28+BK28-BL28-'Internal use cement'!AB28</f>
        <v>335.79999999999995</v>
      </c>
      <c r="BN28" s="356">
        <f t="shared" si="39"/>
        <v>2.0900000000008498</v>
      </c>
      <c r="BO28" s="379">
        <f t="shared" si="45"/>
        <v>0</v>
      </c>
      <c r="BP28" s="1">
        <v>0</v>
      </c>
      <c r="BQ28" s="380">
        <f>BN28+BO28-BP28-'Internal use cement'!Q28</f>
        <v>2.0900000000008498</v>
      </c>
      <c r="BR28" s="380">
        <f>BU27</f>
        <v>98.300000000000011</v>
      </c>
      <c r="BS28" s="379">
        <f>BA28+AL28</f>
        <v>220</v>
      </c>
      <c r="BT28" s="1">
        <v>61</v>
      </c>
      <c r="BU28" s="380">
        <f>BR28+BS28-BT28-'Internal use cement'!AG28</f>
        <v>257.3</v>
      </c>
      <c r="BV28" s="66">
        <f t="shared" si="41"/>
        <v>649.59000000000015</v>
      </c>
      <c r="BW28" s="34">
        <f t="shared" si="24"/>
        <v>400</v>
      </c>
      <c r="BX28" s="15">
        <v>239.88</v>
      </c>
      <c r="BY28" s="66">
        <f>BV28+BW28-BX28</f>
        <v>809.71000000000015</v>
      </c>
      <c r="BZ28" s="1">
        <v>1605</v>
      </c>
      <c r="CA28" s="1">
        <v>1975</v>
      </c>
      <c r="CB28" s="1">
        <v>204</v>
      </c>
      <c r="CC28" s="325">
        <f t="shared" si="42"/>
        <v>3784</v>
      </c>
      <c r="CD28" s="15">
        <f>BI28+BM28+BQ28+BU28+BY28</f>
        <v>3851.4279999999808</v>
      </c>
      <c r="CE28" s="271">
        <f t="shared" si="46"/>
        <v>-67.427999999980784</v>
      </c>
      <c r="CF28" s="15">
        <f t="shared" si="27"/>
        <v>2026.38</v>
      </c>
      <c r="CG28" s="15">
        <f t="shared" si="28"/>
        <v>2050</v>
      </c>
      <c r="CH28" s="272">
        <f t="shared" si="29"/>
        <v>339.39998316248057</v>
      </c>
      <c r="CI28" s="324">
        <f>CG28*0.12</f>
        <v>246</v>
      </c>
      <c r="CJ28" s="372">
        <f t="shared" si="8"/>
        <v>4.3</v>
      </c>
      <c r="CK28" s="325">
        <v>26</v>
      </c>
      <c r="CL28" s="325">
        <f t="shared" si="49"/>
        <v>4.7800000000000011</v>
      </c>
      <c r="CM28" s="325">
        <f t="shared" si="31"/>
        <v>7.629999999999999</v>
      </c>
      <c r="CN28" s="367">
        <f t="shared" si="32"/>
        <v>12.9</v>
      </c>
      <c r="CO28" s="367">
        <f t="shared" si="33"/>
        <v>0</v>
      </c>
      <c r="CP28" s="325">
        <f t="shared" si="34"/>
        <v>0</v>
      </c>
      <c r="CQ28" s="381">
        <v>26</v>
      </c>
      <c r="CR28" s="367">
        <f t="shared" si="35"/>
        <v>1190</v>
      </c>
      <c r="CS28" s="15">
        <f>'Daily CEM-1'!H29+'Daily CEM-1'!I29+'Daily CEM-1'!J29+'Daily CEM-1'!K29+'Daily CEM-1'!L29</f>
        <v>11.1</v>
      </c>
      <c r="CT28" s="15">
        <f>AQ28+AT28+AW28+'Daily  CEM - 2'!K29+'Daily  CEM - 2'!L29</f>
        <v>24</v>
      </c>
      <c r="CU28" s="372">
        <f t="shared" si="36"/>
        <v>12.9</v>
      </c>
      <c r="CW28" s="52">
        <f t="shared" si="37"/>
        <v>2440.23</v>
      </c>
    </row>
    <row r="29" spans="2:106" x14ac:dyDescent="0.25">
      <c r="B29" s="4">
        <v>27</v>
      </c>
      <c r="C29" s="1">
        <v>20.37</v>
      </c>
      <c r="D29" s="34">
        <f>'Mines (2)'!D29+'Mines (2)'!I29+'Mines (2)'!W29+'Mines (2)'!AA29+'Mines (2)'!AE29</f>
        <v>3825.8199999999997</v>
      </c>
      <c r="E29" s="169">
        <f>'Mines (2)'!E29+'Mines (2)'!J29+'Mines (2)'!X29+'Mines (2)'!AB29+'Mines (2)'!AF29</f>
        <v>2871</v>
      </c>
      <c r="F29" s="34">
        <f t="shared" si="51"/>
        <v>187.81639666175747</v>
      </c>
      <c r="G29" s="1">
        <v>21.1</v>
      </c>
      <c r="H29" s="16">
        <f t="shared" si="38"/>
        <v>1373.6000168375194</v>
      </c>
      <c r="I29" s="303">
        <f t="shared" si="9"/>
        <v>1538.4700168375193</v>
      </c>
      <c r="J29" s="1">
        <v>1730</v>
      </c>
      <c r="K29" s="36">
        <f t="shared" si="47"/>
        <v>2495.5</v>
      </c>
      <c r="L29" s="36">
        <f>Clinker!EJ29*1.55</f>
        <v>2495.5</v>
      </c>
      <c r="M29" s="36">
        <v>0</v>
      </c>
      <c r="N29" s="1">
        <v>2468</v>
      </c>
      <c r="O29" s="34">
        <f t="shared" si="1"/>
        <v>116.96682464454976</v>
      </c>
      <c r="P29" s="1">
        <v>24</v>
      </c>
      <c r="Q29" s="1">
        <v>192.37</v>
      </c>
      <c r="R29" s="15">
        <f t="shared" si="10"/>
        <v>8.0154166666666669</v>
      </c>
      <c r="S29" s="1">
        <v>17</v>
      </c>
      <c r="T29" s="16">
        <f>W28</f>
        <v>59.70999999999998</v>
      </c>
      <c r="U29" s="1">
        <v>237.6</v>
      </c>
      <c r="V29" s="1">
        <v>242</v>
      </c>
      <c r="W29" s="18">
        <f t="shared" si="57"/>
        <v>55.309999999999945</v>
      </c>
      <c r="X29" s="34">
        <f t="shared" si="3"/>
        <v>13.976470588235294</v>
      </c>
      <c r="Y29" s="1">
        <v>24</v>
      </c>
      <c r="Z29" s="33">
        <f>Clinker!EJ29</f>
        <v>1610</v>
      </c>
      <c r="AA29" s="34">
        <f t="shared" si="52"/>
        <v>67.083333333333329</v>
      </c>
      <c r="AB29" s="37">
        <f>'Daily CEM-1'!H30</f>
        <v>4.5999999999999996</v>
      </c>
      <c r="AC29" s="33">
        <f>'Daily CEM-1'!C30</f>
        <v>270</v>
      </c>
      <c r="AD29" s="34">
        <f t="shared" si="53"/>
        <v>58.695652173913047</v>
      </c>
      <c r="AE29" s="37">
        <f>'Daily CEM-1'!I30</f>
        <v>0</v>
      </c>
      <c r="AF29" s="33">
        <f>'Daily CEM-1'!D30</f>
        <v>0</v>
      </c>
      <c r="AG29" s="34" t="e">
        <f t="shared" si="54"/>
        <v>#DIV/0!</v>
      </c>
      <c r="AH29" s="61">
        <f>'Daily CEM-1'!J30</f>
        <v>0</v>
      </c>
      <c r="AI29" s="61">
        <f>'Daily CEM-1'!E30</f>
        <v>0</v>
      </c>
      <c r="AJ29" s="61" t="e">
        <f t="shared" si="48"/>
        <v>#DIV/0!</v>
      </c>
      <c r="AK29" s="61">
        <f>'Daily CEM-1'!K30</f>
        <v>0</v>
      </c>
      <c r="AL29" s="61">
        <f>'Daily CEM-1'!F30</f>
        <v>0</v>
      </c>
      <c r="AM29" s="61" t="e">
        <f t="shared" si="13"/>
        <v>#DIV/0!</v>
      </c>
      <c r="AN29" s="60">
        <f>'Daily CEM-1'!L30</f>
        <v>0</v>
      </c>
      <c r="AO29" s="60">
        <f>'Daily CEM-1'!G30</f>
        <v>0</v>
      </c>
      <c r="AP29" s="60" t="e">
        <f t="shared" si="14"/>
        <v>#DIV/0!</v>
      </c>
      <c r="AQ29" s="37">
        <f>'Daily  CEM - 2'!H30</f>
        <v>17.600000000000001</v>
      </c>
      <c r="AR29" s="33">
        <f>'Daily  CEM - 2'!C30</f>
        <v>1060</v>
      </c>
      <c r="AS29" s="34">
        <f t="shared" si="55"/>
        <v>60.22727272727272</v>
      </c>
      <c r="AT29" s="37">
        <f>'Daily  CEM - 2'!I30</f>
        <v>2.4</v>
      </c>
      <c r="AU29" s="33">
        <f>'Daily  CEM - 2'!D30</f>
        <v>150</v>
      </c>
      <c r="AV29" s="34">
        <f t="shared" si="56"/>
        <v>62.5</v>
      </c>
      <c r="AW29" s="61">
        <f>'Daily  CEM - 2'!J30</f>
        <v>0</v>
      </c>
      <c r="AX29" s="61">
        <f>'Daily  CEM - 2'!E30</f>
        <v>0</v>
      </c>
      <c r="AY29" s="197" t="e">
        <f t="shared" si="15"/>
        <v>#DIV/0!</v>
      </c>
      <c r="AZ29" s="61">
        <f>'Daily  CEM - 2'!K30</f>
        <v>0</v>
      </c>
      <c r="BA29" s="61">
        <f>'Daily  CEM - 2'!F30</f>
        <v>0</v>
      </c>
      <c r="BB29" s="61" t="e">
        <f t="shared" si="50"/>
        <v>#DIV/0!</v>
      </c>
      <c r="BC29" s="61">
        <f>'Daily  CEM - 2'!L30</f>
        <v>3.2</v>
      </c>
      <c r="BD29" s="61">
        <f>'Daily  CEM - 2'!G30</f>
        <v>200</v>
      </c>
      <c r="BE29" s="61">
        <f t="shared" si="17"/>
        <v>62.5</v>
      </c>
      <c r="BF29" s="16">
        <f t="shared" si="58"/>
        <v>2446.5279999999798</v>
      </c>
      <c r="BG29" s="36">
        <f t="shared" si="19"/>
        <v>1330</v>
      </c>
      <c r="BH29" s="1">
        <v>1072.75</v>
      </c>
      <c r="BI29" s="18">
        <f>BF29+BG29-BH29-'Internal use cement'!F29</f>
        <v>2703.7779999999798</v>
      </c>
      <c r="BJ29" s="16">
        <f t="shared" si="59"/>
        <v>335.79999999999995</v>
      </c>
      <c r="BK29" s="36">
        <f t="shared" si="21"/>
        <v>150</v>
      </c>
      <c r="BL29" s="1">
        <v>62</v>
      </c>
      <c r="BM29" s="18">
        <f>BJ29+BK29-BL29-'Internal use cement'!AB29</f>
        <v>423.79999999999995</v>
      </c>
      <c r="BN29" s="18">
        <f t="shared" si="39"/>
        <v>2.0900000000008498</v>
      </c>
      <c r="BO29" s="63">
        <f t="shared" si="45"/>
        <v>0</v>
      </c>
      <c r="BP29" s="1">
        <v>0</v>
      </c>
      <c r="BQ29" s="66">
        <f>BN29+BO29-BP29-'Internal use cement'!Q29</f>
        <v>2.0900000000008498</v>
      </c>
      <c r="BR29" s="66">
        <f>BU28</f>
        <v>257.3</v>
      </c>
      <c r="BS29" s="63">
        <f t="shared" si="23"/>
        <v>0</v>
      </c>
      <c r="BT29" s="1">
        <v>0</v>
      </c>
      <c r="BU29" s="66">
        <f>BR29+BS29-BT29-'Internal use cement'!AG29</f>
        <v>257.3</v>
      </c>
      <c r="BV29" s="66">
        <f>BY28</f>
        <v>809.71000000000015</v>
      </c>
      <c r="BW29" s="34">
        <f t="shared" si="24"/>
        <v>200</v>
      </c>
      <c r="BX29" s="15">
        <v>200</v>
      </c>
      <c r="BY29" s="66">
        <f>BV29+BW29-BX29</f>
        <v>809.71000000000015</v>
      </c>
      <c r="BZ29" s="1">
        <v>1700</v>
      </c>
      <c r="CA29" s="1">
        <v>2260</v>
      </c>
      <c r="CB29" s="1">
        <v>205</v>
      </c>
      <c r="CC29" s="1">
        <f>SUM(BZ29:CB29)</f>
        <v>4165</v>
      </c>
      <c r="CD29" s="15">
        <f>BI29+BM29+BQ29+BU29+BY29</f>
        <v>4196.6779999999808</v>
      </c>
      <c r="CE29" s="272">
        <f>CC29-CD29</f>
        <v>-31.677999999980784</v>
      </c>
      <c r="CF29" s="15">
        <f t="shared" si="27"/>
        <v>1334.75</v>
      </c>
      <c r="CG29" s="15">
        <f t="shared" si="28"/>
        <v>1680</v>
      </c>
      <c r="CH29" s="272">
        <f t="shared" si="29"/>
        <v>191.52998316248068</v>
      </c>
      <c r="CI29">
        <f>CG29*0.12</f>
        <v>201.6</v>
      </c>
      <c r="CJ29" s="52">
        <f t="shared" si="8"/>
        <v>4.5999999999999996</v>
      </c>
      <c r="CK29" s="1">
        <v>27</v>
      </c>
      <c r="CL29" s="1">
        <f t="shared" si="49"/>
        <v>2.8999999999999986</v>
      </c>
      <c r="CM29" s="1">
        <f t="shared" si="31"/>
        <v>7</v>
      </c>
      <c r="CN29" s="15">
        <f t="shared" si="32"/>
        <v>19.399999999999999</v>
      </c>
      <c r="CO29" s="15">
        <f t="shared" si="33"/>
        <v>0.80000000000000071</v>
      </c>
      <c r="CP29" s="1">
        <f t="shared" si="34"/>
        <v>0</v>
      </c>
      <c r="CQ29" s="2">
        <v>27</v>
      </c>
      <c r="CR29" s="15">
        <f t="shared" si="35"/>
        <v>1210</v>
      </c>
      <c r="CS29" s="15">
        <f>'Daily CEM-1'!H30+'Daily CEM-1'!I30+'Daily CEM-1'!J30+'Daily CEM-1'!K30+'Daily CEM-1'!L30</f>
        <v>4.5999999999999996</v>
      </c>
      <c r="CT29" s="15">
        <f>AQ29+AT29+AW29+'Daily  CEM - 2'!K30+'Daily  CEM - 2'!L30</f>
        <v>23.2</v>
      </c>
      <c r="CU29" s="52">
        <f t="shared" si="36"/>
        <v>19.399999999999999</v>
      </c>
      <c r="CW29" s="52">
        <f t="shared" si="37"/>
        <v>2660.37</v>
      </c>
    </row>
    <row r="30" spans="2:106" x14ac:dyDescent="0.25">
      <c r="B30" s="4">
        <v>28</v>
      </c>
      <c r="C30" s="1">
        <v>16.100000000000001</v>
      </c>
      <c r="D30" s="169">
        <f>'Mines (2)'!D30+'Mines (2)'!I30+'Mines (2)'!W30+'Mines (2)'!AA30+'Mines (2)'!AE30</f>
        <v>0</v>
      </c>
      <c r="E30" s="169">
        <f>'Mines (2)'!E30+'Mines (2)'!J30+'Mines (2)'!X30+'Mines (2)'!AB30+'Mines (2)'!AF30</f>
        <v>2779</v>
      </c>
      <c r="F30" s="34">
        <f t="shared" si="51"/>
        <v>0</v>
      </c>
      <c r="G30" s="1">
        <v>21.57</v>
      </c>
      <c r="H30" s="16">
        <f t="shared" si="38"/>
        <v>1538.4700168375193</v>
      </c>
      <c r="I30" s="303">
        <f t="shared" si="9"/>
        <v>1659.8200168375197</v>
      </c>
      <c r="J30" s="1">
        <v>1695</v>
      </c>
      <c r="K30" s="36">
        <f t="shared" si="47"/>
        <v>2511</v>
      </c>
      <c r="L30" s="36">
        <f>Clinker!EJ30*1.55</f>
        <v>2511</v>
      </c>
      <c r="M30" s="36">
        <v>0</v>
      </c>
      <c r="N30" s="1">
        <v>2480</v>
      </c>
      <c r="O30" s="34">
        <f t="shared" si="1"/>
        <v>114.97450162262402</v>
      </c>
      <c r="P30" s="1">
        <v>16</v>
      </c>
      <c r="Q30" s="1">
        <v>152.35</v>
      </c>
      <c r="R30" s="15">
        <f t="shared" si="10"/>
        <v>9.5218749999999996</v>
      </c>
      <c r="S30" s="1">
        <v>17</v>
      </c>
      <c r="T30" s="16">
        <f>W29</f>
        <v>55.309999999999945</v>
      </c>
      <c r="U30" s="1">
        <v>230.4</v>
      </c>
      <c r="V30" s="1">
        <v>243</v>
      </c>
      <c r="W30" s="18">
        <f t="shared" si="57"/>
        <v>42.709999999999923</v>
      </c>
      <c r="X30" s="34">
        <f t="shared" si="3"/>
        <v>13.552941176470588</v>
      </c>
      <c r="Y30" s="1">
        <v>24</v>
      </c>
      <c r="Z30" s="33">
        <f>Clinker!EJ30</f>
        <v>1620</v>
      </c>
      <c r="AA30" s="34">
        <f t="shared" si="52"/>
        <v>67.5</v>
      </c>
      <c r="AB30" s="37">
        <f>'Daily CEM-1'!H31</f>
        <v>0</v>
      </c>
      <c r="AC30" s="33">
        <f>'Daily CEM-1'!C31</f>
        <v>0</v>
      </c>
      <c r="AD30" s="34" t="e">
        <f t="shared" si="53"/>
        <v>#DIV/0!</v>
      </c>
      <c r="AE30" s="37">
        <f>'Daily CEM-1'!I31</f>
        <v>0</v>
      </c>
      <c r="AF30" s="33">
        <f>'Daily CEM-1'!D31</f>
        <v>0</v>
      </c>
      <c r="AG30" s="34" t="e">
        <f t="shared" si="54"/>
        <v>#DIV/0!</v>
      </c>
      <c r="AH30" s="61">
        <f>'Daily CEM-1'!J31</f>
        <v>0</v>
      </c>
      <c r="AI30" s="61">
        <f>'Daily CEM-1'!E31</f>
        <v>0</v>
      </c>
      <c r="AJ30" s="61" t="e">
        <f t="shared" si="48"/>
        <v>#DIV/0!</v>
      </c>
      <c r="AK30" s="61">
        <f>'Daily CEM-1'!K31</f>
        <v>0</v>
      </c>
      <c r="AL30" s="61">
        <f>'Daily CEM-1'!F31</f>
        <v>0</v>
      </c>
      <c r="AM30" s="61" t="e">
        <f t="shared" si="13"/>
        <v>#DIV/0!</v>
      </c>
      <c r="AN30" s="60">
        <f>'Daily CEM-1'!L31</f>
        <v>0</v>
      </c>
      <c r="AO30" s="60">
        <f>'Daily CEM-1'!G31</f>
        <v>0</v>
      </c>
      <c r="AP30" s="60" t="e">
        <f t="shared" si="14"/>
        <v>#DIV/0!</v>
      </c>
      <c r="AQ30" s="37">
        <f>'Daily  CEM - 2'!H31</f>
        <v>11.7</v>
      </c>
      <c r="AR30" s="33">
        <f>'Daily  CEM - 2'!C31</f>
        <v>655</v>
      </c>
      <c r="AS30" s="34">
        <f t="shared" si="55"/>
        <v>55.982905982905983</v>
      </c>
      <c r="AT30" s="37">
        <f>'Daily  CEM - 2'!I31</f>
        <v>0</v>
      </c>
      <c r="AU30" s="33">
        <f>'Daily  CEM - 2'!D31</f>
        <v>0</v>
      </c>
      <c r="AV30" s="34" t="e">
        <f t="shared" si="56"/>
        <v>#DIV/0!</v>
      </c>
      <c r="AW30" s="61">
        <f>'Daily  CEM - 2'!J31</f>
        <v>0</v>
      </c>
      <c r="AX30" s="61">
        <f>'Daily  CEM - 2'!E31</f>
        <v>0</v>
      </c>
      <c r="AY30" s="197" t="e">
        <f t="shared" si="15"/>
        <v>#DIV/0!</v>
      </c>
      <c r="AZ30" s="61">
        <f>'Daily  CEM - 2'!K31</f>
        <v>0</v>
      </c>
      <c r="BA30" s="61">
        <f>'Daily  CEM - 2'!F31</f>
        <v>0</v>
      </c>
      <c r="BB30" s="61" t="e">
        <f t="shared" si="50"/>
        <v>#DIV/0!</v>
      </c>
      <c r="BC30" s="61">
        <f>'Daily  CEM - 2'!L31</f>
        <v>3.4</v>
      </c>
      <c r="BD30" s="61">
        <f>'Daily  CEM - 2'!G31</f>
        <v>210</v>
      </c>
      <c r="BE30" s="61">
        <f t="shared" si="17"/>
        <v>61.764705882352942</v>
      </c>
      <c r="BF30" s="16">
        <f t="shared" si="58"/>
        <v>2703.7779999999798</v>
      </c>
      <c r="BG30" s="36">
        <f t="shared" si="19"/>
        <v>655</v>
      </c>
      <c r="BH30" s="1">
        <v>1060.3</v>
      </c>
      <c r="BI30" s="18">
        <f>BF30+BG30-BH30-'Internal use cement'!F30</f>
        <v>2298.4779999999801</v>
      </c>
      <c r="BJ30" s="16">
        <f t="shared" si="59"/>
        <v>423.79999999999995</v>
      </c>
      <c r="BK30" s="36">
        <f t="shared" si="21"/>
        <v>0</v>
      </c>
      <c r="BL30" s="1">
        <v>94</v>
      </c>
      <c r="BM30" s="18">
        <f>BJ30+BK30-BL30-'Internal use cement'!AB30</f>
        <v>329.79999999999995</v>
      </c>
      <c r="BN30" s="18">
        <f t="shared" si="39"/>
        <v>2.0900000000008498</v>
      </c>
      <c r="BO30" s="63">
        <f t="shared" si="45"/>
        <v>0</v>
      </c>
      <c r="BP30" s="1">
        <v>0</v>
      </c>
      <c r="BQ30" s="66">
        <f>BN30+BO30-BP30-'Internal use cement'!Q30</f>
        <v>2.0900000000008498</v>
      </c>
      <c r="BR30" s="18">
        <f t="shared" si="40"/>
        <v>257.3</v>
      </c>
      <c r="BS30" s="63">
        <f t="shared" si="23"/>
        <v>0</v>
      </c>
      <c r="BT30" s="1">
        <v>31</v>
      </c>
      <c r="BU30" s="66">
        <f>BR30+BS30-BT30-'Internal use cement'!AG30</f>
        <v>226.3</v>
      </c>
      <c r="BV30" s="66">
        <f>BY29</f>
        <v>809.71000000000015</v>
      </c>
      <c r="BW30" s="34">
        <f t="shared" si="24"/>
        <v>210</v>
      </c>
      <c r="BX30" s="15">
        <v>213.94</v>
      </c>
      <c r="BY30" s="66">
        <f t="shared" si="25"/>
        <v>805.77000000000021</v>
      </c>
      <c r="BZ30" s="1">
        <v>1676</v>
      </c>
      <c r="CA30" s="1">
        <v>1916</v>
      </c>
      <c r="CB30" s="1">
        <v>165</v>
      </c>
      <c r="CC30" s="1">
        <f t="shared" si="42"/>
        <v>3757</v>
      </c>
      <c r="CD30" s="15">
        <f t="shared" si="26"/>
        <v>3662.4379999999819</v>
      </c>
      <c r="CE30" s="272">
        <f>CC30-CD30</f>
        <v>94.562000000018088</v>
      </c>
      <c r="CF30" s="15">
        <f t="shared" si="27"/>
        <v>1399.24</v>
      </c>
      <c r="CG30" s="15">
        <f t="shared" si="28"/>
        <v>865</v>
      </c>
      <c r="CH30" s="272">
        <f t="shared" si="29"/>
        <v>35.179983162480312</v>
      </c>
      <c r="CI30">
        <f>CG30*0.12</f>
        <v>103.8</v>
      </c>
      <c r="CJ30" s="52">
        <f t="shared" si="8"/>
        <v>0</v>
      </c>
      <c r="CK30" s="1">
        <v>28</v>
      </c>
      <c r="CL30" s="1">
        <f t="shared" si="49"/>
        <v>2.4299999999999997</v>
      </c>
      <c r="CM30" s="1">
        <f t="shared" si="31"/>
        <v>7</v>
      </c>
      <c r="CN30" s="15">
        <f t="shared" si="32"/>
        <v>24</v>
      </c>
      <c r="CO30" s="15">
        <f t="shared" si="33"/>
        <v>8.9</v>
      </c>
      <c r="CP30" s="1">
        <f t="shared" si="34"/>
        <v>0</v>
      </c>
      <c r="CQ30" s="2">
        <v>28</v>
      </c>
      <c r="CR30" s="52">
        <f t="shared" si="35"/>
        <v>655</v>
      </c>
      <c r="CS30" s="15">
        <f>'Daily CEM-1'!H31+'Daily CEM-1'!I31+'Daily CEM-1'!J31+'Daily CEM-1'!K31+'Daily CEM-1'!L31</f>
        <v>0</v>
      </c>
      <c r="CT30" s="15">
        <f>AQ30+AT30+AW30+'Daily  CEM - 2'!K31+'Daily  CEM - 2'!L31</f>
        <v>15.1</v>
      </c>
      <c r="CU30" s="52">
        <f t="shared" si="36"/>
        <v>24</v>
      </c>
      <c r="CW30" s="52">
        <f t="shared" si="37"/>
        <v>2632.35</v>
      </c>
    </row>
    <row r="31" spans="2:106" x14ac:dyDescent="0.25">
      <c r="B31" s="4">
        <v>29</v>
      </c>
      <c r="C31" s="1">
        <v>19.48</v>
      </c>
      <c r="D31" s="169">
        <f>'Mines (2)'!D31+'Mines (2)'!I31+'Mines (2)'!W31+'Mines (2)'!AA31+'Mines (2)'!AE31</f>
        <v>0</v>
      </c>
      <c r="E31" s="169">
        <f>'Mines (2)'!E31+'Mines (2)'!J31+'Mines (2)'!X31+'Mines (2)'!AB31+'Mines (2)'!AF31</f>
        <v>2702</v>
      </c>
      <c r="F31" s="34">
        <f t="shared" si="51"/>
        <v>0</v>
      </c>
      <c r="G31" s="1">
        <v>20.07</v>
      </c>
      <c r="H31" s="16">
        <f t="shared" si="38"/>
        <v>1659.8200168375197</v>
      </c>
      <c r="I31" s="303">
        <f t="shared" si="9"/>
        <v>1736.1300168375201</v>
      </c>
      <c r="J31" s="1">
        <v>1775</v>
      </c>
      <c r="K31" s="36">
        <f t="shared" si="47"/>
        <v>2542</v>
      </c>
      <c r="L31" s="36">
        <f>Clinker!EJ31*1.55</f>
        <v>2542</v>
      </c>
      <c r="M31" s="36">
        <v>0</v>
      </c>
      <c r="N31" s="1">
        <v>2420</v>
      </c>
      <c r="O31" s="34">
        <f>N31/G31</f>
        <v>120.57797708021923</v>
      </c>
      <c r="P31" s="1">
        <v>22</v>
      </c>
      <c r="Q31" s="1">
        <v>198.31</v>
      </c>
      <c r="R31" s="15">
        <f t="shared" si="10"/>
        <v>9.0140909090909087</v>
      </c>
      <c r="S31" s="1">
        <v>18</v>
      </c>
      <c r="T31" s="16">
        <f>W30</f>
        <v>42.709999999999923</v>
      </c>
      <c r="U31" s="1">
        <v>243</v>
      </c>
      <c r="V31" s="1">
        <v>243</v>
      </c>
      <c r="W31" s="18">
        <f t="shared" si="57"/>
        <v>42.709999999999923</v>
      </c>
      <c r="X31" s="34">
        <f t="shared" si="3"/>
        <v>13.5</v>
      </c>
      <c r="Y31" s="1">
        <v>24</v>
      </c>
      <c r="Z31" s="33">
        <f>Clinker!EJ31</f>
        <v>1640</v>
      </c>
      <c r="AA31" s="34">
        <f t="shared" si="52"/>
        <v>68.333333333333329</v>
      </c>
      <c r="AB31" s="37">
        <f>'Daily CEM-1'!H32</f>
        <v>0</v>
      </c>
      <c r="AC31" s="33">
        <f>'Daily CEM-1'!C32</f>
        <v>0</v>
      </c>
      <c r="AD31" s="34" t="e">
        <f t="shared" si="53"/>
        <v>#DIV/0!</v>
      </c>
      <c r="AE31" s="37">
        <f>'Daily CEM-1'!I32</f>
        <v>0</v>
      </c>
      <c r="AF31" s="33">
        <f>'Daily CEM-1'!D32</f>
        <v>0</v>
      </c>
      <c r="AG31" s="34" t="e">
        <f t="shared" si="54"/>
        <v>#DIV/0!</v>
      </c>
      <c r="AH31" s="61">
        <f>'Daily CEM-1'!J32</f>
        <v>0</v>
      </c>
      <c r="AI31" s="61">
        <f>'Daily CEM-1'!E32</f>
        <v>0</v>
      </c>
      <c r="AJ31" s="61" t="e">
        <f t="shared" si="48"/>
        <v>#DIV/0!</v>
      </c>
      <c r="AK31" s="61">
        <f>'Daily CEM-1'!K32</f>
        <v>0</v>
      </c>
      <c r="AL31" s="61">
        <f>'Daily CEM-1'!F32</f>
        <v>0</v>
      </c>
      <c r="AM31" s="61" t="e">
        <f t="shared" si="13"/>
        <v>#DIV/0!</v>
      </c>
      <c r="AN31" s="60">
        <f>'Daily CEM-1'!L32</f>
        <v>0</v>
      </c>
      <c r="AO31" s="60">
        <f>'Daily CEM-1'!G32</f>
        <v>0</v>
      </c>
      <c r="AP31" s="60" t="e">
        <f t="shared" si="14"/>
        <v>#DIV/0!</v>
      </c>
      <c r="AQ31" s="37">
        <f>'Daily  CEM - 2'!H32</f>
        <v>13.2</v>
      </c>
      <c r="AR31" s="33">
        <f>'Daily  CEM - 2'!C32</f>
        <v>790</v>
      </c>
      <c r="AS31" s="34">
        <f t="shared" si="55"/>
        <v>59.848484848484851</v>
      </c>
      <c r="AT31" s="37">
        <f>'Daily  CEM - 2'!I32</f>
        <v>4.8</v>
      </c>
      <c r="AU31" s="33">
        <f>'Daily  CEM - 2'!D32</f>
        <v>300</v>
      </c>
      <c r="AV31" s="34">
        <f t="shared" si="56"/>
        <v>62.5</v>
      </c>
      <c r="AW31" s="61">
        <f>'Daily  CEM - 2'!J32</f>
        <v>0</v>
      </c>
      <c r="AX31" s="61">
        <f>'Daily  CEM - 2'!E32</f>
        <v>0</v>
      </c>
      <c r="AY31" s="197" t="e">
        <f t="shared" si="15"/>
        <v>#DIV/0!</v>
      </c>
      <c r="AZ31" s="61">
        <f>'Daily  CEM - 2'!K32</f>
        <v>2</v>
      </c>
      <c r="BA31" s="61">
        <f>'Daily  CEM - 2'!F32</f>
        <v>110</v>
      </c>
      <c r="BB31" s="61">
        <f t="shared" si="50"/>
        <v>55</v>
      </c>
      <c r="BC31" s="61">
        <f>'Daily  CEM - 2'!L32</f>
        <v>4</v>
      </c>
      <c r="BD31" s="61">
        <f>'Daily  CEM - 2'!G32</f>
        <v>250</v>
      </c>
      <c r="BE31" s="61">
        <f t="shared" si="17"/>
        <v>62.5</v>
      </c>
      <c r="BF31" s="16">
        <f t="shared" si="58"/>
        <v>2298.4779999999801</v>
      </c>
      <c r="BG31" s="36">
        <f t="shared" si="19"/>
        <v>790</v>
      </c>
      <c r="BH31" s="1">
        <v>986.23</v>
      </c>
      <c r="BI31" s="18">
        <f>BF31+BG31-BH31-'Internal use cement'!F31</f>
        <v>2102.24799999998</v>
      </c>
      <c r="BJ31" s="16">
        <f t="shared" si="59"/>
        <v>329.79999999999995</v>
      </c>
      <c r="BK31" s="36">
        <f t="shared" si="21"/>
        <v>300</v>
      </c>
      <c r="BL31" s="1">
        <v>124</v>
      </c>
      <c r="BM31" s="18">
        <f>BJ31+BK31-BL31-'Internal use cement'!AB31</f>
        <v>505.79999999999995</v>
      </c>
      <c r="BN31" s="18">
        <f t="shared" si="39"/>
        <v>2.0900000000008498</v>
      </c>
      <c r="BO31" s="63">
        <f t="shared" si="45"/>
        <v>0</v>
      </c>
      <c r="BP31" s="1">
        <v>0</v>
      </c>
      <c r="BQ31" s="66">
        <f>BN31+BO31-BP31-'Internal use cement'!Q31</f>
        <v>2.0900000000008498</v>
      </c>
      <c r="BR31" s="18">
        <f t="shared" si="40"/>
        <v>226.3</v>
      </c>
      <c r="BS31" s="63">
        <f t="shared" si="23"/>
        <v>110</v>
      </c>
      <c r="BT31" s="1">
        <v>90</v>
      </c>
      <c r="BU31" s="66">
        <f>BR31+BS31-BT31-'Internal use cement'!AG31</f>
        <v>246.3</v>
      </c>
      <c r="BV31" s="66">
        <f t="shared" si="41"/>
        <v>805.77000000000021</v>
      </c>
      <c r="BW31" s="34">
        <f t="shared" si="24"/>
        <v>250</v>
      </c>
      <c r="BX31" s="15">
        <v>180</v>
      </c>
      <c r="BY31" s="66">
        <f t="shared" si="25"/>
        <v>875.77000000000021</v>
      </c>
      <c r="BZ31" s="1">
        <v>1657</v>
      </c>
      <c r="CA31" s="1">
        <v>1956</v>
      </c>
      <c r="CB31" s="1">
        <v>155</v>
      </c>
      <c r="CC31" s="1">
        <f t="shared" si="42"/>
        <v>3768</v>
      </c>
      <c r="CD31" s="15">
        <f t="shared" si="26"/>
        <v>3732.2079999999814</v>
      </c>
      <c r="CE31" s="271">
        <f t="shared" ref="CE31:CE34" si="60">CC31-CD31</f>
        <v>35.792000000018561</v>
      </c>
      <c r="CF31" s="15">
        <f t="shared" si="27"/>
        <v>1380.23</v>
      </c>
      <c r="CG31" s="15">
        <f t="shared" si="28"/>
        <v>1450</v>
      </c>
      <c r="CH31" s="272">
        <f t="shared" si="29"/>
        <v>38.869983162479912</v>
      </c>
      <c r="CI31">
        <f>CG31*0.12</f>
        <v>174</v>
      </c>
      <c r="CJ31" s="52">
        <f t="shared" si="8"/>
        <v>0</v>
      </c>
      <c r="CK31" s="1">
        <v>29</v>
      </c>
      <c r="CL31" s="1">
        <f t="shared" si="49"/>
        <v>3.9299999999999997</v>
      </c>
      <c r="CM31" s="1">
        <f t="shared" si="31"/>
        <v>6</v>
      </c>
      <c r="CN31" s="15">
        <f t="shared" si="32"/>
        <v>24</v>
      </c>
      <c r="CO31" s="15">
        <f t="shared" si="33"/>
        <v>0</v>
      </c>
      <c r="CP31" s="1">
        <f t="shared" si="34"/>
        <v>0</v>
      </c>
      <c r="CQ31" s="2">
        <v>29</v>
      </c>
      <c r="CR31" s="52">
        <f t="shared" si="35"/>
        <v>1090</v>
      </c>
      <c r="CS31" s="15">
        <f>'Daily CEM-1'!H32+'Daily CEM-1'!I32+'Daily CEM-1'!J32+'Daily CEM-1'!K32+'Daily CEM-1'!L32</f>
        <v>0</v>
      </c>
      <c r="CT31" s="15">
        <f>AQ31+AT31+AW31+'Daily  CEM - 2'!K32+'Daily  CEM - 2'!L32</f>
        <v>24</v>
      </c>
      <c r="CU31" s="52">
        <f t="shared" si="36"/>
        <v>24</v>
      </c>
      <c r="CW31" s="52">
        <f t="shared" si="37"/>
        <v>2618.31</v>
      </c>
    </row>
    <row r="32" spans="2:106" x14ac:dyDescent="0.25">
      <c r="B32" s="4">
        <v>30</v>
      </c>
      <c r="C32" s="1">
        <v>13.33</v>
      </c>
      <c r="D32" s="169">
        <f>'Mines (2)'!D32+'Mines (2)'!I32+'Mines (2)'!W32+'Mines (2)'!AA32+'Mines (2)'!AE32</f>
        <v>0</v>
      </c>
      <c r="E32" s="169">
        <f>'Mines (2)'!E32+'Mines (2)'!J32+'Mines (2)'!X32+'Mines (2)'!AB32+'Mines (2)'!AF32</f>
        <v>2650</v>
      </c>
      <c r="F32" s="34">
        <f t="shared" si="51"/>
        <v>0</v>
      </c>
      <c r="G32" s="1">
        <v>20.3</v>
      </c>
      <c r="H32" s="16">
        <f t="shared" si="38"/>
        <v>1736.1300168375201</v>
      </c>
      <c r="I32" s="303">
        <f t="shared" si="9"/>
        <v>1718.1200168375199</v>
      </c>
      <c r="J32" s="1">
        <v>1758</v>
      </c>
      <c r="K32" s="36">
        <f t="shared" si="47"/>
        <v>2611.75</v>
      </c>
      <c r="L32" s="36">
        <f>Clinker!EJ32*1.55</f>
        <v>2611.75</v>
      </c>
      <c r="M32" s="36">
        <v>0</v>
      </c>
      <c r="N32" s="1">
        <v>2416</v>
      </c>
      <c r="O32" s="34">
        <f t="shared" si="1"/>
        <v>119.01477832512315</v>
      </c>
      <c r="P32" s="1">
        <v>19.5</v>
      </c>
      <c r="Q32" s="1">
        <v>177.74</v>
      </c>
      <c r="R32" s="15">
        <f t="shared" si="10"/>
        <v>9.1148717948717959</v>
      </c>
      <c r="S32" s="1">
        <v>18.3</v>
      </c>
      <c r="T32" s="16">
        <f>W31</f>
        <v>42.709999999999923</v>
      </c>
      <c r="U32" s="1">
        <v>247.5</v>
      </c>
      <c r="V32" s="1">
        <v>250</v>
      </c>
      <c r="W32" s="18">
        <f t="shared" si="57"/>
        <v>40.209999999999923</v>
      </c>
      <c r="X32" s="34">
        <f t="shared" si="3"/>
        <v>13.524590163934425</v>
      </c>
      <c r="Y32" s="1">
        <v>24</v>
      </c>
      <c r="Z32" s="33">
        <f>Clinker!EJ32</f>
        <v>1685</v>
      </c>
      <c r="AA32" s="34">
        <f t="shared" si="52"/>
        <v>70.208333333333329</v>
      </c>
      <c r="AB32" s="37">
        <f>'Daily CEM-1'!H33</f>
        <v>0</v>
      </c>
      <c r="AC32" s="33">
        <f>'Daily CEM-1'!C33</f>
        <v>0</v>
      </c>
      <c r="AD32" s="34" t="e">
        <f t="shared" si="53"/>
        <v>#DIV/0!</v>
      </c>
      <c r="AE32" s="37">
        <f>'Daily CEM-1'!I33</f>
        <v>0</v>
      </c>
      <c r="AF32" s="33">
        <f>'Daily CEM-1'!D33</f>
        <v>0</v>
      </c>
      <c r="AG32" s="34" t="e">
        <f t="shared" si="54"/>
        <v>#DIV/0!</v>
      </c>
      <c r="AH32" s="61">
        <f>'Daily CEM-1'!J33</f>
        <v>0</v>
      </c>
      <c r="AI32" s="61">
        <f>'Daily CEM-1'!E33</f>
        <v>0</v>
      </c>
      <c r="AJ32" s="61" t="e">
        <f t="shared" si="48"/>
        <v>#DIV/0!</v>
      </c>
      <c r="AK32" s="61">
        <f>'Daily CEM-1'!K32</f>
        <v>0</v>
      </c>
      <c r="AL32" s="61">
        <f>'Daily CEM-1'!F33</f>
        <v>0</v>
      </c>
      <c r="AM32" s="61" t="e">
        <f t="shared" si="13"/>
        <v>#DIV/0!</v>
      </c>
      <c r="AN32" s="60">
        <f>'Daily CEM-1'!L33</f>
        <v>0</v>
      </c>
      <c r="AO32" s="60">
        <f>'Daily CEM-1'!G33</f>
        <v>0</v>
      </c>
      <c r="AP32" s="60" t="e">
        <f t="shared" si="14"/>
        <v>#DIV/0!</v>
      </c>
      <c r="AQ32" s="37">
        <f>'Daily  CEM - 2'!H33</f>
        <v>24</v>
      </c>
      <c r="AR32" s="33">
        <f>'Daily  CEM - 2'!C33</f>
        <v>1440</v>
      </c>
      <c r="AS32" s="34">
        <f t="shared" si="55"/>
        <v>60</v>
      </c>
      <c r="AT32" s="37">
        <f>'Daily  CEM - 2'!I33</f>
        <v>0</v>
      </c>
      <c r="AU32" s="33">
        <f>'Daily  CEM - 2'!D33</f>
        <v>0</v>
      </c>
      <c r="AV32" s="34" t="e">
        <f t="shared" si="56"/>
        <v>#DIV/0!</v>
      </c>
      <c r="AW32" s="61">
        <f>'Daily  CEM - 2'!J33</f>
        <v>0</v>
      </c>
      <c r="AX32" s="61">
        <f>'Daily  CEM - 2'!E33</f>
        <v>0</v>
      </c>
      <c r="AY32" s="197" t="e">
        <f t="shared" si="15"/>
        <v>#DIV/0!</v>
      </c>
      <c r="AZ32" s="61">
        <f>'Daily  CEM - 2'!K33</f>
        <v>0</v>
      </c>
      <c r="BA32" s="61">
        <f>'Daily  CEM - 2'!F33</f>
        <v>0</v>
      </c>
      <c r="BB32" s="61" t="e">
        <f t="shared" si="50"/>
        <v>#DIV/0!</v>
      </c>
      <c r="BC32" s="61">
        <f>'Daily  CEM - 2'!L33</f>
        <v>0</v>
      </c>
      <c r="BD32" s="61">
        <f>'Daily  CEM - 2'!G33</f>
        <v>0</v>
      </c>
      <c r="BE32" s="61" t="e">
        <f t="shared" si="17"/>
        <v>#DIV/0!</v>
      </c>
      <c r="BF32" s="16">
        <f t="shared" si="58"/>
        <v>2102.24799999998</v>
      </c>
      <c r="BG32" s="36">
        <f t="shared" si="19"/>
        <v>1440</v>
      </c>
      <c r="BH32" s="1">
        <v>862.96</v>
      </c>
      <c r="BI32" s="18">
        <f>BF32+BG32-BH32-'Internal use cement'!F32</f>
        <v>2679.28799999998</v>
      </c>
      <c r="BJ32" s="16">
        <f t="shared" si="59"/>
        <v>505.79999999999995</v>
      </c>
      <c r="BK32" s="36">
        <f t="shared" si="21"/>
        <v>0</v>
      </c>
      <c r="BL32" s="1">
        <v>94</v>
      </c>
      <c r="BM32" s="18">
        <f>BJ32+BK32-BL32-'Internal use cement'!AB32</f>
        <v>411.79999999999995</v>
      </c>
      <c r="BN32" s="18">
        <f t="shared" si="39"/>
        <v>2.0900000000008498</v>
      </c>
      <c r="BO32" s="63">
        <f t="shared" si="45"/>
        <v>0</v>
      </c>
      <c r="BP32" s="1">
        <v>0</v>
      </c>
      <c r="BQ32" s="66">
        <f>BN32+BO32-BP32-'Internal use cement'!Q32</f>
        <v>2.0900000000008498</v>
      </c>
      <c r="BR32" s="18">
        <f t="shared" si="40"/>
        <v>246.3</v>
      </c>
      <c r="BS32" s="63">
        <f t="shared" si="23"/>
        <v>0</v>
      </c>
      <c r="BT32" s="1">
        <v>60</v>
      </c>
      <c r="BU32" s="66">
        <f>BR32+BS32-BT32-'Internal use cement'!AG32</f>
        <v>186.3</v>
      </c>
      <c r="BV32" s="66">
        <f t="shared" si="41"/>
        <v>875.77000000000021</v>
      </c>
      <c r="BW32" s="34">
        <f t="shared" si="24"/>
        <v>0</v>
      </c>
      <c r="BX32" s="15">
        <v>119.94</v>
      </c>
      <c r="BY32" s="66">
        <f t="shared" si="25"/>
        <v>755.83000000000015</v>
      </c>
      <c r="BZ32" s="1">
        <v>1691</v>
      </c>
      <c r="CA32" s="1">
        <v>2395</v>
      </c>
      <c r="CB32" s="1">
        <v>118</v>
      </c>
      <c r="CC32" s="1">
        <f>SUM(BZ32:CB32)</f>
        <v>4204</v>
      </c>
      <c r="CD32" s="15">
        <f t="shared" si="26"/>
        <v>4035.3079999999809</v>
      </c>
      <c r="CE32" s="271">
        <f t="shared" si="60"/>
        <v>168.69200000001911</v>
      </c>
      <c r="CF32" s="15">
        <f t="shared" si="27"/>
        <v>1136.9000000000001</v>
      </c>
      <c r="CG32" s="15">
        <f t="shared" si="28"/>
        <v>1440</v>
      </c>
      <c r="CH32" s="272">
        <f t="shared" si="29"/>
        <v>39.87998316248013</v>
      </c>
      <c r="CI32">
        <f>CG32*0.12</f>
        <v>172.79999999999998</v>
      </c>
      <c r="CK32" s="1">
        <v>30</v>
      </c>
      <c r="CL32" s="1">
        <f t="shared" si="49"/>
        <v>3.6999999999999993</v>
      </c>
      <c r="CM32" s="1">
        <f t="shared" si="31"/>
        <v>5.6999999999999993</v>
      </c>
      <c r="CN32" s="15">
        <f t="shared" si="32"/>
        <v>24</v>
      </c>
      <c r="CO32" s="15">
        <f t="shared" si="33"/>
        <v>0</v>
      </c>
      <c r="CP32" s="1">
        <f t="shared" si="34"/>
        <v>0</v>
      </c>
      <c r="CQ32" s="2">
        <v>30</v>
      </c>
      <c r="CR32" s="52">
        <f t="shared" si="35"/>
        <v>1440</v>
      </c>
      <c r="CS32" s="15">
        <f>'Daily CEM-1'!H33+'Daily CEM-1'!I33+'Daily CEM-1'!J33+'Daily CEM-1'!K33+'Daily CEM-1'!L33</f>
        <v>0</v>
      </c>
      <c r="CT32" s="15">
        <f>AQ32+AT32+AW32+'Daily  CEM - 2'!K33+'Daily  CEM - 2'!L33</f>
        <v>24</v>
      </c>
      <c r="CU32" s="52">
        <f t="shared" si="36"/>
        <v>24</v>
      </c>
      <c r="CW32" s="52">
        <f t="shared" si="37"/>
        <v>2593.7399999999998</v>
      </c>
    </row>
    <row r="33" spans="2:99" s="160" customFormat="1" x14ac:dyDescent="0.25">
      <c r="B33" s="155">
        <v>31</v>
      </c>
      <c r="C33" s="1">
        <v>0</v>
      </c>
      <c r="D33" s="169">
        <f>'Mines (2)'!D33+'Mines (2)'!I33+'Mines (2)'!W33+'Mines (2)'!AA33+'Mines (2)'!AE33</f>
        <v>0</v>
      </c>
      <c r="E33" s="169">
        <f>'Mines (2)'!E33+'Mines (2)'!J33+'Mines (2)'!X33+'Mines (2)'!AB33+'Mines (2)'!AF33</f>
        <v>0</v>
      </c>
      <c r="F33" s="163" t="e">
        <f t="shared" si="51"/>
        <v>#DIV/0!</v>
      </c>
      <c r="G33" s="1">
        <v>0</v>
      </c>
      <c r="H33" s="16">
        <f t="shared" si="38"/>
        <v>1718.1200168375199</v>
      </c>
      <c r="I33" s="303">
        <f t="shared" si="9"/>
        <v>1718.1200168375199</v>
      </c>
      <c r="J33" s="1">
        <v>0</v>
      </c>
      <c r="K33" s="166">
        <f t="shared" si="47"/>
        <v>0</v>
      </c>
      <c r="L33" s="36">
        <f>Clinker!EJ33*1.55</f>
        <v>0</v>
      </c>
      <c r="M33" s="36">
        <v>0</v>
      </c>
      <c r="N33" s="1">
        <v>0</v>
      </c>
      <c r="O33" s="163" t="e">
        <f t="shared" si="1"/>
        <v>#DIV/0!</v>
      </c>
      <c r="P33" s="1">
        <v>0</v>
      </c>
      <c r="Q33" s="1">
        <v>0</v>
      </c>
      <c r="R33" s="15" t="e">
        <f t="shared" si="10"/>
        <v>#DIV/0!</v>
      </c>
      <c r="S33" s="1">
        <v>0</v>
      </c>
      <c r="T33" s="166">
        <f>W32</f>
        <v>40.209999999999923</v>
      </c>
      <c r="U33" s="1">
        <v>0</v>
      </c>
      <c r="V33" s="1">
        <v>0</v>
      </c>
      <c r="W33" s="157">
        <f t="shared" si="57"/>
        <v>40.209999999999923</v>
      </c>
      <c r="X33" s="163" t="e">
        <f t="shared" si="3"/>
        <v>#DIV/0!</v>
      </c>
      <c r="Y33" s="1">
        <v>0</v>
      </c>
      <c r="Z33" s="157">
        <f>Clinker!EJ33</f>
        <v>0</v>
      </c>
      <c r="AA33" s="163" t="e">
        <f t="shared" si="52"/>
        <v>#DIV/0!</v>
      </c>
      <c r="AB33" s="37">
        <f>'Daily CEM-1'!H34</f>
        <v>0</v>
      </c>
      <c r="AC33" s="33">
        <f>'Daily CEM-1'!C34</f>
        <v>0</v>
      </c>
      <c r="AD33" s="163" t="e">
        <f t="shared" si="53"/>
        <v>#DIV/0!</v>
      </c>
      <c r="AE33" s="37">
        <f>'Daily CEM-1'!I34</f>
        <v>0</v>
      </c>
      <c r="AF33" s="33">
        <f>'Daily CEM-1'!D34</f>
        <v>0</v>
      </c>
      <c r="AG33" s="163" t="e">
        <f t="shared" si="54"/>
        <v>#DIV/0!</v>
      </c>
      <c r="AH33" s="61">
        <f>'Daily CEM-1'!J34</f>
        <v>0</v>
      </c>
      <c r="AI33" s="61">
        <f>'Daily CEM-1'!E34</f>
        <v>0</v>
      </c>
      <c r="AJ33" s="167" t="e">
        <f t="shared" si="48"/>
        <v>#DIV/0!</v>
      </c>
      <c r="AK33" s="167"/>
      <c r="AL33" s="61">
        <f>'Daily CEM-1'!F34</f>
        <v>0</v>
      </c>
      <c r="AM33" s="167"/>
      <c r="AN33" s="60">
        <f>'Daily CEM-1'!L34</f>
        <v>0</v>
      </c>
      <c r="AO33" s="60">
        <f>'Daily CEM-1'!G34</f>
        <v>0</v>
      </c>
      <c r="AP33" s="60" t="e">
        <f t="shared" si="14"/>
        <v>#DIV/0!</v>
      </c>
      <c r="AQ33" s="37">
        <f>'Daily  CEM - 2'!H34</f>
        <v>0</v>
      </c>
      <c r="AR33" s="33">
        <f>'Daily  CEM - 2'!C34</f>
        <v>0</v>
      </c>
      <c r="AS33" s="163" t="e">
        <f t="shared" si="55"/>
        <v>#DIV/0!</v>
      </c>
      <c r="AT33" s="37">
        <f>'Daily  CEM - 2'!I34</f>
        <v>0</v>
      </c>
      <c r="AU33" s="33">
        <f>'Daily  CEM - 2'!D34</f>
        <v>0</v>
      </c>
      <c r="AV33" s="163" t="e">
        <f t="shared" si="56"/>
        <v>#DIV/0!</v>
      </c>
      <c r="AW33" s="61">
        <f>'Daily  CEM - 2'!J34</f>
        <v>0</v>
      </c>
      <c r="AX33" s="61">
        <f>'Daily  CEM - 2'!E34</f>
        <v>0</v>
      </c>
      <c r="AY33" s="197" t="e">
        <f t="shared" si="15"/>
        <v>#DIV/0!</v>
      </c>
      <c r="AZ33" s="61">
        <f>'Daily  CEM - 2'!K34</f>
        <v>0</v>
      </c>
      <c r="BA33" s="61">
        <f>'Daily  CEM - 2'!F34</f>
        <v>0</v>
      </c>
      <c r="BB33" s="167" t="e">
        <f t="shared" si="50"/>
        <v>#DIV/0!</v>
      </c>
      <c r="BC33" s="61">
        <f>'Daily  CEM - 2'!L34</f>
        <v>0</v>
      </c>
      <c r="BD33" s="61">
        <f>'Daily  CEM - 2'!G34</f>
        <v>0</v>
      </c>
      <c r="BE33" s="167" t="e">
        <f t="shared" si="17"/>
        <v>#DIV/0!</v>
      </c>
      <c r="BF33" s="166">
        <f t="shared" si="58"/>
        <v>2679.28799999998</v>
      </c>
      <c r="BG33" s="36">
        <f t="shared" si="19"/>
        <v>0</v>
      </c>
      <c r="BH33" s="1">
        <v>0</v>
      </c>
      <c r="BI33" s="18">
        <f>BF33+BG33-BH33-'Internal use cement'!F33</f>
        <v>2679.28799999998</v>
      </c>
      <c r="BJ33" s="166">
        <f t="shared" si="59"/>
        <v>411.79999999999995</v>
      </c>
      <c r="BK33" s="36">
        <f t="shared" si="21"/>
        <v>0</v>
      </c>
      <c r="BL33" s="1">
        <v>0</v>
      </c>
      <c r="BM33" s="18">
        <f>BJ33+BK33-BL33-'Internal use cement'!AB33</f>
        <v>411.79999999999995</v>
      </c>
      <c r="BN33" s="157">
        <f t="shared" si="39"/>
        <v>2.0900000000008498</v>
      </c>
      <c r="BO33" s="63">
        <f t="shared" si="45"/>
        <v>0</v>
      </c>
      <c r="BP33" s="1">
        <v>0</v>
      </c>
      <c r="BQ33" s="66">
        <f>BN33+BO33-BP33-'Internal use cement'!Q33</f>
        <v>2.0900000000008498</v>
      </c>
      <c r="BR33" s="157">
        <f t="shared" si="40"/>
        <v>186.3</v>
      </c>
      <c r="BS33" s="63">
        <f t="shared" si="23"/>
        <v>0</v>
      </c>
      <c r="BT33" s="1">
        <v>0</v>
      </c>
      <c r="BU33" s="66">
        <f>BR33+BS33-BT33-'Internal use cement'!AG33</f>
        <v>186.3</v>
      </c>
      <c r="BV33" s="66">
        <f t="shared" si="41"/>
        <v>755.83000000000015</v>
      </c>
      <c r="BW33" s="34">
        <f t="shared" si="24"/>
        <v>0</v>
      </c>
      <c r="BX33" s="15">
        <v>0</v>
      </c>
      <c r="BY33" s="66">
        <f>BV33+BW33-BX33</f>
        <v>755.83000000000015</v>
      </c>
      <c r="BZ33" s="1">
        <v>0</v>
      </c>
      <c r="CA33" s="1">
        <v>0</v>
      </c>
      <c r="CB33" s="1">
        <v>0</v>
      </c>
      <c r="CC33" s="1">
        <f>SUM(BZ33:CB33)</f>
        <v>0</v>
      </c>
      <c r="CD33" s="15">
        <f>BI33+BM33+BQ33+BU33+BY33</f>
        <v>4035.3079999999809</v>
      </c>
      <c r="CE33" s="272">
        <f>CC33-CD33</f>
        <v>-4035.3079999999809</v>
      </c>
      <c r="CF33" s="15">
        <f t="shared" si="27"/>
        <v>0</v>
      </c>
      <c r="CG33" s="15">
        <f t="shared" si="28"/>
        <v>0</v>
      </c>
      <c r="CH33" s="272">
        <f t="shared" si="29"/>
        <v>-1718.1200168375199</v>
      </c>
      <c r="CK33" s="267">
        <v>31</v>
      </c>
      <c r="CL33" s="267">
        <f t="shared" si="49"/>
        <v>24</v>
      </c>
      <c r="CM33" s="1">
        <f t="shared" si="31"/>
        <v>24</v>
      </c>
      <c r="CN33" s="268">
        <f t="shared" ref="CN33" si="61">24-CS33</f>
        <v>24</v>
      </c>
      <c r="CO33" s="15">
        <f t="shared" si="33"/>
        <v>24</v>
      </c>
      <c r="CP33">
        <f t="shared" si="34"/>
        <v>24</v>
      </c>
      <c r="CQ33" s="2">
        <v>31</v>
      </c>
      <c r="CR33" s="52">
        <f t="shared" si="35"/>
        <v>0</v>
      </c>
      <c r="CS33" s="15">
        <f>'Daily CEM-1'!H34+'Daily CEM-1'!I34+'Daily CEM-1'!J34+'Daily CEM-1'!K34+'Daily CEM-1'!L34</f>
        <v>0</v>
      </c>
      <c r="CT33" s="15">
        <f>AQ33+AT33+AW33+'Daily  CEM - 2'!K34+'Daily  CEM - 2'!L34</f>
        <v>0</v>
      </c>
      <c r="CU33" s="52">
        <f t="shared" si="36"/>
        <v>24</v>
      </c>
    </row>
    <row r="34" spans="2:99" ht="15.75" thickBot="1" x14ac:dyDescent="0.3">
      <c r="B34" s="5" t="s">
        <v>26</v>
      </c>
      <c r="C34" s="8">
        <f>SUM(C3:C33)</f>
        <v>432.48000000000008</v>
      </c>
      <c r="D34" s="8">
        <f t="shared" ref="D34:CC34" si="62">SUM(D3:D33)</f>
        <v>64985.700000000004</v>
      </c>
      <c r="E34" s="8">
        <f t="shared" si="62"/>
        <v>66887</v>
      </c>
      <c r="F34" s="34">
        <f t="shared" si="51"/>
        <v>150.2629023307436</v>
      </c>
      <c r="G34" s="8">
        <f t="shared" si="62"/>
        <v>493.21999999999997</v>
      </c>
      <c r="H34" s="16"/>
      <c r="I34" s="16"/>
      <c r="J34" s="2"/>
      <c r="K34" s="8">
        <f>SUM(K3:K33)</f>
        <v>62775</v>
      </c>
      <c r="L34" s="8">
        <f t="shared" si="62"/>
        <v>62775</v>
      </c>
      <c r="M34" s="8">
        <f t="shared" si="62"/>
        <v>0</v>
      </c>
      <c r="N34" s="8">
        <f t="shared" si="62"/>
        <v>58857.15</v>
      </c>
      <c r="O34" s="34">
        <f t="shared" si="1"/>
        <v>119.33244799480963</v>
      </c>
      <c r="P34" s="62">
        <f>SUM(P3:P33)</f>
        <v>406.28999999999996</v>
      </c>
      <c r="Q34" s="62">
        <f>SUM(Q3:Q33)</f>
        <v>3642.24</v>
      </c>
      <c r="R34" s="62"/>
      <c r="S34" s="8">
        <f t="shared" si="62"/>
        <v>446.37</v>
      </c>
      <c r="T34" s="8">
        <f t="shared" si="62"/>
        <v>1282.1099999999997</v>
      </c>
      <c r="U34" s="8">
        <f t="shared" si="62"/>
        <v>6152.7</v>
      </c>
      <c r="V34" s="257">
        <f t="shared" si="62"/>
        <v>6128</v>
      </c>
      <c r="W34" s="8">
        <f t="shared" si="62"/>
        <v>1306.81</v>
      </c>
      <c r="X34" s="34">
        <f t="shared" si="3"/>
        <v>13.783856441965185</v>
      </c>
      <c r="Y34" s="8">
        <f>SUM(Y3:Y33)</f>
        <v>618.27</v>
      </c>
      <c r="Z34" s="8">
        <f t="shared" si="62"/>
        <v>40500</v>
      </c>
      <c r="AA34" s="34">
        <f t="shared" si="52"/>
        <v>65.505361735164257</v>
      </c>
      <c r="AB34" s="8">
        <f t="shared" si="62"/>
        <v>206.33</v>
      </c>
      <c r="AC34" s="8">
        <f t="shared" si="62"/>
        <v>12429</v>
      </c>
      <c r="AD34" s="34">
        <f t="shared" si="53"/>
        <v>60.238452963698926</v>
      </c>
      <c r="AE34" s="8">
        <f t="shared" si="62"/>
        <v>9</v>
      </c>
      <c r="AF34" s="8">
        <f t="shared" si="62"/>
        <v>574</v>
      </c>
      <c r="AG34" s="34">
        <f t="shared" si="54"/>
        <v>63.777777777777779</v>
      </c>
      <c r="AH34" s="62">
        <f>SUM(AH3:AH33)</f>
        <v>0</v>
      </c>
      <c r="AI34" s="62">
        <f>SUM(AI3:AI33)</f>
        <v>0</v>
      </c>
      <c r="AJ34" s="62" t="e">
        <f>AI34/AH34</f>
        <v>#DIV/0!</v>
      </c>
      <c r="AK34" s="62"/>
      <c r="AL34" s="62"/>
      <c r="AM34" s="62"/>
      <c r="AN34" s="62"/>
      <c r="AO34" s="62"/>
      <c r="AP34" s="62"/>
      <c r="AQ34" s="8">
        <f t="shared" ref="AQ34:AR34" si="63">SUM(AQ3:AQ33)</f>
        <v>416.00000000000006</v>
      </c>
      <c r="AR34" s="8">
        <f t="shared" si="63"/>
        <v>24140</v>
      </c>
      <c r="AS34" s="34">
        <f t="shared" si="55"/>
        <v>58.028846153846146</v>
      </c>
      <c r="AT34" s="8">
        <f t="shared" ref="AT34:AU34" si="64">SUM(AT3:AT33)</f>
        <v>33.099999999999994</v>
      </c>
      <c r="AU34" s="8">
        <f t="shared" si="64"/>
        <v>2000</v>
      </c>
      <c r="AV34" s="34">
        <f t="shared" si="56"/>
        <v>60.422960725075541</v>
      </c>
      <c r="AW34" s="62">
        <f>SUM(AW3:AW33)</f>
        <v>0</v>
      </c>
      <c r="AX34" s="62">
        <f>SUM(AX3:AX33)</f>
        <v>0</v>
      </c>
      <c r="AY34" s="62" t="e">
        <f>AX34/AW34</f>
        <v>#DIV/0!</v>
      </c>
      <c r="AZ34" s="62">
        <f>SUM(AZ3:AZ33)</f>
        <v>32.880000000000003</v>
      </c>
      <c r="BA34" s="62">
        <f>SUM(BA3:BA33)</f>
        <v>1820</v>
      </c>
      <c r="BB34" s="62">
        <f>BA34/AZ34</f>
        <v>55.352798053527977</v>
      </c>
      <c r="BC34" s="62">
        <f>SUM(BC3:BC33)</f>
        <v>54.970000000000006</v>
      </c>
      <c r="BD34" s="62">
        <f>SUM(BD3:BD33)</f>
        <v>3272</v>
      </c>
      <c r="BE34" s="62">
        <f>BD34/BC34</f>
        <v>59.523376387120244</v>
      </c>
      <c r="BF34" s="8"/>
      <c r="BG34" s="8">
        <f t="shared" si="62"/>
        <v>36569</v>
      </c>
      <c r="BH34" s="185">
        <f t="shared" si="62"/>
        <v>35168.269999999997</v>
      </c>
      <c r="BI34" s="8"/>
      <c r="BJ34" s="8"/>
      <c r="BK34" s="8">
        <f t="shared" si="62"/>
        <v>2574</v>
      </c>
      <c r="BL34" s="185">
        <f t="shared" si="62"/>
        <v>2394.5</v>
      </c>
      <c r="BM34" s="8"/>
      <c r="BN34" s="8"/>
      <c r="BO34" s="8">
        <f>SUM(BO3:BO33)</f>
        <v>0</v>
      </c>
      <c r="BP34" s="185">
        <f>SUM(BP3:BP33)</f>
        <v>-0.15</v>
      </c>
      <c r="BQ34" s="8"/>
      <c r="BR34" s="8"/>
      <c r="BS34" s="8">
        <f>SUM(BS3:BS33)</f>
        <v>1820</v>
      </c>
      <c r="BT34" s="41">
        <f>SUM(BT3:BT33)</f>
        <v>1847</v>
      </c>
      <c r="BU34" s="8"/>
      <c r="BV34" s="8"/>
      <c r="BW34" s="185">
        <f>SUM(BW3:BW33)</f>
        <v>5804</v>
      </c>
      <c r="BX34" s="185">
        <f>SUM(BX3:BX33)</f>
        <v>5421.8799999999992</v>
      </c>
      <c r="BY34" s="8"/>
      <c r="BZ34" s="8">
        <f>SUM(BZ3:BZ33)</f>
        <v>43385</v>
      </c>
      <c r="CA34" s="8">
        <f t="shared" si="62"/>
        <v>59157</v>
      </c>
      <c r="CB34" s="8"/>
      <c r="CC34" s="430">
        <f t="shared" si="62"/>
        <v>106898</v>
      </c>
      <c r="CD34">
        <f t="shared" ref="CD34" si="65">BI34+BM34</f>
        <v>0</v>
      </c>
      <c r="CE34" s="271">
        <f t="shared" si="60"/>
        <v>106898</v>
      </c>
      <c r="CF34" s="52">
        <f>SUM(CF3:CF33)</f>
        <v>44831.5</v>
      </c>
      <c r="CG34" s="51">
        <f>SUM(CG3:CG33)</f>
        <v>46767</v>
      </c>
      <c r="CH34" s="270"/>
      <c r="CN34" s="52"/>
      <c r="CS34" s="15"/>
      <c r="CT34" s="15">
        <f t="shared" ref="CT34" si="66">AQ34+AT34+AW34</f>
        <v>449.1</v>
      </c>
    </row>
    <row r="35" spans="2:99" s="17" customFormat="1" ht="13.5" customHeight="1" x14ac:dyDescent="0.25">
      <c r="B35" s="17" t="s">
        <v>27</v>
      </c>
      <c r="C35" s="17">
        <f>C36+SUM(C3:C33)</f>
        <v>432.48000000000008</v>
      </c>
      <c r="D35" s="172">
        <f>D36+SUM(D3:D33)</f>
        <v>64985.700000000004</v>
      </c>
      <c r="E35" s="172">
        <f>E36+SUM(E3:E33)</f>
        <v>66887</v>
      </c>
      <c r="G35" s="17">
        <f>G36+SUM(G3:G33)</f>
        <v>493.21999999999997</v>
      </c>
      <c r="K35" s="17">
        <f>K36+SUM(K3:K33)</f>
        <v>62775</v>
      </c>
      <c r="L35" s="17">
        <f>L36+SUM(L3:L33)</f>
        <v>62775</v>
      </c>
      <c r="N35" s="17">
        <f>N36+SUM(N3:N33)</f>
        <v>58857.15</v>
      </c>
      <c r="P35" s="17">
        <f t="shared" ref="P35:Q35" si="67">P36+SUM(P3:P33)</f>
        <v>406.28999999999996</v>
      </c>
      <c r="Q35" s="17">
        <f t="shared" si="67"/>
        <v>3642.24</v>
      </c>
      <c r="S35" s="17">
        <f>S36+SUM(S3:S33)</f>
        <v>446.37</v>
      </c>
      <c r="U35" s="17">
        <f>U36+SUM(U3:U33)</f>
        <v>6152.7</v>
      </c>
      <c r="V35" s="17">
        <f>V36+SUM(V3:V33)</f>
        <v>6128</v>
      </c>
      <c r="Y35" s="17">
        <f>Y36+SUM(Y3:Y33)</f>
        <v>618.27</v>
      </c>
      <c r="Z35" s="17">
        <f>Z36+SUM(Z3:Z33)</f>
        <v>40500</v>
      </c>
      <c r="AB35" s="17">
        <f>AB36+SUM(AB3:AB33)</f>
        <v>206.33</v>
      </c>
      <c r="AC35" s="17">
        <f>AC36+SUM(AC3:AC33)</f>
        <v>12429</v>
      </c>
      <c r="AE35" s="29">
        <f>AE36+SUM(AE3:AE33)</f>
        <v>9</v>
      </c>
      <c r="AF35" s="17">
        <f>AF36+SUM(AF3:AF33)</f>
        <v>574</v>
      </c>
      <c r="AH35" s="29">
        <f>AH36+SUM(AH3:AH33)</f>
        <v>0</v>
      </c>
      <c r="AI35" s="29">
        <f>AI36+SUM(AI3:AI33)</f>
        <v>0</v>
      </c>
      <c r="AJ35" s="29"/>
      <c r="AK35" s="29">
        <f t="shared" ref="AK35:AO35" si="68">AK36+SUM(AK3:AK33)</f>
        <v>0</v>
      </c>
      <c r="AL35" s="29">
        <f t="shared" si="68"/>
        <v>0</v>
      </c>
      <c r="AM35" s="29"/>
      <c r="AN35" s="29">
        <f t="shared" si="68"/>
        <v>40.65</v>
      </c>
      <c r="AO35" s="29">
        <f t="shared" si="68"/>
        <v>2532</v>
      </c>
      <c r="AP35" s="29"/>
      <c r="AQ35" s="17">
        <f>AQ36+SUM(AQ3:AQ33)</f>
        <v>416.00000000000006</v>
      </c>
      <c r="AR35" s="17">
        <f>AR36+SUM(AR3:AR33)</f>
        <v>24140</v>
      </c>
      <c r="AT35" s="29">
        <f>AT36+SUM(AT3:AT33)</f>
        <v>33.099999999999994</v>
      </c>
      <c r="AU35" s="17">
        <f>AU36+SUM(AU3:AU33)</f>
        <v>2000</v>
      </c>
      <c r="AW35" s="29">
        <f>AW36+SUM(AW3:AW33)</f>
        <v>0</v>
      </c>
      <c r="AX35" s="29">
        <f>AX36+SUM(AX3:AX33)</f>
        <v>0</v>
      </c>
      <c r="AZ35" s="29">
        <f>AZ36+SUM(AZ3:AZ33)</f>
        <v>32.880000000000003</v>
      </c>
      <c r="BA35" s="29">
        <f>BA36+SUM(BA3:BA33)</f>
        <v>1820</v>
      </c>
      <c r="BC35" s="29">
        <f>BC36+SUM(BC3:BC33)</f>
        <v>54.970000000000006</v>
      </c>
      <c r="BD35" s="29">
        <f>BD36+SUM(BD3:BD33)</f>
        <v>3272</v>
      </c>
      <c r="BG35" s="17">
        <f>BG36+SUM(BG3:BG33)</f>
        <v>36569</v>
      </c>
      <c r="BH35" s="17">
        <f>BH36+SUM(BH3:BH33)</f>
        <v>35168.269999999997</v>
      </c>
      <c r="BK35" s="17">
        <f t="shared" ref="BK35:BL35" si="69">BK36+SUM(BK3:BK33)</f>
        <v>2574</v>
      </c>
      <c r="BL35" s="17">
        <f t="shared" si="69"/>
        <v>2394.5</v>
      </c>
      <c r="BO35" s="17">
        <f>BO36+SUM(BO3:BO33)</f>
        <v>0</v>
      </c>
      <c r="BP35" s="17">
        <f>BP36+SUM(BP3:BP33)</f>
        <v>-0.15</v>
      </c>
      <c r="BS35" s="29">
        <f>BS36+SUM(BS3:BS33)</f>
        <v>1820</v>
      </c>
      <c r="BT35" s="17">
        <f>BT36+SUM(BT3:BT33)</f>
        <v>1847</v>
      </c>
      <c r="BW35" s="17">
        <f t="shared" ref="BW35:BX35" si="70">BW36+SUM(BW3:BW33)</f>
        <v>5804</v>
      </c>
      <c r="BX35" s="17">
        <f t="shared" si="70"/>
        <v>5421.8799999999992</v>
      </c>
      <c r="CE35" s="270"/>
    </row>
    <row r="36" spans="2:99" ht="13.5" customHeight="1" x14ac:dyDescent="0.25">
      <c r="B36" t="s">
        <v>27</v>
      </c>
      <c r="C36">
        <v>0</v>
      </c>
      <c r="D36" s="175">
        <v>0</v>
      </c>
      <c r="E36" s="175">
        <v>0</v>
      </c>
      <c r="G36">
        <v>0</v>
      </c>
      <c r="K36">
        <v>0</v>
      </c>
      <c r="L36">
        <v>0</v>
      </c>
      <c r="N36">
        <v>0</v>
      </c>
      <c r="P36">
        <v>0</v>
      </c>
      <c r="Q36" s="422">
        <v>0</v>
      </c>
      <c r="S36">
        <v>0</v>
      </c>
      <c r="U36">
        <v>0</v>
      </c>
      <c r="V36">
        <v>0</v>
      </c>
      <c r="Y36">
        <v>0</v>
      </c>
      <c r="Z36">
        <v>0</v>
      </c>
      <c r="AB36">
        <v>0</v>
      </c>
      <c r="AC36">
        <v>0</v>
      </c>
      <c r="AE36" s="52">
        <v>0</v>
      </c>
      <c r="AF36">
        <v>0</v>
      </c>
      <c r="AH36" s="52">
        <v>0</v>
      </c>
      <c r="AI36" s="52">
        <v>0</v>
      </c>
      <c r="AK36">
        <v>0</v>
      </c>
      <c r="AL36">
        <v>0</v>
      </c>
      <c r="AQ36">
        <v>0</v>
      </c>
      <c r="AR36">
        <v>0</v>
      </c>
      <c r="AT36" s="52">
        <v>0</v>
      </c>
      <c r="AU36">
        <v>0</v>
      </c>
      <c r="AW36" s="52">
        <v>0</v>
      </c>
      <c r="AX36" s="52">
        <v>0</v>
      </c>
      <c r="AZ36" s="52">
        <v>0</v>
      </c>
      <c r="BA36" s="52">
        <v>0</v>
      </c>
      <c r="BC36" s="52">
        <v>0</v>
      </c>
      <c r="BD36" s="52">
        <v>0</v>
      </c>
      <c r="BG36">
        <v>0</v>
      </c>
      <c r="BH36">
        <v>0</v>
      </c>
      <c r="BK36" s="2">
        <v>0</v>
      </c>
      <c r="BL36">
        <v>0</v>
      </c>
      <c r="BO36">
        <v>0</v>
      </c>
      <c r="BP36">
        <v>0</v>
      </c>
      <c r="BS36">
        <v>0</v>
      </c>
      <c r="BT36">
        <v>0</v>
      </c>
      <c r="BW36">
        <v>0</v>
      </c>
      <c r="BX36" s="52">
        <v>0</v>
      </c>
    </row>
    <row r="38" spans="2:99" x14ac:dyDescent="0.25">
      <c r="U38">
        <f>U34/S34</f>
        <v>13.783856441965185</v>
      </c>
    </row>
    <row r="39" spans="2:99" x14ac:dyDescent="0.25">
      <c r="Z39">
        <f>(Z34/Y34)*24</f>
        <v>1572.1286816439422</v>
      </c>
    </row>
    <row r="54" spans="7:7" x14ac:dyDescent="0.25">
      <c r="G54" t="s">
        <v>127</v>
      </c>
    </row>
  </sheetData>
  <mergeCells count="20">
    <mergeCell ref="BV1:BY1"/>
    <mergeCell ref="AN1:AP1"/>
    <mergeCell ref="BR1:BU1"/>
    <mergeCell ref="BN1:BQ1"/>
    <mergeCell ref="BF1:BI1"/>
    <mergeCell ref="BJ1:BM1"/>
    <mergeCell ref="AZ1:BB1"/>
    <mergeCell ref="BC1:BE1"/>
    <mergeCell ref="AE1:AG1"/>
    <mergeCell ref="AH1:AJ1"/>
    <mergeCell ref="AQ1:AS1"/>
    <mergeCell ref="AT1:AV1"/>
    <mergeCell ref="AW1:AY1"/>
    <mergeCell ref="AK1:AM1"/>
    <mergeCell ref="C1:F1"/>
    <mergeCell ref="G1:O1"/>
    <mergeCell ref="S1:X1"/>
    <mergeCell ref="Y1:AA1"/>
    <mergeCell ref="AB1:AD1"/>
    <mergeCell ref="P1:R1"/>
  </mergeCells>
  <pageMargins left="0" right="0" top="0.75" bottom="0.75" header="0.3" footer="0.3"/>
  <pageSetup paperSize="11" scale="97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Z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3" sqref="L23"/>
    </sheetView>
  </sheetViews>
  <sheetFormatPr defaultRowHeight="15" x14ac:dyDescent="0.2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 x14ac:dyDescent="0.3">
      <c r="B1" s="3" t="s">
        <v>28</v>
      </c>
      <c r="C1" s="3"/>
      <c r="D1" s="644" t="s">
        <v>68</v>
      </c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645"/>
    </row>
    <row r="2" spans="2:25" x14ac:dyDescent="0.25">
      <c r="B2" s="4" t="s">
        <v>9</v>
      </c>
      <c r="C2" s="4" t="s">
        <v>128</v>
      </c>
      <c r="D2" s="22" t="s">
        <v>129</v>
      </c>
      <c r="E2" s="22" t="s">
        <v>130</v>
      </c>
      <c r="F2" s="22" t="s">
        <v>131</v>
      </c>
      <c r="G2" s="188" t="s">
        <v>132</v>
      </c>
      <c r="H2" s="22" t="s">
        <v>133</v>
      </c>
      <c r="I2" s="22" t="s">
        <v>134</v>
      </c>
      <c r="J2" s="22" t="s">
        <v>135</v>
      </c>
      <c r="K2" s="22" t="s">
        <v>46</v>
      </c>
      <c r="L2" s="22" t="s">
        <v>136</v>
      </c>
      <c r="M2" s="22" t="s">
        <v>137</v>
      </c>
      <c r="N2" s="22" t="s">
        <v>138</v>
      </c>
      <c r="O2" s="22" t="s">
        <v>139</v>
      </c>
      <c r="P2" s="22" t="s">
        <v>52</v>
      </c>
      <c r="Q2" s="22" t="s">
        <v>53</v>
      </c>
      <c r="R2" s="188" t="s">
        <v>54</v>
      </c>
      <c r="S2" s="22" t="s">
        <v>55</v>
      </c>
      <c r="T2" s="22" t="s">
        <v>140</v>
      </c>
      <c r="U2" s="22" t="s">
        <v>141</v>
      </c>
      <c r="V2" s="22" t="s">
        <v>142</v>
      </c>
      <c r="W2" s="188" t="s">
        <v>59</v>
      </c>
      <c r="X2" s="22" t="s">
        <v>60</v>
      </c>
      <c r="Y2" s="22" t="s">
        <v>61</v>
      </c>
    </row>
    <row r="3" spans="2:25" x14ac:dyDescent="0.25"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22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 x14ac:dyDescent="0.25">
      <c r="B4" s="4">
        <v>2</v>
      </c>
      <c r="C4" s="4">
        <v>0</v>
      </c>
      <c r="D4" s="4">
        <v>0</v>
      </c>
      <c r="E4" s="4">
        <v>0</v>
      </c>
      <c r="F4" s="4">
        <v>0</v>
      </c>
      <c r="G4" s="4">
        <v>138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 x14ac:dyDescent="0.25"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92</v>
      </c>
      <c r="H5" s="4">
        <v>34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 x14ac:dyDescent="0.25">
      <c r="B6" s="4">
        <v>4</v>
      </c>
      <c r="C6" s="4">
        <v>0</v>
      </c>
      <c r="D6" s="4">
        <v>0</v>
      </c>
      <c r="E6" s="4">
        <v>0</v>
      </c>
      <c r="F6" s="4">
        <v>0</v>
      </c>
      <c r="G6" s="4">
        <v>97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 x14ac:dyDescent="0.25"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91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 x14ac:dyDescent="0.25">
      <c r="B8" s="4">
        <v>6</v>
      </c>
      <c r="C8" s="4">
        <v>0</v>
      </c>
      <c r="D8" s="4">
        <v>0</v>
      </c>
      <c r="E8" s="4">
        <v>0</v>
      </c>
      <c r="F8" s="4">
        <v>0</v>
      </c>
      <c r="G8" s="4">
        <v>122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 x14ac:dyDescent="0.25">
      <c r="B9" s="4">
        <v>7</v>
      </c>
      <c r="C9" s="4">
        <v>0</v>
      </c>
      <c r="D9" s="4">
        <v>0</v>
      </c>
      <c r="E9" s="4">
        <v>0</v>
      </c>
      <c r="F9" s="4">
        <v>0</v>
      </c>
      <c r="G9" s="4">
        <v>142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 x14ac:dyDescent="0.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4">
        <v>149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 x14ac:dyDescent="0.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4">
        <v>137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ht="13.5" customHeight="1" x14ac:dyDescent="0.25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108</v>
      </c>
      <c r="H12" s="4">
        <v>35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 x14ac:dyDescent="0.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4">
        <v>119</v>
      </c>
      <c r="H13" s="4">
        <v>20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 x14ac:dyDescent="0.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4">
        <v>148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 x14ac:dyDescent="0.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4">
        <v>138</v>
      </c>
      <c r="H15" s="4">
        <v>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 x14ac:dyDescent="0.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4">
        <v>140</v>
      </c>
      <c r="H16" s="4">
        <v>18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 x14ac:dyDescent="0.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4">
        <v>118</v>
      </c>
      <c r="H17" s="4">
        <v>26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 x14ac:dyDescent="0.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4">
        <v>143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 x14ac:dyDescent="0.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4">
        <v>138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10</v>
      </c>
      <c r="Y19" s="4">
        <v>0</v>
      </c>
    </row>
    <row r="20" spans="2:25" x14ac:dyDescent="0.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4">
        <v>127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10</v>
      </c>
      <c r="Y20" s="4">
        <v>0</v>
      </c>
    </row>
    <row r="21" spans="2:25" x14ac:dyDescent="0.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4">
        <v>132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 x14ac:dyDescent="0.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4">
        <v>65</v>
      </c>
      <c r="H22" s="4">
        <v>65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 x14ac:dyDescent="0.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4">
        <v>66</v>
      </c>
      <c r="H23" s="4">
        <v>66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 x14ac:dyDescent="0.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4">
        <v>43</v>
      </c>
      <c r="H24" s="4">
        <v>79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 x14ac:dyDescent="0.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4">
        <v>35</v>
      </c>
      <c r="H25" s="4">
        <v>64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 x14ac:dyDescent="0.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4">
        <v>53</v>
      </c>
      <c r="H26" s="4">
        <v>53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 x14ac:dyDescent="0.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4">
        <v>65</v>
      </c>
      <c r="H27" s="4">
        <v>64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 x14ac:dyDescent="0.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4">
        <v>63</v>
      </c>
      <c r="H28" s="4">
        <v>77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 x14ac:dyDescent="0.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4">
        <v>58</v>
      </c>
      <c r="H29" s="4">
        <v>80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 x14ac:dyDescent="0.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4">
        <v>56</v>
      </c>
      <c r="H30" s="4">
        <v>84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 x14ac:dyDescent="0.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4">
        <v>54</v>
      </c>
      <c r="H31" s="4">
        <v>84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 x14ac:dyDescent="0.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4">
        <v>71</v>
      </c>
      <c r="H32" s="4">
        <v>60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 x14ac:dyDescent="0.25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 x14ac:dyDescent="0.3">
      <c r="B34" s="21" t="s">
        <v>26</v>
      </c>
      <c r="C34" s="21">
        <f>SUM(C3:C33)</f>
        <v>0</v>
      </c>
      <c r="D34" s="21">
        <f t="shared" ref="D34:Y34" si="0">SUM(D3:D33)</f>
        <v>0</v>
      </c>
      <c r="E34" s="21">
        <f t="shared" si="0"/>
        <v>0</v>
      </c>
      <c r="F34" s="21">
        <f t="shared" si="0"/>
        <v>0</v>
      </c>
      <c r="G34" s="21">
        <f t="shared" si="0"/>
        <v>2930</v>
      </c>
      <c r="H34" s="21">
        <f t="shared" si="0"/>
        <v>919</v>
      </c>
      <c r="I34" s="21">
        <f t="shared" si="0"/>
        <v>0</v>
      </c>
      <c r="J34" s="21">
        <f t="shared" si="0"/>
        <v>0</v>
      </c>
      <c r="K34" s="21">
        <f t="shared" si="0"/>
        <v>0</v>
      </c>
      <c r="L34" s="21">
        <f t="shared" si="0"/>
        <v>0</v>
      </c>
      <c r="M34" s="21">
        <f t="shared" si="0"/>
        <v>0</v>
      </c>
      <c r="N34" s="21">
        <f t="shared" si="0"/>
        <v>0</v>
      </c>
      <c r="O34" s="21">
        <f t="shared" si="0"/>
        <v>0</v>
      </c>
      <c r="P34" s="21">
        <f t="shared" si="0"/>
        <v>0</v>
      </c>
      <c r="Q34" s="21">
        <f t="shared" si="0"/>
        <v>0</v>
      </c>
      <c r="R34" s="21">
        <f t="shared" si="0"/>
        <v>0</v>
      </c>
      <c r="S34" s="21">
        <f t="shared" si="0"/>
        <v>0</v>
      </c>
      <c r="T34" s="21">
        <f t="shared" si="0"/>
        <v>0</v>
      </c>
      <c r="U34" s="21">
        <f t="shared" si="0"/>
        <v>0</v>
      </c>
      <c r="V34" s="21">
        <f t="shared" si="0"/>
        <v>0</v>
      </c>
      <c r="W34" s="21">
        <f t="shared" si="0"/>
        <v>0</v>
      </c>
      <c r="X34" s="21">
        <f t="shared" si="0"/>
        <v>20</v>
      </c>
      <c r="Y34" s="21">
        <f t="shared" si="0"/>
        <v>0</v>
      </c>
    </row>
    <row r="35" spans="2:26" x14ac:dyDescent="0.25">
      <c r="B35" t="s">
        <v>27</v>
      </c>
      <c r="D35" s="17">
        <f>D36+SUM(D3:D33)</f>
        <v>0</v>
      </c>
      <c r="E35" s="17">
        <f t="shared" ref="E35:Z35" si="1">E36+SUM(E3:E33)</f>
        <v>0</v>
      </c>
      <c r="F35" s="17">
        <f t="shared" si="1"/>
        <v>0</v>
      </c>
      <c r="G35" s="17">
        <f t="shared" si="1"/>
        <v>2930</v>
      </c>
      <c r="H35" s="17">
        <f t="shared" si="1"/>
        <v>919</v>
      </c>
      <c r="I35" s="17">
        <f t="shared" si="1"/>
        <v>0</v>
      </c>
      <c r="J35" s="17">
        <f t="shared" si="1"/>
        <v>0</v>
      </c>
      <c r="K35" s="17">
        <f t="shared" si="1"/>
        <v>0</v>
      </c>
      <c r="L35" s="17">
        <f t="shared" si="1"/>
        <v>0</v>
      </c>
      <c r="M35" s="17">
        <f t="shared" si="1"/>
        <v>0</v>
      </c>
      <c r="N35" s="17">
        <f t="shared" si="1"/>
        <v>0</v>
      </c>
      <c r="O35" s="17">
        <f t="shared" si="1"/>
        <v>0</v>
      </c>
      <c r="P35" s="17">
        <f t="shared" si="1"/>
        <v>0</v>
      </c>
      <c r="Q35" s="17">
        <f t="shared" si="1"/>
        <v>0</v>
      </c>
      <c r="R35" s="17">
        <f t="shared" si="1"/>
        <v>0</v>
      </c>
      <c r="S35" s="17">
        <f t="shared" si="1"/>
        <v>0</v>
      </c>
      <c r="T35" s="17">
        <f t="shared" si="1"/>
        <v>0</v>
      </c>
      <c r="U35" s="17">
        <f t="shared" si="1"/>
        <v>0</v>
      </c>
      <c r="V35" s="17">
        <f t="shared" si="1"/>
        <v>0</v>
      </c>
      <c r="W35" s="17">
        <f t="shared" si="1"/>
        <v>0</v>
      </c>
      <c r="X35" s="17">
        <f t="shared" si="1"/>
        <v>20</v>
      </c>
      <c r="Y35" s="17">
        <f t="shared" si="1"/>
        <v>0</v>
      </c>
      <c r="Z35" s="17">
        <f t="shared" si="1"/>
        <v>0</v>
      </c>
    </row>
    <row r="36" spans="2:26" x14ac:dyDescent="0.25">
      <c r="B36" t="s">
        <v>27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</sheetData>
  <mergeCells count="1">
    <mergeCell ref="D1:Y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T55"/>
  <sheetViews>
    <sheetView zoomScale="80" zoomScaleNormal="80" workbookViewId="0">
      <pane ySplit="2" topLeftCell="A21" activePane="bottomLeft" state="frozen"/>
      <selection pane="bottomLeft" activeCell="K39" sqref="K39"/>
    </sheetView>
  </sheetViews>
  <sheetFormatPr defaultRowHeight="15" x14ac:dyDescent="0.25"/>
  <cols>
    <col min="2" max="2" width="12.5703125" bestFit="1" customWidth="1"/>
    <col min="3" max="3" width="12.28515625" bestFit="1" customWidth="1"/>
    <col min="4" max="4" width="12.28515625" customWidth="1"/>
    <col min="5" max="5" width="14" bestFit="1" customWidth="1"/>
    <col min="6" max="6" width="13.28515625" bestFit="1" customWidth="1"/>
    <col min="7" max="7" width="17" bestFit="1" customWidth="1"/>
    <col min="8" max="8" width="10.140625" bestFit="1" customWidth="1"/>
    <col min="9" max="9" width="9" bestFit="1" customWidth="1"/>
    <col min="10" max="10" width="43.140625" bestFit="1" customWidth="1"/>
    <col min="11" max="11" width="10.5703125" bestFit="1" customWidth="1"/>
    <col min="18" max="18" width="9.42578125" customWidth="1"/>
    <col min="19" max="19" width="8.85546875" customWidth="1"/>
    <col min="20" max="21" width="8.5703125" customWidth="1"/>
    <col min="23" max="23" width="8.140625" customWidth="1"/>
    <col min="30" max="30" width="10.5703125" bestFit="1" customWidth="1"/>
  </cols>
  <sheetData>
    <row r="1" spans="1:34" x14ac:dyDescent="0.25">
      <c r="A1" t="s">
        <v>28</v>
      </c>
    </row>
    <row r="2" spans="1:34" ht="45" x14ac:dyDescent="0.25">
      <c r="A2" t="s">
        <v>9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M2" s="293" t="s">
        <v>153</v>
      </c>
      <c r="N2" s="295" t="s">
        <v>154</v>
      </c>
      <c r="O2" s="295" t="s">
        <v>155</v>
      </c>
      <c r="P2" s="294" t="s">
        <v>156</v>
      </c>
      <c r="Q2" s="294" t="s">
        <v>157</v>
      </c>
      <c r="R2" s="295" t="s">
        <v>158</v>
      </c>
      <c r="S2" s="295" t="s">
        <v>159</v>
      </c>
      <c r="T2" s="294" t="s">
        <v>160</v>
      </c>
      <c r="U2" s="294" t="s">
        <v>161</v>
      </c>
      <c r="V2" s="294" t="s">
        <v>162</v>
      </c>
      <c r="W2" s="294" t="s">
        <v>163</v>
      </c>
      <c r="AA2" s="286">
        <v>45839</v>
      </c>
      <c r="AB2" s="283" t="s">
        <v>164</v>
      </c>
      <c r="AC2" s="285" t="s">
        <v>165</v>
      </c>
      <c r="AD2" s="283" t="s">
        <v>166</v>
      </c>
      <c r="AE2" s="283" t="s">
        <v>167</v>
      </c>
      <c r="AH2" t="s">
        <v>168</v>
      </c>
    </row>
    <row r="3" spans="1:34" x14ac:dyDescent="0.25">
      <c r="A3">
        <v>1</v>
      </c>
      <c r="B3" s="1">
        <v>1342</v>
      </c>
      <c r="C3" s="277">
        <f>N3+O3</f>
        <v>469</v>
      </c>
      <c r="D3" s="277">
        <v>0</v>
      </c>
      <c r="E3" s="1">
        <v>4478</v>
      </c>
      <c r="F3" s="1">
        <v>744</v>
      </c>
      <c r="G3" s="277">
        <f>R3+S3</f>
        <v>108610</v>
      </c>
      <c r="H3" s="1">
        <v>1125</v>
      </c>
      <c r="I3" s="1">
        <v>5911</v>
      </c>
      <c r="J3" s="1">
        <v>4515</v>
      </c>
      <c r="K3">
        <f>SUM(B3:J3)</f>
        <v>127194</v>
      </c>
      <c r="M3" s="293">
        <v>0</v>
      </c>
      <c r="N3" s="293">
        <v>422</v>
      </c>
      <c r="O3" s="293">
        <v>47</v>
      </c>
      <c r="P3" s="277" t="e">
        <f>N3/Production2!N3</f>
        <v>#DIV/0!</v>
      </c>
      <c r="Q3" s="277" t="e">
        <f>O3/Production2!Q3</f>
        <v>#DIV/0!</v>
      </c>
      <c r="R3" s="293">
        <v>63906</v>
      </c>
      <c r="S3" s="293">
        <v>44704</v>
      </c>
      <c r="T3" s="278">
        <f>R3/'Daily CEM-1'!AX4</f>
        <v>51.1248</v>
      </c>
      <c r="U3" s="278">
        <f>S3/'Daily  CEM - 2'!AU4</f>
        <v>45.064516129032256</v>
      </c>
      <c r="V3" s="278" t="e">
        <f>F34/Production2!U3</f>
        <v>#DIV/0!</v>
      </c>
      <c r="W3" s="278" t="e">
        <f>E3/Production2!Z3</f>
        <v>#DIV/0!</v>
      </c>
      <c r="Z3" t="e">
        <f>#REF!/Clinker!EJ3</f>
        <v>#REF!</v>
      </c>
      <c r="AA3" s="283">
        <v>1</v>
      </c>
      <c r="AB3" s="283">
        <f>Clinker!EJ3</f>
        <v>0</v>
      </c>
      <c r="AC3" s="283">
        <f>Production2!V3</f>
        <v>0</v>
      </c>
      <c r="AD3" s="284">
        <f>'1'!Q51</f>
        <v>0</v>
      </c>
      <c r="AE3" s="284" t="e">
        <f>'1'!Q52</f>
        <v>#DIV/0!</v>
      </c>
      <c r="AH3" s="52" t="e">
        <f>Production2!V3/Production2!Z3</f>
        <v>#DIV/0!</v>
      </c>
    </row>
    <row r="4" spans="1:34" x14ac:dyDescent="0.25">
      <c r="A4">
        <v>2</v>
      </c>
      <c r="B4" s="1">
        <v>1447</v>
      </c>
      <c r="C4" s="277">
        <f>N4+O4</f>
        <v>2194</v>
      </c>
      <c r="D4" s="277">
        <v>0</v>
      </c>
      <c r="E4" s="1">
        <v>5360</v>
      </c>
      <c r="F4" s="1">
        <v>3474</v>
      </c>
      <c r="G4" s="277">
        <f t="shared" ref="G4:G33" si="0">R4+S4</f>
        <v>117619</v>
      </c>
      <c r="H4" s="1">
        <v>1215</v>
      </c>
      <c r="I4" s="1">
        <v>6501</v>
      </c>
      <c r="J4" s="1">
        <v>4492</v>
      </c>
      <c r="K4">
        <f>SUM(B4:J4)</f>
        <v>142302</v>
      </c>
      <c r="M4" s="293">
        <v>0</v>
      </c>
      <c r="N4" s="293">
        <v>1088</v>
      </c>
      <c r="O4" s="293">
        <v>1106</v>
      </c>
      <c r="P4" s="277" t="e">
        <f>N4/Production2!N4</f>
        <v>#DIV/0!</v>
      </c>
      <c r="Q4" s="277" t="e">
        <f>O4/Production2!Q4</f>
        <v>#DIV/0!</v>
      </c>
      <c r="R4" s="293">
        <v>64573</v>
      </c>
      <c r="S4" s="293">
        <v>53046</v>
      </c>
      <c r="T4" s="278">
        <f>R4/'Daily CEM-1'!AX5</f>
        <v>55.762521588946463</v>
      </c>
      <c r="U4" s="278">
        <f>S4/'Daily  CEM - 2'!AU5</f>
        <v>40.493129770992368</v>
      </c>
      <c r="V4" s="278">
        <f>F4/Production2!U4</f>
        <v>347.4</v>
      </c>
      <c r="W4" s="278" t="e">
        <f>E4/Production2!Z4</f>
        <v>#DIV/0!</v>
      </c>
      <c r="Z4" t="e">
        <f>E3/Clinker!EJ4</f>
        <v>#DIV/0!</v>
      </c>
      <c r="AA4" s="283">
        <v>2</v>
      </c>
      <c r="AB4" s="283">
        <f>Clinker!EJ4</f>
        <v>0</v>
      </c>
      <c r="AC4" s="283">
        <f>Production2!V4</f>
        <v>0</v>
      </c>
      <c r="AD4" s="284">
        <f>'2'!$Q$51</f>
        <v>0</v>
      </c>
      <c r="AE4" s="284" t="e">
        <f>'2'!$Q$52</f>
        <v>#DIV/0!</v>
      </c>
      <c r="AH4" s="52" t="e">
        <f>Production2!V4/Production2!Z4</f>
        <v>#DIV/0!</v>
      </c>
    </row>
    <row r="5" spans="1:34" x14ac:dyDescent="0.25">
      <c r="A5">
        <v>3</v>
      </c>
      <c r="B5" s="1">
        <v>1426</v>
      </c>
      <c r="C5" s="277">
        <f t="shared" ref="C5:C33" si="1">N5+O5</f>
        <v>5908</v>
      </c>
      <c r="D5" s="277">
        <v>0</v>
      </c>
      <c r="E5" s="1">
        <v>23355</v>
      </c>
      <c r="F5" s="1">
        <v>7458</v>
      </c>
      <c r="G5" s="277">
        <f t="shared" si="0"/>
        <v>108731</v>
      </c>
      <c r="H5" s="1">
        <v>1337</v>
      </c>
      <c r="I5" s="1">
        <v>6475</v>
      </c>
      <c r="J5" s="1">
        <v>4744</v>
      </c>
      <c r="K5">
        <f>SUM(B5:J5)</f>
        <v>159434</v>
      </c>
      <c r="M5" s="293">
        <v>0</v>
      </c>
      <c r="N5" s="293">
        <v>5853</v>
      </c>
      <c r="O5" s="293">
        <v>55</v>
      </c>
      <c r="P5" s="277">
        <f>N5/Production2!N5</f>
        <v>13.050167224080267</v>
      </c>
      <c r="Q5" s="277" t="e">
        <f>O5/Production2!Q5</f>
        <v>#DIV/0!</v>
      </c>
      <c r="R5" s="293">
        <v>60177</v>
      </c>
      <c r="S5" s="293">
        <v>48554</v>
      </c>
      <c r="T5" s="278">
        <f>R5/'Daily CEM-1'!AX6</f>
        <v>63.47784810126582</v>
      </c>
      <c r="U5" s="278">
        <f>S5/'Daily  CEM - 2'!AU6</f>
        <v>41.147457627118641</v>
      </c>
      <c r="V5" s="278">
        <f>F5/Production2!U5</f>
        <v>62.15</v>
      </c>
      <c r="W5" s="278">
        <f>E5/Production2!Z5</f>
        <v>42.463636363636361</v>
      </c>
      <c r="Z5">
        <f>E4/Clinker!EJ5</f>
        <v>9.745454545454546</v>
      </c>
      <c r="AA5" s="283">
        <v>3</v>
      </c>
      <c r="AB5" s="283">
        <f>Clinker!EJ5</f>
        <v>550</v>
      </c>
      <c r="AC5" s="283">
        <f>Production2!V5</f>
        <v>128</v>
      </c>
      <c r="AD5" s="284">
        <f>'3'!$Q$51</f>
        <v>5424</v>
      </c>
      <c r="AE5" s="284">
        <f>'3'!$Q$52</f>
        <v>1262.3127272727274</v>
      </c>
      <c r="AH5" s="52">
        <f>Production2!V5/Production2!Z5</f>
        <v>0.23272727272727273</v>
      </c>
    </row>
    <row r="6" spans="1:34" x14ac:dyDescent="0.25">
      <c r="A6">
        <v>4</v>
      </c>
      <c r="B6" s="1">
        <v>1883</v>
      </c>
      <c r="C6" s="277">
        <f t="shared" si="1"/>
        <v>37732</v>
      </c>
      <c r="D6" s="277">
        <v>0</v>
      </c>
      <c r="E6" s="1">
        <v>27329</v>
      </c>
      <c r="F6" s="1">
        <v>6683</v>
      </c>
      <c r="G6" s="277">
        <f t="shared" si="0"/>
        <v>85430</v>
      </c>
      <c r="H6" s="1">
        <v>1459</v>
      </c>
      <c r="I6" s="1">
        <v>7024</v>
      </c>
      <c r="J6" s="1">
        <v>5034</v>
      </c>
      <c r="K6">
        <f>SUM(B6:J6)</f>
        <v>172574</v>
      </c>
      <c r="M6" s="293">
        <v>0</v>
      </c>
      <c r="N6" s="293">
        <v>36137</v>
      </c>
      <c r="O6" s="293">
        <v>1595</v>
      </c>
      <c r="P6" s="277">
        <f>N6/Production2!N6</f>
        <v>34.591122725401789</v>
      </c>
      <c r="Q6" s="277" t="e">
        <f>O6/Production2!Q6</f>
        <v>#DIV/0!</v>
      </c>
      <c r="R6" s="293">
        <v>37495</v>
      </c>
      <c r="S6" s="293">
        <v>47935</v>
      </c>
      <c r="T6" s="278">
        <f>R6/'Daily CEM-1'!AX7</f>
        <v>49.993333333333332</v>
      </c>
      <c r="U6" s="278">
        <f>S6/'Daily  CEM - 2'!AU7</f>
        <v>35.612927191679049</v>
      </c>
      <c r="V6" s="278">
        <f>F6/Production2!U6</f>
        <v>53.895161290322584</v>
      </c>
      <c r="W6" s="278">
        <f>E6/Production2!Z6</f>
        <v>36.43866666666667</v>
      </c>
      <c r="Z6">
        <f>E6/Clinker!EJ6</f>
        <v>36.43866666666667</v>
      </c>
      <c r="AA6" s="283">
        <v>4</v>
      </c>
      <c r="AB6" s="283">
        <f>Clinker!EJ6</f>
        <v>750</v>
      </c>
      <c r="AC6" s="283">
        <f>Production2!V6</f>
        <v>124</v>
      </c>
      <c r="AD6" s="284">
        <f>'4'!$Q$51</f>
        <v>5350</v>
      </c>
      <c r="AE6" s="284">
        <f>'4'!$Q$52</f>
        <v>884.5333333333333</v>
      </c>
      <c r="AH6" s="52">
        <f>Production2!V6/Production2!Z6</f>
        <v>0.16533333333333333</v>
      </c>
    </row>
    <row r="7" spans="1:34" x14ac:dyDescent="0.25">
      <c r="A7">
        <v>5</v>
      </c>
      <c r="B7" s="1">
        <v>1594</v>
      </c>
      <c r="C7" s="277">
        <f t="shared" si="1"/>
        <v>2819</v>
      </c>
      <c r="D7" s="277">
        <v>0</v>
      </c>
      <c r="E7" s="1">
        <v>8644</v>
      </c>
      <c r="F7" s="1">
        <v>5321</v>
      </c>
      <c r="G7" s="277">
        <f>R7+S7</f>
        <v>111374</v>
      </c>
      <c r="H7" s="1">
        <v>1243</v>
      </c>
      <c r="I7" s="1">
        <v>6862</v>
      </c>
      <c r="J7" s="1">
        <v>5191</v>
      </c>
      <c r="K7">
        <f>SUM(B7:J7)</f>
        <v>143048</v>
      </c>
      <c r="M7" s="293">
        <v>0</v>
      </c>
      <c r="N7" s="293">
        <v>1264</v>
      </c>
      <c r="O7" s="293">
        <v>1555</v>
      </c>
      <c r="P7" s="277" t="e">
        <f>N7/Production2!N7</f>
        <v>#DIV/0!</v>
      </c>
      <c r="Q7" s="277" t="e">
        <f>O7/Production2!Q7</f>
        <v>#DIV/0!</v>
      </c>
      <c r="R7" s="293">
        <v>59572</v>
      </c>
      <c r="S7" s="293">
        <v>51802</v>
      </c>
      <c r="T7" s="278">
        <f>R7/'Daily CEM-1'!AX8</f>
        <v>68.160183066361554</v>
      </c>
      <c r="U7" s="278">
        <f>S7/'Daily  CEM - 2'!AU8</f>
        <v>42.530377668308702</v>
      </c>
      <c r="V7" s="278" t="e">
        <f>F7/Production2!U7</f>
        <v>#DIV/0!</v>
      </c>
      <c r="W7" s="278" t="e">
        <f>E7/Production2!Z7</f>
        <v>#DIV/0!</v>
      </c>
      <c r="Z7" t="e">
        <f>E7/Clinker!EJ7</f>
        <v>#DIV/0!</v>
      </c>
      <c r="AA7" s="283">
        <v>5</v>
      </c>
      <c r="AB7" s="283">
        <f>Clinker!EJ7</f>
        <v>0</v>
      </c>
      <c r="AC7" s="283">
        <f>Production2!V7</f>
        <v>0</v>
      </c>
      <c r="AD7" s="284">
        <f>'5'!$Q$51</f>
        <v>0</v>
      </c>
      <c r="AE7" s="284" t="e">
        <f>'5'!$Q$52</f>
        <v>#DIV/0!</v>
      </c>
      <c r="AH7" s="52" t="e">
        <f>Production2!V7/Production2!Z7</f>
        <v>#DIV/0!</v>
      </c>
    </row>
    <row r="8" spans="1:34" x14ac:dyDescent="0.25">
      <c r="A8">
        <v>6</v>
      </c>
      <c r="B8" s="1">
        <v>1471</v>
      </c>
      <c r="C8" s="277">
        <f t="shared" si="1"/>
        <v>39319</v>
      </c>
      <c r="D8" s="277">
        <v>0</v>
      </c>
      <c r="E8" s="1">
        <v>38118</v>
      </c>
      <c r="F8" s="1">
        <v>12197</v>
      </c>
      <c r="G8" s="277">
        <f t="shared" si="0"/>
        <v>92810</v>
      </c>
      <c r="H8" s="1">
        <v>1694</v>
      </c>
      <c r="I8" s="1">
        <v>7169</v>
      </c>
      <c r="J8" s="1">
        <v>4780</v>
      </c>
      <c r="K8" s="175">
        <f t="shared" ref="K8:K10" si="2">SUM(B8:J8)</f>
        <v>197558</v>
      </c>
      <c r="M8" s="293">
        <v>0</v>
      </c>
      <c r="N8" s="293">
        <v>37690</v>
      </c>
      <c r="O8" s="293">
        <v>1629</v>
      </c>
      <c r="P8" s="277">
        <f>N8/Production2!N8</f>
        <v>16.429100736672336</v>
      </c>
      <c r="Q8" s="277" t="e">
        <f>O8/Production2!Q8</f>
        <v>#DIV/0!</v>
      </c>
      <c r="R8" s="293">
        <v>41445</v>
      </c>
      <c r="S8" s="293">
        <v>51365</v>
      </c>
      <c r="T8" s="278">
        <f>R8/'Daily CEM-1'!AX9</f>
        <v>46.515151515151516</v>
      </c>
      <c r="U8" s="278">
        <f>S8/'Daily  CEM - 2'!AU9</f>
        <v>36.820788530465947</v>
      </c>
      <c r="V8" s="278">
        <f>F8/Production2!U8</f>
        <v>49.783673469387757</v>
      </c>
      <c r="W8" s="278">
        <f>E8/Production2!Z8</f>
        <v>27.621739130434783</v>
      </c>
      <c r="Z8">
        <f>E8/Clinker!EJ8</f>
        <v>27.621739130434783</v>
      </c>
      <c r="AA8" s="283">
        <v>6</v>
      </c>
      <c r="AB8" s="283">
        <f>Clinker!EJ8</f>
        <v>1380</v>
      </c>
      <c r="AC8" s="283">
        <f>Production2!V8</f>
        <v>224</v>
      </c>
      <c r="AD8" s="284">
        <f>'6'!$Q$51</f>
        <v>5384</v>
      </c>
      <c r="AE8" s="284">
        <f>'6'!$Q$52</f>
        <v>873.9246376811592</v>
      </c>
      <c r="AH8" s="52">
        <f>Production2!V8/Production2!Z8</f>
        <v>0.16231884057971013</v>
      </c>
    </row>
    <row r="9" spans="1:34" x14ac:dyDescent="0.25">
      <c r="A9">
        <v>7</v>
      </c>
      <c r="B9" s="1">
        <v>2337</v>
      </c>
      <c r="C9" s="277">
        <f t="shared" si="1"/>
        <v>57547</v>
      </c>
      <c r="D9" s="277">
        <v>0</v>
      </c>
      <c r="E9" s="1">
        <v>59680</v>
      </c>
      <c r="F9" s="1">
        <v>15177</v>
      </c>
      <c r="G9" s="277">
        <f t="shared" si="0"/>
        <v>97946</v>
      </c>
      <c r="H9" s="1">
        <v>2104</v>
      </c>
      <c r="I9" s="1">
        <v>6279</v>
      </c>
      <c r="J9" s="1">
        <v>5204</v>
      </c>
      <c r="K9">
        <f>SUM(B9:J9)</f>
        <v>246274</v>
      </c>
      <c r="M9" s="293">
        <v>0</v>
      </c>
      <c r="N9" s="293">
        <v>46544</v>
      </c>
      <c r="O9" s="293">
        <v>11003</v>
      </c>
      <c r="P9" s="277">
        <f>N9/Production2!N9</f>
        <v>16.400281888653982</v>
      </c>
      <c r="Q9" s="277">
        <f>O9/Production2!Q9</f>
        <v>50.380036630036628</v>
      </c>
      <c r="R9" s="293">
        <v>44362</v>
      </c>
      <c r="S9" s="293">
        <v>53584</v>
      </c>
      <c r="T9" s="278">
        <f>R9/'Daily CEM-1'!AX10</f>
        <v>46.696842105263158</v>
      </c>
      <c r="U9" s="278">
        <f>S9/'Daily  CEM - 2'!AU10</f>
        <v>46.594782608695652</v>
      </c>
      <c r="V9" s="278">
        <f>F9/Production2!U9</f>
        <v>55.797794117647058</v>
      </c>
      <c r="W9" s="278">
        <f>E9/Production2!Z9</f>
        <v>31.576719576719576</v>
      </c>
      <c r="Z9">
        <f>E9/Clinker!EJ9</f>
        <v>31.576719576719576</v>
      </c>
      <c r="AA9" s="283">
        <v>7</v>
      </c>
      <c r="AB9" s="283">
        <f>Clinker!EJ9</f>
        <v>1890</v>
      </c>
      <c r="AC9" s="283">
        <f>Production2!V9</f>
        <v>286</v>
      </c>
      <c r="AD9" s="284">
        <f>'7'!$Q$51</f>
        <v>5473</v>
      </c>
      <c r="AE9" s="284">
        <f>'7'!$Q$52</f>
        <v>828.18941798941796</v>
      </c>
      <c r="AH9" s="52">
        <f>Production2!V9/Production2!Z9</f>
        <v>0.15132275132275133</v>
      </c>
    </row>
    <row r="10" spans="1:34" x14ac:dyDescent="0.25">
      <c r="A10">
        <v>8</v>
      </c>
      <c r="B10" s="1">
        <v>2527</v>
      </c>
      <c r="C10" s="277">
        <f t="shared" si="1"/>
        <v>65700</v>
      </c>
      <c r="D10" s="277">
        <v>0</v>
      </c>
      <c r="E10" s="1">
        <v>60085</v>
      </c>
      <c r="F10" s="1">
        <v>15603</v>
      </c>
      <c r="G10" s="277">
        <f t="shared" si="0"/>
        <v>67467</v>
      </c>
      <c r="H10" s="1">
        <v>1926</v>
      </c>
      <c r="I10" s="1">
        <v>7111</v>
      </c>
      <c r="J10" s="1">
        <v>4070</v>
      </c>
      <c r="K10">
        <f t="shared" si="2"/>
        <v>224489</v>
      </c>
      <c r="M10" s="293">
        <v>0</v>
      </c>
      <c r="N10" s="293">
        <v>57911</v>
      </c>
      <c r="O10" s="293">
        <v>7789</v>
      </c>
      <c r="P10" s="277">
        <f>N10/Production2!N10</f>
        <v>20.248601398601398</v>
      </c>
      <c r="Q10" s="277">
        <f>O10/Production2!Q10</f>
        <v>43.073605043410936</v>
      </c>
      <c r="R10" s="293">
        <v>40302</v>
      </c>
      <c r="S10" s="293">
        <v>27165</v>
      </c>
      <c r="T10" s="278">
        <f>R10/'Daily CEM-1'!AX11</f>
        <v>58.408695652173911</v>
      </c>
      <c r="U10" s="278">
        <f>S10/'Daily  CEM - 2'!AU11</f>
        <v>39.948529411764703</v>
      </c>
      <c r="V10" s="278">
        <f>F10/Production2!U10</f>
        <v>52.535353535353536</v>
      </c>
      <c r="W10" s="278">
        <f>E10/Production2!Z10</f>
        <v>29.967581047381547</v>
      </c>
      <c r="Z10">
        <f>E10/Clinker!EJ10</f>
        <v>29.967581047381547</v>
      </c>
      <c r="AA10" s="283">
        <v>8</v>
      </c>
      <c r="AB10" s="283">
        <f>Clinker!EJ10</f>
        <v>2005</v>
      </c>
      <c r="AC10" s="283">
        <f>Production2!V10</f>
        <v>295</v>
      </c>
      <c r="AD10" s="284">
        <f>'8'!$Q$51</f>
        <v>5351</v>
      </c>
      <c r="AE10" s="284">
        <f>'8'!$Q$52</f>
        <v>787.30423940149626</v>
      </c>
      <c r="AH10" s="52">
        <f>Production2!V10/Production2!Z10</f>
        <v>0.14713216957605985</v>
      </c>
    </row>
    <row r="11" spans="1:34" x14ac:dyDescent="0.25">
      <c r="A11">
        <v>9</v>
      </c>
      <c r="B11" s="1">
        <v>2682</v>
      </c>
      <c r="C11" s="277">
        <f t="shared" si="1"/>
        <v>49581</v>
      </c>
      <c r="D11" s="277">
        <v>0</v>
      </c>
      <c r="E11" s="1">
        <v>57921</v>
      </c>
      <c r="F11" s="1">
        <v>14319</v>
      </c>
      <c r="G11" s="277">
        <f t="shared" ref="G11:G15" si="3">R11+S11</f>
        <v>66763</v>
      </c>
      <c r="H11" s="1">
        <v>1728</v>
      </c>
      <c r="I11" s="1">
        <v>5682</v>
      </c>
      <c r="J11" s="1">
        <v>4422</v>
      </c>
      <c r="K11">
        <f>SUM(B11:J11)</f>
        <v>203098</v>
      </c>
      <c r="M11" s="293">
        <v>0</v>
      </c>
      <c r="N11" s="293">
        <v>44916</v>
      </c>
      <c r="O11" s="293">
        <v>4665</v>
      </c>
      <c r="P11" s="277">
        <f>N11/Production2!N11</f>
        <v>18.310640032613126</v>
      </c>
      <c r="Q11" s="277">
        <f>O11/Production2!Q11</f>
        <v>61.478650500790728</v>
      </c>
      <c r="R11" s="293">
        <v>15823</v>
      </c>
      <c r="S11" s="293">
        <v>50940</v>
      </c>
      <c r="T11" s="278">
        <f>R11/'Daily CEM-1'!AX12</f>
        <v>83.278947368421058</v>
      </c>
      <c r="U11" s="278">
        <f>S11/'Daily  CEM - 2'!AU12</f>
        <v>37.209642074506938</v>
      </c>
      <c r="V11" s="278">
        <f>F11/Production2!U11</f>
        <v>52.259124087591239</v>
      </c>
      <c r="W11" s="278">
        <f>E11/Production2!Z11</f>
        <v>32.358100558659217</v>
      </c>
      <c r="Z11">
        <f>E11/Clinker!EJ11</f>
        <v>32.358100558659217</v>
      </c>
      <c r="AA11" s="283">
        <v>9</v>
      </c>
      <c r="AB11" s="283">
        <f>Clinker!EJ11</f>
        <v>1790</v>
      </c>
      <c r="AC11" s="283">
        <f>Production2!V11</f>
        <v>265</v>
      </c>
      <c r="AD11" s="284">
        <f>'9'!$Q$51</f>
        <v>5323</v>
      </c>
      <c r="AE11" s="284">
        <f>'9'!$Q$52</f>
        <v>788.04189944134089</v>
      </c>
      <c r="AH11" s="52">
        <f>Production2!V11/Production2!Z11</f>
        <v>0.14804469273743018</v>
      </c>
    </row>
    <row r="12" spans="1:34" x14ac:dyDescent="0.25">
      <c r="A12">
        <v>10</v>
      </c>
      <c r="B12" s="1">
        <v>2745</v>
      </c>
      <c r="C12" s="277">
        <f t="shared" si="1"/>
        <v>59745</v>
      </c>
      <c r="D12" s="277">
        <v>0</v>
      </c>
      <c r="E12" s="1">
        <v>59842</v>
      </c>
      <c r="F12" s="1">
        <v>15476</v>
      </c>
      <c r="G12" s="277">
        <f t="shared" si="3"/>
        <v>56401</v>
      </c>
      <c r="H12" s="1">
        <v>1732</v>
      </c>
      <c r="I12" s="1">
        <v>4877</v>
      </c>
      <c r="J12" s="1">
        <v>4083</v>
      </c>
      <c r="K12">
        <f t="shared" ref="K12:K33" si="4">SUM(B12:J12)</f>
        <v>204901</v>
      </c>
      <c r="M12" s="293">
        <v>0</v>
      </c>
      <c r="N12" s="293">
        <v>48970</v>
      </c>
      <c r="O12" s="293">
        <v>10775</v>
      </c>
      <c r="P12" s="277">
        <f>N12/Production2!N12</f>
        <v>18.34769576620457</v>
      </c>
      <c r="Q12" s="277">
        <f>O12/Production2!Q12</f>
        <v>45.76926344405743</v>
      </c>
      <c r="R12" s="293">
        <v>4983</v>
      </c>
      <c r="S12" s="293">
        <v>51418</v>
      </c>
      <c r="T12" s="278" t="e">
        <f>R12/'Daily CEM-1'!AX13</f>
        <v>#DIV/0!</v>
      </c>
      <c r="U12" s="278">
        <f>S12/'Daily  CEM - 2'!AU13</f>
        <v>39.613251155624035</v>
      </c>
      <c r="V12" s="278">
        <f>F12/Production2!U12</f>
        <v>57.318518518518516</v>
      </c>
      <c r="W12" s="278">
        <f>E12/Production2!Z12</f>
        <v>31.330890052356022</v>
      </c>
      <c r="Z12">
        <f>E12/Clinker!EJ12</f>
        <v>31.330890052356022</v>
      </c>
      <c r="AA12" s="283">
        <v>10</v>
      </c>
      <c r="AB12" s="283">
        <f>Clinker!EJ12</f>
        <v>1910</v>
      </c>
      <c r="AC12" s="283">
        <f>Production2!V12</f>
        <v>281</v>
      </c>
      <c r="AD12" s="284">
        <f>'10'!$Q$51</f>
        <v>5380</v>
      </c>
      <c r="AE12" s="284">
        <f>'10'!$Q$52</f>
        <v>791.50785340314133</v>
      </c>
      <c r="AH12" s="52">
        <f>Production2!V12/Production2!Z12</f>
        <v>0.14712041884816754</v>
      </c>
    </row>
    <row r="13" spans="1:34" x14ac:dyDescent="0.25">
      <c r="A13">
        <v>11</v>
      </c>
      <c r="B13" s="1">
        <v>2122</v>
      </c>
      <c r="C13" s="277">
        <f t="shared" si="1"/>
        <v>53482</v>
      </c>
      <c r="D13" s="277">
        <v>0</v>
      </c>
      <c r="E13" s="1">
        <v>54826</v>
      </c>
      <c r="F13" s="1">
        <v>16246</v>
      </c>
      <c r="G13" s="277">
        <f t="shared" si="3"/>
        <v>53077</v>
      </c>
      <c r="H13" s="1">
        <v>1628</v>
      </c>
      <c r="I13" s="1">
        <v>4817</v>
      </c>
      <c r="J13" s="1">
        <v>3603</v>
      </c>
      <c r="K13">
        <f t="shared" si="4"/>
        <v>189801</v>
      </c>
      <c r="M13" s="293">
        <v>0</v>
      </c>
      <c r="N13" s="293">
        <v>45258</v>
      </c>
      <c r="O13" s="293">
        <v>8224</v>
      </c>
      <c r="P13" s="277">
        <f>N13/Production2!N13</f>
        <v>18.465116279069768</v>
      </c>
      <c r="Q13" s="277">
        <f>O13/Production2!Q13</f>
        <v>59.88058832095529</v>
      </c>
      <c r="R13" s="293">
        <v>6694</v>
      </c>
      <c r="S13" s="293">
        <v>46383</v>
      </c>
      <c r="T13" s="278" t="e">
        <f>R13/'Daily CEM-1'!AX14</f>
        <v>#DIV/0!</v>
      </c>
      <c r="U13" s="278">
        <f>S13/'Daily  CEM - 2'!AU14</f>
        <v>38.333057851239673</v>
      </c>
      <c r="V13" s="278">
        <f>F13/Production2!U13</f>
        <v>54.885135135135137</v>
      </c>
      <c r="W13" s="278">
        <f>E13/Production2!Z13</f>
        <v>30.374515235457064</v>
      </c>
      <c r="Z13">
        <f>E13/Clinker!EJ13</f>
        <v>30.374515235457064</v>
      </c>
      <c r="AA13" s="283">
        <v>11</v>
      </c>
      <c r="AB13" s="283">
        <f>Clinker!EJ13</f>
        <v>1805</v>
      </c>
      <c r="AC13" s="283">
        <f>Production2!V13</f>
        <v>265</v>
      </c>
      <c r="AD13" s="284">
        <f>'11'!$Q$51</f>
        <v>5402</v>
      </c>
      <c r="AE13" s="284">
        <f>'11'!$Q$52</f>
        <v>793.09141274238243</v>
      </c>
      <c r="AH13" s="52">
        <f>Production2!V13/Production2!Z13</f>
        <v>0.14681440443213298</v>
      </c>
    </row>
    <row r="14" spans="1:34" x14ac:dyDescent="0.25">
      <c r="A14">
        <v>12</v>
      </c>
      <c r="B14" s="1">
        <v>1361</v>
      </c>
      <c r="C14" s="277">
        <f t="shared" si="1"/>
        <v>62656</v>
      </c>
      <c r="D14" s="277">
        <v>0</v>
      </c>
      <c r="E14" s="1">
        <v>54492</v>
      </c>
      <c r="F14" s="1">
        <v>15750</v>
      </c>
      <c r="G14" s="277">
        <f t="shared" si="3"/>
        <v>56820</v>
      </c>
      <c r="H14" s="1">
        <v>1767</v>
      </c>
      <c r="I14" s="1">
        <v>5323</v>
      </c>
      <c r="J14" s="1">
        <v>3842</v>
      </c>
      <c r="K14" s="175">
        <f t="shared" si="4"/>
        <v>202011</v>
      </c>
      <c r="M14" s="293">
        <v>0</v>
      </c>
      <c r="N14" s="293">
        <v>56330</v>
      </c>
      <c r="O14" s="293">
        <v>6326</v>
      </c>
      <c r="P14" s="277">
        <f>N14/Production2!N14</f>
        <v>20.189964157706093</v>
      </c>
      <c r="Q14" s="277">
        <f>O14/Production2!Q14</f>
        <v>50.689102564102562</v>
      </c>
      <c r="R14" s="293">
        <v>2928</v>
      </c>
      <c r="S14" s="293">
        <v>53892</v>
      </c>
      <c r="T14" s="278" t="e">
        <f>R14/'Daily CEM-1'!AX15</f>
        <v>#DIV/0!</v>
      </c>
      <c r="U14" s="278">
        <f>S14/'Daily  CEM - 2'!AU15</f>
        <v>45.865531914893616</v>
      </c>
      <c r="V14" s="278">
        <f>F14/Production2!U14</f>
        <v>60.344827586206897</v>
      </c>
      <c r="W14" s="278">
        <f>E14/Production2!Z14</f>
        <v>30.273333333333333</v>
      </c>
      <c r="Z14">
        <f>E14/Clinker!EJ14</f>
        <v>30.273333333333333</v>
      </c>
      <c r="AA14" s="283">
        <v>12</v>
      </c>
      <c r="AB14" s="283">
        <f>Clinker!EJ14</f>
        <v>1800</v>
      </c>
      <c r="AC14" s="283">
        <f>Production2!V14</f>
        <v>262</v>
      </c>
      <c r="AD14" s="284">
        <f>'12'!$Q$51</f>
        <v>5423</v>
      </c>
      <c r="AE14" s="284">
        <f>'12'!$Q$52</f>
        <v>789.34777777777776</v>
      </c>
      <c r="AH14" s="52">
        <f>Production2!V14/Production2!Z14</f>
        <v>0.14555555555555555</v>
      </c>
    </row>
    <row r="15" spans="1:34" x14ac:dyDescent="0.25">
      <c r="A15">
        <v>13</v>
      </c>
      <c r="B15" s="1">
        <v>1464</v>
      </c>
      <c r="C15" s="277">
        <f t="shared" si="1"/>
        <v>61718</v>
      </c>
      <c r="D15" s="277">
        <v>0</v>
      </c>
      <c r="E15" s="1">
        <v>59134</v>
      </c>
      <c r="F15" s="1">
        <v>14914</v>
      </c>
      <c r="G15" s="277">
        <f t="shared" si="3"/>
        <v>47687</v>
      </c>
      <c r="H15" s="1">
        <v>1576</v>
      </c>
      <c r="I15" s="1">
        <v>4675</v>
      </c>
      <c r="J15" s="1">
        <v>3839</v>
      </c>
      <c r="K15">
        <f t="shared" si="4"/>
        <v>195007</v>
      </c>
      <c r="M15" s="293">
        <v>0</v>
      </c>
      <c r="N15" s="293">
        <v>50542</v>
      </c>
      <c r="O15" s="293">
        <v>11176</v>
      </c>
      <c r="P15" s="277">
        <f>N15/Production2!N15</f>
        <v>20.545528455284554</v>
      </c>
      <c r="Q15" s="277">
        <f>O15/Production2!Q15</f>
        <v>54.068698597000484</v>
      </c>
      <c r="R15" s="293">
        <v>5100</v>
      </c>
      <c r="S15" s="293">
        <v>42587</v>
      </c>
      <c r="T15" s="278" t="e">
        <f>R15/'Daily CEM-1'!AX16</f>
        <v>#DIV/0!</v>
      </c>
      <c r="U15" s="278">
        <f>S15/'Daily  CEM - 2'!AU16</f>
        <v>44.361458333333331</v>
      </c>
      <c r="V15" s="278">
        <f>F15/Production2!U15</f>
        <v>55.237037037037034</v>
      </c>
      <c r="W15" s="278">
        <f>E15/Production2!Z15</f>
        <v>32.138043478260869</v>
      </c>
      <c r="Z15">
        <f>E15/Clinker!EJ15</f>
        <v>32.138043478260869</v>
      </c>
      <c r="AA15" s="283">
        <v>13</v>
      </c>
      <c r="AB15" s="283">
        <f>Clinker!EJ15</f>
        <v>1840</v>
      </c>
      <c r="AC15" s="283">
        <f>Production2!V15</f>
        <v>269</v>
      </c>
      <c r="AD15" s="284">
        <f>'13'!$Q$51</f>
        <v>5438</v>
      </c>
      <c r="AE15" s="284">
        <f>'13'!$Q$52</f>
        <v>795.01195652173908</v>
      </c>
      <c r="AH15" s="52">
        <f>Production2!V15/Production2!Z15</f>
        <v>0.14619565217391303</v>
      </c>
    </row>
    <row r="16" spans="1:34" x14ac:dyDescent="0.25">
      <c r="A16">
        <v>14</v>
      </c>
      <c r="B16" s="1">
        <v>1092</v>
      </c>
      <c r="C16" s="277">
        <f t="shared" si="1"/>
        <v>57447</v>
      </c>
      <c r="D16" s="277">
        <v>0</v>
      </c>
      <c r="E16" s="1">
        <v>59369</v>
      </c>
      <c r="F16" s="1">
        <v>15898</v>
      </c>
      <c r="G16" s="277">
        <f t="shared" si="0"/>
        <v>55669</v>
      </c>
      <c r="H16" s="1">
        <v>1652</v>
      </c>
      <c r="I16" s="1">
        <v>5919</v>
      </c>
      <c r="J16" s="1">
        <v>4605</v>
      </c>
      <c r="K16">
        <f t="shared" si="4"/>
        <v>201651</v>
      </c>
      <c r="M16" s="293">
        <v>0</v>
      </c>
      <c r="N16" s="293">
        <v>47604</v>
      </c>
      <c r="O16" s="293">
        <v>9843</v>
      </c>
      <c r="P16" s="277">
        <f>N16/Production2!N16</f>
        <v>19.033986405437826</v>
      </c>
      <c r="Q16" s="277">
        <f>O16/Production2!Q16</f>
        <v>49.239619809904951</v>
      </c>
      <c r="R16" s="293">
        <v>9294</v>
      </c>
      <c r="S16" s="293">
        <v>46375</v>
      </c>
      <c r="T16" s="278">
        <f>R16/'Daily CEM-1'!AX17</f>
        <v>54.670588235294119</v>
      </c>
      <c r="U16" s="278">
        <f>S16/'Daily  CEM - 2'!AU17</f>
        <v>41.77927927927928</v>
      </c>
      <c r="V16" s="278">
        <f>F16/Production2!U16</f>
        <v>63.591999999999999</v>
      </c>
      <c r="W16" s="278">
        <f>E16/Production2!Z16</f>
        <v>33.925142857142859</v>
      </c>
      <c r="Z16">
        <f>E16/Clinker!EJ16</f>
        <v>33.925142857142859</v>
      </c>
      <c r="AA16" s="283">
        <v>14</v>
      </c>
      <c r="AB16" s="283">
        <f>Clinker!EJ16</f>
        <v>1750</v>
      </c>
      <c r="AC16" s="283">
        <f>Production2!V16</f>
        <v>257</v>
      </c>
      <c r="AD16" s="284">
        <f>'14'!$Q$51</f>
        <v>5358</v>
      </c>
      <c r="AE16" s="284">
        <f>'14'!$Q$52</f>
        <v>786.86057142857146</v>
      </c>
      <c r="AH16" s="52">
        <f>Production2!V16/Production2!Z16</f>
        <v>0.14685714285714285</v>
      </c>
    </row>
    <row r="17" spans="1:34" x14ac:dyDescent="0.25">
      <c r="A17">
        <v>15</v>
      </c>
      <c r="B17" s="1">
        <v>1157</v>
      </c>
      <c r="C17" s="277">
        <f t="shared" si="1"/>
        <v>56621</v>
      </c>
      <c r="D17" s="277">
        <v>0</v>
      </c>
      <c r="E17" s="1">
        <v>57503</v>
      </c>
      <c r="F17" s="1">
        <v>15414</v>
      </c>
      <c r="G17" s="277">
        <f t="shared" si="0"/>
        <v>90905</v>
      </c>
      <c r="H17" s="1">
        <v>2054</v>
      </c>
      <c r="I17" s="1">
        <v>5565</v>
      </c>
      <c r="J17" s="1">
        <v>5157</v>
      </c>
      <c r="K17">
        <f t="shared" si="4"/>
        <v>234376</v>
      </c>
      <c r="M17" s="293">
        <v>0</v>
      </c>
      <c r="N17" s="293">
        <v>45325</v>
      </c>
      <c r="O17" s="293">
        <v>11296</v>
      </c>
      <c r="P17" s="277">
        <f>N17/Production2!N17</f>
        <v>20.306899641577061</v>
      </c>
      <c r="Q17" s="277">
        <f>O17/Production2!Q17</f>
        <v>48.03946585013184</v>
      </c>
      <c r="R17" s="293">
        <v>48197</v>
      </c>
      <c r="S17" s="293">
        <v>42708</v>
      </c>
      <c r="T17" s="278">
        <f>R17/'Daily CEM-1'!AX18</f>
        <v>46.793203883495146</v>
      </c>
      <c r="U17" s="278">
        <f>S17/'Daily  CEM - 2'!AU18</f>
        <v>49.545243619489561</v>
      </c>
      <c r="V17" s="278">
        <f>F17/Production2!U17</f>
        <v>60.44705882352941</v>
      </c>
      <c r="W17" s="278">
        <f>E17/Production2!Z17</f>
        <v>34.227976190476191</v>
      </c>
      <c r="Z17">
        <f>E17/Clinker!EJ17</f>
        <v>34.227976190476191</v>
      </c>
      <c r="AA17" s="283">
        <v>15</v>
      </c>
      <c r="AB17" s="283">
        <f>Clinker!EJ17</f>
        <v>1680</v>
      </c>
      <c r="AC17" s="283">
        <f>Production2!V17</f>
        <v>248</v>
      </c>
      <c r="AD17" s="284">
        <f>'15'!$Q$51</f>
        <v>5381</v>
      </c>
      <c r="AE17" s="284">
        <f>'15'!$Q$52</f>
        <v>794.33809523809532</v>
      </c>
      <c r="AH17" s="52">
        <f>Production2!V17/Production2!Z17</f>
        <v>0.14761904761904762</v>
      </c>
    </row>
    <row r="18" spans="1:34" x14ac:dyDescent="0.25">
      <c r="A18">
        <v>16</v>
      </c>
      <c r="B18" s="1">
        <v>1374</v>
      </c>
      <c r="C18" s="277">
        <f t="shared" si="1"/>
        <v>55151</v>
      </c>
      <c r="D18" s="277">
        <v>0</v>
      </c>
      <c r="E18" s="1">
        <v>54781</v>
      </c>
      <c r="F18" s="1">
        <v>14039</v>
      </c>
      <c r="G18" s="277">
        <f t="shared" si="0"/>
        <v>84981</v>
      </c>
      <c r="H18" s="1">
        <v>1889</v>
      </c>
      <c r="I18" s="1">
        <v>4834</v>
      </c>
      <c r="J18" s="1">
        <v>4937</v>
      </c>
      <c r="K18">
        <f t="shared" si="4"/>
        <v>221986</v>
      </c>
      <c r="M18" s="293">
        <v>0</v>
      </c>
      <c r="N18" s="293">
        <v>46312</v>
      </c>
      <c r="O18" s="293">
        <v>8839</v>
      </c>
      <c r="P18" s="277">
        <f>N18/Production2!N18</f>
        <v>21.540465116279069</v>
      </c>
      <c r="Q18" s="277">
        <f>O18/Production2!Q18</f>
        <v>46.142200877009813</v>
      </c>
      <c r="R18" s="293">
        <v>40032</v>
      </c>
      <c r="S18" s="293">
        <v>44949</v>
      </c>
      <c r="T18" s="278">
        <f>R18/'Daily CEM-1'!AX19</f>
        <v>48.819512195121952</v>
      </c>
      <c r="U18" s="278">
        <f>S18/'Daily  CEM - 2'!AU19</f>
        <v>56.186250000000001</v>
      </c>
      <c r="V18" s="278">
        <f>F18/Production2!U18</f>
        <v>63.813636363636363</v>
      </c>
      <c r="W18" s="278">
        <f>E18/Production2!Z18</f>
        <v>36.278807947019871</v>
      </c>
      <c r="Z18">
        <f>E18/Clinker!EJ18</f>
        <v>36.278807947019871</v>
      </c>
      <c r="AA18" s="283">
        <v>16</v>
      </c>
      <c r="AB18" s="283">
        <f>Clinker!EJ18</f>
        <v>1510</v>
      </c>
      <c r="AC18" s="283">
        <f>Production2!V18</f>
        <v>227</v>
      </c>
      <c r="AD18" s="284">
        <f>'16'!$Q$51</f>
        <v>5410</v>
      </c>
      <c r="AE18" s="284">
        <f>'16'!$Q$52</f>
        <v>813.29139072847681</v>
      </c>
      <c r="AH18" s="52">
        <f>Production2!V18/Production2!Z18</f>
        <v>0.15033112582781458</v>
      </c>
    </row>
    <row r="19" spans="1:34" x14ac:dyDescent="0.25">
      <c r="A19">
        <v>17</v>
      </c>
      <c r="B19" s="1">
        <v>1339</v>
      </c>
      <c r="C19" s="277">
        <f t="shared" si="1"/>
        <v>59310</v>
      </c>
      <c r="D19" s="277">
        <v>0</v>
      </c>
      <c r="E19" s="1">
        <v>55919</v>
      </c>
      <c r="F19" s="1">
        <v>13945</v>
      </c>
      <c r="G19" s="277">
        <f t="shared" si="0"/>
        <v>45421</v>
      </c>
      <c r="H19" s="1">
        <v>1610</v>
      </c>
      <c r="I19" s="1">
        <v>5290</v>
      </c>
      <c r="J19" s="1">
        <v>5129</v>
      </c>
      <c r="K19">
        <f t="shared" si="4"/>
        <v>187963</v>
      </c>
      <c r="M19" s="293">
        <v>0</v>
      </c>
      <c r="N19" s="293">
        <v>48885</v>
      </c>
      <c r="O19" s="293">
        <v>10425</v>
      </c>
      <c r="P19" s="277">
        <f>N19/Production2!N19</f>
        <v>22.079945799457995</v>
      </c>
      <c r="Q19" s="277">
        <f>O19/Production2!Q19</f>
        <v>55.220085809629751</v>
      </c>
      <c r="R19" s="293">
        <v>17756</v>
      </c>
      <c r="S19" s="293">
        <v>27665</v>
      </c>
      <c r="T19" s="278">
        <f>R19/'Daily CEM-1'!AX20</f>
        <v>73.983333333333334</v>
      </c>
      <c r="U19" s="278">
        <f>S19/'Daily  CEM - 2'!AU20</f>
        <v>42.561538461538461</v>
      </c>
      <c r="V19" s="278">
        <f>F19/Production2!U19</f>
        <v>63.675799086757991</v>
      </c>
      <c r="W19" s="278">
        <f>E19/Production2!Z19</f>
        <v>37.155481727574752</v>
      </c>
      <c r="AA19" s="283">
        <v>17</v>
      </c>
      <c r="AB19" s="283">
        <f>Clinker!EJ19</f>
        <v>1505</v>
      </c>
      <c r="AC19" s="283">
        <f>Production2!V19</f>
        <v>223</v>
      </c>
      <c r="AD19" s="284">
        <f>'17'!$Q$51</f>
        <v>5439</v>
      </c>
      <c r="AE19" s="284">
        <f>'17'!$Q$52</f>
        <v>805.91162790697661</v>
      </c>
      <c r="AH19" s="52">
        <f>Production2!V19/Production2!Z19</f>
        <v>0.14817275747508304</v>
      </c>
    </row>
    <row r="20" spans="1:34" x14ac:dyDescent="0.25">
      <c r="A20">
        <v>18</v>
      </c>
      <c r="B20" s="1">
        <v>1250</v>
      </c>
      <c r="C20" s="277">
        <f t="shared" si="1"/>
        <v>47161</v>
      </c>
      <c r="D20" s="277">
        <v>0</v>
      </c>
      <c r="E20" s="1">
        <v>51590</v>
      </c>
      <c r="F20" s="1">
        <v>14333</v>
      </c>
      <c r="G20" s="277">
        <f t="shared" si="0"/>
        <v>80652</v>
      </c>
      <c r="H20" s="1">
        <v>1792</v>
      </c>
      <c r="I20" s="1">
        <v>5733</v>
      </c>
      <c r="J20" s="1">
        <v>4611</v>
      </c>
      <c r="K20">
        <f t="shared" si="4"/>
        <v>207122</v>
      </c>
      <c r="M20" s="293">
        <v>0</v>
      </c>
      <c r="N20" s="293">
        <v>36905</v>
      </c>
      <c r="O20" s="293">
        <v>10256</v>
      </c>
      <c r="P20" s="277">
        <f>N20/Production2!N20</f>
        <v>21.344707923655292</v>
      </c>
      <c r="Q20" s="277">
        <f>O20/Production2!Q20</f>
        <v>56.886127905041882</v>
      </c>
      <c r="R20" s="293">
        <v>61849</v>
      </c>
      <c r="S20" s="293">
        <v>18803</v>
      </c>
      <c r="T20" s="278">
        <f>R20/'Daily CEM-1'!AX21</f>
        <v>56.226363636363637</v>
      </c>
      <c r="U20" s="278" t="e">
        <f>S20/'Daily  CEM - 2'!AU21</f>
        <v>#DIV/0!</v>
      </c>
      <c r="V20" s="278">
        <f>F20/Production2!U20</f>
        <v>65.150000000000006</v>
      </c>
      <c r="W20" s="278">
        <f>E20/Production2!Z20</f>
        <v>37.65693430656934</v>
      </c>
      <c r="AA20" s="283">
        <v>18</v>
      </c>
      <c r="AB20" s="283">
        <f>Clinker!EJ20</f>
        <v>1370</v>
      </c>
      <c r="AC20" s="283">
        <f>Production2!V20</f>
        <v>214</v>
      </c>
      <c r="AD20" s="284">
        <f>'18'!$Q$51</f>
        <v>5322</v>
      </c>
      <c r="AE20" s="284">
        <f>'18'!$Q$52</f>
        <v>831.31970802919705</v>
      </c>
      <c r="AH20" s="52">
        <f>Production2!V20/Production2!Z20</f>
        <v>0.1562043795620438</v>
      </c>
    </row>
    <row r="21" spans="1:34" x14ac:dyDescent="0.25">
      <c r="A21">
        <v>19</v>
      </c>
      <c r="B21" s="1">
        <v>1244</v>
      </c>
      <c r="C21" s="277">
        <f t="shared" si="1"/>
        <v>47556</v>
      </c>
      <c r="D21" s="277">
        <v>0</v>
      </c>
      <c r="E21" s="1">
        <v>44496</v>
      </c>
      <c r="F21" s="1">
        <v>12104</v>
      </c>
      <c r="G21" s="277">
        <f t="shared" si="0"/>
        <v>53658</v>
      </c>
      <c r="H21" s="1">
        <v>1398</v>
      </c>
      <c r="I21" s="1">
        <v>6540</v>
      </c>
      <c r="J21" s="1">
        <v>5346</v>
      </c>
      <c r="K21">
        <f t="shared" si="4"/>
        <v>172342</v>
      </c>
      <c r="M21" s="293">
        <v>0</v>
      </c>
      <c r="N21" s="293">
        <v>41023</v>
      </c>
      <c r="O21" s="293">
        <v>6533</v>
      </c>
      <c r="P21" s="277">
        <f>N21/Production2!N21</f>
        <v>23.71271676300578</v>
      </c>
      <c r="Q21" s="277">
        <f>O21/Production2!Q21</f>
        <v>64.70879556259905</v>
      </c>
      <c r="R21" s="293">
        <v>47290</v>
      </c>
      <c r="S21" s="293">
        <v>6368</v>
      </c>
      <c r="T21" s="278">
        <f>R21/'Daily CEM-1'!AX22</f>
        <v>53.134831460674157</v>
      </c>
      <c r="U21" s="278" t="e">
        <f>S21/'Daily  CEM - 2'!AU22</f>
        <v>#DIV/0!</v>
      </c>
      <c r="V21" s="278">
        <f>F21/Production2!U21</f>
        <v>62.552971576227392</v>
      </c>
      <c r="W21" s="278">
        <f>E21/Production2!Z21</f>
        <v>35.314285714285717</v>
      </c>
      <c r="AA21" s="283">
        <v>19</v>
      </c>
      <c r="AB21" s="283">
        <f>Clinker!EJ21</f>
        <v>1260</v>
      </c>
      <c r="AC21" s="283">
        <f>Production2!V21</f>
        <v>190</v>
      </c>
      <c r="AD21" s="284">
        <f>'19'!$Q$51</f>
        <v>5387</v>
      </c>
      <c r="AE21" s="284">
        <f>'19'!$Q$52</f>
        <v>812.32539682539675</v>
      </c>
      <c r="AH21" s="52">
        <f>Production2!V21/Production2!Z21</f>
        <v>0.15079365079365079</v>
      </c>
    </row>
    <row r="22" spans="1:34" x14ac:dyDescent="0.25">
      <c r="A22">
        <v>20</v>
      </c>
      <c r="B22" s="1">
        <v>1226</v>
      </c>
      <c r="C22" s="277">
        <f t="shared" si="1"/>
        <v>38536</v>
      </c>
      <c r="D22" s="277">
        <v>0</v>
      </c>
      <c r="E22" s="1">
        <v>44197</v>
      </c>
      <c r="F22" s="1">
        <v>11482</v>
      </c>
      <c r="G22" s="277">
        <f t="shared" si="0"/>
        <v>49313</v>
      </c>
      <c r="H22" s="1">
        <v>1332</v>
      </c>
      <c r="I22" s="1">
        <v>5265</v>
      </c>
      <c r="J22" s="1">
        <v>5669</v>
      </c>
      <c r="K22">
        <f t="shared" si="4"/>
        <v>157020</v>
      </c>
      <c r="M22" s="293">
        <v>0</v>
      </c>
      <c r="N22" s="293">
        <v>34417</v>
      </c>
      <c r="O22" s="293">
        <v>4119</v>
      </c>
      <c r="P22" s="277">
        <f>N22/Production2!N22</f>
        <v>19.555113636363636</v>
      </c>
      <c r="Q22" s="277">
        <f>O22/Production2!Q22</f>
        <v>52.719825931140413</v>
      </c>
      <c r="R22" s="293">
        <v>33461</v>
      </c>
      <c r="S22" s="293">
        <v>15852</v>
      </c>
      <c r="T22" s="278">
        <f>R22/'Daily CEM-1'!AX23</f>
        <v>61.736162361623613</v>
      </c>
      <c r="U22" s="278" t="e">
        <f>S22/'Daily  CEM - 2'!AU23</f>
        <v>#DIV/0!</v>
      </c>
      <c r="V22" s="278">
        <f>F22/Production2!U22</f>
        <v>62.743169398907106</v>
      </c>
      <c r="W22" s="278">
        <f>E22/Production2!Z22</f>
        <v>35.932520325203249</v>
      </c>
      <c r="AA22" s="283">
        <v>20</v>
      </c>
      <c r="AB22" s="283">
        <f>Clinker!EJ22</f>
        <v>1230</v>
      </c>
      <c r="AC22" s="283">
        <f>Production2!V22</f>
        <v>185</v>
      </c>
      <c r="AD22" s="284">
        <f>'20'!Q51</f>
        <v>5388</v>
      </c>
      <c r="AE22" s="284">
        <f>'20'!$Q$52</f>
        <v>810.39024390243912</v>
      </c>
      <c r="AH22" s="52">
        <f>'20'!Q50</f>
        <v>15.040650406504067</v>
      </c>
    </row>
    <row r="23" spans="1:34" x14ac:dyDescent="0.25">
      <c r="A23">
        <v>21</v>
      </c>
      <c r="B23" s="1">
        <v>1624</v>
      </c>
      <c r="C23" s="277">
        <f t="shared" si="1"/>
        <v>52317</v>
      </c>
      <c r="D23" s="277">
        <v>0</v>
      </c>
      <c r="E23" s="1">
        <v>43026</v>
      </c>
      <c r="F23" s="1">
        <v>11082</v>
      </c>
      <c r="G23" s="277">
        <f t="shared" si="0"/>
        <v>55314</v>
      </c>
      <c r="H23" s="1">
        <v>1492</v>
      </c>
      <c r="I23" s="1">
        <v>5356</v>
      </c>
      <c r="J23" s="1">
        <v>5344</v>
      </c>
      <c r="K23">
        <f t="shared" si="4"/>
        <v>175555</v>
      </c>
      <c r="M23" s="293">
        <v>0</v>
      </c>
      <c r="N23" s="293">
        <v>45596</v>
      </c>
      <c r="O23" s="293">
        <v>6721</v>
      </c>
      <c r="P23" s="277">
        <f>N23/Production2!N23</f>
        <v>26.509302325581395</v>
      </c>
      <c r="Q23" s="277">
        <f>O23/Production2!Q23</f>
        <v>64.680973919738236</v>
      </c>
      <c r="R23" s="293">
        <v>5203</v>
      </c>
      <c r="S23" s="293">
        <v>50111</v>
      </c>
      <c r="T23" s="278" t="e">
        <f>R23/'Daily CEM-1'!AX24</f>
        <v>#DIV/0!</v>
      </c>
      <c r="U23" s="278">
        <f>S23/'Daily  CEM - 2'!AU24</f>
        <v>67.263087248322151</v>
      </c>
      <c r="V23" s="278">
        <f>F23/Production2!U23</f>
        <v>60.359477124183009</v>
      </c>
      <c r="W23" s="278">
        <f>E23/Production2!Z23</f>
        <v>35.558677685950414</v>
      </c>
      <c r="AA23" s="283">
        <v>21</v>
      </c>
      <c r="AB23" s="283">
        <f>Clinker!EJ23</f>
        <v>1210</v>
      </c>
      <c r="AC23" s="283">
        <f>Production2!V23</f>
        <v>183</v>
      </c>
      <c r="AD23" s="284">
        <f>'21'!$Q$51</f>
        <v>5436</v>
      </c>
      <c r="AE23" s="284">
        <f>'21'!Q52</f>
        <v>822.13884297520667</v>
      </c>
      <c r="AH23" s="52" t="e">
        <f>#REF!</f>
        <v>#REF!</v>
      </c>
    </row>
    <row r="24" spans="1:34" x14ac:dyDescent="0.25">
      <c r="A24">
        <v>22</v>
      </c>
      <c r="B24" s="1">
        <v>1785</v>
      </c>
      <c r="C24" s="277">
        <f t="shared" ref="C24:C25" si="5">N24+O24</f>
        <v>60312</v>
      </c>
      <c r="D24" s="277">
        <v>0</v>
      </c>
      <c r="E24" s="1">
        <v>43616</v>
      </c>
      <c r="F24" s="1">
        <v>11329</v>
      </c>
      <c r="G24" s="277">
        <f t="shared" ref="G24:G25" si="6">R24+S24</f>
        <v>16229</v>
      </c>
      <c r="H24" s="1">
        <v>1232</v>
      </c>
      <c r="I24" s="1">
        <v>5162</v>
      </c>
      <c r="J24" s="1">
        <v>5419</v>
      </c>
      <c r="K24">
        <f t="shared" ref="K24" si="7">SUM(B24:J24)</f>
        <v>145084</v>
      </c>
      <c r="M24" s="293">
        <v>0</v>
      </c>
      <c r="N24" s="293">
        <v>50504</v>
      </c>
      <c r="O24" s="293">
        <v>9808</v>
      </c>
      <c r="P24" s="277">
        <f>N24/Production2!N24</f>
        <v>24.060981419723678</v>
      </c>
      <c r="Q24" s="277">
        <f>O24/Production2!Q24</f>
        <v>56.598765075884359</v>
      </c>
      <c r="R24" s="293">
        <v>4387</v>
      </c>
      <c r="S24" s="293">
        <v>11842</v>
      </c>
      <c r="T24" s="278" t="e">
        <f>R24/'Daily CEM-1'!AX25</f>
        <v>#DIV/0!</v>
      </c>
      <c r="U24" s="278">
        <f>S24/'Daily  CEM - 2'!AU25</f>
        <v>56.390476190476193</v>
      </c>
      <c r="V24" s="278">
        <f>F24/Production2!U24</f>
        <v>62.93888888888889</v>
      </c>
      <c r="W24" s="278">
        <f>E24/Production2!Z24</f>
        <v>37.926956521739129</v>
      </c>
      <c r="AA24" s="283">
        <v>22</v>
      </c>
      <c r="AB24" s="283">
        <f>Clinker!EJ24</f>
        <v>1150</v>
      </c>
      <c r="AC24" s="283">
        <f>Production2!V24</f>
        <v>181</v>
      </c>
      <c r="AD24" s="284">
        <f>'22'!$Q$51</f>
        <v>5438</v>
      </c>
      <c r="AE24" s="284">
        <f>'22'!$Q$52</f>
        <v>855.89391304347828</v>
      </c>
      <c r="AH24" s="52" t="e">
        <f>#REF!</f>
        <v>#REF!</v>
      </c>
    </row>
    <row r="25" spans="1:34" x14ac:dyDescent="0.25">
      <c r="A25">
        <v>23</v>
      </c>
      <c r="B25" s="1">
        <v>1733</v>
      </c>
      <c r="C25" s="277">
        <f t="shared" si="5"/>
        <v>45467</v>
      </c>
      <c r="D25" s="277">
        <v>0</v>
      </c>
      <c r="E25" s="1">
        <v>44562</v>
      </c>
      <c r="F25" s="1">
        <v>10765</v>
      </c>
      <c r="G25" s="277">
        <f t="shared" si="6"/>
        <v>8498</v>
      </c>
      <c r="H25" s="1">
        <v>1056</v>
      </c>
      <c r="I25" s="1">
        <v>4357</v>
      </c>
      <c r="J25" s="1">
        <v>5575</v>
      </c>
      <c r="K25">
        <f>SUM(B25:J25)</f>
        <v>122013</v>
      </c>
      <c r="M25" s="293">
        <v>0</v>
      </c>
      <c r="N25" s="293">
        <v>39205</v>
      </c>
      <c r="O25" s="293">
        <v>6262</v>
      </c>
      <c r="P25" s="277">
        <f>N25/Production2!N25</f>
        <v>20.472584856396868</v>
      </c>
      <c r="Q25" s="277">
        <f>O25/Production2!Q25</f>
        <v>52.122523722323955</v>
      </c>
      <c r="R25" s="293">
        <v>1845</v>
      </c>
      <c r="S25" s="293">
        <v>6653</v>
      </c>
      <c r="T25" s="278" t="e">
        <f>R25/'Daily CEM-1'!AX26</f>
        <v>#DIV/0!</v>
      </c>
      <c r="U25" s="278">
        <f>S25/'Daily  CEM - 2'!AU26</f>
        <v>31.382075471698112</v>
      </c>
      <c r="V25" s="278">
        <f>F25/Production2!U25</f>
        <v>59.508015478164729</v>
      </c>
      <c r="W25" s="278">
        <f>E25/Production2!Z25</f>
        <v>37.134999999999998</v>
      </c>
      <c r="AA25" s="283">
        <v>23</v>
      </c>
      <c r="AB25" s="283">
        <f>Clinker!EJ25</f>
        <v>1200</v>
      </c>
      <c r="AC25" s="283">
        <f>Production2!V25</f>
        <v>183</v>
      </c>
      <c r="AD25" s="284">
        <f>'23'!$Q$51</f>
        <v>5463</v>
      </c>
      <c r="AE25" s="284">
        <f>'23'!$Q$52</f>
        <v>833.10749999999996</v>
      </c>
      <c r="AH25" s="52" t="e">
        <f>#REF!</f>
        <v>#REF!</v>
      </c>
    </row>
    <row r="26" spans="1:34" x14ac:dyDescent="0.25">
      <c r="A26">
        <v>24</v>
      </c>
      <c r="B26" s="1">
        <v>2577</v>
      </c>
      <c r="C26" s="277">
        <f t="shared" si="1"/>
        <v>47921</v>
      </c>
      <c r="D26" s="277">
        <v>0</v>
      </c>
      <c r="E26" s="1">
        <v>46758</v>
      </c>
      <c r="F26" s="1">
        <v>12509</v>
      </c>
      <c r="G26" s="277">
        <f t="shared" si="0"/>
        <v>39117</v>
      </c>
      <c r="H26" s="1">
        <v>1365</v>
      </c>
      <c r="I26" s="1">
        <v>4823</v>
      </c>
      <c r="J26" s="1">
        <v>5569</v>
      </c>
      <c r="K26">
        <f>SUM(B26:J26)</f>
        <v>160639</v>
      </c>
      <c r="M26" s="293">
        <v>0</v>
      </c>
      <c r="N26" s="293">
        <v>44726</v>
      </c>
      <c r="O26" s="293">
        <v>3195</v>
      </c>
      <c r="P26" s="277">
        <f>N26/Production2!N26</f>
        <v>20.544786403307302</v>
      </c>
      <c r="Q26" s="277">
        <f>O26/Production2!Q26</f>
        <v>58.345507669831996</v>
      </c>
      <c r="R26" s="293">
        <v>5940</v>
      </c>
      <c r="S26" s="293">
        <v>33177</v>
      </c>
      <c r="T26" s="278" t="e">
        <f>R26/'Daily CEM-1'!AX27</f>
        <v>#DIV/0!</v>
      </c>
      <c r="U26" s="278">
        <f>S26/'Daily  CEM - 2'!AU27</f>
        <v>37.701136363636365</v>
      </c>
      <c r="V26" s="278">
        <f>F26/Production2!U26</f>
        <v>62.545000000000002</v>
      </c>
      <c r="W26" s="278">
        <f>E26/Production2!Z26</f>
        <v>35.693129770992364</v>
      </c>
      <c r="AA26" s="283">
        <v>24</v>
      </c>
      <c r="AB26" s="283">
        <f>Clinker!EJ26</f>
        <v>1310</v>
      </c>
      <c r="AC26" s="283">
        <f>Production2!V26</f>
        <v>198</v>
      </c>
      <c r="AD26" s="284">
        <f>'24'!$Q$51</f>
        <v>5418</v>
      </c>
      <c r="AE26" s="284">
        <f>'24'!$Q$52</f>
        <v>818.90381679389304</v>
      </c>
      <c r="AH26" s="52" t="e">
        <f>#REF!</f>
        <v>#REF!</v>
      </c>
    </row>
    <row r="27" spans="1:34" x14ac:dyDescent="0.25">
      <c r="A27">
        <v>25</v>
      </c>
      <c r="B27" s="1">
        <v>2579</v>
      </c>
      <c r="C27" s="277">
        <f t="shared" si="1"/>
        <v>54025</v>
      </c>
      <c r="D27" s="277">
        <v>0</v>
      </c>
      <c r="E27" s="1">
        <v>52337</v>
      </c>
      <c r="F27" s="1">
        <v>12511</v>
      </c>
      <c r="G27" s="277">
        <f t="shared" si="0"/>
        <v>53183</v>
      </c>
      <c r="H27" s="1">
        <v>1599</v>
      </c>
      <c r="I27" s="1">
        <v>5373</v>
      </c>
      <c r="J27" s="1">
        <v>5879</v>
      </c>
      <c r="K27">
        <f t="shared" si="4"/>
        <v>187486</v>
      </c>
      <c r="M27" s="293">
        <v>0</v>
      </c>
      <c r="N27" s="293">
        <v>53212</v>
      </c>
      <c r="O27" s="293">
        <v>813</v>
      </c>
      <c r="P27" s="277">
        <f>N27/Production2!N27</f>
        <v>24.046708784107445</v>
      </c>
      <c r="Q27" s="277" t="e">
        <f>O27/Production2!Q27</f>
        <v>#DIV/0!</v>
      </c>
      <c r="R27" s="293">
        <v>6178</v>
      </c>
      <c r="S27" s="293">
        <v>47005</v>
      </c>
      <c r="T27" s="278" t="e">
        <f>R27/'Daily CEM-1'!AX28</f>
        <v>#DIV/0!</v>
      </c>
      <c r="U27" s="278">
        <f>S27/'Daily  CEM - 2'!AU28</f>
        <v>36.353441608662024</v>
      </c>
      <c r="V27" s="278">
        <f>F27/Production2!U27</f>
        <v>54.633187772925766</v>
      </c>
      <c r="W27" s="278">
        <f>E27/Production2!Z27</f>
        <v>35.847260273972601</v>
      </c>
      <c r="AA27" s="283">
        <v>25</v>
      </c>
      <c r="AB27" s="283">
        <f>Clinker!EJ27</f>
        <v>1460</v>
      </c>
      <c r="AC27" s="283">
        <f>Production2!V27</f>
        <v>222</v>
      </c>
      <c r="AD27" s="284">
        <f>'25'!$Q$51</f>
        <v>5360</v>
      </c>
      <c r="AE27" s="284">
        <f>'25'!$Q$52</f>
        <v>815.01369863013713</v>
      </c>
      <c r="AH27" s="52" t="e">
        <f>#REF!</f>
        <v>#REF!</v>
      </c>
    </row>
    <row r="28" spans="1:34" x14ac:dyDescent="0.25">
      <c r="A28">
        <v>26</v>
      </c>
      <c r="B28" s="1">
        <v>2723</v>
      </c>
      <c r="C28" s="277">
        <f t="shared" si="1"/>
        <v>58591</v>
      </c>
      <c r="D28" s="277">
        <v>0</v>
      </c>
      <c r="E28" s="1">
        <v>54399</v>
      </c>
      <c r="F28" s="1">
        <v>13386</v>
      </c>
      <c r="G28" s="277">
        <f t="shared" si="0"/>
        <v>76011</v>
      </c>
      <c r="H28" s="1">
        <v>1895</v>
      </c>
      <c r="I28" s="1">
        <v>7094</v>
      </c>
      <c r="J28" s="1">
        <v>4847</v>
      </c>
      <c r="K28">
        <f t="shared" si="4"/>
        <v>218946</v>
      </c>
      <c r="M28" s="293">
        <v>0</v>
      </c>
      <c r="N28" s="293">
        <v>54481</v>
      </c>
      <c r="O28" s="293">
        <v>4110</v>
      </c>
      <c r="P28" s="277">
        <f>N28/Production2!N28</f>
        <v>23.432688172043012</v>
      </c>
      <c r="Q28" s="277">
        <f>O28/Production2!Q28</f>
        <v>35.667794845092423</v>
      </c>
      <c r="R28" s="293">
        <v>28381</v>
      </c>
      <c r="S28" s="293">
        <v>47630</v>
      </c>
      <c r="T28" s="278">
        <f>R28/'Daily CEM-1'!AX29</f>
        <v>118.25416666666666</v>
      </c>
      <c r="U28" s="278">
        <f>S28/'Daily  CEM - 2'!AU29</f>
        <v>33.780141843971634</v>
      </c>
      <c r="V28" s="278">
        <f>F28/Production2!U28</f>
        <v>55.497512437810947</v>
      </c>
      <c r="W28" s="278">
        <f>E28/Production2!Z28</f>
        <v>34.213207547169809</v>
      </c>
      <c r="AA28" s="283">
        <v>26</v>
      </c>
      <c r="AB28" s="283">
        <f>Clinker!EJ28</f>
        <v>1590</v>
      </c>
      <c r="AC28" s="283">
        <f>Production2!V28</f>
        <v>240</v>
      </c>
      <c r="AD28" s="284">
        <f>'26'!$Q$51</f>
        <v>5432</v>
      </c>
      <c r="AE28" s="284">
        <f>'26'!$Q$52</f>
        <v>819.92452830188677</v>
      </c>
      <c r="AH28" s="52" t="e">
        <f>#REF!</f>
        <v>#REF!</v>
      </c>
    </row>
    <row r="29" spans="1:34" x14ac:dyDescent="0.25">
      <c r="A29">
        <v>27</v>
      </c>
      <c r="B29" s="1">
        <v>74825</v>
      </c>
      <c r="C29" s="277">
        <f t="shared" si="1"/>
        <v>59866</v>
      </c>
      <c r="D29" s="277">
        <v>0</v>
      </c>
      <c r="E29" s="1">
        <v>55094</v>
      </c>
      <c r="F29" s="1">
        <v>17896</v>
      </c>
      <c r="G29" s="277">
        <f t="shared" si="0"/>
        <v>73740</v>
      </c>
      <c r="H29" s="1">
        <v>1881</v>
      </c>
      <c r="I29" s="1">
        <v>5752</v>
      </c>
      <c r="J29" s="1">
        <v>4526</v>
      </c>
      <c r="K29">
        <f>SUM(B29:J29)</f>
        <v>293580</v>
      </c>
      <c r="M29" s="293">
        <v>0</v>
      </c>
      <c r="N29" s="293">
        <v>49326</v>
      </c>
      <c r="O29" s="293">
        <v>10540</v>
      </c>
      <c r="P29" s="277">
        <f>N29/Production2!N29</f>
        <v>19.986223662884928</v>
      </c>
      <c r="Q29" s="277">
        <f>O29/Production2!Q29</f>
        <v>54.790247959661066</v>
      </c>
      <c r="R29" s="293">
        <v>22332</v>
      </c>
      <c r="S29" s="293">
        <v>51408</v>
      </c>
      <c r="T29" s="278">
        <f>R29/'Daily CEM-1'!AX30</f>
        <v>82.711111111111109</v>
      </c>
      <c r="U29" s="278">
        <f>S29/'Daily  CEM - 2'!AU30</f>
        <v>42.485950413223144</v>
      </c>
      <c r="V29" s="278">
        <f>F29/Production2!U29</f>
        <v>75.319865319865315</v>
      </c>
      <c r="W29" s="278">
        <f>E29/Production2!Z29</f>
        <v>34.219875776397515</v>
      </c>
      <c r="AA29" s="283">
        <v>27</v>
      </c>
      <c r="AB29" s="283">
        <f>Clinker!EJ29</f>
        <v>1610</v>
      </c>
      <c r="AC29" s="283">
        <f>Production2!V29</f>
        <v>242</v>
      </c>
      <c r="AD29" s="284">
        <f>'27'!$Q$51</f>
        <v>5461</v>
      </c>
      <c r="AE29" s="284">
        <f>'27'!$Q$52</f>
        <v>820.84596273291925</v>
      </c>
      <c r="AH29" s="52" t="e">
        <f>#REF!</f>
        <v>#REF!</v>
      </c>
    </row>
    <row r="30" spans="1:34" x14ac:dyDescent="0.25">
      <c r="A30">
        <v>28</v>
      </c>
      <c r="B30" s="1">
        <v>2465</v>
      </c>
      <c r="C30" s="277">
        <f t="shared" si="1"/>
        <v>64103</v>
      </c>
      <c r="D30" s="277">
        <v>0</v>
      </c>
      <c r="E30" s="1">
        <v>58547</v>
      </c>
      <c r="F30" s="1">
        <v>14838</v>
      </c>
      <c r="G30" s="277">
        <f>R30+S30</f>
        <v>47386</v>
      </c>
      <c r="H30" s="1">
        <v>1746</v>
      </c>
      <c r="I30" s="1">
        <v>5655</v>
      </c>
      <c r="J30" s="1">
        <v>4758</v>
      </c>
      <c r="K30">
        <f>SUM(B30:J30)</f>
        <v>199498</v>
      </c>
      <c r="M30" s="293">
        <v>0</v>
      </c>
      <c r="N30" s="293">
        <v>56178</v>
      </c>
      <c r="O30" s="293">
        <v>7925</v>
      </c>
      <c r="P30" s="277">
        <f>N30/Production2!N30</f>
        <v>22.65241935483871</v>
      </c>
      <c r="Q30" s="277">
        <f>O30/Production2!Q30</f>
        <v>52.018378733180178</v>
      </c>
      <c r="R30" s="293">
        <v>9981</v>
      </c>
      <c r="S30" s="293">
        <v>37405</v>
      </c>
      <c r="T30" s="278" t="e">
        <f>R30/'Daily CEM-1'!AX31</f>
        <v>#DIV/0!</v>
      </c>
      <c r="U30" s="278">
        <f>S30/'Daily  CEM - 2'!AU31</f>
        <v>57.106870229007633</v>
      </c>
      <c r="V30" s="278">
        <f>F30/Production2!U30</f>
        <v>64.401041666666671</v>
      </c>
      <c r="W30" s="278">
        <f>E30/Production2!Z30</f>
        <v>36.140123456790121</v>
      </c>
      <c r="AA30" s="283">
        <v>28</v>
      </c>
      <c r="AB30" s="283">
        <f>Clinker!EJ30</f>
        <v>1620</v>
      </c>
      <c r="AC30" s="283">
        <f>Production2!V30</f>
        <v>243</v>
      </c>
      <c r="AD30" s="284">
        <f>'28'!$Q$51</f>
        <v>5378</v>
      </c>
      <c r="AE30" s="284">
        <f>'28'!$Q$52</f>
        <v>806.7</v>
      </c>
      <c r="AH30" s="52" t="e">
        <f>#REF!</f>
        <v>#REF!</v>
      </c>
    </row>
    <row r="31" spans="1:34" x14ac:dyDescent="0.25">
      <c r="A31">
        <v>29</v>
      </c>
      <c r="B31" s="1">
        <v>2518</v>
      </c>
      <c r="C31" s="277">
        <f t="shared" si="1"/>
        <v>61797</v>
      </c>
      <c r="D31" s="277">
        <v>0</v>
      </c>
      <c r="E31" s="1">
        <v>53792</v>
      </c>
      <c r="F31" s="1">
        <v>13970</v>
      </c>
      <c r="G31" s="277">
        <f t="shared" si="0"/>
        <v>55914</v>
      </c>
      <c r="H31" s="1">
        <v>1737</v>
      </c>
      <c r="I31" s="1">
        <v>5404</v>
      </c>
      <c r="J31" s="1">
        <v>5790</v>
      </c>
      <c r="K31">
        <f t="shared" si="4"/>
        <v>200922</v>
      </c>
      <c r="M31" s="293">
        <v>0</v>
      </c>
      <c r="N31" s="293">
        <v>51305</v>
      </c>
      <c r="O31" s="293">
        <v>10492</v>
      </c>
      <c r="P31" s="277">
        <f>N31/Production2!N31</f>
        <v>21.200413223140497</v>
      </c>
      <c r="Q31" s="277">
        <f>O31/Production2!Q31</f>
        <v>52.907064696687002</v>
      </c>
      <c r="R31" s="293">
        <v>4608</v>
      </c>
      <c r="S31" s="293">
        <v>51306</v>
      </c>
      <c r="T31" s="278" t="e">
        <f>R31/'Daily CEM-1'!AX32</f>
        <v>#DIV/0!</v>
      </c>
      <c r="U31" s="278">
        <f>S31/'Daily  CEM - 2'!AU32</f>
        <v>42.755000000000003</v>
      </c>
      <c r="V31" s="278">
        <f>F31/Production2!U31</f>
        <v>57.489711934156375</v>
      </c>
      <c r="W31" s="278">
        <f>E31/Production2!Z31</f>
        <v>32.799999999999997</v>
      </c>
      <c r="AA31" s="283">
        <v>29</v>
      </c>
      <c r="AB31" s="283">
        <f>Clinker!EJ31</f>
        <v>1640</v>
      </c>
      <c r="AC31" s="283">
        <f>Production2!V31</f>
        <v>243</v>
      </c>
      <c r="AD31" s="284">
        <f>'29'!$Q$51</f>
        <v>5453</v>
      </c>
      <c r="AE31" s="284">
        <f>'29'!$Q$52</f>
        <v>807.97500000000002</v>
      </c>
      <c r="AH31" s="52" t="e">
        <f>#REF!</f>
        <v>#REF!</v>
      </c>
    </row>
    <row r="32" spans="1:34" x14ac:dyDescent="0.25">
      <c r="A32">
        <v>30</v>
      </c>
      <c r="B32" s="1">
        <v>2232</v>
      </c>
      <c r="C32" s="277">
        <f t="shared" si="1"/>
        <v>62930</v>
      </c>
      <c r="D32" s="277">
        <v>0</v>
      </c>
      <c r="E32" s="1">
        <v>53835</v>
      </c>
      <c r="F32" s="1">
        <v>14434</v>
      </c>
      <c r="G32" s="277">
        <f t="shared" si="0"/>
        <v>54260</v>
      </c>
      <c r="H32" s="1">
        <v>1708</v>
      </c>
      <c r="I32" s="1">
        <v>5742</v>
      </c>
      <c r="J32" s="1">
        <v>5368</v>
      </c>
      <c r="K32">
        <f t="shared" si="4"/>
        <v>200509</v>
      </c>
      <c r="M32" s="293">
        <v>0</v>
      </c>
      <c r="N32" s="293">
        <v>53434</v>
      </c>
      <c r="O32" s="293">
        <v>9496</v>
      </c>
      <c r="P32" s="277">
        <f>N32/Production2!N32</f>
        <v>22.116721854304636</v>
      </c>
      <c r="Q32" s="277">
        <f>O32/Production2!Q32</f>
        <v>53.426353100033758</v>
      </c>
      <c r="R32" s="293">
        <v>3569</v>
      </c>
      <c r="S32" s="293">
        <v>50691</v>
      </c>
      <c r="T32" s="278" t="e">
        <f>R32/'Daily CEM-1'!AX33</f>
        <v>#DIV/0!</v>
      </c>
      <c r="U32" s="278">
        <f>S32/'Daily  CEM - 2'!AU33</f>
        <v>35.202083333333334</v>
      </c>
      <c r="V32" s="278">
        <f>F32/Production2!U32</f>
        <v>58.319191919191923</v>
      </c>
      <c r="W32" s="278">
        <f>E32/Production2!Z32</f>
        <v>31.949554896142434</v>
      </c>
      <c r="AA32" s="283">
        <v>30</v>
      </c>
      <c r="AB32" s="283">
        <f>Clinker!EJ32</f>
        <v>1685</v>
      </c>
      <c r="AC32" s="283">
        <f>Production2!V32</f>
        <v>250</v>
      </c>
      <c r="AD32" s="284">
        <f>'30'!$Q$51</f>
        <v>5380</v>
      </c>
      <c r="AE32" s="284">
        <f>'30'!$Q$52</f>
        <v>798.21958456973289</v>
      </c>
      <c r="AH32" s="52" t="e">
        <f>#REF!</f>
        <v>#REF!</v>
      </c>
    </row>
    <row r="33" spans="1:46" x14ac:dyDescent="0.25">
      <c r="A33">
        <v>31</v>
      </c>
      <c r="B33" s="1">
        <v>0</v>
      </c>
      <c r="C33" s="277">
        <f t="shared" si="1"/>
        <v>0</v>
      </c>
      <c r="D33" s="277">
        <v>0</v>
      </c>
      <c r="E33" s="1">
        <v>0</v>
      </c>
      <c r="F33" s="1">
        <v>0</v>
      </c>
      <c r="G33" s="277">
        <f t="shared" si="0"/>
        <v>0</v>
      </c>
      <c r="H33" s="1">
        <v>0</v>
      </c>
      <c r="I33" s="1">
        <v>0</v>
      </c>
      <c r="J33" s="1">
        <v>0</v>
      </c>
      <c r="K33">
        <f t="shared" si="4"/>
        <v>0</v>
      </c>
      <c r="M33" s="293">
        <v>0</v>
      </c>
      <c r="N33" s="293">
        <v>0</v>
      </c>
      <c r="O33" s="293">
        <v>0</v>
      </c>
      <c r="P33" s="277" t="e">
        <f>N33/Production2!N33</f>
        <v>#DIV/0!</v>
      </c>
      <c r="Q33" s="277" t="e">
        <f>O33/Production2!Q33</f>
        <v>#DIV/0!</v>
      </c>
      <c r="R33" s="293">
        <v>0</v>
      </c>
      <c r="S33" s="293">
        <v>0</v>
      </c>
      <c r="T33" s="278" t="e">
        <f>R33/'Daily CEM-1'!AX34</f>
        <v>#DIV/0!</v>
      </c>
      <c r="U33" s="278" t="e">
        <f>S33/'Daily  CEM - 2'!AU34</f>
        <v>#DIV/0!</v>
      </c>
      <c r="V33" s="278" t="e">
        <f>F33/Production2!U33</f>
        <v>#DIV/0!</v>
      </c>
      <c r="W33" s="278" t="e">
        <f>E33/Production2!Z33</f>
        <v>#DIV/0!</v>
      </c>
      <c r="AA33" s="283" t="s">
        <v>152</v>
      </c>
      <c r="AB33" s="283">
        <f>SUM(AB3:AB32)</f>
        <v>40500</v>
      </c>
      <c r="AC33" s="283">
        <f>SUM(AC3:AC32)</f>
        <v>6128</v>
      </c>
      <c r="AD33" s="284">
        <f>AVERAGE(AD5:AD6,AD8:AD32)</f>
        <v>5401.9259259259261</v>
      </c>
      <c r="AE33" s="284">
        <f>(AC33/AB33)*AD33</f>
        <v>817.35807590306354</v>
      </c>
      <c r="AH33" s="52" t="e">
        <f>#REF!</f>
        <v>#REF!</v>
      </c>
    </row>
    <row r="34" spans="1:46" x14ac:dyDescent="0.25">
      <c r="A34" s="17" t="s">
        <v>169</v>
      </c>
      <c r="B34" s="17">
        <f>SUM(B3:B33)</f>
        <v>128144</v>
      </c>
      <c r="C34" s="17">
        <f t="shared" ref="C34:K34" si="8">SUM(C3:C33)</f>
        <v>1427981</v>
      </c>
      <c r="D34" s="17"/>
      <c r="E34" s="17">
        <f t="shared" si="8"/>
        <v>1387085</v>
      </c>
      <c r="F34" s="17">
        <f t="shared" si="8"/>
        <v>373297</v>
      </c>
      <c r="G34" s="17">
        <f t="shared" si="8"/>
        <v>2010986</v>
      </c>
      <c r="H34" s="17">
        <f t="shared" si="8"/>
        <v>47972</v>
      </c>
      <c r="I34" s="17">
        <f t="shared" si="8"/>
        <v>172570</v>
      </c>
      <c r="J34" s="17">
        <f t="shared" si="8"/>
        <v>146348</v>
      </c>
      <c r="K34" s="17">
        <f t="shared" si="8"/>
        <v>5694383</v>
      </c>
      <c r="L34" t="s">
        <v>26</v>
      </c>
      <c r="N34" s="17">
        <f>SUM(N3:N33)</f>
        <v>1231363</v>
      </c>
      <c r="O34" s="17">
        <f>SUM(O3:O33)</f>
        <v>196618</v>
      </c>
      <c r="P34" s="17">
        <f>N34/Production2!N34</f>
        <v>20.921213480435256</v>
      </c>
      <c r="Q34">
        <f>O34/Production2!Q34</f>
        <v>53.982713934282202</v>
      </c>
      <c r="R34">
        <f>SUM(R3:R33)</f>
        <v>797663</v>
      </c>
      <c r="S34">
        <f>SUM(S3:S33)</f>
        <v>1213323</v>
      </c>
      <c r="T34">
        <f>R34/'Daily CEM-1'!AX40</f>
        <v>61.344535876336231</v>
      </c>
      <c r="U34">
        <f>S34/'Daily  CEM - 2'!AU41</f>
        <v>43.394957081545066</v>
      </c>
      <c r="AD34" s="52">
        <f>AVERAGE(AD5:AD6,AD8:AD32)</f>
        <v>5401.9259259259261</v>
      </c>
      <c r="AE34" s="52">
        <f>AD34*(Production2!V34/Production2!Z34)</f>
        <v>817.35807590306354</v>
      </c>
      <c r="AH34" s="52" t="e">
        <f>AVERAGE(AH3:AH25,AH27:AH33)</f>
        <v>#DIV/0!</v>
      </c>
    </row>
    <row r="36" spans="1:46" x14ac:dyDescent="0.25">
      <c r="A36" t="s">
        <v>170</v>
      </c>
      <c r="B36">
        <f>B34/Production2!D34</f>
        <v>1.9718799674389902</v>
      </c>
      <c r="C36">
        <f>C34/(Production2!N34+Production2!Q34)</f>
        <v>22.847918995689398</v>
      </c>
      <c r="E36">
        <f>E34/Production2!Z34</f>
        <v>34.249012345679013</v>
      </c>
      <c r="F36">
        <f>F34/Production2!U34</f>
        <v>60.672062671672599</v>
      </c>
    </row>
    <row r="37" spans="1:46" x14ac:dyDescent="0.25">
      <c r="A37" t="s">
        <v>171</v>
      </c>
      <c r="B37">
        <f>B36*('30'!J9/'30'!G18)</f>
        <v>3.2566206267183144</v>
      </c>
      <c r="C37">
        <f>C36*1.55</f>
        <v>35.414274443318568</v>
      </c>
      <c r="E37">
        <f>E36</f>
        <v>34.249012345679013</v>
      </c>
      <c r="F37">
        <f>F36*(Production2!V34/Production2!Z34)</f>
        <v>9.1802074086915972</v>
      </c>
      <c r="J37">
        <f>SUM(B37:I37)</f>
        <v>82.100114824407498</v>
      </c>
      <c r="AA37">
        <v>794.94736842105249</v>
      </c>
      <c r="AB37">
        <v>794.94736842105249</v>
      </c>
      <c r="AC37">
        <v>809.3608695652174</v>
      </c>
      <c r="AD37">
        <v>807.18081395348838</v>
      </c>
      <c r="AE37">
        <v>760.84911242603539</v>
      </c>
      <c r="AF37">
        <v>770.6467836257309</v>
      </c>
      <c r="AG37">
        <v>796.54437869822493</v>
      </c>
      <c r="AH37">
        <v>793.07109826589601</v>
      </c>
      <c r="AI37">
        <v>795.79303797468344</v>
      </c>
      <c r="AJ37">
        <v>790.85679012345679</v>
      </c>
      <c r="AK37">
        <v>778.82000000000016</v>
      </c>
      <c r="AL37">
        <v>846.48674698795196</v>
      </c>
      <c r="AM37">
        <v>796.10557184750724</v>
      </c>
      <c r="AN37">
        <v>795.80887573964492</v>
      </c>
      <c r="AO37">
        <v>797.25301204819277</v>
      </c>
      <c r="AP37">
        <v>811.14074074074074</v>
      </c>
      <c r="AQ37">
        <v>798.53333333333342</v>
      </c>
      <c r="AR37">
        <v>794.31345029239776</v>
      </c>
      <c r="AS37">
        <v>792.61954022988505</v>
      </c>
      <c r="AT37">
        <v>793.10399999999993</v>
      </c>
    </row>
    <row r="38" spans="1:46" x14ac:dyDescent="0.25">
      <c r="A38" t="s">
        <v>172</v>
      </c>
      <c r="B38">
        <f>B37*((Clinker!EK34+Clinker!EP34)/Production2!CG34)</f>
        <v>2.4926535133813443</v>
      </c>
      <c r="C38">
        <f>C37*((Clinker!EK34+Clinker!EP34)/Production2!CG34)</f>
        <v>27.106478074464608</v>
      </c>
      <c r="E38">
        <f>E37*((Clinker!EK34+Clinker!EP34)/Production2!CG34)</f>
        <v>26.214573552991897</v>
      </c>
      <c r="F38">
        <f>F37*((Clinker!EK34+Clinker!EP34)/Production2!CG34)</f>
        <v>7.0266324738917332</v>
      </c>
      <c r="G38">
        <f>G34/Production2!CG34</f>
        <v>43.000106912994205</v>
      </c>
      <c r="H38">
        <f>H34/Production2!CG34</f>
        <v>1.0257660316034811</v>
      </c>
      <c r="I38">
        <f>I34/Production2!CF34</f>
        <v>3.8493023878299857</v>
      </c>
      <c r="J38">
        <f>J34/Production2!CG34</f>
        <v>3.129300575191909</v>
      </c>
      <c r="K38">
        <f>SUM(B38:J38)</f>
        <v>113.84481352234916</v>
      </c>
      <c r="AA38">
        <v>809.3608695652174</v>
      </c>
    </row>
    <row r="39" spans="1:46" x14ac:dyDescent="0.25">
      <c r="AA39">
        <v>807.18081395348838</v>
      </c>
    </row>
    <row r="40" spans="1:46" x14ac:dyDescent="0.25">
      <c r="AA40">
        <v>760.84911242603539</v>
      </c>
    </row>
    <row r="41" spans="1:46" x14ac:dyDescent="0.25">
      <c r="AA41">
        <v>770.6467836257309</v>
      </c>
    </row>
    <row r="42" spans="1:46" x14ac:dyDescent="0.25">
      <c r="AA42">
        <v>796.54437869822493</v>
      </c>
    </row>
    <row r="43" spans="1:46" x14ac:dyDescent="0.25">
      <c r="AA43">
        <v>793.07109826589601</v>
      </c>
    </row>
    <row r="44" spans="1:46" x14ac:dyDescent="0.25">
      <c r="AA44">
        <v>795.79303797468344</v>
      </c>
    </row>
    <row r="45" spans="1:46" x14ac:dyDescent="0.25">
      <c r="AA45">
        <v>790.85679012345679</v>
      </c>
    </row>
    <row r="46" spans="1:46" x14ac:dyDescent="0.25">
      <c r="AA46">
        <v>778.82000000000016</v>
      </c>
    </row>
    <row r="47" spans="1:46" x14ac:dyDescent="0.25">
      <c r="AA47">
        <v>846.48674698795196</v>
      </c>
    </row>
    <row r="48" spans="1:46" x14ac:dyDescent="0.25">
      <c r="AA48">
        <v>796.10557184750724</v>
      </c>
    </row>
    <row r="49" spans="27:27" x14ac:dyDescent="0.25">
      <c r="AA49">
        <v>795.80887573964492</v>
      </c>
    </row>
    <row r="50" spans="27:27" x14ac:dyDescent="0.25">
      <c r="AA50">
        <v>797.25301204819277</v>
      </c>
    </row>
    <row r="51" spans="27:27" x14ac:dyDescent="0.25">
      <c r="AA51">
        <v>811.14074074074074</v>
      </c>
    </row>
    <row r="52" spans="27:27" x14ac:dyDescent="0.25">
      <c r="AA52">
        <v>798.53333333333342</v>
      </c>
    </row>
    <row r="53" spans="27:27" x14ac:dyDescent="0.25">
      <c r="AA53">
        <v>794.31345029239776</v>
      </c>
    </row>
    <row r="54" spans="27:27" x14ac:dyDescent="0.25">
      <c r="AA54">
        <v>792.61954022988505</v>
      </c>
    </row>
    <row r="55" spans="27:27" x14ac:dyDescent="0.25">
      <c r="AA55">
        <v>793.10399999999993</v>
      </c>
    </row>
  </sheetData>
  <pageMargins left="0.7" right="0.7" top="0.75" bottom="0.75" header="0.3" footer="0.3"/>
  <pageSetup paperSize="11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X52"/>
  <sheetViews>
    <sheetView zoomScale="70" zoomScaleNormal="70" workbookViewId="0">
      <pane ySplit="3" topLeftCell="A4" activePane="bottomLeft" state="frozen"/>
      <selection pane="bottomLeft" activeCell="N25" sqref="N25"/>
    </sheetView>
  </sheetViews>
  <sheetFormatPr defaultRowHeight="15" x14ac:dyDescent="0.25"/>
  <cols>
    <col min="3" max="3" width="9.140625" customWidth="1"/>
    <col min="7" max="7" width="10.710937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50" x14ac:dyDescent="0.25"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</row>
    <row r="2" spans="2:50" x14ac:dyDescent="0.25">
      <c r="B2" s="30" t="s">
        <v>28</v>
      </c>
      <c r="C2" s="637" t="s">
        <v>173</v>
      </c>
      <c r="D2" s="649"/>
      <c r="E2" s="638"/>
      <c r="F2" s="193"/>
      <c r="G2" s="193"/>
      <c r="H2" s="646" t="s">
        <v>102</v>
      </c>
      <c r="I2" s="647"/>
      <c r="J2" s="648"/>
      <c r="K2" s="196"/>
      <c r="L2" s="196"/>
      <c r="M2" s="30" t="s">
        <v>174</v>
      </c>
      <c r="N2" s="30" t="s">
        <v>175</v>
      </c>
      <c r="O2" s="30" t="s">
        <v>176</v>
      </c>
      <c r="P2" s="30" t="s">
        <v>177</v>
      </c>
      <c r="Q2" s="1" t="s">
        <v>303</v>
      </c>
      <c r="R2" s="30" t="s">
        <v>178</v>
      </c>
      <c r="S2" s="30" t="s">
        <v>179</v>
      </c>
      <c r="T2" s="30" t="s">
        <v>180</v>
      </c>
      <c r="U2" s="30" t="s">
        <v>181</v>
      </c>
      <c r="V2" s="30" t="s">
        <v>182</v>
      </c>
      <c r="W2" s="30" t="s">
        <v>183</v>
      </c>
      <c r="X2" s="30" t="s">
        <v>184</v>
      </c>
      <c r="Y2" s="30" t="s">
        <v>185</v>
      </c>
      <c r="Z2" s="30" t="s">
        <v>304</v>
      </c>
      <c r="AA2" s="30" t="s">
        <v>305</v>
      </c>
      <c r="AB2" s="30" t="s">
        <v>186</v>
      </c>
      <c r="AC2" s="30" t="s">
        <v>187</v>
      </c>
      <c r="AD2" s="436" t="s">
        <v>188</v>
      </c>
      <c r="AE2" s="235" t="s">
        <v>189</v>
      </c>
      <c r="AF2" s="235" t="s">
        <v>309</v>
      </c>
      <c r="AG2" t="s">
        <v>190</v>
      </c>
      <c r="AH2" t="s">
        <v>191</v>
      </c>
      <c r="AI2" t="s">
        <v>192</v>
      </c>
      <c r="AJ2" t="s">
        <v>193</v>
      </c>
      <c r="AK2" t="s">
        <v>194</v>
      </c>
      <c r="AL2" t="s">
        <v>195</v>
      </c>
      <c r="AM2" t="s">
        <v>196</v>
      </c>
      <c r="AN2">
        <v>42.5</v>
      </c>
      <c r="AO2">
        <v>32.5</v>
      </c>
      <c r="AP2" t="s">
        <v>197</v>
      </c>
      <c r="AX2" t="s">
        <v>200</v>
      </c>
    </row>
    <row r="3" spans="2:50" x14ac:dyDescent="0.25">
      <c r="B3" s="1" t="s">
        <v>201</v>
      </c>
      <c r="C3" s="1">
        <v>42.5</v>
      </c>
      <c r="D3" s="1">
        <v>32.5</v>
      </c>
      <c r="E3" s="1" t="s">
        <v>197</v>
      </c>
      <c r="F3" s="1" t="s">
        <v>177</v>
      </c>
      <c r="G3" s="1" t="s">
        <v>303</v>
      </c>
      <c r="H3" s="186">
        <v>42.5</v>
      </c>
      <c r="I3" s="186">
        <v>32.5</v>
      </c>
      <c r="J3" s="186" t="s">
        <v>197</v>
      </c>
      <c r="K3" s="186" t="s">
        <v>177</v>
      </c>
      <c r="L3" s="1" t="s">
        <v>303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f>F4*0.05</f>
        <v>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50" x14ac:dyDescent="0.25">
      <c r="B4" s="1">
        <v>1</v>
      </c>
      <c r="C4" s="1">
        <v>1250</v>
      </c>
      <c r="D4" s="1">
        <v>0</v>
      </c>
      <c r="E4" s="1">
        <v>0</v>
      </c>
      <c r="F4" s="1">
        <v>0</v>
      </c>
      <c r="G4" s="1">
        <v>190</v>
      </c>
      <c r="H4" s="1">
        <v>20.399999999999999</v>
      </c>
      <c r="I4" s="1">
        <v>0</v>
      </c>
      <c r="J4" s="1">
        <v>0</v>
      </c>
      <c r="K4" s="1">
        <v>0</v>
      </c>
      <c r="L4" s="1">
        <v>3</v>
      </c>
      <c r="M4" s="1">
        <f t="shared" ref="M4" si="0">C4/H4</f>
        <v>61.274509803921575</v>
      </c>
      <c r="N4" s="1" t="e">
        <f t="shared" ref="N4" si="1">D4/I4</f>
        <v>#DIV/0!</v>
      </c>
      <c r="O4" s="1" t="e">
        <f t="shared" ref="O4" si="2">E4/J4</f>
        <v>#DIV/0!</v>
      </c>
      <c r="P4" s="1" t="e">
        <f>F4/K4</f>
        <v>#DIV/0!</v>
      </c>
      <c r="Q4" s="1">
        <f>G4/L4</f>
        <v>63.333333333333336</v>
      </c>
      <c r="R4" s="1">
        <f>C4*(0.194444444444444*0.9)</f>
        <v>218.74999999999949</v>
      </c>
      <c r="S4" s="1">
        <f>C4*0.05</f>
        <v>62.5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>
        <f>F5*0.05</f>
        <v>0</v>
      </c>
      <c r="Z4" s="1">
        <f>G4*(0.277777777777777*0.9)</f>
        <v>47.499999999999865</v>
      </c>
      <c r="AA4" s="1">
        <f>G4*0.05</f>
        <v>9.5</v>
      </c>
      <c r="AB4" s="44">
        <f>C4-R4-S4</f>
        <v>968.75000000000045</v>
      </c>
      <c r="AC4" s="42">
        <f>D4-T4-U4</f>
        <v>0</v>
      </c>
      <c r="AD4" s="42">
        <f>E4-V4-W4</f>
        <v>0</v>
      </c>
      <c r="AE4" s="277">
        <f t="shared" ref="AE4:AE34" si="3">F4-Y4</f>
        <v>0</v>
      </c>
      <c r="AF4" s="277">
        <f t="shared" ref="AF4:AF37" si="4">G4-Z4-AA4</f>
        <v>133.00000000000014</v>
      </c>
      <c r="AG4" s="43">
        <f>AB4+AC4+AD4+AE4+AF4</f>
        <v>1101.7500000000007</v>
      </c>
      <c r="AH4" s="42">
        <f t="shared" ref="AH4:AH34" si="5">R4+T4+V4+Z4</f>
        <v>266.24999999999937</v>
      </c>
      <c r="AI4" s="44">
        <f t="shared" ref="AI4:AI35" si="6">S4+U4+W4+Y4+AA4</f>
        <v>72</v>
      </c>
      <c r="AJ4" s="1">
        <v>0</v>
      </c>
      <c r="AK4" s="6">
        <v>0</v>
      </c>
      <c r="AL4" s="45">
        <f t="shared" ref="AL4:AL24" si="7">AG4/(C4+D4)*100</f>
        <v>88.140000000000057</v>
      </c>
      <c r="AM4" s="44">
        <f>AG4+AH4+AI4</f>
        <v>1440</v>
      </c>
      <c r="AN4">
        <f>(R4)/C4*100</f>
        <v>17.499999999999961</v>
      </c>
      <c r="AO4" t="e">
        <f>(T4)/D4*100</f>
        <v>#DIV/0!</v>
      </c>
      <c r="AP4">
        <f>Z4/G4</f>
        <v>0.24999999999999928</v>
      </c>
      <c r="AS4">
        <f t="shared" ref="AS4:AS33" si="8">C4+D4+E4</f>
        <v>1250</v>
      </c>
      <c r="AT4">
        <f t="shared" ref="AT4:AT29" si="9">AB4/C4</f>
        <v>0.77500000000000036</v>
      </c>
      <c r="AU4" t="e">
        <f t="shared" ref="AU4:AU29" si="10">AC4/D4</f>
        <v>#DIV/0!</v>
      </c>
      <c r="AV4" t="e">
        <f t="shared" ref="AV4:AV29" si="11">AD4/E4</f>
        <v>#DIV/0!</v>
      </c>
      <c r="AW4" t="e">
        <f t="shared" ref="AW4:AW29" si="12">AE4/F4</f>
        <v>#DIV/0!</v>
      </c>
      <c r="AX4">
        <f t="shared" ref="AX4:AX36" si="13">C4+D4+E4+F4</f>
        <v>1250</v>
      </c>
    </row>
    <row r="5" spans="2:50" ht="13.5" customHeight="1" x14ac:dyDescent="0.25">
      <c r="B5" s="1">
        <v>2</v>
      </c>
      <c r="C5" s="1">
        <v>1158</v>
      </c>
      <c r="D5" s="1">
        <v>0</v>
      </c>
      <c r="E5" s="1">
        <v>0</v>
      </c>
      <c r="F5" s="1">
        <v>0</v>
      </c>
      <c r="G5" s="1">
        <v>252</v>
      </c>
      <c r="H5" s="1">
        <v>20</v>
      </c>
      <c r="I5" s="1">
        <v>0</v>
      </c>
      <c r="J5" s="1">
        <v>0</v>
      </c>
      <c r="K5" s="1">
        <v>0</v>
      </c>
      <c r="L5" s="1">
        <v>4</v>
      </c>
      <c r="M5" s="1">
        <f t="shared" ref="M5:O6" si="14">C5/H5</f>
        <v>57.9</v>
      </c>
      <c r="N5" s="1" t="e">
        <f t="shared" si="14"/>
        <v>#DIV/0!</v>
      </c>
      <c r="O5" s="1" t="e">
        <f t="shared" si="14"/>
        <v>#DIV/0!</v>
      </c>
      <c r="P5" s="1" t="e">
        <f t="shared" ref="P5:P35" si="15">F5/K5</f>
        <v>#DIV/0!</v>
      </c>
      <c r="Q5" s="1">
        <f t="shared" ref="Q5:Q35" si="16">G5/L5</f>
        <v>63</v>
      </c>
      <c r="R5" s="1">
        <f>C5*(0.19679524*0.9)</f>
        <v>205.09999912800001</v>
      </c>
      <c r="S5" s="15">
        <f>C5*0.050086355</f>
        <v>57.999999089999996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65.499999894000013</v>
      </c>
      <c r="AA5" s="1">
        <f t="shared" ref="AA5:AA38" si="17">G5*0.05</f>
        <v>12.600000000000001</v>
      </c>
      <c r="AB5" s="44">
        <f t="shared" ref="AB5:AB40" si="18">C5-R5-S5</f>
        <v>894.900001782</v>
      </c>
      <c r="AC5" s="42">
        <f t="shared" ref="AC5:AC40" si="19">D5-T5-U5</f>
        <v>0</v>
      </c>
      <c r="AD5" s="42">
        <f t="shared" ref="AD5:AD40" si="20">E5-V5-W5</f>
        <v>0</v>
      </c>
      <c r="AE5" s="277">
        <f t="shared" si="3"/>
        <v>0</v>
      </c>
      <c r="AF5" s="277">
        <f t="shared" si="4"/>
        <v>173.90000010599999</v>
      </c>
      <c r="AG5" s="43">
        <f t="shared" ref="AG5:AG36" si="21">AB5+AC5+AD5+AE5+AF5</f>
        <v>1068.800001888</v>
      </c>
      <c r="AH5" s="42">
        <f t="shared" si="5"/>
        <v>270.59999902200002</v>
      </c>
      <c r="AI5" s="44">
        <f t="shared" si="6"/>
        <v>70.599999089999997</v>
      </c>
      <c r="AJ5" s="1">
        <v>0</v>
      </c>
      <c r="AK5" s="6">
        <v>0</v>
      </c>
      <c r="AL5" s="45">
        <f t="shared" si="7"/>
        <v>92.297064066321241</v>
      </c>
      <c r="AM5" s="44">
        <f t="shared" ref="AM5:AM39" si="22">AG5+AH5+AI5</f>
        <v>1410</v>
      </c>
      <c r="AN5">
        <f t="shared" ref="AN5:AN34" si="23">(R5)/C5*100</f>
        <v>17.711571599999999</v>
      </c>
      <c r="AO5" t="e">
        <f t="shared" ref="AO5:AO34" si="24">(T5)/D5*100</f>
        <v>#DIV/0!</v>
      </c>
      <c r="AP5">
        <f t="shared" ref="AP5:AP35" si="25">Z5/G5</f>
        <v>0.25992063450000003</v>
      </c>
      <c r="AS5">
        <f t="shared" si="8"/>
        <v>1158</v>
      </c>
      <c r="AT5">
        <f t="shared" si="9"/>
        <v>0.77279792899999999</v>
      </c>
      <c r="AU5" t="e">
        <f t="shared" si="10"/>
        <v>#DIV/0!</v>
      </c>
      <c r="AV5" t="e">
        <f t="shared" si="11"/>
        <v>#DIV/0!</v>
      </c>
      <c r="AW5" t="e">
        <f t="shared" si="12"/>
        <v>#DIV/0!</v>
      </c>
      <c r="AX5">
        <f t="shared" si="13"/>
        <v>1158</v>
      </c>
    </row>
    <row r="6" spans="2:50" x14ac:dyDescent="0.25">
      <c r="B6" s="1">
        <v>3</v>
      </c>
      <c r="C6" s="1">
        <v>948</v>
      </c>
      <c r="D6" s="1">
        <v>0</v>
      </c>
      <c r="E6" s="1">
        <v>0</v>
      </c>
      <c r="F6" s="1">
        <v>0</v>
      </c>
      <c r="G6" s="1">
        <v>382</v>
      </c>
      <c r="H6" s="1">
        <v>15.57</v>
      </c>
      <c r="I6" s="1">
        <v>0</v>
      </c>
      <c r="J6" s="1">
        <v>0</v>
      </c>
      <c r="K6" s="1">
        <v>0</v>
      </c>
      <c r="L6" s="1">
        <v>6</v>
      </c>
      <c r="M6" s="1">
        <f t="shared" si="14"/>
        <v>60.886319845857415</v>
      </c>
      <c r="N6" s="1" t="e">
        <f t="shared" si="14"/>
        <v>#DIV/0!</v>
      </c>
      <c r="O6" s="1" t="e">
        <f t="shared" si="14"/>
        <v>#DIV/0!</v>
      </c>
      <c r="P6" s="1" t="e">
        <f t="shared" si="15"/>
        <v>#DIV/0!</v>
      </c>
      <c r="Q6" s="1">
        <f t="shared" si="16"/>
        <v>63.666666666666664</v>
      </c>
      <c r="R6" s="1">
        <f>C6*(0.19315518*0.9)</f>
        <v>164.799999576</v>
      </c>
      <c r="S6" s="1">
        <f>C6*0.05042194</f>
        <v>47.799999119999995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95.499999732600003</v>
      </c>
      <c r="AA6" s="1">
        <f t="shared" si="17"/>
        <v>19.100000000000001</v>
      </c>
      <c r="AB6" s="44">
        <f t="shared" si="18"/>
        <v>735.40000130399994</v>
      </c>
      <c r="AC6" s="42">
        <f t="shared" si="19"/>
        <v>0</v>
      </c>
      <c r="AD6" s="42">
        <f t="shared" si="20"/>
        <v>0</v>
      </c>
      <c r="AE6" s="277">
        <f t="shared" si="3"/>
        <v>0</v>
      </c>
      <c r="AF6" s="277">
        <f t="shared" si="4"/>
        <v>267.40000026739995</v>
      </c>
      <c r="AG6" s="43">
        <f t="shared" si="21"/>
        <v>1002.8000015713999</v>
      </c>
      <c r="AH6" s="42">
        <f>R6+T6+V6+Z6</f>
        <v>260.29999930860004</v>
      </c>
      <c r="AI6" s="44">
        <f t="shared" si="6"/>
        <v>66.89999911999999</v>
      </c>
      <c r="AJ6" s="1">
        <v>0</v>
      </c>
      <c r="AK6" s="6">
        <v>0</v>
      </c>
      <c r="AL6" s="45">
        <f t="shared" si="7"/>
        <v>105.78059088305906</v>
      </c>
      <c r="AM6" s="44">
        <f t="shared" si="22"/>
        <v>1330</v>
      </c>
      <c r="AN6">
        <f t="shared" si="23"/>
        <v>17.3839662</v>
      </c>
      <c r="AO6" t="e">
        <f t="shared" si="24"/>
        <v>#DIV/0!</v>
      </c>
      <c r="AP6">
        <f t="shared" si="25"/>
        <v>0.2499999993</v>
      </c>
      <c r="AS6">
        <f t="shared" si="8"/>
        <v>948</v>
      </c>
      <c r="AT6">
        <f t="shared" si="9"/>
        <v>0.77573839799999988</v>
      </c>
      <c r="AU6" t="e">
        <f t="shared" si="10"/>
        <v>#DIV/0!</v>
      </c>
      <c r="AV6" t="e">
        <f t="shared" si="11"/>
        <v>#DIV/0!</v>
      </c>
      <c r="AW6" t="e">
        <f t="shared" si="12"/>
        <v>#DIV/0!</v>
      </c>
      <c r="AX6">
        <f t="shared" si="13"/>
        <v>948</v>
      </c>
    </row>
    <row r="7" spans="2:50" s="270" customFormat="1" x14ac:dyDescent="0.25">
      <c r="B7" s="271">
        <v>4</v>
      </c>
      <c r="C7" s="1">
        <v>750</v>
      </c>
      <c r="D7" s="1">
        <v>0</v>
      </c>
      <c r="E7" s="1">
        <v>0</v>
      </c>
      <c r="F7" s="1">
        <v>0</v>
      </c>
      <c r="G7" s="1">
        <v>130</v>
      </c>
      <c r="H7" s="1">
        <v>11.8</v>
      </c>
      <c r="I7" s="1">
        <v>0</v>
      </c>
      <c r="J7" s="1">
        <v>0</v>
      </c>
      <c r="K7" s="1">
        <v>0</v>
      </c>
      <c r="L7" s="1">
        <v>2</v>
      </c>
      <c r="M7" s="271">
        <f t="shared" ref="M7:M25" si="26">C7/H7</f>
        <v>63.559322033898304</v>
      </c>
      <c r="N7" s="271" t="e">
        <f t="shared" ref="N7:N33" si="27">D7/I7</f>
        <v>#DIV/0!</v>
      </c>
      <c r="O7" s="271" t="e">
        <f t="shared" ref="O7:O34" si="28">E7/J7</f>
        <v>#DIV/0!</v>
      </c>
      <c r="P7" s="1" t="e">
        <f t="shared" si="15"/>
        <v>#DIV/0!</v>
      </c>
      <c r="Q7" s="1">
        <f t="shared" si="16"/>
        <v>65</v>
      </c>
      <c r="R7" s="271">
        <f>C7*(0.197777777*0.9)</f>
        <v>133.49999947499998</v>
      </c>
      <c r="S7" s="271">
        <f>C7*0.05</f>
        <v>37.5</v>
      </c>
      <c r="T7" s="271">
        <f>D7*(0.311111111111111*0.9)</f>
        <v>0</v>
      </c>
      <c r="U7" s="271">
        <f>D7*0.05</f>
        <v>0</v>
      </c>
      <c r="V7" s="271">
        <f>E7*(0.288888888888888*0.9)</f>
        <v>0</v>
      </c>
      <c r="W7" s="271">
        <f>E7*0.05</f>
        <v>0</v>
      </c>
      <c r="X7" s="271"/>
      <c r="Y7" s="322">
        <f>F7*0.05</f>
        <v>0</v>
      </c>
      <c r="Z7" s="1">
        <f>G7*(0.277777777*0.9)</f>
        <v>32.499999909000003</v>
      </c>
      <c r="AA7" s="1">
        <f>G7*0.042307692</f>
        <v>5.4999999600000002</v>
      </c>
      <c r="AB7" s="44">
        <f t="shared" si="18"/>
        <v>579.00000052500002</v>
      </c>
      <c r="AC7" s="42">
        <f t="shared" si="19"/>
        <v>0</v>
      </c>
      <c r="AD7" s="42">
        <f t="shared" si="20"/>
        <v>0</v>
      </c>
      <c r="AE7" s="277">
        <f t="shared" si="3"/>
        <v>0</v>
      </c>
      <c r="AF7" s="277">
        <f t="shared" si="4"/>
        <v>92.000000131000007</v>
      </c>
      <c r="AG7" s="43">
        <f t="shared" si="21"/>
        <v>671.000000656</v>
      </c>
      <c r="AH7" s="42">
        <f t="shared" si="5"/>
        <v>165.99999938399998</v>
      </c>
      <c r="AI7" s="44">
        <f>S7+U7+W7+Y7+AA7</f>
        <v>42.999999959999997</v>
      </c>
      <c r="AJ7" s="271">
        <v>0</v>
      </c>
      <c r="AK7" s="273">
        <v>0</v>
      </c>
      <c r="AL7" s="274">
        <f t="shared" si="7"/>
        <v>89.466666754133328</v>
      </c>
      <c r="AM7" s="44">
        <f t="shared" si="22"/>
        <v>880</v>
      </c>
      <c r="AN7">
        <f t="shared" si="23"/>
        <v>17.799999929999995</v>
      </c>
      <c r="AO7" t="e">
        <f t="shared" si="24"/>
        <v>#DIV/0!</v>
      </c>
      <c r="AP7">
        <f t="shared" si="25"/>
        <v>0.24999999930000003</v>
      </c>
      <c r="AS7" s="270">
        <f t="shared" si="8"/>
        <v>750</v>
      </c>
      <c r="AT7" s="270">
        <f t="shared" si="9"/>
        <v>0.77200000070000008</v>
      </c>
      <c r="AU7" s="270" t="e">
        <f t="shared" si="10"/>
        <v>#DIV/0!</v>
      </c>
      <c r="AV7" s="270" t="e">
        <f t="shared" si="11"/>
        <v>#DIV/0!</v>
      </c>
      <c r="AW7" s="270" t="e">
        <f t="shared" si="12"/>
        <v>#DIV/0!</v>
      </c>
      <c r="AX7">
        <f t="shared" si="13"/>
        <v>750</v>
      </c>
    </row>
    <row r="8" spans="2:50" s="260" customFormat="1" x14ac:dyDescent="0.25">
      <c r="B8" s="277">
        <v>5</v>
      </c>
      <c r="C8" s="1">
        <v>490</v>
      </c>
      <c r="D8" s="1">
        <v>384</v>
      </c>
      <c r="E8" s="1">
        <v>0</v>
      </c>
      <c r="F8" s="1">
        <v>0</v>
      </c>
      <c r="G8" s="1">
        <v>566</v>
      </c>
      <c r="H8" s="1">
        <v>7.42</v>
      </c>
      <c r="I8" s="1">
        <v>6</v>
      </c>
      <c r="J8" s="1">
        <v>0</v>
      </c>
      <c r="K8" s="1">
        <v>0</v>
      </c>
      <c r="L8" s="1">
        <v>9</v>
      </c>
      <c r="M8" s="277">
        <f t="shared" si="26"/>
        <v>66.037735849056602</v>
      </c>
      <c r="N8" s="277">
        <f>D8/I8</f>
        <v>64</v>
      </c>
      <c r="O8" s="277" t="e">
        <f t="shared" si="28"/>
        <v>#DIV/0!</v>
      </c>
      <c r="P8" s="1" t="e">
        <f t="shared" si="15"/>
        <v>#DIV/0!</v>
      </c>
      <c r="Q8" s="1">
        <f t="shared" si="16"/>
        <v>62.888888888888886</v>
      </c>
      <c r="R8" s="278">
        <f>C8*(0.200680272*0.9)</f>
        <v>88.499999951999996</v>
      </c>
      <c r="S8" s="278">
        <f>C8*0.05</f>
        <v>24.5</v>
      </c>
      <c r="T8" s="277">
        <f>D8*(0.277777777*0.9)</f>
        <v>95.999999731200006</v>
      </c>
      <c r="U8" s="277">
        <f>D8*0.05</f>
        <v>19.200000000000003</v>
      </c>
      <c r="V8" s="277">
        <f>E8*(0.288888888888888*0.9)</f>
        <v>0</v>
      </c>
      <c r="W8" s="277">
        <f>E8*0.05</f>
        <v>0</v>
      </c>
      <c r="X8" s="277"/>
      <c r="Y8" s="322">
        <f>F8*0.05</f>
        <v>0</v>
      </c>
      <c r="Z8" s="1">
        <f>G8*(0.291519434*0.9)</f>
        <v>148.49999967960002</v>
      </c>
      <c r="AA8" s="1">
        <f>G8*0.050353356</f>
        <v>28.499999496000001</v>
      </c>
      <c r="AB8" s="44">
        <f t="shared" si="18"/>
        <v>377.000000048</v>
      </c>
      <c r="AC8" s="42">
        <f t="shared" si="19"/>
        <v>268.80000026880003</v>
      </c>
      <c r="AD8" s="42">
        <f t="shared" si="20"/>
        <v>0</v>
      </c>
      <c r="AE8" s="277">
        <f t="shared" si="3"/>
        <v>0</v>
      </c>
      <c r="AF8" s="277">
        <f t="shared" si="4"/>
        <v>389.00000082439999</v>
      </c>
      <c r="AG8" s="43">
        <f t="shared" si="21"/>
        <v>1034.8000011412</v>
      </c>
      <c r="AH8" s="42">
        <f t="shared" si="5"/>
        <v>332.99999936280005</v>
      </c>
      <c r="AI8" s="44">
        <f t="shared" si="6"/>
        <v>72.199999496000004</v>
      </c>
      <c r="AJ8" s="277">
        <v>0</v>
      </c>
      <c r="AK8" s="279">
        <v>0</v>
      </c>
      <c r="AL8" s="280">
        <f t="shared" si="7"/>
        <v>118.39816946695652</v>
      </c>
      <c r="AM8" s="44">
        <f t="shared" si="22"/>
        <v>1440</v>
      </c>
      <c r="AN8">
        <f t="shared" si="23"/>
        <v>18.06122448</v>
      </c>
      <c r="AO8">
        <f t="shared" si="24"/>
        <v>24.999999930000001</v>
      </c>
      <c r="AP8">
        <f t="shared" si="25"/>
        <v>0.26236749060000003</v>
      </c>
      <c r="AS8" s="260">
        <f t="shared" si="8"/>
        <v>874</v>
      </c>
      <c r="AT8" s="260">
        <f t="shared" si="9"/>
        <v>0.76938775520000002</v>
      </c>
      <c r="AU8" s="260">
        <f t="shared" si="10"/>
        <v>0.70000000070000012</v>
      </c>
      <c r="AV8" s="260" t="e">
        <f t="shared" si="11"/>
        <v>#DIV/0!</v>
      </c>
      <c r="AW8" s="260" t="e">
        <f t="shared" si="12"/>
        <v>#DIV/0!</v>
      </c>
      <c r="AX8">
        <f t="shared" si="13"/>
        <v>874</v>
      </c>
    </row>
    <row r="9" spans="2:50" s="260" customFormat="1" ht="15.75" customHeight="1" x14ac:dyDescent="0.25">
      <c r="B9" s="277">
        <v>6</v>
      </c>
      <c r="C9" s="1">
        <v>891</v>
      </c>
      <c r="D9" s="1">
        <v>0</v>
      </c>
      <c r="E9" s="1">
        <v>0</v>
      </c>
      <c r="F9" s="1">
        <v>0</v>
      </c>
      <c r="G9" s="1">
        <v>0</v>
      </c>
      <c r="H9" s="1">
        <v>13.93</v>
      </c>
      <c r="I9" s="1">
        <v>0</v>
      </c>
      <c r="J9" s="1">
        <v>0</v>
      </c>
      <c r="K9" s="1">
        <v>0</v>
      </c>
      <c r="L9" s="1">
        <v>0</v>
      </c>
      <c r="M9" s="277">
        <f t="shared" si="26"/>
        <v>63.962670495333811</v>
      </c>
      <c r="N9" s="277" t="e">
        <f t="shared" si="27"/>
        <v>#DIV/0!</v>
      </c>
      <c r="O9" s="277" t="e">
        <f t="shared" si="28"/>
        <v>#DIV/0!</v>
      </c>
      <c r="P9" s="1" t="e">
        <f t="shared" si="15"/>
        <v>#DIV/0!</v>
      </c>
      <c r="Q9" s="1" t="e">
        <f t="shared" si="16"/>
        <v>#DIV/0!</v>
      </c>
      <c r="R9" s="277">
        <f>C9*(0.2*0.9)</f>
        <v>160.38000000000002</v>
      </c>
      <c r="S9" s="277">
        <f>C9*0.05</f>
        <v>44.550000000000004</v>
      </c>
      <c r="T9" s="277">
        <f>D9*(0.3*0.9)</f>
        <v>0</v>
      </c>
      <c r="U9" s="277">
        <f t="shared" ref="U9:U15" si="29">D9*0.05</f>
        <v>0</v>
      </c>
      <c r="V9" s="277">
        <f>E9*(0.254728304*0.9)</f>
        <v>0</v>
      </c>
      <c r="W9" s="277">
        <f>E9*0.051386861</f>
        <v>0</v>
      </c>
      <c r="X9" s="277"/>
      <c r="Y9" s="322">
        <f>F9*0.05</f>
        <v>0</v>
      </c>
      <c r="Z9" s="1">
        <f t="shared" ref="Z9:Z38" si="30">G9*(0.288800705*0.9)</f>
        <v>0</v>
      </c>
      <c r="AA9" s="1">
        <f t="shared" si="17"/>
        <v>0</v>
      </c>
      <c r="AB9" s="44">
        <f t="shared" si="18"/>
        <v>686.07</v>
      </c>
      <c r="AC9" s="42">
        <f t="shared" si="19"/>
        <v>0</v>
      </c>
      <c r="AD9" s="42">
        <f t="shared" si="20"/>
        <v>0</v>
      </c>
      <c r="AE9" s="277">
        <f t="shared" si="3"/>
        <v>0</v>
      </c>
      <c r="AF9" s="277">
        <f t="shared" si="4"/>
        <v>0</v>
      </c>
      <c r="AG9" s="43">
        <f t="shared" si="21"/>
        <v>686.07</v>
      </c>
      <c r="AH9" s="42">
        <f t="shared" si="5"/>
        <v>160.38000000000002</v>
      </c>
      <c r="AI9" s="44">
        <f t="shared" si="6"/>
        <v>44.550000000000004</v>
      </c>
      <c r="AJ9" s="277">
        <v>0</v>
      </c>
      <c r="AK9" s="279">
        <v>0</v>
      </c>
      <c r="AL9" s="280">
        <f t="shared" si="7"/>
        <v>77</v>
      </c>
      <c r="AM9" s="44">
        <f t="shared" si="22"/>
        <v>891</v>
      </c>
      <c r="AN9">
        <f t="shared" si="23"/>
        <v>18.000000000000004</v>
      </c>
      <c r="AO9" t="e">
        <f t="shared" si="24"/>
        <v>#DIV/0!</v>
      </c>
      <c r="AP9" t="e">
        <f t="shared" si="25"/>
        <v>#DIV/0!</v>
      </c>
      <c r="AS9" s="260">
        <f t="shared" si="8"/>
        <v>891</v>
      </c>
      <c r="AT9" s="260">
        <f t="shared" si="9"/>
        <v>0.77</v>
      </c>
      <c r="AU9" s="260" t="e">
        <f t="shared" si="10"/>
        <v>#DIV/0!</v>
      </c>
      <c r="AV9" s="260" t="e">
        <f t="shared" si="11"/>
        <v>#DIV/0!</v>
      </c>
      <c r="AW9" s="260" t="e">
        <f t="shared" si="12"/>
        <v>#DIV/0!</v>
      </c>
      <c r="AX9">
        <f t="shared" si="13"/>
        <v>891</v>
      </c>
    </row>
    <row r="10" spans="2:50" s="260" customFormat="1" x14ac:dyDescent="0.25">
      <c r="B10" s="277">
        <v>7</v>
      </c>
      <c r="C10" s="1">
        <v>950</v>
      </c>
      <c r="D10" s="1">
        <v>0</v>
      </c>
      <c r="E10" s="1">
        <v>0</v>
      </c>
      <c r="F10" s="1">
        <v>0</v>
      </c>
      <c r="G10" s="1">
        <v>0</v>
      </c>
      <c r="H10" s="1">
        <v>15.62</v>
      </c>
      <c r="I10" s="1">
        <v>0</v>
      </c>
      <c r="J10" s="1">
        <v>0</v>
      </c>
      <c r="K10" s="1">
        <v>0</v>
      </c>
      <c r="L10" s="1">
        <v>0</v>
      </c>
      <c r="M10" s="277">
        <f t="shared" si="26"/>
        <v>60.819462227912936</v>
      </c>
      <c r="N10" s="277" t="e">
        <f t="shared" si="27"/>
        <v>#DIV/0!</v>
      </c>
      <c r="O10" s="277" t="e">
        <f t="shared" si="28"/>
        <v>#DIV/0!</v>
      </c>
      <c r="P10" s="1" t="e">
        <f t="shared" si="15"/>
        <v>#DIV/0!</v>
      </c>
      <c r="Q10" s="1" t="e">
        <f t="shared" si="16"/>
        <v>#DIV/0!</v>
      </c>
      <c r="R10" s="277">
        <f>C10*(0.194444444444444*0.9)</f>
        <v>166.24999999999963</v>
      </c>
      <c r="S10" s="277">
        <f>C10*0.05</f>
        <v>47.5</v>
      </c>
      <c r="T10" s="277">
        <f>D10*(0.311111111111111*0.9)</f>
        <v>0</v>
      </c>
      <c r="U10" s="277">
        <f t="shared" si="29"/>
        <v>0</v>
      </c>
      <c r="V10" s="277">
        <f>E10*(0.288888888888888*0.9)</f>
        <v>0</v>
      </c>
      <c r="W10" s="277">
        <f>E10*0.05</f>
        <v>0</v>
      </c>
      <c r="X10" s="277"/>
      <c r="Y10" s="277">
        <f>F10*0.05</f>
        <v>0</v>
      </c>
      <c r="Z10" s="1">
        <f t="shared" si="30"/>
        <v>0</v>
      </c>
      <c r="AA10" s="1">
        <f t="shared" si="17"/>
        <v>0</v>
      </c>
      <c r="AB10" s="44">
        <f t="shared" si="18"/>
        <v>736.25000000000034</v>
      </c>
      <c r="AC10" s="42">
        <f t="shared" si="19"/>
        <v>0</v>
      </c>
      <c r="AD10" s="42">
        <f t="shared" si="20"/>
        <v>0</v>
      </c>
      <c r="AE10" s="277">
        <f t="shared" si="3"/>
        <v>0</v>
      </c>
      <c r="AF10" s="277">
        <f t="shared" si="4"/>
        <v>0</v>
      </c>
      <c r="AG10" s="43">
        <f t="shared" si="21"/>
        <v>736.25000000000034</v>
      </c>
      <c r="AH10" s="42">
        <f t="shared" si="5"/>
        <v>166.24999999999963</v>
      </c>
      <c r="AI10" s="44">
        <f t="shared" si="6"/>
        <v>47.5</v>
      </c>
      <c r="AJ10" s="277">
        <v>0</v>
      </c>
      <c r="AK10" s="279">
        <v>0</v>
      </c>
      <c r="AL10" s="280">
        <f t="shared" si="7"/>
        <v>77.500000000000028</v>
      </c>
      <c r="AM10" s="44">
        <f t="shared" si="22"/>
        <v>950</v>
      </c>
      <c r="AN10">
        <f t="shared" si="23"/>
        <v>17.499999999999961</v>
      </c>
      <c r="AO10" t="e">
        <f t="shared" si="24"/>
        <v>#DIV/0!</v>
      </c>
      <c r="AP10" t="e">
        <f t="shared" si="25"/>
        <v>#DIV/0!</v>
      </c>
      <c r="AS10" s="260">
        <f t="shared" si="8"/>
        <v>950</v>
      </c>
      <c r="AT10" s="260">
        <f t="shared" si="9"/>
        <v>0.77500000000000036</v>
      </c>
      <c r="AU10" s="260" t="e">
        <f t="shared" si="10"/>
        <v>#DIV/0!</v>
      </c>
      <c r="AV10" s="260" t="e">
        <f t="shared" si="11"/>
        <v>#DIV/0!</v>
      </c>
      <c r="AW10" s="260" t="e">
        <f t="shared" si="12"/>
        <v>#DIV/0!</v>
      </c>
      <c r="AX10">
        <f t="shared" si="13"/>
        <v>950</v>
      </c>
    </row>
    <row r="11" spans="2:50" s="260" customFormat="1" x14ac:dyDescent="0.25">
      <c r="B11" s="277">
        <v>8</v>
      </c>
      <c r="C11" s="1">
        <v>690</v>
      </c>
      <c r="D11" s="1">
        <v>0</v>
      </c>
      <c r="E11" s="1">
        <v>0</v>
      </c>
      <c r="F11" s="1">
        <v>0</v>
      </c>
      <c r="G11" s="1">
        <v>200</v>
      </c>
      <c r="H11" s="1">
        <v>11.9</v>
      </c>
      <c r="I11" s="1">
        <v>0</v>
      </c>
      <c r="J11" s="1">
        <v>0</v>
      </c>
      <c r="K11" s="1">
        <v>0</v>
      </c>
      <c r="L11" s="1">
        <v>3.35</v>
      </c>
      <c r="M11" s="277">
        <f t="shared" si="26"/>
        <v>57.983193277310924</v>
      </c>
      <c r="N11" s="277" t="e">
        <f t="shared" si="27"/>
        <v>#DIV/0!</v>
      </c>
      <c r="O11" s="277" t="e">
        <f t="shared" si="28"/>
        <v>#DIV/0!</v>
      </c>
      <c r="P11" s="1" t="e">
        <f t="shared" si="15"/>
        <v>#DIV/0!</v>
      </c>
      <c r="Q11" s="1">
        <f t="shared" si="16"/>
        <v>59.701492537313435</v>
      </c>
      <c r="R11" s="277">
        <f>C11*(0.2*0.9)</f>
        <v>124.20000000000002</v>
      </c>
      <c r="S11" s="277">
        <f t="shared" ref="S11" si="31">C11*0.05</f>
        <v>34.5</v>
      </c>
      <c r="T11" s="277">
        <f>D11*(0.3*0.9)</f>
        <v>0</v>
      </c>
      <c r="U11" s="277">
        <f t="shared" si="29"/>
        <v>0</v>
      </c>
      <c r="V11" s="277">
        <f>E11*(0.257309944*0.9)</f>
        <v>0</v>
      </c>
      <c r="W11" s="277">
        <f>E11*0.052631579</f>
        <v>0</v>
      </c>
      <c r="X11" s="277"/>
      <c r="Y11" s="277">
        <f>F11*0.05</f>
        <v>0</v>
      </c>
      <c r="Z11" s="1">
        <f>G11*(0.3*0.9)</f>
        <v>54</v>
      </c>
      <c r="AA11" s="1">
        <f t="shared" si="17"/>
        <v>10</v>
      </c>
      <c r="AB11" s="44">
        <f t="shared" si="18"/>
        <v>531.29999999999995</v>
      </c>
      <c r="AC11" s="42">
        <f t="shared" si="19"/>
        <v>0</v>
      </c>
      <c r="AD11" s="42">
        <f t="shared" si="20"/>
        <v>0</v>
      </c>
      <c r="AE11" s="277">
        <f t="shared" si="3"/>
        <v>0</v>
      </c>
      <c r="AF11" s="277">
        <f t="shared" si="4"/>
        <v>136</v>
      </c>
      <c r="AG11" s="43">
        <f t="shared" si="21"/>
        <v>667.3</v>
      </c>
      <c r="AH11" s="42">
        <f t="shared" si="5"/>
        <v>178.20000000000002</v>
      </c>
      <c r="AI11" s="44">
        <f t="shared" si="6"/>
        <v>44.5</v>
      </c>
      <c r="AJ11" s="277">
        <v>0</v>
      </c>
      <c r="AK11" s="279">
        <v>0</v>
      </c>
      <c r="AL11" s="280">
        <f t="shared" si="7"/>
        <v>96.71014492753622</v>
      </c>
      <c r="AM11" s="44">
        <f t="shared" si="22"/>
        <v>890</v>
      </c>
      <c r="AN11">
        <f t="shared" si="23"/>
        <v>18.000000000000004</v>
      </c>
      <c r="AO11" t="e">
        <f t="shared" si="24"/>
        <v>#DIV/0!</v>
      </c>
      <c r="AP11">
        <f t="shared" si="25"/>
        <v>0.27</v>
      </c>
      <c r="AS11" s="260">
        <f t="shared" si="8"/>
        <v>690</v>
      </c>
      <c r="AT11" s="260">
        <f t="shared" si="9"/>
        <v>0.76999999999999991</v>
      </c>
      <c r="AU11" s="260" t="e">
        <f t="shared" si="10"/>
        <v>#DIV/0!</v>
      </c>
      <c r="AV11" s="260" t="e">
        <f t="shared" si="11"/>
        <v>#DIV/0!</v>
      </c>
      <c r="AW11" s="260" t="e">
        <f t="shared" si="12"/>
        <v>#DIV/0!</v>
      </c>
      <c r="AX11">
        <f t="shared" si="13"/>
        <v>690</v>
      </c>
    </row>
    <row r="12" spans="2:50" s="330" customFormat="1" x14ac:dyDescent="0.25">
      <c r="B12" s="327">
        <v>9</v>
      </c>
      <c r="C12" s="1">
        <v>0</v>
      </c>
      <c r="D12" s="1">
        <v>190</v>
      </c>
      <c r="E12" s="1">
        <v>0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327" t="e">
        <f t="shared" si="26"/>
        <v>#DIV/0!</v>
      </c>
      <c r="N12" s="327">
        <f t="shared" si="27"/>
        <v>63.333333333333336</v>
      </c>
      <c r="O12" s="327" t="e">
        <f t="shared" si="28"/>
        <v>#DIV/0!</v>
      </c>
      <c r="P12" s="325" t="e">
        <f t="shared" si="15"/>
        <v>#DIV/0!</v>
      </c>
      <c r="Q12" s="1" t="e">
        <f t="shared" si="16"/>
        <v>#DIV/0!</v>
      </c>
      <c r="R12" s="327">
        <f>C12*(0.2*0.9)</f>
        <v>0</v>
      </c>
      <c r="S12" s="327">
        <f>C12*0.05</f>
        <v>0</v>
      </c>
      <c r="T12" s="327">
        <f>D12*(0.3099415205*0.9)</f>
        <v>53.000000005499999</v>
      </c>
      <c r="U12" s="327">
        <f>D12*0.052631579</f>
        <v>10.000000009999999</v>
      </c>
      <c r="V12" s="327">
        <f>E12*(0.3003003*0.9)</f>
        <v>0</v>
      </c>
      <c r="W12" s="327">
        <f>E12*0.081081081</f>
        <v>0</v>
      </c>
      <c r="X12" s="327"/>
      <c r="Y12" s="327">
        <f>F12*0.0625</f>
        <v>0</v>
      </c>
      <c r="Z12" s="1">
        <f t="shared" si="30"/>
        <v>0</v>
      </c>
      <c r="AA12" s="1">
        <f t="shared" si="17"/>
        <v>0</v>
      </c>
      <c r="AB12" s="44">
        <f t="shared" si="18"/>
        <v>0</v>
      </c>
      <c r="AC12" s="42">
        <f t="shared" si="19"/>
        <v>126.99999998450001</v>
      </c>
      <c r="AD12" s="42">
        <f t="shared" si="20"/>
        <v>0</v>
      </c>
      <c r="AE12" s="327">
        <f t="shared" si="3"/>
        <v>0</v>
      </c>
      <c r="AF12" s="277">
        <f t="shared" si="4"/>
        <v>0</v>
      </c>
      <c r="AG12" s="43">
        <f t="shared" si="21"/>
        <v>126.99999998450001</v>
      </c>
      <c r="AH12" s="42">
        <f t="shared" si="5"/>
        <v>53.000000005499999</v>
      </c>
      <c r="AI12" s="44">
        <f t="shared" si="6"/>
        <v>10.000000009999999</v>
      </c>
      <c r="AJ12" s="327">
        <v>0</v>
      </c>
      <c r="AK12" s="331">
        <v>0</v>
      </c>
      <c r="AL12" s="332">
        <f t="shared" si="7"/>
        <v>66.842105255000007</v>
      </c>
      <c r="AM12" s="44">
        <f t="shared" si="22"/>
        <v>190</v>
      </c>
      <c r="AN12" t="e">
        <f t="shared" si="23"/>
        <v>#DIV/0!</v>
      </c>
      <c r="AO12">
        <f t="shared" si="24"/>
        <v>27.894736845000001</v>
      </c>
      <c r="AP12" t="e">
        <f t="shared" si="25"/>
        <v>#DIV/0!</v>
      </c>
      <c r="AS12" s="330">
        <f t="shared" si="8"/>
        <v>190</v>
      </c>
      <c r="AT12" s="330" t="e">
        <f t="shared" si="9"/>
        <v>#DIV/0!</v>
      </c>
      <c r="AU12" s="330">
        <f t="shared" si="10"/>
        <v>0.66842105255000006</v>
      </c>
      <c r="AV12" s="330" t="e">
        <f t="shared" si="11"/>
        <v>#DIV/0!</v>
      </c>
      <c r="AW12" s="330" t="e">
        <f t="shared" si="12"/>
        <v>#DIV/0!</v>
      </c>
      <c r="AX12" s="324">
        <f t="shared" si="13"/>
        <v>190</v>
      </c>
    </row>
    <row r="13" spans="2:50" s="260" customFormat="1" x14ac:dyDescent="0.25">
      <c r="B13" s="277">
        <v>10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77" t="e">
        <f t="shared" si="26"/>
        <v>#DIV/0!</v>
      </c>
      <c r="N13" s="277" t="e">
        <f t="shared" si="27"/>
        <v>#DIV/0!</v>
      </c>
      <c r="O13" s="277" t="e">
        <f>E13/J13</f>
        <v>#DIV/0!</v>
      </c>
      <c r="P13" s="1" t="e">
        <f t="shared" si="15"/>
        <v>#DIV/0!</v>
      </c>
      <c r="Q13" s="1" t="e">
        <f t="shared" si="16"/>
        <v>#DIV/0!</v>
      </c>
      <c r="R13" s="277">
        <f>C13*(0.205555555555555*0.9)</f>
        <v>0</v>
      </c>
      <c r="S13" s="277">
        <f t="shared" ref="S13:S18" si="32">C13*0.05</f>
        <v>0</v>
      </c>
      <c r="T13" s="277">
        <f>D13*(0.266666666666666*0.9)</f>
        <v>0</v>
      </c>
      <c r="U13" s="277">
        <f t="shared" si="29"/>
        <v>0</v>
      </c>
      <c r="V13" s="277">
        <f>E13*(0.222222222222222*0.9)</f>
        <v>0</v>
      </c>
      <c r="W13" s="277">
        <f>E13*0.05</f>
        <v>0</v>
      </c>
      <c r="X13" s="277"/>
      <c r="Y13" s="277">
        <f>F13*0.05</f>
        <v>0</v>
      </c>
      <c r="Z13" s="1">
        <f t="shared" si="30"/>
        <v>0</v>
      </c>
      <c r="AA13" s="1">
        <f t="shared" si="17"/>
        <v>0</v>
      </c>
      <c r="AB13" s="44">
        <f t="shared" si="18"/>
        <v>0</v>
      </c>
      <c r="AC13" s="42">
        <f t="shared" si="19"/>
        <v>0</v>
      </c>
      <c r="AD13" s="42">
        <f t="shared" si="20"/>
        <v>0</v>
      </c>
      <c r="AE13" s="277">
        <f t="shared" si="3"/>
        <v>0</v>
      </c>
      <c r="AF13" s="277">
        <f t="shared" si="4"/>
        <v>0</v>
      </c>
      <c r="AG13" s="43">
        <f t="shared" si="21"/>
        <v>0</v>
      </c>
      <c r="AH13" s="42">
        <f t="shared" si="5"/>
        <v>0</v>
      </c>
      <c r="AI13" s="44">
        <f t="shared" si="6"/>
        <v>0</v>
      </c>
      <c r="AJ13" s="277">
        <v>0</v>
      </c>
      <c r="AK13" s="279">
        <v>0</v>
      </c>
      <c r="AL13" s="280" t="e">
        <f t="shared" si="7"/>
        <v>#DIV/0!</v>
      </c>
      <c r="AM13" s="44">
        <f t="shared" si="22"/>
        <v>0</v>
      </c>
      <c r="AN13" t="e">
        <f t="shared" si="23"/>
        <v>#DIV/0!</v>
      </c>
      <c r="AO13" t="e">
        <f t="shared" si="24"/>
        <v>#DIV/0!</v>
      </c>
      <c r="AP13" t="e">
        <f t="shared" si="25"/>
        <v>#DIV/0!</v>
      </c>
      <c r="AS13" s="260">
        <f t="shared" si="8"/>
        <v>0</v>
      </c>
      <c r="AT13" s="260" t="e">
        <f t="shared" si="9"/>
        <v>#DIV/0!</v>
      </c>
      <c r="AU13" s="260" t="e">
        <f t="shared" si="10"/>
        <v>#DIV/0!</v>
      </c>
      <c r="AV13" s="260" t="e">
        <f t="shared" si="11"/>
        <v>#DIV/0!</v>
      </c>
      <c r="AW13" s="260" t="e">
        <f t="shared" si="12"/>
        <v>#DIV/0!</v>
      </c>
      <c r="AX13">
        <f t="shared" si="13"/>
        <v>0</v>
      </c>
    </row>
    <row r="14" spans="2:50" s="260" customFormat="1" x14ac:dyDescent="0.25">
      <c r="B14" s="277">
        <v>11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277" t="e">
        <f t="shared" si="26"/>
        <v>#DIV/0!</v>
      </c>
      <c r="N14" s="277" t="e">
        <f t="shared" ref="N14" si="33">D14/I14</f>
        <v>#DIV/0!</v>
      </c>
      <c r="O14" s="277" t="e">
        <f t="shared" ref="O14" si="34">E14/J14</f>
        <v>#DIV/0!</v>
      </c>
      <c r="P14" s="1" t="e">
        <f t="shared" si="15"/>
        <v>#DIV/0!</v>
      </c>
      <c r="Q14" s="1" t="e">
        <f t="shared" si="16"/>
        <v>#DIV/0!</v>
      </c>
      <c r="R14" s="277">
        <f>C14*(0.205555555555555*0.9)</f>
        <v>0</v>
      </c>
      <c r="S14" s="277">
        <f t="shared" si="32"/>
        <v>0</v>
      </c>
      <c r="T14" s="277">
        <f>D14*(0.3114478112*0.9)</f>
        <v>0</v>
      </c>
      <c r="U14" s="277">
        <f t="shared" si="29"/>
        <v>0</v>
      </c>
      <c r="V14" s="277">
        <f>E14*(0.2085470086*0.9)</f>
        <v>0</v>
      </c>
      <c r="W14" s="277">
        <f>E14*0.0492307693</f>
        <v>0</v>
      </c>
      <c r="X14" s="277"/>
      <c r="Y14" s="277">
        <f>F14*0.05</f>
        <v>0</v>
      </c>
      <c r="Z14" s="1">
        <f t="shared" si="30"/>
        <v>0</v>
      </c>
      <c r="AA14" s="1">
        <f t="shared" si="17"/>
        <v>0</v>
      </c>
      <c r="AB14" s="44">
        <f t="shared" si="18"/>
        <v>0</v>
      </c>
      <c r="AC14" s="42">
        <f t="shared" si="19"/>
        <v>0</v>
      </c>
      <c r="AD14" s="42">
        <f t="shared" si="20"/>
        <v>0</v>
      </c>
      <c r="AE14" s="277">
        <f t="shared" si="3"/>
        <v>0</v>
      </c>
      <c r="AF14" s="277">
        <f t="shared" si="4"/>
        <v>0</v>
      </c>
      <c r="AG14" s="43">
        <f t="shared" si="21"/>
        <v>0</v>
      </c>
      <c r="AH14" s="42">
        <f t="shared" si="5"/>
        <v>0</v>
      </c>
      <c r="AI14" s="44">
        <f t="shared" si="6"/>
        <v>0</v>
      </c>
      <c r="AJ14" s="277">
        <v>0</v>
      </c>
      <c r="AK14" s="279">
        <v>0</v>
      </c>
      <c r="AL14" s="280" t="e">
        <f t="shared" si="7"/>
        <v>#DIV/0!</v>
      </c>
      <c r="AM14" s="44">
        <f t="shared" si="22"/>
        <v>0</v>
      </c>
      <c r="AN14" t="e">
        <f t="shared" si="23"/>
        <v>#DIV/0!</v>
      </c>
      <c r="AO14" t="e">
        <f t="shared" si="24"/>
        <v>#DIV/0!</v>
      </c>
      <c r="AP14" t="e">
        <f t="shared" si="25"/>
        <v>#DIV/0!</v>
      </c>
      <c r="AS14" s="260">
        <f t="shared" si="8"/>
        <v>0</v>
      </c>
      <c r="AT14" s="260" t="e">
        <f t="shared" si="9"/>
        <v>#DIV/0!</v>
      </c>
      <c r="AU14" s="260" t="e">
        <f t="shared" si="10"/>
        <v>#DIV/0!</v>
      </c>
      <c r="AV14" s="260" t="e">
        <f t="shared" si="11"/>
        <v>#DIV/0!</v>
      </c>
      <c r="AW14" s="260" t="e">
        <f t="shared" si="12"/>
        <v>#DIV/0!</v>
      </c>
      <c r="AX14">
        <f t="shared" si="13"/>
        <v>0</v>
      </c>
    </row>
    <row r="15" spans="2:50" s="260" customFormat="1" x14ac:dyDescent="0.25">
      <c r="B15" s="277">
        <v>12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277" t="e">
        <f t="shared" si="26"/>
        <v>#DIV/0!</v>
      </c>
      <c r="N15" s="277" t="e">
        <f t="shared" si="27"/>
        <v>#DIV/0!</v>
      </c>
      <c r="O15" s="277" t="e">
        <f t="shared" si="28"/>
        <v>#DIV/0!</v>
      </c>
      <c r="P15" s="1" t="e">
        <f t="shared" si="15"/>
        <v>#DIV/0!</v>
      </c>
      <c r="Q15" s="1" t="e">
        <f t="shared" si="16"/>
        <v>#DIV/0!</v>
      </c>
      <c r="R15" s="277">
        <f>C15*(0.203333333333333*0.9)</f>
        <v>0</v>
      </c>
      <c r="S15" s="277">
        <f t="shared" si="32"/>
        <v>0</v>
      </c>
      <c r="T15" s="277">
        <f>D15*(0.322222222222222*0.9)</f>
        <v>0</v>
      </c>
      <c r="U15" s="277">
        <f t="shared" si="29"/>
        <v>0</v>
      </c>
      <c r="V15" s="277">
        <f>E15*(0.297777777777777*0.9)</f>
        <v>0</v>
      </c>
      <c r="W15" s="277">
        <f>E15*0.052</f>
        <v>0</v>
      </c>
      <c r="X15" s="277"/>
      <c r="Y15" s="277">
        <f>F15*0.05</f>
        <v>0</v>
      </c>
      <c r="Z15" s="1">
        <f t="shared" si="30"/>
        <v>0</v>
      </c>
      <c r="AA15" s="1">
        <f t="shared" si="17"/>
        <v>0</v>
      </c>
      <c r="AB15" s="44">
        <f t="shared" si="18"/>
        <v>0</v>
      </c>
      <c r="AC15" s="42">
        <f t="shared" si="19"/>
        <v>0</v>
      </c>
      <c r="AD15" s="42">
        <f t="shared" si="20"/>
        <v>0</v>
      </c>
      <c r="AE15" s="277">
        <f t="shared" si="3"/>
        <v>0</v>
      </c>
      <c r="AF15" s="277">
        <f t="shared" si="4"/>
        <v>0</v>
      </c>
      <c r="AG15" s="43">
        <f t="shared" si="21"/>
        <v>0</v>
      </c>
      <c r="AH15" s="42">
        <f t="shared" si="5"/>
        <v>0</v>
      </c>
      <c r="AI15" s="44">
        <f t="shared" si="6"/>
        <v>0</v>
      </c>
      <c r="AJ15" s="277">
        <v>0</v>
      </c>
      <c r="AK15" s="279">
        <v>0</v>
      </c>
      <c r="AL15" s="280" t="e">
        <f t="shared" si="7"/>
        <v>#DIV/0!</v>
      </c>
      <c r="AM15" s="44">
        <f t="shared" si="22"/>
        <v>0</v>
      </c>
      <c r="AN15" t="e">
        <f t="shared" si="23"/>
        <v>#DIV/0!</v>
      </c>
      <c r="AO15" t="e">
        <f t="shared" si="24"/>
        <v>#DIV/0!</v>
      </c>
      <c r="AP15" t="e">
        <f t="shared" si="25"/>
        <v>#DIV/0!</v>
      </c>
      <c r="AS15" s="260">
        <f t="shared" si="8"/>
        <v>0</v>
      </c>
      <c r="AT15" s="260" t="e">
        <f t="shared" si="9"/>
        <v>#DIV/0!</v>
      </c>
      <c r="AU15" s="260" t="e">
        <f t="shared" si="10"/>
        <v>#DIV/0!</v>
      </c>
      <c r="AV15" s="260" t="e">
        <f t="shared" si="11"/>
        <v>#DIV/0!</v>
      </c>
      <c r="AW15" s="260" t="e">
        <f t="shared" si="12"/>
        <v>#DIV/0!</v>
      </c>
      <c r="AX15">
        <f t="shared" si="13"/>
        <v>0</v>
      </c>
    </row>
    <row r="16" spans="2:50" s="260" customFormat="1" x14ac:dyDescent="0.25">
      <c r="B16" s="277">
        <v>13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277" t="e">
        <f t="shared" si="26"/>
        <v>#DIV/0!</v>
      </c>
      <c r="N16" s="277" t="e">
        <f t="shared" si="27"/>
        <v>#DIV/0!</v>
      </c>
      <c r="O16" s="277" t="e">
        <f t="shared" si="28"/>
        <v>#DIV/0!</v>
      </c>
      <c r="P16" s="1" t="e">
        <f t="shared" si="15"/>
        <v>#DIV/0!</v>
      </c>
      <c r="Q16" s="1" t="e">
        <f t="shared" si="16"/>
        <v>#DIV/0!</v>
      </c>
      <c r="R16" s="299">
        <f>C16*(0.2*0.9)</f>
        <v>0</v>
      </c>
      <c r="S16" s="299">
        <f>C16*0.05</f>
        <v>0</v>
      </c>
      <c r="T16" s="277">
        <f>D16*(0.294685999999999*0.9)</f>
        <v>0</v>
      </c>
      <c r="U16" s="277">
        <f>D16*0.05217399</f>
        <v>0</v>
      </c>
      <c r="V16" s="277">
        <f>E16*(0.3*0.9)</f>
        <v>0</v>
      </c>
      <c r="W16" s="277">
        <f>E16*0.06</f>
        <v>0</v>
      </c>
      <c r="X16" s="277"/>
      <c r="Y16" s="277"/>
      <c r="Z16" s="1">
        <f t="shared" si="30"/>
        <v>0</v>
      </c>
      <c r="AA16" s="1">
        <f t="shared" si="17"/>
        <v>0</v>
      </c>
      <c r="AB16" s="44">
        <f t="shared" si="18"/>
        <v>0</v>
      </c>
      <c r="AC16" s="42">
        <f t="shared" si="19"/>
        <v>0</v>
      </c>
      <c r="AD16" s="42">
        <f t="shared" si="20"/>
        <v>0</v>
      </c>
      <c r="AE16" s="277">
        <f t="shared" si="3"/>
        <v>0</v>
      </c>
      <c r="AF16" s="277">
        <f t="shared" si="4"/>
        <v>0</v>
      </c>
      <c r="AG16" s="43">
        <f t="shared" si="21"/>
        <v>0</v>
      </c>
      <c r="AH16" s="42">
        <f t="shared" si="5"/>
        <v>0</v>
      </c>
      <c r="AI16" s="44">
        <f t="shared" si="6"/>
        <v>0</v>
      </c>
      <c r="AJ16" s="277">
        <v>0</v>
      </c>
      <c r="AK16" s="279">
        <v>0</v>
      </c>
      <c r="AL16" s="280" t="e">
        <f t="shared" si="7"/>
        <v>#DIV/0!</v>
      </c>
      <c r="AM16" s="44">
        <f t="shared" si="22"/>
        <v>0</v>
      </c>
      <c r="AN16" t="e">
        <f t="shared" si="23"/>
        <v>#DIV/0!</v>
      </c>
      <c r="AO16" t="e">
        <f t="shared" si="24"/>
        <v>#DIV/0!</v>
      </c>
      <c r="AP16" t="e">
        <f t="shared" si="25"/>
        <v>#DIV/0!</v>
      </c>
      <c r="AS16" s="260">
        <f t="shared" si="8"/>
        <v>0</v>
      </c>
      <c r="AT16" s="260" t="e">
        <f t="shared" si="9"/>
        <v>#DIV/0!</v>
      </c>
      <c r="AU16" s="260" t="e">
        <f t="shared" si="10"/>
        <v>#DIV/0!</v>
      </c>
      <c r="AV16" s="260" t="e">
        <f t="shared" si="11"/>
        <v>#DIV/0!</v>
      </c>
      <c r="AW16" s="260" t="e">
        <f t="shared" si="12"/>
        <v>#DIV/0!</v>
      </c>
      <c r="AX16">
        <f t="shared" si="13"/>
        <v>0</v>
      </c>
    </row>
    <row r="17" spans="2:50" x14ac:dyDescent="0.25">
      <c r="B17" s="1">
        <v>14</v>
      </c>
      <c r="C17" s="1">
        <v>170</v>
      </c>
      <c r="D17" s="1">
        <v>0</v>
      </c>
      <c r="E17" s="1">
        <v>0</v>
      </c>
      <c r="F17" s="1">
        <v>0</v>
      </c>
      <c r="G17" s="1">
        <v>0</v>
      </c>
      <c r="H17" s="1">
        <v>3.3</v>
      </c>
      <c r="I17" s="1">
        <v>0</v>
      </c>
      <c r="J17" s="1">
        <v>0</v>
      </c>
      <c r="K17" s="1">
        <v>0</v>
      </c>
      <c r="L17" s="1">
        <v>0</v>
      </c>
      <c r="M17" s="1">
        <f t="shared" si="26"/>
        <v>51.515151515151516</v>
      </c>
      <c r="N17" s="1" t="e">
        <f t="shared" si="27"/>
        <v>#DIV/0!</v>
      </c>
      <c r="O17" s="1" t="e">
        <f t="shared" si="28"/>
        <v>#DIV/0!</v>
      </c>
      <c r="P17" s="1" t="e">
        <f t="shared" si="15"/>
        <v>#DIV/0!</v>
      </c>
      <c r="Q17" s="1" t="e">
        <f t="shared" si="16"/>
        <v>#DIV/0!</v>
      </c>
      <c r="R17" s="1">
        <f>C17*(0.2*0.9)</f>
        <v>30.600000000000005</v>
      </c>
      <c r="S17" s="1">
        <f>C17*0.04705882355</f>
        <v>8.0000000035000003</v>
      </c>
      <c r="T17" s="1">
        <f>D17*(0.380116959*0.9)</f>
        <v>0</v>
      </c>
      <c r="U17" s="1">
        <f>D17*0.026315789</f>
        <v>0</v>
      </c>
      <c r="V17" s="1">
        <f>E17*(0.288888888888888*0.9)</f>
        <v>0</v>
      </c>
      <c r="W17" s="1">
        <f>E17*0.05</f>
        <v>0</v>
      </c>
      <c r="X17" s="1"/>
      <c r="Y17" s="1"/>
      <c r="Z17" s="1">
        <f t="shared" si="30"/>
        <v>0</v>
      </c>
      <c r="AA17" s="1">
        <f t="shared" si="17"/>
        <v>0</v>
      </c>
      <c r="AB17" s="44">
        <f t="shared" si="18"/>
        <v>131.39999999650001</v>
      </c>
      <c r="AC17" s="42">
        <f t="shared" si="19"/>
        <v>0</v>
      </c>
      <c r="AD17" s="42">
        <f t="shared" si="20"/>
        <v>0</v>
      </c>
      <c r="AE17" s="277">
        <f t="shared" si="3"/>
        <v>0</v>
      </c>
      <c r="AF17" s="277">
        <f t="shared" si="4"/>
        <v>0</v>
      </c>
      <c r="AG17" s="43">
        <f t="shared" si="21"/>
        <v>131.39999999650001</v>
      </c>
      <c r="AH17" s="42">
        <f t="shared" si="5"/>
        <v>30.600000000000005</v>
      </c>
      <c r="AI17" s="44">
        <f t="shared" si="6"/>
        <v>8.0000000035000003</v>
      </c>
      <c r="AJ17" s="1">
        <v>0</v>
      </c>
      <c r="AK17" s="6">
        <v>0</v>
      </c>
      <c r="AL17" s="32">
        <f t="shared" si="7"/>
        <v>77.294117645</v>
      </c>
      <c r="AM17" s="44">
        <f t="shared" si="22"/>
        <v>170</v>
      </c>
      <c r="AN17">
        <f t="shared" si="23"/>
        <v>18.000000000000004</v>
      </c>
      <c r="AO17" t="e">
        <f t="shared" si="24"/>
        <v>#DIV/0!</v>
      </c>
      <c r="AP17" t="e">
        <f t="shared" si="25"/>
        <v>#DIV/0!</v>
      </c>
      <c r="AS17">
        <f t="shared" si="8"/>
        <v>170</v>
      </c>
      <c r="AT17">
        <f t="shared" si="9"/>
        <v>0.77294117645000004</v>
      </c>
      <c r="AU17" t="e">
        <f t="shared" si="10"/>
        <v>#DIV/0!</v>
      </c>
      <c r="AV17" t="e">
        <f t="shared" si="11"/>
        <v>#DIV/0!</v>
      </c>
      <c r="AW17" t="e">
        <f t="shared" si="12"/>
        <v>#DIV/0!</v>
      </c>
      <c r="AX17">
        <f t="shared" si="13"/>
        <v>170</v>
      </c>
    </row>
    <row r="18" spans="2:50" s="324" customFormat="1" x14ac:dyDescent="0.25">
      <c r="B18" s="325">
        <v>15</v>
      </c>
      <c r="C18" s="1">
        <v>1030</v>
      </c>
      <c r="D18" s="1">
        <v>0</v>
      </c>
      <c r="E18" s="1">
        <v>0</v>
      </c>
      <c r="F18" s="1">
        <v>0</v>
      </c>
      <c r="G18" s="1">
        <v>0</v>
      </c>
      <c r="H18" s="1">
        <v>17.170000000000002</v>
      </c>
      <c r="I18" s="1">
        <v>0</v>
      </c>
      <c r="J18" s="1">
        <v>0</v>
      </c>
      <c r="K18" s="1">
        <v>0</v>
      </c>
      <c r="L18" s="1">
        <v>0</v>
      </c>
      <c r="M18" s="325">
        <f t="shared" si="26"/>
        <v>59.988351776354101</v>
      </c>
      <c r="N18" s="325" t="e">
        <f t="shared" si="27"/>
        <v>#DIV/0!</v>
      </c>
      <c r="O18" s="325" t="e">
        <f t="shared" si="28"/>
        <v>#DIV/0!</v>
      </c>
      <c r="P18" s="325" t="e">
        <f t="shared" si="15"/>
        <v>#DIV/0!</v>
      </c>
      <c r="Q18" s="1" t="e">
        <f t="shared" si="16"/>
        <v>#DIV/0!</v>
      </c>
      <c r="R18" s="325">
        <f>C18*(0.194444444444444*0.9)</f>
        <v>180.2499999999996</v>
      </c>
      <c r="S18" s="325">
        <f t="shared" si="32"/>
        <v>51.5</v>
      </c>
      <c r="T18" s="325">
        <f>D18*(0.322222222222222*0.9)</f>
        <v>0</v>
      </c>
      <c r="U18" s="325">
        <f>D18*0.05</f>
        <v>0</v>
      </c>
      <c r="V18" s="325">
        <f>E18*(0.288888888888888*0.9)</f>
        <v>0</v>
      </c>
      <c r="W18" s="325">
        <f>E18*0.05</f>
        <v>0</v>
      </c>
      <c r="X18" s="325">
        <f>F18*(0*0.9)</f>
        <v>0</v>
      </c>
      <c r="Y18" s="325">
        <f>F18*0.05</f>
        <v>0</v>
      </c>
      <c r="Z18" s="1">
        <f t="shared" si="30"/>
        <v>0</v>
      </c>
      <c r="AA18" s="1">
        <f t="shared" si="17"/>
        <v>0</v>
      </c>
      <c r="AB18" s="44">
        <f t="shared" si="18"/>
        <v>798.25000000000045</v>
      </c>
      <c r="AC18" s="42">
        <f t="shared" si="19"/>
        <v>0</v>
      </c>
      <c r="AD18" s="42">
        <f t="shared" si="20"/>
        <v>0</v>
      </c>
      <c r="AE18" s="327">
        <f t="shared" si="3"/>
        <v>0</v>
      </c>
      <c r="AF18" s="277">
        <f t="shared" si="4"/>
        <v>0</v>
      </c>
      <c r="AG18" s="43">
        <f t="shared" si="21"/>
        <v>798.25000000000045</v>
      </c>
      <c r="AH18" s="42">
        <f t="shared" si="5"/>
        <v>180.2499999999996</v>
      </c>
      <c r="AI18" s="44">
        <f t="shared" si="6"/>
        <v>51.5</v>
      </c>
      <c r="AJ18" s="325">
        <v>0</v>
      </c>
      <c r="AK18" s="328">
        <v>0</v>
      </c>
      <c r="AL18" s="329">
        <f t="shared" si="7"/>
        <v>77.500000000000043</v>
      </c>
      <c r="AM18" s="44">
        <f t="shared" si="22"/>
        <v>1030</v>
      </c>
      <c r="AN18">
        <f t="shared" si="23"/>
        <v>17.499999999999961</v>
      </c>
      <c r="AO18" t="e">
        <f t="shared" si="24"/>
        <v>#DIV/0!</v>
      </c>
      <c r="AP18" t="e">
        <f t="shared" si="25"/>
        <v>#DIV/0!</v>
      </c>
      <c r="AS18" s="324">
        <f t="shared" si="8"/>
        <v>1030</v>
      </c>
      <c r="AT18" s="324">
        <f t="shared" si="9"/>
        <v>0.77500000000000047</v>
      </c>
      <c r="AU18" s="324" t="e">
        <f t="shared" si="10"/>
        <v>#DIV/0!</v>
      </c>
      <c r="AV18" s="324" t="e">
        <f t="shared" si="11"/>
        <v>#DIV/0!</v>
      </c>
      <c r="AW18" s="324" t="e">
        <f t="shared" si="12"/>
        <v>#DIV/0!</v>
      </c>
      <c r="AX18" s="324">
        <f t="shared" si="13"/>
        <v>1030</v>
      </c>
    </row>
    <row r="19" spans="2:50" s="324" customFormat="1" x14ac:dyDescent="0.25">
      <c r="B19" s="325">
        <v>16</v>
      </c>
      <c r="C19" s="1">
        <v>820</v>
      </c>
      <c r="D19" s="1">
        <v>0</v>
      </c>
      <c r="E19" s="1">
        <v>0</v>
      </c>
      <c r="F19" s="1">
        <v>0</v>
      </c>
      <c r="G19" s="1">
        <v>0</v>
      </c>
      <c r="H19" s="1">
        <v>14.05</v>
      </c>
      <c r="I19" s="1">
        <v>0</v>
      </c>
      <c r="J19" s="1">
        <v>0</v>
      </c>
      <c r="K19" s="1">
        <v>0</v>
      </c>
      <c r="L19" s="1">
        <v>0</v>
      </c>
      <c r="M19" s="325">
        <f t="shared" si="26"/>
        <v>58.362989323843415</v>
      </c>
      <c r="N19" s="325" t="e">
        <f>D19/I19</f>
        <v>#DIV/0!</v>
      </c>
      <c r="O19" s="325" t="e">
        <f t="shared" si="28"/>
        <v>#DIV/0!</v>
      </c>
      <c r="P19" s="325" t="e">
        <f t="shared" si="15"/>
        <v>#DIV/0!</v>
      </c>
      <c r="Q19" s="1" t="e">
        <f t="shared" si="16"/>
        <v>#DIV/0!</v>
      </c>
      <c r="R19" s="325">
        <f>C19*(0.2*0.9)</f>
        <v>147.60000000000002</v>
      </c>
      <c r="S19" s="325">
        <f t="shared" ref="S19:S25" si="35">C19*0.05</f>
        <v>41</v>
      </c>
      <c r="T19" s="325">
        <f>D19*(0.288888888888888*0.9)</f>
        <v>0</v>
      </c>
      <c r="U19" s="325">
        <f>D19*0.055</f>
        <v>0</v>
      </c>
      <c r="V19" s="325">
        <f>E19*(0.271416455*0.9)</f>
        <v>0</v>
      </c>
      <c r="W19" s="325">
        <f>E19*0.0480916033</f>
        <v>0</v>
      </c>
      <c r="X19" s="325"/>
      <c r="Y19" s="325">
        <f>F19*0.05</f>
        <v>0</v>
      </c>
      <c r="Z19" s="1">
        <f t="shared" si="30"/>
        <v>0</v>
      </c>
      <c r="AA19" s="1">
        <f t="shared" si="17"/>
        <v>0</v>
      </c>
      <c r="AB19" s="44">
        <f t="shared" si="18"/>
        <v>631.4</v>
      </c>
      <c r="AC19" s="42">
        <f t="shared" si="19"/>
        <v>0</v>
      </c>
      <c r="AD19" s="42">
        <f t="shared" si="20"/>
        <v>0</v>
      </c>
      <c r="AE19" s="327">
        <f t="shared" si="3"/>
        <v>0</v>
      </c>
      <c r="AF19" s="277">
        <f t="shared" si="4"/>
        <v>0</v>
      </c>
      <c r="AG19" s="43">
        <f t="shared" si="21"/>
        <v>631.4</v>
      </c>
      <c r="AH19" s="42">
        <f t="shared" si="5"/>
        <v>147.60000000000002</v>
      </c>
      <c r="AI19" s="44">
        <f t="shared" si="6"/>
        <v>41</v>
      </c>
      <c r="AJ19" s="325">
        <v>0</v>
      </c>
      <c r="AK19" s="328">
        <v>0</v>
      </c>
      <c r="AL19" s="329">
        <f t="shared" si="7"/>
        <v>77</v>
      </c>
      <c r="AM19" s="44">
        <f t="shared" si="22"/>
        <v>820</v>
      </c>
      <c r="AN19">
        <f t="shared" si="23"/>
        <v>18.000000000000004</v>
      </c>
      <c r="AO19" t="e">
        <f t="shared" si="24"/>
        <v>#DIV/0!</v>
      </c>
      <c r="AP19" t="e">
        <f t="shared" si="25"/>
        <v>#DIV/0!</v>
      </c>
      <c r="AS19" s="324">
        <f t="shared" si="8"/>
        <v>820</v>
      </c>
      <c r="AT19" s="324">
        <f t="shared" si="9"/>
        <v>0.77</v>
      </c>
      <c r="AU19" s="324" t="e">
        <f t="shared" si="10"/>
        <v>#DIV/0!</v>
      </c>
      <c r="AV19" s="324" t="e">
        <f t="shared" si="11"/>
        <v>#DIV/0!</v>
      </c>
      <c r="AW19" s="324" t="e">
        <f t="shared" si="12"/>
        <v>#DIV/0!</v>
      </c>
      <c r="AX19" s="324">
        <f t="shared" si="13"/>
        <v>820</v>
      </c>
    </row>
    <row r="20" spans="2:50" s="336" customFormat="1" ht="17.25" customHeight="1" x14ac:dyDescent="0.25">
      <c r="B20" s="337">
        <v>17</v>
      </c>
      <c r="C20" s="1">
        <v>240</v>
      </c>
      <c r="D20" s="1">
        <v>0</v>
      </c>
      <c r="E20" s="1">
        <v>0</v>
      </c>
      <c r="F20" s="1">
        <v>0</v>
      </c>
      <c r="G20" s="1">
        <v>0</v>
      </c>
      <c r="H20" s="1">
        <v>4.17</v>
      </c>
      <c r="I20" s="1">
        <v>0</v>
      </c>
      <c r="J20" s="1">
        <v>0</v>
      </c>
      <c r="K20" s="1">
        <v>0</v>
      </c>
      <c r="L20" s="1">
        <v>0</v>
      </c>
      <c r="M20" s="337">
        <f t="shared" si="26"/>
        <v>57.553956834532372</v>
      </c>
      <c r="N20" s="337" t="e">
        <f t="shared" si="27"/>
        <v>#DIV/0!</v>
      </c>
      <c r="O20" s="337" t="e">
        <f t="shared" si="28"/>
        <v>#DIV/0!</v>
      </c>
      <c r="P20" s="325" t="e">
        <f t="shared" si="15"/>
        <v>#DIV/0!</v>
      </c>
      <c r="Q20" s="1" t="e">
        <f t="shared" si="16"/>
        <v>#DIV/0!</v>
      </c>
      <c r="R20" s="337">
        <f>C20*(0.201388888*0.9)</f>
        <v>43.499999807999998</v>
      </c>
      <c r="S20" s="337">
        <f t="shared" si="35"/>
        <v>12</v>
      </c>
      <c r="T20" s="337">
        <f>D20*(0.3109452733*0.9)</f>
        <v>0</v>
      </c>
      <c r="U20" s="337">
        <f>D20*0.05</f>
        <v>0</v>
      </c>
      <c r="V20" s="337">
        <f>E20*(0.29436152566678*0.9)</f>
        <v>0</v>
      </c>
      <c r="W20" s="337">
        <f>E20*0.05</f>
        <v>0</v>
      </c>
      <c r="X20" s="337"/>
      <c r="Y20" s="338">
        <f>F20*0.0583333333333333</f>
        <v>0</v>
      </c>
      <c r="Z20" s="1">
        <f t="shared" si="30"/>
        <v>0</v>
      </c>
      <c r="AA20" s="1">
        <f t="shared" si="17"/>
        <v>0</v>
      </c>
      <c r="AB20" s="44">
        <f t="shared" si="18"/>
        <v>184.50000019200002</v>
      </c>
      <c r="AC20" s="42">
        <f t="shared" si="19"/>
        <v>0</v>
      </c>
      <c r="AD20" s="42">
        <f t="shared" si="20"/>
        <v>0</v>
      </c>
      <c r="AE20" s="327">
        <f t="shared" si="3"/>
        <v>0</v>
      </c>
      <c r="AF20" s="277">
        <f t="shared" si="4"/>
        <v>0</v>
      </c>
      <c r="AG20" s="43">
        <f t="shared" si="21"/>
        <v>184.50000019200002</v>
      </c>
      <c r="AH20" s="42">
        <f t="shared" si="5"/>
        <v>43.499999807999998</v>
      </c>
      <c r="AI20" s="44">
        <f t="shared" si="6"/>
        <v>12</v>
      </c>
      <c r="AJ20" s="337">
        <v>0</v>
      </c>
      <c r="AK20" s="339">
        <v>0</v>
      </c>
      <c r="AL20" s="340">
        <f t="shared" si="7"/>
        <v>76.875000080000007</v>
      </c>
      <c r="AM20" s="44">
        <f t="shared" si="22"/>
        <v>240</v>
      </c>
      <c r="AN20">
        <f t="shared" si="23"/>
        <v>18.124999919999997</v>
      </c>
      <c r="AO20" t="e">
        <f t="shared" si="24"/>
        <v>#DIV/0!</v>
      </c>
      <c r="AP20" t="e">
        <f t="shared" si="25"/>
        <v>#DIV/0!</v>
      </c>
      <c r="AS20" s="336">
        <f t="shared" si="8"/>
        <v>240</v>
      </c>
      <c r="AT20" s="336">
        <f t="shared" si="9"/>
        <v>0.76875000080000011</v>
      </c>
      <c r="AU20" s="324" t="e">
        <f t="shared" si="10"/>
        <v>#DIV/0!</v>
      </c>
      <c r="AV20" s="324" t="e">
        <f t="shared" si="11"/>
        <v>#DIV/0!</v>
      </c>
      <c r="AW20" s="324" t="e">
        <f t="shared" si="12"/>
        <v>#DIV/0!</v>
      </c>
      <c r="AX20" s="324">
        <f t="shared" si="13"/>
        <v>240</v>
      </c>
    </row>
    <row r="21" spans="2:50" s="347" customFormat="1" x14ac:dyDescent="0.25">
      <c r="B21" s="348">
        <v>18</v>
      </c>
      <c r="C21" s="1">
        <v>1100</v>
      </c>
      <c r="D21" s="1">
        <v>0</v>
      </c>
      <c r="E21" s="1">
        <v>0</v>
      </c>
      <c r="F21" s="1">
        <v>0</v>
      </c>
      <c r="G21" s="1">
        <v>412</v>
      </c>
      <c r="H21" s="1">
        <v>17.5</v>
      </c>
      <c r="I21" s="1">
        <v>0</v>
      </c>
      <c r="J21" s="1">
        <v>0</v>
      </c>
      <c r="K21" s="1">
        <v>0</v>
      </c>
      <c r="L21" s="1">
        <v>6.5</v>
      </c>
      <c r="M21" s="348">
        <f t="shared" si="26"/>
        <v>62.857142857142854</v>
      </c>
      <c r="N21" s="348" t="e">
        <f>D21/I21</f>
        <v>#DIV/0!</v>
      </c>
      <c r="O21" s="348" t="e">
        <f t="shared" si="28"/>
        <v>#DIV/0!</v>
      </c>
      <c r="P21" s="325" t="e">
        <f t="shared" si="15"/>
        <v>#DIV/0!</v>
      </c>
      <c r="Q21" s="1">
        <f t="shared" si="16"/>
        <v>63.384615384615387</v>
      </c>
      <c r="R21" s="348">
        <f>C21*(0.2*0.9)</f>
        <v>198.00000000000003</v>
      </c>
      <c r="S21" s="348">
        <f>C21*0.05</f>
        <v>55</v>
      </c>
      <c r="T21" s="348">
        <f>D21*(0.2820512822*0.9)</f>
        <v>0</v>
      </c>
      <c r="U21" s="348">
        <f>D21*0.053846154</f>
        <v>0</v>
      </c>
      <c r="V21" s="348">
        <f>E21*(0.188034188*0.9)</f>
        <v>0</v>
      </c>
      <c r="W21" s="348">
        <f>E21*0.046153846</f>
        <v>0</v>
      </c>
      <c r="X21" s="348"/>
      <c r="Y21" s="338">
        <f>F21*0.055</f>
        <v>0</v>
      </c>
      <c r="Z21" s="1">
        <f>G21*(0.312837109*0.9)</f>
        <v>116.00000001720001</v>
      </c>
      <c r="AA21" s="1">
        <f>G21*0.050970873</f>
        <v>20.999999676000002</v>
      </c>
      <c r="AB21" s="44">
        <f t="shared" si="18"/>
        <v>847</v>
      </c>
      <c r="AC21" s="42">
        <f t="shared" si="19"/>
        <v>0</v>
      </c>
      <c r="AD21" s="42">
        <f t="shared" si="20"/>
        <v>0</v>
      </c>
      <c r="AE21" s="327">
        <f t="shared" si="3"/>
        <v>0</v>
      </c>
      <c r="AF21" s="277">
        <f t="shared" si="4"/>
        <v>275.00000030679996</v>
      </c>
      <c r="AG21" s="43">
        <f t="shared" si="21"/>
        <v>1122.0000003067998</v>
      </c>
      <c r="AH21" s="42">
        <f t="shared" si="5"/>
        <v>314.00000001720002</v>
      </c>
      <c r="AI21" s="44">
        <f t="shared" si="6"/>
        <v>75.999999676000002</v>
      </c>
      <c r="AJ21" s="348">
        <v>0</v>
      </c>
      <c r="AK21" s="349">
        <v>0</v>
      </c>
      <c r="AL21" s="350">
        <f t="shared" si="7"/>
        <v>102.00000002789089</v>
      </c>
      <c r="AM21" s="44">
        <f t="shared" si="22"/>
        <v>1511.9999999999998</v>
      </c>
      <c r="AN21">
        <f t="shared" si="23"/>
        <v>18.000000000000004</v>
      </c>
      <c r="AO21" t="e">
        <f t="shared" si="24"/>
        <v>#DIV/0!</v>
      </c>
      <c r="AP21">
        <f t="shared" si="25"/>
        <v>0.28155339810000002</v>
      </c>
      <c r="AS21" s="347">
        <f t="shared" si="8"/>
        <v>1100</v>
      </c>
      <c r="AT21" s="347">
        <f t="shared" si="9"/>
        <v>0.77</v>
      </c>
      <c r="AU21" s="324" t="e">
        <f t="shared" si="10"/>
        <v>#DIV/0!</v>
      </c>
      <c r="AV21" s="324" t="e">
        <f t="shared" si="11"/>
        <v>#DIV/0!</v>
      </c>
      <c r="AW21" s="324" t="e">
        <f t="shared" si="12"/>
        <v>#DIV/0!</v>
      </c>
      <c r="AX21" s="324">
        <f t="shared" si="13"/>
        <v>1100</v>
      </c>
    </row>
    <row r="22" spans="2:50" s="324" customFormat="1" x14ac:dyDescent="0.25">
      <c r="B22" s="325">
        <v>19</v>
      </c>
      <c r="C22" s="1">
        <v>890</v>
      </c>
      <c r="D22" s="1">
        <v>0</v>
      </c>
      <c r="E22" s="1">
        <v>0</v>
      </c>
      <c r="F22" s="1">
        <v>0</v>
      </c>
      <c r="G22" s="1">
        <v>0</v>
      </c>
      <c r="H22" s="1">
        <v>16</v>
      </c>
      <c r="I22" s="1">
        <v>0</v>
      </c>
      <c r="J22" s="1">
        <v>0</v>
      </c>
      <c r="K22" s="1">
        <v>0</v>
      </c>
      <c r="L22" s="1">
        <v>0</v>
      </c>
      <c r="M22" s="325">
        <f t="shared" si="26"/>
        <v>55.625</v>
      </c>
      <c r="N22" s="325" t="e">
        <f t="shared" si="27"/>
        <v>#DIV/0!</v>
      </c>
      <c r="O22" s="325" t="e">
        <f t="shared" si="28"/>
        <v>#DIV/0!</v>
      </c>
      <c r="P22" s="325" t="e">
        <f>F22/K22</f>
        <v>#DIV/0!</v>
      </c>
      <c r="Q22" s="1" t="e">
        <f t="shared" si="16"/>
        <v>#DIV/0!</v>
      </c>
      <c r="R22" s="367">
        <f>C22*(0.188888888888889*0.9)</f>
        <v>151.3000000000001</v>
      </c>
      <c r="S22" s="367">
        <f>C22*0.05</f>
        <v>44.5</v>
      </c>
      <c r="T22" s="325">
        <f>D22*(0.333333333333333*0.9)</f>
        <v>0</v>
      </c>
      <c r="U22" s="325">
        <f>D22*0.05</f>
        <v>0</v>
      </c>
      <c r="V22" s="325">
        <f>E22*(0.277777777777777*0.9)</f>
        <v>0</v>
      </c>
      <c r="W22" s="325">
        <f>E22*0.05</f>
        <v>0</v>
      </c>
      <c r="X22" s="325"/>
      <c r="Y22" s="325">
        <f>F22*0.111111111111111</f>
        <v>0</v>
      </c>
      <c r="Z22" s="1">
        <f t="shared" si="30"/>
        <v>0</v>
      </c>
      <c r="AA22" s="1">
        <f t="shared" si="17"/>
        <v>0</v>
      </c>
      <c r="AB22" s="44">
        <f t="shared" si="18"/>
        <v>694.19999999999993</v>
      </c>
      <c r="AC22" s="42">
        <f t="shared" si="19"/>
        <v>0</v>
      </c>
      <c r="AD22" s="42">
        <f t="shared" si="20"/>
        <v>0</v>
      </c>
      <c r="AE22" s="327">
        <f t="shared" si="3"/>
        <v>0</v>
      </c>
      <c r="AF22" s="277">
        <f t="shared" si="4"/>
        <v>0</v>
      </c>
      <c r="AG22" s="43">
        <f t="shared" si="21"/>
        <v>694.19999999999993</v>
      </c>
      <c r="AH22" s="42">
        <f t="shared" si="5"/>
        <v>151.3000000000001</v>
      </c>
      <c r="AI22" s="44">
        <f t="shared" si="6"/>
        <v>44.5</v>
      </c>
      <c r="AJ22" s="325">
        <v>0</v>
      </c>
      <c r="AK22" s="328">
        <v>0</v>
      </c>
      <c r="AL22" s="329">
        <f t="shared" si="7"/>
        <v>77.999999999999986</v>
      </c>
      <c r="AM22" s="44">
        <f t="shared" si="22"/>
        <v>890</v>
      </c>
      <c r="AN22">
        <f t="shared" si="23"/>
        <v>17.000000000000011</v>
      </c>
      <c r="AO22" t="e">
        <f t="shared" si="24"/>
        <v>#DIV/0!</v>
      </c>
      <c r="AP22" t="e">
        <f t="shared" si="25"/>
        <v>#DIV/0!</v>
      </c>
      <c r="AS22" s="324">
        <f t="shared" si="8"/>
        <v>890</v>
      </c>
      <c r="AT22" s="324">
        <f t="shared" si="9"/>
        <v>0.77999999999999992</v>
      </c>
      <c r="AU22" s="324" t="e">
        <f t="shared" si="10"/>
        <v>#DIV/0!</v>
      </c>
      <c r="AV22" s="324" t="e">
        <f t="shared" si="11"/>
        <v>#DIV/0!</v>
      </c>
      <c r="AW22" s="324" t="e">
        <f t="shared" si="12"/>
        <v>#DIV/0!</v>
      </c>
      <c r="AX22" s="324">
        <f t="shared" si="13"/>
        <v>890</v>
      </c>
    </row>
    <row r="23" spans="2:50" s="324" customFormat="1" x14ac:dyDescent="0.25">
      <c r="B23" s="325">
        <v>20</v>
      </c>
      <c r="C23" s="1">
        <v>542</v>
      </c>
      <c r="D23" s="1">
        <v>0</v>
      </c>
      <c r="E23" s="1">
        <v>0</v>
      </c>
      <c r="F23" s="1">
        <v>0</v>
      </c>
      <c r="G23" s="1">
        <v>0</v>
      </c>
      <c r="H23" s="1">
        <v>8.6</v>
      </c>
      <c r="I23" s="1">
        <v>0</v>
      </c>
      <c r="J23" s="1">
        <v>0</v>
      </c>
      <c r="K23" s="1">
        <v>0</v>
      </c>
      <c r="L23" s="1">
        <v>0</v>
      </c>
      <c r="M23" s="325">
        <f t="shared" si="26"/>
        <v>63.02325581395349</v>
      </c>
      <c r="N23" s="325" t="e">
        <f t="shared" si="27"/>
        <v>#DIV/0!</v>
      </c>
      <c r="O23" s="325" t="e">
        <f t="shared" si="28"/>
        <v>#DIV/0!</v>
      </c>
      <c r="P23" s="325" t="e">
        <f t="shared" si="15"/>
        <v>#DIV/0!</v>
      </c>
      <c r="Q23" s="1" t="e">
        <f t="shared" si="16"/>
        <v>#DIV/0!</v>
      </c>
      <c r="R23" s="325">
        <f>C23*(0.194444444444444*0.9)</f>
        <v>94.849999999999781</v>
      </c>
      <c r="S23" s="325">
        <f>C23*0.05</f>
        <v>27.1</v>
      </c>
      <c r="T23" s="325">
        <f>D23*(0.331723027*0.9)</f>
        <v>0</v>
      </c>
      <c r="U23" s="325">
        <f>D23*0.049275362</f>
        <v>0</v>
      </c>
      <c r="V23" s="325">
        <f>E23*(0.3*0.9)</f>
        <v>0</v>
      </c>
      <c r="W23" s="325">
        <f>E23*0.05</f>
        <v>0</v>
      </c>
      <c r="X23" s="325"/>
      <c r="Y23" s="338">
        <f>F23*0.055</f>
        <v>0</v>
      </c>
      <c r="Z23" s="1">
        <f t="shared" si="30"/>
        <v>0</v>
      </c>
      <c r="AA23" s="1">
        <f t="shared" si="17"/>
        <v>0</v>
      </c>
      <c r="AB23" s="44">
        <f t="shared" si="18"/>
        <v>420.05000000000018</v>
      </c>
      <c r="AC23" s="42">
        <f t="shared" si="19"/>
        <v>0</v>
      </c>
      <c r="AD23" s="42">
        <f t="shared" si="20"/>
        <v>0</v>
      </c>
      <c r="AE23" s="327">
        <f t="shared" si="3"/>
        <v>0</v>
      </c>
      <c r="AF23" s="277">
        <f t="shared" si="4"/>
        <v>0</v>
      </c>
      <c r="AG23" s="43">
        <f t="shared" si="21"/>
        <v>420.05000000000018</v>
      </c>
      <c r="AH23" s="42">
        <f t="shared" si="5"/>
        <v>94.849999999999781</v>
      </c>
      <c r="AI23" s="44">
        <f t="shared" si="6"/>
        <v>27.1</v>
      </c>
      <c r="AJ23" s="325">
        <v>0</v>
      </c>
      <c r="AK23" s="328">
        <v>0</v>
      </c>
      <c r="AL23" s="334">
        <f t="shared" si="7"/>
        <v>77.500000000000028</v>
      </c>
      <c r="AM23" s="44">
        <f t="shared" si="22"/>
        <v>542</v>
      </c>
      <c r="AN23">
        <f t="shared" si="23"/>
        <v>17.499999999999961</v>
      </c>
      <c r="AO23" t="e">
        <f t="shared" si="24"/>
        <v>#DIV/0!</v>
      </c>
      <c r="AP23" t="e">
        <f t="shared" si="25"/>
        <v>#DIV/0!</v>
      </c>
      <c r="AS23" s="324">
        <f t="shared" si="8"/>
        <v>542</v>
      </c>
      <c r="AT23" s="324">
        <f t="shared" si="9"/>
        <v>0.77500000000000036</v>
      </c>
      <c r="AU23" s="324" t="e">
        <f t="shared" si="10"/>
        <v>#DIV/0!</v>
      </c>
      <c r="AV23" s="324" t="e">
        <f t="shared" si="11"/>
        <v>#DIV/0!</v>
      </c>
      <c r="AW23" s="324" t="e">
        <f t="shared" si="12"/>
        <v>#DIV/0!</v>
      </c>
      <c r="AX23" s="324">
        <f t="shared" si="13"/>
        <v>542</v>
      </c>
    </row>
    <row r="24" spans="2:50" s="407" customFormat="1" x14ac:dyDescent="0.25">
      <c r="B24" s="408">
        <v>21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408" t="e">
        <f t="shared" si="26"/>
        <v>#DIV/0!</v>
      </c>
      <c r="N24" s="408" t="e">
        <f t="shared" si="27"/>
        <v>#DIV/0!</v>
      </c>
      <c r="O24" s="408" t="e">
        <f t="shared" si="28"/>
        <v>#DIV/0!</v>
      </c>
      <c r="P24" s="408" t="e">
        <f t="shared" si="15"/>
        <v>#DIV/0!</v>
      </c>
      <c r="Q24" s="1" t="e">
        <f t="shared" si="16"/>
        <v>#DIV/0!</v>
      </c>
      <c r="R24" s="408">
        <f>C24*(0.200286123*0.9)</f>
        <v>0</v>
      </c>
      <c r="S24" s="408">
        <f>C24*0.050429184</f>
        <v>0</v>
      </c>
      <c r="T24" s="408">
        <f>D24*(0.2888888888889*0.9)</f>
        <v>0</v>
      </c>
      <c r="U24" s="408">
        <f>D24*0.05</f>
        <v>0</v>
      </c>
      <c r="V24" s="408">
        <f>E24*(0.257309941*0.9)</f>
        <v>0</v>
      </c>
      <c r="W24" s="408">
        <f>E24*0.052631578</f>
        <v>0</v>
      </c>
      <c r="X24" s="408"/>
      <c r="Y24" s="408">
        <f>F24*0.055</f>
        <v>0</v>
      </c>
      <c r="Z24" s="1">
        <f t="shared" si="30"/>
        <v>0</v>
      </c>
      <c r="AA24" s="1">
        <f t="shared" si="17"/>
        <v>0</v>
      </c>
      <c r="AB24" s="44">
        <f t="shared" si="18"/>
        <v>0</v>
      </c>
      <c r="AC24" s="42">
        <f t="shared" si="19"/>
        <v>0</v>
      </c>
      <c r="AD24" s="42">
        <f t="shared" si="20"/>
        <v>0</v>
      </c>
      <c r="AE24" s="408">
        <f t="shared" si="3"/>
        <v>0</v>
      </c>
      <c r="AF24" s="277">
        <f t="shared" si="4"/>
        <v>0</v>
      </c>
      <c r="AG24" s="43">
        <f t="shared" si="21"/>
        <v>0</v>
      </c>
      <c r="AH24" s="42">
        <f t="shared" si="5"/>
        <v>0</v>
      </c>
      <c r="AI24" s="44">
        <f t="shared" si="6"/>
        <v>0</v>
      </c>
      <c r="AJ24" s="408">
        <v>0</v>
      </c>
      <c r="AK24" s="409">
        <v>0</v>
      </c>
      <c r="AL24" s="410" t="e">
        <f t="shared" si="7"/>
        <v>#DIV/0!</v>
      </c>
      <c r="AM24" s="44">
        <f t="shared" si="22"/>
        <v>0</v>
      </c>
      <c r="AN24" t="e">
        <f t="shared" si="23"/>
        <v>#DIV/0!</v>
      </c>
      <c r="AO24" t="e">
        <f t="shared" si="24"/>
        <v>#DIV/0!</v>
      </c>
      <c r="AP24" t="e">
        <f t="shared" si="25"/>
        <v>#DIV/0!</v>
      </c>
      <c r="AS24" s="407">
        <f t="shared" si="8"/>
        <v>0</v>
      </c>
      <c r="AT24" s="407" t="e">
        <f t="shared" si="9"/>
        <v>#DIV/0!</v>
      </c>
      <c r="AU24" s="407" t="e">
        <f t="shared" si="10"/>
        <v>#DIV/0!</v>
      </c>
      <c r="AV24" s="407" t="e">
        <f t="shared" si="11"/>
        <v>#DIV/0!</v>
      </c>
      <c r="AW24" s="407" t="e">
        <f t="shared" si="12"/>
        <v>#DIV/0!</v>
      </c>
      <c r="AX24" s="407">
        <f t="shared" si="13"/>
        <v>0</v>
      </c>
    </row>
    <row r="25" spans="2:50" s="412" customFormat="1" x14ac:dyDescent="0.25">
      <c r="B25" s="413">
        <v>22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413" t="e">
        <f t="shared" si="26"/>
        <v>#DIV/0!</v>
      </c>
      <c r="N25" s="413" t="e">
        <f t="shared" si="27"/>
        <v>#DIV/0!</v>
      </c>
      <c r="O25" s="413" t="e">
        <f t="shared" si="28"/>
        <v>#DIV/0!</v>
      </c>
      <c r="P25" s="325" t="e">
        <f t="shared" si="15"/>
        <v>#DIV/0!</v>
      </c>
      <c r="Q25" s="1" t="e">
        <f t="shared" si="16"/>
        <v>#DIV/0!</v>
      </c>
      <c r="R25" s="413">
        <f>C25*(0.2*0.9)</f>
        <v>0</v>
      </c>
      <c r="S25" s="413">
        <f t="shared" si="35"/>
        <v>0</v>
      </c>
      <c r="T25" s="413">
        <f>D25*(0.277777777777777*0.9)</f>
        <v>0</v>
      </c>
      <c r="U25" s="413">
        <f>D25*0.0533333333333333</f>
        <v>0</v>
      </c>
      <c r="V25" s="413">
        <f>E25*(0.222222222222222*0.9)</f>
        <v>0</v>
      </c>
      <c r="W25" s="413">
        <f>E25*0.05</f>
        <v>0</v>
      </c>
      <c r="X25" s="413"/>
      <c r="Y25" s="413">
        <f>F25*0.052631579</f>
        <v>0</v>
      </c>
      <c r="Z25" s="1">
        <f t="shared" si="30"/>
        <v>0</v>
      </c>
      <c r="AA25" s="1">
        <f t="shared" si="17"/>
        <v>0</v>
      </c>
      <c r="AB25" s="44">
        <f t="shared" si="18"/>
        <v>0</v>
      </c>
      <c r="AC25" s="42">
        <f t="shared" si="19"/>
        <v>0</v>
      </c>
      <c r="AD25" s="42">
        <f t="shared" si="20"/>
        <v>0</v>
      </c>
      <c r="AE25" s="327">
        <f t="shared" si="3"/>
        <v>0</v>
      </c>
      <c r="AF25" s="277">
        <f t="shared" si="4"/>
        <v>0</v>
      </c>
      <c r="AG25" s="43">
        <f t="shared" si="21"/>
        <v>0</v>
      </c>
      <c r="AH25" s="42">
        <f t="shared" si="5"/>
        <v>0</v>
      </c>
      <c r="AI25" s="44">
        <f t="shared" si="6"/>
        <v>0</v>
      </c>
      <c r="AJ25" s="413">
        <v>0</v>
      </c>
      <c r="AK25" s="414">
        <v>0</v>
      </c>
      <c r="AL25" s="415" t="e">
        <f>AG25/(C25+D25+E25)*100</f>
        <v>#DIV/0!</v>
      </c>
      <c r="AM25" s="44">
        <f t="shared" si="22"/>
        <v>0</v>
      </c>
      <c r="AN25" t="e">
        <f t="shared" si="23"/>
        <v>#DIV/0!</v>
      </c>
      <c r="AO25" t="e">
        <f t="shared" si="24"/>
        <v>#DIV/0!</v>
      </c>
      <c r="AP25" t="e">
        <f t="shared" si="25"/>
        <v>#DIV/0!</v>
      </c>
      <c r="AS25" s="412">
        <f t="shared" si="8"/>
        <v>0</v>
      </c>
      <c r="AT25" s="412" t="e">
        <f t="shared" si="9"/>
        <v>#DIV/0!</v>
      </c>
      <c r="AU25" s="324" t="e">
        <f t="shared" si="10"/>
        <v>#DIV/0!</v>
      </c>
      <c r="AV25" s="324" t="e">
        <f t="shared" si="11"/>
        <v>#DIV/0!</v>
      </c>
      <c r="AW25" s="324" t="e">
        <f t="shared" si="12"/>
        <v>#DIV/0!</v>
      </c>
      <c r="AX25" s="324">
        <f t="shared" si="13"/>
        <v>0</v>
      </c>
    </row>
    <row r="26" spans="2:50" s="324" customFormat="1" x14ac:dyDescent="0.25">
      <c r="B26" s="325">
        <v>23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325" t="e">
        <f t="shared" ref="M26" si="36">C26/H26</f>
        <v>#DIV/0!</v>
      </c>
      <c r="N26" s="325" t="e">
        <f t="shared" ref="N26" si="37">D26/I26</f>
        <v>#DIV/0!</v>
      </c>
      <c r="O26" s="325" t="e">
        <f t="shared" ref="O26" si="38">E26/J26</f>
        <v>#DIV/0!</v>
      </c>
      <c r="P26" s="325" t="e">
        <f t="shared" si="15"/>
        <v>#DIV/0!</v>
      </c>
      <c r="Q26" s="1" t="e">
        <f t="shared" si="16"/>
        <v>#DIV/0!</v>
      </c>
      <c r="R26" s="418">
        <f>C26*(0.1944287066*0.9)</f>
        <v>0</v>
      </c>
      <c r="S26" s="326">
        <f>C26*0.05</f>
        <v>0</v>
      </c>
      <c r="T26" s="325">
        <f>D26*(0.326797385*0.9)</f>
        <v>0</v>
      </c>
      <c r="U26" s="325">
        <f>D26*0.051470588</f>
        <v>0</v>
      </c>
      <c r="V26" s="325">
        <f>E26*(0.277777777777777*0.9)</f>
        <v>0</v>
      </c>
      <c r="W26" s="325">
        <f>E26*0.05</f>
        <v>0</v>
      </c>
      <c r="X26" s="325"/>
      <c r="Y26" s="338">
        <f t="shared" ref="Y26:Y32" si="39">F26*0.055</f>
        <v>0</v>
      </c>
      <c r="Z26" s="1">
        <f t="shared" si="30"/>
        <v>0</v>
      </c>
      <c r="AA26" s="1">
        <f t="shared" si="17"/>
        <v>0</v>
      </c>
      <c r="AB26" s="44">
        <f t="shared" si="18"/>
        <v>0</v>
      </c>
      <c r="AC26" s="42">
        <f t="shared" si="19"/>
        <v>0</v>
      </c>
      <c r="AD26" s="42">
        <f t="shared" si="20"/>
        <v>0</v>
      </c>
      <c r="AE26" s="327">
        <f t="shared" si="3"/>
        <v>0</v>
      </c>
      <c r="AF26" s="277">
        <f t="shared" si="4"/>
        <v>0</v>
      </c>
      <c r="AG26" s="43">
        <f t="shared" si="21"/>
        <v>0</v>
      </c>
      <c r="AH26" s="42">
        <f t="shared" si="5"/>
        <v>0</v>
      </c>
      <c r="AI26" s="44">
        <f t="shared" si="6"/>
        <v>0</v>
      </c>
      <c r="AJ26" s="325">
        <v>0</v>
      </c>
      <c r="AK26" s="328">
        <v>0</v>
      </c>
      <c r="AL26" s="334" t="e">
        <f>AG26/(C26+D26+E26)*100</f>
        <v>#DIV/0!</v>
      </c>
      <c r="AM26" s="44">
        <f t="shared" si="22"/>
        <v>0</v>
      </c>
      <c r="AN26" t="e">
        <f t="shared" si="23"/>
        <v>#DIV/0!</v>
      </c>
      <c r="AO26" t="e">
        <f t="shared" si="24"/>
        <v>#DIV/0!</v>
      </c>
      <c r="AP26" t="e">
        <f t="shared" si="25"/>
        <v>#DIV/0!</v>
      </c>
      <c r="AS26" s="324">
        <f t="shared" si="8"/>
        <v>0</v>
      </c>
      <c r="AT26" s="324" t="e">
        <f t="shared" si="9"/>
        <v>#DIV/0!</v>
      </c>
      <c r="AU26" s="324" t="e">
        <f t="shared" si="10"/>
        <v>#DIV/0!</v>
      </c>
      <c r="AV26" s="324" t="e">
        <f t="shared" si="11"/>
        <v>#DIV/0!</v>
      </c>
      <c r="AW26" s="324" t="e">
        <f t="shared" si="12"/>
        <v>#DIV/0!</v>
      </c>
      <c r="AX26" s="324">
        <f t="shared" si="13"/>
        <v>0</v>
      </c>
    </row>
    <row r="27" spans="2:50" s="324" customFormat="1" x14ac:dyDescent="0.25">
      <c r="B27" s="419">
        <v>24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419" t="e">
        <f>C27/H27</f>
        <v>#DIV/0!</v>
      </c>
      <c r="N27" s="419" t="e">
        <f t="shared" si="27"/>
        <v>#DIV/0!</v>
      </c>
      <c r="O27" s="419" t="e">
        <f t="shared" si="28"/>
        <v>#DIV/0!</v>
      </c>
      <c r="P27" s="325" t="e">
        <f t="shared" si="15"/>
        <v>#DIV/0!</v>
      </c>
      <c r="Q27" s="1" t="e">
        <f t="shared" si="16"/>
        <v>#DIV/0!</v>
      </c>
      <c r="R27" s="419">
        <f>C27*(0.2*0.9)</f>
        <v>0</v>
      </c>
      <c r="S27" s="419">
        <f>C27*0.05</f>
        <v>0</v>
      </c>
      <c r="T27" s="325">
        <f>D27*(0.282051282*0.9)</f>
        <v>0</v>
      </c>
      <c r="U27" s="325">
        <f>D27*0.053846153</f>
        <v>0</v>
      </c>
      <c r="V27" s="325">
        <f>E27*(0.188679245*0.9)</f>
        <v>0</v>
      </c>
      <c r="W27" s="325">
        <f>E27*0.049056603</f>
        <v>0</v>
      </c>
      <c r="X27" s="325"/>
      <c r="Y27" s="338">
        <f t="shared" si="39"/>
        <v>0</v>
      </c>
      <c r="Z27" s="1">
        <f t="shared" si="30"/>
        <v>0</v>
      </c>
      <c r="AA27" s="1">
        <f t="shared" si="17"/>
        <v>0</v>
      </c>
      <c r="AB27" s="44">
        <f t="shared" si="18"/>
        <v>0</v>
      </c>
      <c r="AC27" s="42">
        <f t="shared" si="19"/>
        <v>0</v>
      </c>
      <c r="AD27" s="42">
        <f t="shared" si="20"/>
        <v>0</v>
      </c>
      <c r="AE27" s="327">
        <f t="shared" si="3"/>
        <v>0</v>
      </c>
      <c r="AF27" s="277">
        <f t="shared" si="4"/>
        <v>0</v>
      </c>
      <c r="AG27" s="43">
        <f t="shared" si="21"/>
        <v>0</v>
      </c>
      <c r="AH27" s="42">
        <f t="shared" si="5"/>
        <v>0</v>
      </c>
      <c r="AI27" s="44">
        <f t="shared" si="6"/>
        <v>0</v>
      </c>
      <c r="AJ27" s="325">
        <v>0</v>
      </c>
      <c r="AK27" s="328">
        <v>0</v>
      </c>
      <c r="AL27" s="334" t="e">
        <f>AG27/(C27+D27+E27)*100</f>
        <v>#DIV/0!</v>
      </c>
      <c r="AM27" s="44">
        <f t="shared" si="22"/>
        <v>0</v>
      </c>
      <c r="AN27" t="e">
        <f t="shared" si="23"/>
        <v>#DIV/0!</v>
      </c>
      <c r="AO27" t="e">
        <f t="shared" si="24"/>
        <v>#DIV/0!</v>
      </c>
      <c r="AP27" t="e">
        <f t="shared" si="25"/>
        <v>#DIV/0!</v>
      </c>
      <c r="AS27" s="324">
        <f t="shared" si="8"/>
        <v>0</v>
      </c>
      <c r="AT27" s="324" t="e">
        <f t="shared" si="9"/>
        <v>#DIV/0!</v>
      </c>
      <c r="AU27" s="324" t="e">
        <f t="shared" si="10"/>
        <v>#DIV/0!</v>
      </c>
      <c r="AV27" s="324" t="e">
        <f t="shared" si="11"/>
        <v>#DIV/0!</v>
      </c>
      <c r="AW27" s="324" t="e">
        <f t="shared" si="12"/>
        <v>#DIV/0!</v>
      </c>
      <c r="AX27" s="324">
        <f t="shared" si="13"/>
        <v>0</v>
      </c>
    </row>
    <row r="28" spans="2:50" s="324" customFormat="1" x14ac:dyDescent="0.25">
      <c r="B28" s="325">
        <v>25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325" t="e">
        <f>C28/H28</f>
        <v>#DIV/0!</v>
      </c>
      <c r="N28" s="325" t="e">
        <f>D28/I28</f>
        <v>#DIV/0!</v>
      </c>
      <c r="O28" s="325" t="e">
        <f>E28/J28</f>
        <v>#DIV/0!</v>
      </c>
      <c r="P28" s="325" t="e">
        <f t="shared" si="15"/>
        <v>#DIV/0!</v>
      </c>
      <c r="Q28" s="1" t="e">
        <f t="shared" si="16"/>
        <v>#DIV/0!</v>
      </c>
      <c r="R28" s="420">
        <f>C28*(0.2*0.9)</f>
        <v>0</v>
      </c>
      <c r="S28" s="420">
        <f t="shared" ref="S28:S34" si="40">C28*0.05</f>
        <v>0</v>
      </c>
      <c r="T28" s="420">
        <f>D28*(0.244444444444444*0.9)</f>
        <v>0</v>
      </c>
      <c r="U28" s="420">
        <f>D28*0.055</f>
        <v>0</v>
      </c>
      <c r="V28" s="325">
        <f>E28*(0.27481217888*0.9)</f>
        <v>0</v>
      </c>
      <c r="W28" s="325">
        <f>E28*0.0508896799</f>
        <v>0</v>
      </c>
      <c r="X28" s="325"/>
      <c r="Y28" s="338">
        <f t="shared" si="39"/>
        <v>0</v>
      </c>
      <c r="Z28" s="1">
        <f t="shared" si="30"/>
        <v>0</v>
      </c>
      <c r="AA28" s="1">
        <f t="shared" si="17"/>
        <v>0</v>
      </c>
      <c r="AB28" s="44">
        <f t="shared" si="18"/>
        <v>0</v>
      </c>
      <c r="AC28" s="42">
        <f t="shared" si="19"/>
        <v>0</v>
      </c>
      <c r="AD28" s="42">
        <f t="shared" si="20"/>
        <v>0</v>
      </c>
      <c r="AE28" s="327">
        <f t="shared" si="3"/>
        <v>0</v>
      </c>
      <c r="AF28" s="277">
        <f t="shared" si="4"/>
        <v>0</v>
      </c>
      <c r="AG28" s="43">
        <f t="shared" si="21"/>
        <v>0</v>
      </c>
      <c r="AH28" s="42">
        <f t="shared" si="5"/>
        <v>0</v>
      </c>
      <c r="AI28" s="44">
        <f t="shared" si="6"/>
        <v>0</v>
      </c>
      <c r="AJ28" s="325">
        <v>0</v>
      </c>
      <c r="AK28" s="328">
        <v>0</v>
      </c>
      <c r="AL28" s="334" t="e">
        <f t="shared" ref="AL28:AL39" si="41">AG28/(C28+D28)*100</f>
        <v>#DIV/0!</v>
      </c>
      <c r="AM28" s="44">
        <f t="shared" si="22"/>
        <v>0</v>
      </c>
      <c r="AN28" t="e">
        <f t="shared" si="23"/>
        <v>#DIV/0!</v>
      </c>
      <c r="AO28" t="e">
        <f t="shared" si="24"/>
        <v>#DIV/0!</v>
      </c>
      <c r="AP28" t="e">
        <f t="shared" si="25"/>
        <v>#DIV/0!</v>
      </c>
      <c r="AS28" s="324">
        <f t="shared" si="8"/>
        <v>0</v>
      </c>
      <c r="AT28" s="324" t="e">
        <f t="shared" si="9"/>
        <v>#DIV/0!</v>
      </c>
      <c r="AU28" s="324" t="e">
        <f t="shared" si="10"/>
        <v>#DIV/0!</v>
      </c>
      <c r="AV28" s="324" t="e">
        <f t="shared" si="11"/>
        <v>#DIV/0!</v>
      </c>
      <c r="AW28" s="324" t="e">
        <f t="shared" si="12"/>
        <v>#DIV/0!</v>
      </c>
      <c r="AX28" s="324">
        <f t="shared" si="13"/>
        <v>0</v>
      </c>
    </row>
    <row r="29" spans="2:50" s="324" customFormat="1" ht="16.5" customHeight="1" x14ac:dyDescent="0.25">
      <c r="B29" s="325">
        <v>26</v>
      </c>
      <c r="C29" s="1">
        <v>240</v>
      </c>
      <c r="D29" s="1">
        <v>0</v>
      </c>
      <c r="E29" s="1">
        <v>0</v>
      </c>
      <c r="F29" s="1">
        <v>0</v>
      </c>
      <c r="G29" s="1">
        <v>400</v>
      </c>
      <c r="H29" s="1">
        <v>4.3</v>
      </c>
      <c r="I29" s="1">
        <v>0</v>
      </c>
      <c r="J29" s="1">
        <v>0</v>
      </c>
      <c r="K29" s="1">
        <v>0</v>
      </c>
      <c r="L29" s="1">
        <v>6.8</v>
      </c>
      <c r="M29" s="325">
        <f t="shared" ref="M29" si="42">C29/H29</f>
        <v>55.813953488372093</v>
      </c>
      <c r="N29" s="325" t="e">
        <f t="shared" ref="N29" si="43">D29/I29</f>
        <v>#DIV/0!</v>
      </c>
      <c r="O29" s="325" t="e">
        <f t="shared" ref="O29" si="44">E29/J29</f>
        <v>#DIV/0!</v>
      </c>
      <c r="P29" s="325" t="e">
        <f t="shared" si="15"/>
        <v>#DIV/0!</v>
      </c>
      <c r="Q29" s="1">
        <f t="shared" si="16"/>
        <v>58.82352941176471</v>
      </c>
      <c r="R29" s="367">
        <f>C29*(0.177777777777777*0.9)</f>
        <v>38.399999999999835</v>
      </c>
      <c r="S29" s="325">
        <f t="shared" si="40"/>
        <v>12</v>
      </c>
      <c r="T29" s="325">
        <f>D29*(0.311111111111111*0.9)</f>
        <v>0</v>
      </c>
      <c r="U29" s="325">
        <f>D29*0.05</f>
        <v>0</v>
      </c>
      <c r="V29" s="325">
        <f>E29*(0.277777777777777*0.9)</f>
        <v>0</v>
      </c>
      <c r="W29" s="325">
        <f>E29*0.05</f>
        <v>0</v>
      </c>
      <c r="X29" s="325"/>
      <c r="Y29" s="338">
        <f t="shared" si="39"/>
        <v>0</v>
      </c>
      <c r="Z29" s="14">
        <f>G29*(0.272222222222222*0.9)</f>
        <v>97.999999999999915</v>
      </c>
      <c r="AA29" s="1">
        <f t="shared" si="17"/>
        <v>20</v>
      </c>
      <c r="AB29" s="44">
        <f t="shared" si="18"/>
        <v>189.60000000000016</v>
      </c>
      <c r="AC29" s="42">
        <f t="shared" si="19"/>
        <v>0</v>
      </c>
      <c r="AD29" s="42">
        <f t="shared" si="20"/>
        <v>0</v>
      </c>
      <c r="AE29" s="327">
        <f t="shared" si="3"/>
        <v>0</v>
      </c>
      <c r="AF29" s="277">
        <f t="shared" si="4"/>
        <v>282.00000000000011</v>
      </c>
      <c r="AG29" s="43">
        <f t="shared" si="21"/>
        <v>471.60000000000025</v>
      </c>
      <c r="AH29" s="42">
        <f t="shared" si="5"/>
        <v>136.39999999999975</v>
      </c>
      <c r="AI29" s="44">
        <f t="shared" si="6"/>
        <v>32</v>
      </c>
      <c r="AJ29" s="325">
        <v>0</v>
      </c>
      <c r="AK29" s="328">
        <v>0</v>
      </c>
      <c r="AL29" s="334">
        <f t="shared" si="41"/>
        <v>196.50000000000009</v>
      </c>
      <c r="AM29" s="44">
        <f t="shared" si="22"/>
        <v>640</v>
      </c>
      <c r="AN29">
        <f t="shared" si="23"/>
        <v>15.999999999999931</v>
      </c>
      <c r="AO29" t="e">
        <f t="shared" si="24"/>
        <v>#DIV/0!</v>
      </c>
      <c r="AP29">
        <f t="shared" si="25"/>
        <v>0.24499999999999977</v>
      </c>
      <c r="AS29" s="324">
        <f t="shared" si="8"/>
        <v>240</v>
      </c>
      <c r="AT29" s="324">
        <f t="shared" si="9"/>
        <v>0.7900000000000007</v>
      </c>
      <c r="AU29" s="324" t="e">
        <f t="shared" si="10"/>
        <v>#DIV/0!</v>
      </c>
      <c r="AV29" s="324" t="e">
        <f t="shared" si="11"/>
        <v>#DIV/0!</v>
      </c>
      <c r="AW29" s="324" t="e">
        <f t="shared" si="12"/>
        <v>#DIV/0!</v>
      </c>
      <c r="AX29" s="324">
        <f t="shared" si="13"/>
        <v>240</v>
      </c>
    </row>
    <row r="30" spans="2:50" x14ac:dyDescent="0.25">
      <c r="B30" s="1">
        <v>27</v>
      </c>
      <c r="C30" s="1">
        <v>270</v>
      </c>
      <c r="D30" s="1">
        <v>0</v>
      </c>
      <c r="E30" s="1">
        <v>0</v>
      </c>
      <c r="F30" s="1">
        <v>0</v>
      </c>
      <c r="G30" s="1">
        <v>0</v>
      </c>
      <c r="H30" s="1">
        <v>4.5999999999999996</v>
      </c>
      <c r="I30" s="1">
        <v>0</v>
      </c>
      <c r="J30" s="1">
        <v>0</v>
      </c>
      <c r="K30" s="1">
        <v>0</v>
      </c>
      <c r="L30" s="1">
        <v>0</v>
      </c>
      <c r="M30" s="1">
        <f>C30/H30</f>
        <v>58.695652173913047</v>
      </c>
      <c r="N30" s="1" t="e">
        <f t="shared" si="27"/>
        <v>#DIV/0!</v>
      </c>
      <c r="O30" s="1" t="e">
        <f t="shared" si="28"/>
        <v>#DIV/0!</v>
      </c>
      <c r="P30" s="1" t="e">
        <f t="shared" si="15"/>
        <v>#DIV/0!</v>
      </c>
      <c r="Q30" s="1" t="e">
        <f t="shared" si="16"/>
        <v>#DIV/0!</v>
      </c>
      <c r="R30" s="1">
        <f>C30*(0.177777777777777*0.9)</f>
        <v>43.199999999999811</v>
      </c>
      <c r="S30" s="1">
        <f>C30*0.05</f>
        <v>13.5</v>
      </c>
      <c r="T30" s="1">
        <f>D30*(0.277777777777777*0.9)</f>
        <v>0</v>
      </c>
      <c r="U30" s="1">
        <f>D30*0.05</f>
        <v>0</v>
      </c>
      <c r="V30" s="1">
        <f>E30*(0.282186948*0.9)</f>
        <v>0</v>
      </c>
      <c r="W30" s="1">
        <f>E30*0.047619047</f>
        <v>0</v>
      </c>
      <c r="X30" s="1"/>
      <c r="Y30" s="1">
        <f t="shared" si="39"/>
        <v>0</v>
      </c>
      <c r="Z30" s="1">
        <f t="shared" si="30"/>
        <v>0</v>
      </c>
      <c r="AA30" s="1">
        <f t="shared" si="17"/>
        <v>0</v>
      </c>
      <c r="AB30" s="44">
        <f t="shared" si="18"/>
        <v>213.30000000000018</v>
      </c>
      <c r="AC30" s="42">
        <f t="shared" si="19"/>
        <v>0</v>
      </c>
      <c r="AD30" s="42">
        <f t="shared" si="20"/>
        <v>0</v>
      </c>
      <c r="AE30" s="1">
        <f t="shared" si="3"/>
        <v>0</v>
      </c>
      <c r="AF30" s="1">
        <f t="shared" si="4"/>
        <v>0</v>
      </c>
      <c r="AG30" s="43">
        <f t="shared" si="21"/>
        <v>213.30000000000018</v>
      </c>
      <c r="AH30" s="42">
        <f t="shared" si="5"/>
        <v>43.199999999999811</v>
      </c>
      <c r="AI30" s="44">
        <f t="shared" si="6"/>
        <v>13.5</v>
      </c>
      <c r="AJ30" s="1">
        <v>0</v>
      </c>
      <c r="AK30" s="6">
        <v>0</v>
      </c>
      <c r="AL30" s="32">
        <f t="shared" si="41"/>
        <v>79.000000000000071</v>
      </c>
      <c r="AM30" s="44">
        <f t="shared" si="22"/>
        <v>270</v>
      </c>
      <c r="AN30">
        <f t="shared" si="23"/>
        <v>15.999999999999931</v>
      </c>
      <c r="AO30" t="e">
        <f t="shared" si="24"/>
        <v>#DIV/0!</v>
      </c>
      <c r="AP30" t="e">
        <f t="shared" si="25"/>
        <v>#DIV/0!</v>
      </c>
      <c r="AS30">
        <f t="shared" si="8"/>
        <v>270</v>
      </c>
      <c r="AT30">
        <f t="shared" ref="AT30:AT35" si="45">AB30/C30</f>
        <v>0.7900000000000007</v>
      </c>
      <c r="AU30" t="e">
        <f t="shared" ref="AU30:AU35" si="46">AD30/E30</f>
        <v>#DIV/0!</v>
      </c>
      <c r="AV30" s="324" t="e">
        <f>AD30/E30</f>
        <v>#DIV/0!</v>
      </c>
      <c r="AX30">
        <f t="shared" si="13"/>
        <v>270</v>
      </c>
    </row>
    <row r="31" spans="2:50" x14ac:dyDescent="0.25">
      <c r="B31" s="1">
        <v>28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e">
        <f>C31/H31</f>
        <v>#DIV/0!</v>
      </c>
      <c r="N31" s="1" t="e">
        <f t="shared" si="27"/>
        <v>#DIV/0!</v>
      </c>
      <c r="O31" s="1" t="e">
        <f t="shared" si="28"/>
        <v>#DIV/0!</v>
      </c>
      <c r="P31" s="1" t="e">
        <f t="shared" si="15"/>
        <v>#DIV/0!</v>
      </c>
      <c r="Q31" s="1" t="e">
        <f t="shared" si="16"/>
        <v>#DIV/0!</v>
      </c>
      <c r="R31" s="15">
        <f>C31*(0.194799054*0.9)</f>
        <v>0</v>
      </c>
      <c r="S31" s="424">
        <f>C31*0.050212765</f>
        <v>0</v>
      </c>
      <c r="T31" s="247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256">
        <f t="shared" si="39"/>
        <v>0</v>
      </c>
      <c r="Z31" s="1">
        <f t="shared" si="30"/>
        <v>0</v>
      </c>
      <c r="AA31" s="1">
        <f t="shared" si="17"/>
        <v>0</v>
      </c>
      <c r="AB31" s="44">
        <f t="shared" si="18"/>
        <v>0</v>
      </c>
      <c r="AC31" s="42">
        <f t="shared" si="19"/>
        <v>0</v>
      </c>
      <c r="AD31" s="42">
        <f t="shared" si="20"/>
        <v>0</v>
      </c>
      <c r="AE31" s="277">
        <f t="shared" si="3"/>
        <v>0</v>
      </c>
      <c r="AF31" s="277">
        <f t="shared" si="4"/>
        <v>0</v>
      </c>
      <c r="AG31" s="43">
        <f t="shared" si="21"/>
        <v>0</v>
      </c>
      <c r="AH31" s="42">
        <f t="shared" si="5"/>
        <v>0</v>
      </c>
      <c r="AI31" s="44">
        <f t="shared" si="6"/>
        <v>0</v>
      </c>
      <c r="AJ31" s="1">
        <v>0</v>
      </c>
      <c r="AK31" s="6">
        <v>0</v>
      </c>
      <c r="AL31" s="45" t="e">
        <f t="shared" si="41"/>
        <v>#DIV/0!</v>
      </c>
      <c r="AM31" s="44">
        <f t="shared" si="22"/>
        <v>0</v>
      </c>
      <c r="AN31" t="e">
        <f t="shared" si="23"/>
        <v>#DIV/0!</v>
      </c>
      <c r="AO31" t="e">
        <f t="shared" si="24"/>
        <v>#DIV/0!</v>
      </c>
      <c r="AP31" t="e">
        <f t="shared" si="25"/>
        <v>#DIV/0!</v>
      </c>
      <c r="AS31">
        <f t="shared" si="8"/>
        <v>0</v>
      </c>
      <c r="AT31" t="e">
        <f t="shared" si="45"/>
        <v>#DIV/0!</v>
      </c>
      <c r="AU31" t="e">
        <f t="shared" si="46"/>
        <v>#DIV/0!</v>
      </c>
      <c r="AV31" s="324" t="e">
        <f>AD31/E31</f>
        <v>#DIV/0!</v>
      </c>
      <c r="AX31">
        <f t="shared" si="13"/>
        <v>0</v>
      </c>
    </row>
    <row r="32" spans="2:50" x14ac:dyDescent="0.25">
      <c r="B32" s="1">
        <v>29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e">
        <f>C32/H32</f>
        <v>#DIV/0!</v>
      </c>
      <c r="N32" s="1" t="e">
        <f t="shared" si="27"/>
        <v>#DIV/0!</v>
      </c>
      <c r="O32" s="1" t="e">
        <f t="shared" si="28"/>
        <v>#DIV/0!</v>
      </c>
      <c r="P32" s="1" t="e">
        <f t="shared" si="15"/>
        <v>#DIV/0!</v>
      </c>
      <c r="Q32" s="1" t="e">
        <f t="shared" si="16"/>
        <v>#DIV/0!</v>
      </c>
      <c r="R32" s="15">
        <f>C32*(0.194444444444444*0.9)</f>
        <v>0</v>
      </c>
      <c r="S32" s="15">
        <f t="shared" si="40"/>
        <v>0</v>
      </c>
      <c r="T32" s="1">
        <f>D32*(0.2927478377*0.9)</f>
        <v>0</v>
      </c>
      <c r="U32" s="1">
        <f>D32*0.0508982036</f>
        <v>0</v>
      </c>
      <c r="V32" s="1">
        <f>E32*(0.288888888888888*0.9)</f>
        <v>0</v>
      </c>
      <c r="W32" s="1">
        <f>E32*0.05</f>
        <v>0</v>
      </c>
      <c r="X32" s="1"/>
      <c r="Y32" s="256">
        <f t="shared" si="39"/>
        <v>0</v>
      </c>
      <c r="Z32" s="1">
        <f t="shared" si="30"/>
        <v>0</v>
      </c>
      <c r="AA32" s="1">
        <f t="shared" si="17"/>
        <v>0</v>
      </c>
      <c r="AB32" s="44">
        <f t="shared" si="18"/>
        <v>0</v>
      </c>
      <c r="AC32" s="42">
        <f t="shared" si="19"/>
        <v>0</v>
      </c>
      <c r="AD32" s="42">
        <f t="shared" si="20"/>
        <v>0</v>
      </c>
      <c r="AE32" s="277">
        <f t="shared" si="3"/>
        <v>0</v>
      </c>
      <c r="AF32" s="277">
        <f t="shared" si="4"/>
        <v>0</v>
      </c>
      <c r="AG32" s="43">
        <f t="shared" si="21"/>
        <v>0</v>
      </c>
      <c r="AH32" s="42">
        <f t="shared" si="5"/>
        <v>0</v>
      </c>
      <c r="AI32" s="44">
        <f t="shared" si="6"/>
        <v>0</v>
      </c>
      <c r="AJ32" s="1">
        <v>0</v>
      </c>
      <c r="AK32" s="6">
        <v>0</v>
      </c>
      <c r="AL32" s="45" t="e">
        <f t="shared" si="41"/>
        <v>#DIV/0!</v>
      </c>
      <c r="AM32" s="44">
        <f t="shared" si="22"/>
        <v>0</v>
      </c>
      <c r="AN32" t="e">
        <f t="shared" si="23"/>
        <v>#DIV/0!</v>
      </c>
      <c r="AO32" t="e">
        <f t="shared" si="24"/>
        <v>#DIV/0!</v>
      </c>
      <c r="AP32" t="e">
        <f t="shared" si="25"/>
        <v>#DIV/0!</v>
      </c>
      <c r="AS32">
        <f t="shared" si="8"/>
        <v>0</v>
      </c>
      <c r="AT32" t="e">
        <f t="shared" si="45"/>
        <v>#DIV/0!</v>
      </c>
      <c r="AU32" t="e">
        <f t="shared" si="46"/>
        <v>#DIV/0!</v>
      </c>
      <c r="AV32" s="324" t="e">
        <f>AD32/E32</f>
        <v>#DIV/0!</v>
      </c>
      <c r="AX32">
        <f t="shared" si="13"/>
        <v>0</v>
      </c>
    </row>
    <row r="33" spans="1:50" s="160" customFormat="1" x14ac:dyDescent="0.25">
      <c r="B33" s="1">
        <v>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57" t="e">
        <f>C33/H33</f>
        <v>#DIV/0!</v>
      </c>
      <c r="N33" s="157" t="e">
        <f t="shared" si="27"/>
        <v>#DIV/0!</v>
      </c>
      <c r="O33" s="157" t="e">
        <f t="shared" si="28"/>
        <v>#DIV/0!</v>
      </c>
      <c r="P33" s="1" t="e">
        <f t="shared" si="15"/>
        <v>#DIV/0!</v>
      </c>
      <c r="Q33" s="1" t="e">
        <f t="shared" si="16"/>
        <v>#DIV/0!</v>
      </c>
      <c r="R33" s="163">
        <f>C33*(0.2*0.9)</f>
        <v>0</v>
      </c>
      <c r="S33" s="163">
        <f t="shared" si="40"/>
        <v>0</v>
      </c>
      <c r="T33" s="157">
        <f>D33*(0.299145299999999*0.9)</f>
        <v>0</v>
      </c>
      <c r="U33" s="157">
        <f>D33*0.053846155</f>
        <v>0</v>
      </c>
      <c r="V33" s="157">
        <f>E33*(0.288888888888888*0.9)</f>
        <v>0</v>
      </c>
      <c r="W33" s="157">
        <f>E33*0.05</f>
        <v>0</v>
      </c>
      <c r="X33" s="1"/>
      <c r="Y33" s="256">
        <f>F33*0.057</f>
        <v>0</v>
      </c>
      <c r="Z33" s="1">
        <f t="shared" si="30"/>
        <v>0</v>
      </c>
      <c r="AA33" s="1">
        <f t="shared" si="17"/>
        <v>0</v>
      </c>
      <c r="AB33" s="44">
        <f t="shared" si="18"/>
        <v>0</v>
      </c>
      <c r="AC33" s="42">
        <f t="shared" si="19"/>
        <v>0</v>
      </c>
      <c r="AD33" s="42">
        <f t="shared" si="20"/>
        <v>0</v>
      </c>
      <c r="AE33" s="277">
        <f t="shared" si="3"/>
        <v>0</v>
      </c>
      <c r="AF33" s="277">
        <f t="shared" si="4"/>
        <v>0</v>
      </c>
      <c r="AG33" s="43">
        <f t="shared" si="21"/>
        <v>0</v>
      </c>
      <c r="AH33" s="42">
        <f t="shared" si="5"/>
        <v>0</v>
      </c>
      <c r="AI33" s="44">
        <f t="shared" si="6"/>
        <v>0</v>
      </c>
      <c r="AJ33" s="157">
        <v>0</v>
      </c>
      <c r="AK33" s="6">
        <v>0</v>
      </c>
      <c r="AL33" s="168" t="e">
        <f t="shared" si="41"/>
        <v>#DIV/0!</v>
      </c>
      <c r="AM33" s="44">
        <f t="shared" si="22"/>
        <v>0</v>
      </c>
      <c r="AN33" t="e">
        <f t="shared" si="23"/>
        <v>#DIV/0!</v>
      </c>
      <c r="AO33" t="e">
        <f t="shared" si="24"/>
        <v>#DIV/0!</v>
      </c>
      <c r="AP33" t="e">
        <f t="shared" si="25"/>
        <v>#DIV/0!</v>
      </c>
      <c r="AS33">
        <f t="shared" si="8"/>
        <v>0</v>
      </c>
      <c r="AT33" t="e">
        <f t="shared" si="45"/>
        <v>#DIV/0!</v>
      </c>
      <c r="AU33" t="e">
        <f t="shared" si="46"/>
        <v>#DIV/0!</v>
      </c>
      <c r="AV33" s="324" t="e">
        <f>AD33/E33</f>
        <v>#DIV/0!</v>
      </c>
      <c r="AX33">
        <f t="shared" si="13"/>
        <v>0</v>
      </c>
    </row>
    <row r="34" spans="1:50" x14ac:dyDescent="0.25">
      <c r="B34" s="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e">
        <f t="shared" ref="M34:M39" si="47">C34/H34</f>
        <v>#DIV/0!</v>
      </c>
      <c r="N34" s="1" t="e">
        <f t="shared" ref="N34:N39" si="48">D34/I34</f>
        <v>#DIV/0!</v>
      </c>
      <c r="O34" s="157" t="e">
        <f t="shared" si="28"/>
        <v>#DIV/0!</v>
      </c>
      <c r="P34" s="1" t="e">
        <f t="shared" si="15"/>
        <v>#DIV/0!</v>
      </c>
      <c r="Q34" s="1" t="e">
        <f t="shared" si="16"/>
        <v>#DIV/0!</v>
      </c>
      <c r="R34" s="1">
        <f>C34*(0.2*0.9)</f>
        <v>0</v>
      </c>
      <c r="S34" s="1">
        <f t="shared" si="40"/>
        <v>0</v>
      </c>
      <c r="T34" s="1">
        <f>D34*(0.3*0.9)</f>
        <v>0</v>
      </c>
      <c r="U34" s="1">
        <f>D34*0.05</f>
        <v>0</v>
      </c>
      <c r="V34" s="157">
        <f>E34*(0.277777777777777*0.9)</f>
        <v>0</v>
      </c>
      <c r="W34" s="157">
        <f>E34*0.05</f>
        <v>0</v>
      </c>
      <c r="X34" s="1"/>
      <c r="Y34" s="1"/>
      <c r="Z34" s="1">
        <f t="shared" si="30"/>
        <v>0</v>
      </c>
      <c r="AA34" s="1">
        <f t="shared" si="17"/>
        <v>0</v>
      </c>
      <c r="AB34" s="44">
        <f t="shared" si="18"/>
        <v>0</v>
      </c>
      <c r="AC34" s="42">
        <f t="shared" si="19"/>
        <v>0</v>
      </c>
      <c r="AD34" s="42">
        <f t="shared" si="20"/>
        <v>0</v>
      </c>
      <c r="AE34" s="277">
        <f t="shared" si="3"/>
        <v>0</v>
      </c>
      <c r="AF34" s="277">
        <f t="shared" si="4"/>
        <v>0</v>
      </c>
      <c r="AG34" s="43">
        <f t="shared" si="21"/>
        <v>0</v>
      </c>
      <c r="AH34" s="42">
        <f t="shared" si="5"/>
        <v>0</v>
      </c>
      <c r="AI34" s="44">
        <f t="shared" si="6"/>
        <v>0</v>
      </c>
      <c r="AJ34" s="1">
        <v>0</v>
      </c>
      <c r="AK34" s="1">
        <v>0</v>
      </c>
      <c r="AL34" s="32" t="e">
        <f t="shared" si="41"/>
        <v>#DIV/0!</v>
      </c>
      <c r="AM34" s="44">
        <f t="shared" si="22"/>
        <v>0</v>
      </c>
      <c r="AN34" t="e">
        <f t="shared" si="23"/>
        <v>#DIV/0!</v>
      </c>
      <c r="AO34" t="e">
        <f t="shared" si="24"/>
        <v>#DIV/0!</v>
      </c>
      <c r="AP34" t="e">
        <f t="shared" si="25"/>
        <v>#DIV/0!</v>
      </c>
      <c r="AT34" t="e">
        <f t="shared" si="45"/>
        <v>#DIV/0!</v>
      </c>
      <c r="AU34" t="e">
        <f t="shared" si="46"/>
        <v>#DIV/0!</v>
      </c>
      <c r="AV34" s="324" t="e">
        <f>AD34/E34</f>
        <v>#DIV/0!</v>
      </c>
      <c r="AX34">
        <f t="shared" si="13"/>
        <v>0</v>
      </c>
    </row>
    <row r="35" spans="1:5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si="47"/>
        <v>#DIV/0!</v>
      </c>
      <c r="N35" s="1" t="e">
        <f t="shared" si="48"/>
        <v>#DIV/0!</v>
      </c>
      <c r="O35" s="1"/>
      <c r="P35" s="1" t="e">
        <f t="shared" si="15"/>
        <v>#DIV/0!</v>
      </c>
      <c r="Q35" s="1" t="e">
        <f t="shared" si="16"/>
        <v>#DIV/0!</v>
      </c>
      <c r="R35" s="1">
        <f t="shared" ref="R35:R39" si="49">C35*(0.1*0.9)</f>
        <v>0</v>
      </c>
      <c r="S35" s="1">
        <f t="shared" ref="S35:S39" si="50"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si="30"/>
        <v>0</v>
      </c>
      <c r="AA35" s="1">
        <f t="shared" si="17"/>
        <v>0</v>
      </c>
      <c r="AB35" s="44">
        <f t="shared" si="18"/>
        <v>0</v>
      </c>
      <c r="AC35" s="42">
        <f t="shared" si="19"/>
        <v>0</v>
      </c>
      <c r="AD35" s="42">
        <f t="shared" si="20"/>
        <v>0</v>
      </c>
      <c r="AE35" s="1"/>
      <c r="AF35" s="277">
        <f t="shared" si="4"/>
        <v>0</v>
      </c>
      <c r="AG35" s="43">
        <f t="shared" si="21"/>
        <v>0</v>
      </c>
      <c r="AH35" s="1">
        <f>R35+T35</f>
        <v>0</v>
      </c>
      <c r="AI35" s="44">
        <f t="shared" si="6"/>
        <v>0</v>
      </c>
      <c r="AJ35" s="1">
        <v>0</v>
      </c>
      <c r="AK35" s="1">
        <v>0</v>
      </c>
      <c r="AL35" s="32" t="e">
        <f t="shared" si="41"/>
        <v>#DIV/0!</v>
      </c>
      <c r="AM35" s="44">
        <f t="shared" si="22"/>
        <v>0</v>
      </c>
      <c r="AN35" t="e">
        <f>(R35+#REF!)/C35*100</f>
        <v>#REF!</v>
      </c>
      <c r="AP35" t="e">
        <f t="shared" si="25"/>
        <v>#DIV/0!</v>
      </c>
      <c r="AT35" t="e">
        <f t="shared" si="45"/>
        <v>#DIV/0!</v>
      </c>
      <c r="AU35" t="e">
        <f t="shared" si="46"/>
        <v>#DIV/0!</v>
      </c>
      <c r="AX35">
        <f t="shared" si="13"/>
        <v>0</v>
      </c>
    </row>
    <row r="36" spans="1:5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7"/>
        <v>#DIV/0!</v>
      </c>
      <c r="N36" s="1" t="e">
        <f t="shared" si="48"/>
        <v>#DIV/0!</v>
      </c>
      <c r="O36" s="1"/>
      <c r="P36" s="1"/>
      <c r="Q36" s="1"/>
      <c r="R36" s="1">
        <f t="shared" si="49"/>
        <v>0</v>
      </c>
      <c r="S36" s="1">
        <f t="shared" si="50"/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>
        <f t="shared" si="30"/>
        <v>0</v>
      </c>
      <c r="AA36" s="1">
        <f t="shared" si="17"/>
        <v>0</v>
      </c>
      <c r="AB36" s="44">
        <f t="shared" si="18"/>
        <v>0</v>
      </c>
      <c r="AC36" s="42">
        <f t="shared" si="19"/>
        <v>0</v>
      </c>
      <c r="AD36" s="42">
        <f t="shared" si="20"/>
        <v>0</v>
      </c>
      <c r="AE36" s="1"/>
      <c r="AF36" s="277">
        <f t="shared" si="4"/>
        <v>0</v>
      </c>
      <c r="AG36" s="43">
        <f t="shared" si="21"/>
        <v>0</v>
      </c>
      <c r="AH36" s="1">
        <f>R36+T36</f>
        <v>0</v>
      </c>
      <c r="AI36" s="44">
        <f>S36+U36+W36+Y36</f>
        <v>0</v>
      </c>
      <c r="AJ36" s="1">
        <v>0</v>
      </c>
      <c r="AK36" s="1">
        <v>0</v>
      </c>
      <c r="AL36" s="32" t="e">
        <f t="shared" si="41"/>
        <v>#DIV/0!</v>
      </c>
      <c r="AM36" s="44">
        <f t="shared" si="22"/>
        <v>0</v>
      </c>
      <c r="AN36" t="e">
        <f>(R36+#REF!)/C36*100</f>
        <v>#REF!</v>
      </c>
      <c r="AX36">
        <f t="shared" si="13"/>
        <v>0</v>
      </c>
    </row>
    <row r="37" spans="1:5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7"/>
        <v>#DIV/0!</v>
      </c>
      <c r="N37" s="1" t="e">
        <f t="shared" si="48"/>
        <v>#DIV/0!</v>
      </c>
      <c r="O37" s="1"/>
      <c r="P37" s="1"/>
      <c r="Q37" s="1"/>
      <c r="R37" s="1">
        <f t="shared" si="49"/>
        <v>0</v>
      </c>
      <c r="S37" s="1">
        <f t="shared" si="50"/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>
        <f t="shared" si="30"/>
        <v>0</v>
      </c>
      <c r="AA37" s="1">
        <f t="shared" si="17"/>
        <v>0</v>
      </c>
      <c r="AB37" s="44">
        <f t="shared" si="18"/>
        <v>0</v>
      </c>
      <c r="AC37" s="42">
        <f t="shared" si="19"/>
        <v>0</v>
      </c>
      <c r="AD37" s="42">
        <f t="shared" si="20"/>
        <v>0</v>
      </c>
      <c r="AE37" s="1"/>
      <c r="AF37" s="277">
        <f t="shared" si="4"/>
        <v>0</v>
      </c>
      <c r="AG37" s="14">
        <f t="shared" ref="AG37:AG39" si="51">AB37+AC37</f>
        <v>0</v>
      </c>
      <c r="AH37" s="1">
        <f>R37+T37</f>
        <v>0</v>
      </c>
      <c r="AI37" s="44">
        <f>S37+U37+W37+Y37</f>
        <v>0</v>
      </c>
      <c r="AJ37" s="1">
        <v>0</v>
      </c>
      <c r="AK37" s="1">
        <v>0</v>
      </c>
      <c r="AL37" s="32" t="e">
        <f t="shared" si="41"/>
        <v>#DIV/0!</v>
      </c>
      <c r="AM37" s="44">
        <f t="shared" si="22"/>
        <v>0</v>
      </c>
      <c r="AN37" t="e">
        <f>(R37+#REF!)/C37*100</f>
        <v>#REF!</v>
      </c>
    </row>
    <row r="38" spans="1:5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7"/>
        <v>#DIV/0!</v>
      </c>
      <c r="N38" s="1" t="e">
        <f t="shared" si="48"/>
        <v>#DIV/0!</v>
      </c>
      <c r="O38" s="1"/>
      <c r="P38" s="1"/>
      <c r="Q38" s="1"/>
      <c r="R38" s="1">
        <f t="shared" si="49"/>
        <v>0</v>
      </c>
      <c r="S38" s="1">
        <f t="shared" si="50"/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>
        <f t="shared" si="30"/>
        <v>0</v>
      </c>
      <c r="AA38" s="1">
        <f t="shared" si="17"/>
        <v>0</v>
      </c>
      <c r="AB38" s="44">
        <f t="shared" si="18"/>
        <v>0</v>
      </c>
      <c r="AC38" s="42">
        <f t="shared" si="19"/>
        <v>0</v>
      </c>
      <c r="AD38" s="42">
        <f t="shared" si="20"/>
        <v>0</v>
      </c>
      <c r="AE38" s="1"/>
      <c r="AF38" s="1"/>
      <c r="AG38" s="14">
        <f t="shared" si="51"/>
        <v>0</v>
      </c>
      <c r="AH38" s="1">
        <f>R38+T38</f>
        <v>0</v>
      </c>
      <c r="AI38" s="44">
        <f>S38+U38+W38+Y38</f>
        <v>0</v>
      </c>
      <c r="AJ38" s="1">
        <v>0</v>
      </c>
      <c r="AK38" s="1"/>
      <c r="AL38" s="32" t="e">
        <f t="shared" si="41"/>
        <v>#DIV/0!</v>
      </c>
      <c r="AM38" s="44">
        <f t="shared" si="22"/>
        <v>0</v>
      </c>
      <c r="AN38" t="e">
        <f>(R38+#REF!)/C38*100</f>
        <v>#REF!</v>
      </c>
    </row>
    <row r="39" spans="1:5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7"/>
        <v>#DIV/0!</v>
      </c>
      <c r="N39" s="1" t="e">
        <f t="shared" si="48"/>
        <v>#DIV/0!</v>
      </c>
      <c r="O39" s="1"/>
      <c r="P39" s="1"/>
      <c r="Q39" s="1"/>
      <c r="R39" s="1">
        <f t="shared" si="49"/>
        <v>0</v>
      </c>
      <c r="S39" s="1">
        <f t="shared" si="50"/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44">
        <f t="shared" si="18"/>
        <v>0</v>
      </c>
      <c r="AC39" s="42">
        <f t="shared" si="19"/>
        <v>0</v>
      </c>
      <c r="AD39" s="42">
        <f t="shared" si="20"/>
        <v>0</v>
      </c>
      <c r="AE39" s="1"/>
      <c r="AF39" s="1"/>
      <c r="AG39" s="14">
        <f t="shared" si="51"/>
        <v>0</v>
      </c>
      <c r="AH39" s="1">
        <f>R39+T39</f>
        <v>0</v>
      </c>
      <c r="AI39" s="44">
        <f>S39+U39+W39+Y39</f>
        <v>0</v>
      </c>
      <c r="AJ39" s="1">
        <v>0</v>
      </c>
      <c r="AK39" s="1"/>
      <c r="AL39" s="32" t="e">
        <f t="shared" si="41"/>
        <v>#DIV/0!</v>
      </c>
      <c r="AM39" s="44">
        <f t="shared" si="22"/>
        <v>0</v>
      </c>
      <c r="AN39" t="e">
        <f>(R39+#REF!)/C39*100</f>
        <v>#REF!</v>
      </c>
    </row>
    <row r="40" spans="1:50" x14ac:dyDescent="0.25">
      <c r="A40" t="s">
        <v>26</v>
      </c>
      <c r="B40" s="1" t="s">
        <v>8</v>
      </c>
      <c r="C40" s="1">
        <f>SUM(C4:C33)</f>
        <v>12429</v>
      </c>
      <c r="D40" s="1">
        <f t="shared" ref="D40:AW40" si="52">SUM(D4:D33)</f>
        <v>574</v>
      </c>
      <c r="E40" s="1">
        <f t="shared" si="52"/>
        <v>0</v>
      </c>
      <c r="F40" s="1">
        <f t="shared" si="52"/>
        <v>0</v>
      </c>
      <c r="G40" s="1"/>
      <c r="H40" s="1">
        <f t="shared" si="52"/>
        <v>206.33</v>
      </c>
      <c r="I40" s="1">
        <f t="shared" si="52"/>
        <v>9</v>
      </c>
      <c r="J40" s="1">
        <f t="shared" si="52"/>
        <v>0</v>
      </c>
      <c r="K40" s="1">
        <f t="shared" si="52"/>
        <v>0</v>
      </c>
      <c r="L40" s="1"/>
      <c r="M40" s="1" t="e">
        <f t="shared" si="52"/>
        <v>#DIV/0!</v>
      </c>
      <c r="N40" s="1" t="e">
        <f t="shared" si="52"/>
        <v>#DIV/0!</v>
      </c>
      <c r="O40" s="1" t="e">
        <f t="shared" si="52"/>
        <v>#DIV/0!</v>
      </c>
      <c r="P40" s="1" t="e">
        <f t="shared" si="52"/>
        <v>#DIV/0!</v>
      </c>
      <c r="Q40" s="1"/>
      <c r="R40" s="1">
        <f t="shared" si="52"/>
        <v>2189.179997938998</v>
      </c>
      <c r="S40" s="1">
        <f t="shared" si="52"/>
        <v>621.44999821349995</v>
      </c>
      <c r="T40" s="1">
        <f t="shared" si="52"/>
        <v>148.9999997367</v>
      </c>
      <c r="U40" s="1">
        <f t="shared" si="52"/>
        <v>29.200000010000004</v>
      </c>
      <c r="V40" s="1">
        <f t="shared" si="52"/>
        <v>0</v>
      </c>
      <c r="W40" s="1">
        <f t="shared" si="52"/>
        <v>0</v>
      </c>
      <c r="X40" s="1">
        <f t="shared" si="52"/>
        <v>0</v>
      </c>
      <c r="Y40" s="1">
        <f t="shared" si="52"/>
        <v>0</v>
      </c>
      <c r="Z40" s="1"/>
      <c r="AA40" s="1"/>
      <c r="AB40" s="44">
        <f t="shared" si="18"/>
        <v>9618.3700038475017</v>
      </c>
      <c r="AC40" s="42">
        <f t="shared" si="19"/>
        <v>395.80000025329997</v>
      </c>
      <c r="AD40" s="42">
        <f t="shared" si="20"/>
        <v>0</v>
      </c>
      <c r="AE40" s="1">
        <f t="shared" si="52"/>
        <v>0</v>
      </c>
      <c r="AF40" s="1"/>
      <c r="AG40" s="1">
        <f t="shared" si="52"/>
        <v>11762.470005736403</v>
      </c>
      <c r="AH40" s="1">
        <f t="shared" si="52"/>
        <v>2995.679996908098</v>
      </c>
      <c r="AI40" s="1">
        <f t="shared" si="52"/>
        <v>776.84999735550002</v>
      </c>
      <c r="AJ40" s="1">
        <f t="shared" si="52"/>
        <v>0</v>
      </c>
      <c r="AK40" s="1">
        <f t="shared" si="52"/>
        <v>0</v>
      </c>
      <c r="AL40" s="1" t="e">
        <f t="shared" si="52"/>
        <v>#DIV/0!</v>
      </c>
      <c r="AM40" s="1">
        <f t="shared" si="52"/>
        <v>15535</v>
      </c>
      <c r="AN40" s="1" t="e">
        <f t="shared" si="52"/>
        <v>#DIV/0!</v>
      </c>
      <c r="AO40" s="1" t="e">
        <f t="shared" si="52"/>
        <v>#DIV/0!</v>
      </c>
      <c r="AP40" s="1" t="e">
        <f t="shared" si="52"/>
        <v>#DIV/0!</v>
      </c>
      <c r="AQ40" s="1"/>
      <c r="AR40" s="1"/>
      <c r="AS40" s="1">
        <f t="shared" si="52"/>
        <v>13003</v>
      </c>
      <c r="AT40" s="1" t="e">
        <f t="shared" si="52"/>
        <v>#DIV/0!</v>
      </c>
      <c r="AU40" s="1" t="e">
        <f t="shared" si="52"/>
        <v>#DIV/0!</v>
      </c>
      <c r="AV40" s="1" t="e">
        <f t="shared" si="52"/>
        <v>#DIV/0!</v>
      </c>
      <c r="AW40" s="1" t="e">
        <f t="shared" si="52"/>
        <v>#DIV/0!</v>
      </c>
      <c r="AX40" s="1">
        <f>SUM(AX4:AX33)</f>
        <v>13003</v>
      </c>
    </row>
    <row r="41" spans="1:50" x14ac:dyDescent="0.25">
      <c r="A41" t="s">
        <v>27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>
        <v>0</v>
      </c>
      <c r="AK41" s="1"/>
      <c r="AL41" s="1"/>
      <c r="AM41" s="1"/>
      <c r="AN41" t="e">
        <f>(R41+#REF!)/C41*100</f>
        <v>#REF!</v>
      </c>
    </row>
    <row r="42" spans="1:50" x14ac:dyDescent="0.25">
      <c r="A42" t="s">
        <v>27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v>#DIV/0!</v>
      </c>
    </row>
    <row r="44" spans="1:50" x14ac:dyDescent="0.25">
      <c r="B44" t="s">
        <v>202</v>
      </c>
      <c r="C44">
        <v>1600</v>
      </c>
      <c r="D44" t="s">
        <v>203</v>
      </c>
      <c r="H44">
        <v>8000</v>
      </c>
      <c r="I44" t="s">
        <v>204</v>
      </c>
    </row>
    <row r="45" spans="1:50" x14ac:dyDescent="0.25">
      <c r="C45">
        <f>Cement!G30*1600/8000</f>
        <v>4.7999999999592549E-2</v>
      </c>
      <c r="D45" t="s">
        <v>205</v>
      </c>
      <c r="H45">
        <v>13500</v>
      </c>
      <c r="I45" t="s">
        <v>204</v>
      </c>
    </row>
    <row r="52" spans="18:20" x14ac:dyDescent="0.25">
      <c r="R52">
        <f>200/85</f>
        <v>2.3529411764705883</v>
      </c>
      <c r="T52">
        <f>24-2.35</f>
        <v>21.65</v>
      </c>
    </row>
  </sheetData>
  <mergeCells count="2">
    <mergeCell ref="H2:J2"/>
    <mergeCell ref="C2:E2"/>
  </mergeCells>
  <pageMargins left="0.7" right="0.7" top="0.75" bottom="0.75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U53"/>
  <sheetViews>
    <sheetView zoomScale="60" zoomScaleNormal="60" workbookViewId="0">
      <pane ySplit="3" topLeftCell="A4" activePane="bottomLeft" state="frozen"/>
      <selection pane="bottomLeft" activeCell="K24" sqref="K24"/>
    </sheetView>
  </sheetViews>
  <sheetFormatPr defaultRowHeight="15" x14ac:dyDescent="0.2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2" width="14.42578125" customWidth="1"/>
    <col min="23" max="23" width="22.5703125" customWidth="1"/>
    <col min="24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7" x14ac:dyDescent="0.25">
      <c r="B2" s="30" t="s">
        <v>28</v>
      </c>
      <c r="C2" s="637" t="s">
        <v>173</v>
      </c>
      <c r="D2" s="649"/>
      <c r="E2" s="638"/>
      <c r="F2" s="193"/>
      <c r="G2" s="193"/>
      <c r="H2" s="646" t="s">
        <v>102</v>
      </c>
      <c r="I2" s="647"/>
      <c r="J2" s="648"/>
      <c r="K2" s="196"/>
      <c r="L2" s="196"/>
      <c r="M2" s="30" t="s">
        <v>174</v>
      </c>
      <c r="N2" s="30" t="s">
        <v>175</v>
      </c>
      <c r="O2" s="30" t="s">
        <v>319</v>
      </c>
      <c r="P2" s="30" t="s">
        <v>206</v>
      </c>
      <c r="Q2" s="30" t="s">
        <v>178</v>
      </c>
      <c r="R2" s="30" t="s">
        <v>179</v>
      </c>
      <c r="S2" s="30" t="s">
        <v>180</v>
      </c>
      <c r="T2" s="30" t="s">
        <v>181</v>
      </c>
      <c r="U2" s="30" t="s">
        <v>182</v>
      </c>
      <c r="V2" s="30" t="s">
        <v>183</v>
      </c>
      <c r="W2" s="30" t="s">
        <v>184</v>
      </c>
      <c r="X2" s="30" t="s">
        <v>185</v>
      </c>
      <c r="Y2" s="30" t="s">
        <v>304</v>
      </c>
      <c r="Z2" s="30" t="s">
        <v>305</v>
      </c>
      <c r="AA2" s="513" t="s">
        <v>186</v>
      </c>
      <c r="AB2" s="513" t="s">
        <v>187</v>
      </c>
      <c r="AC2" s="513" t="s">
        <v>188</v>
      </c>
      <c r="AD2" s="513" t="s">
        <v>207</v>
      </c>
      <c r="AE2" s="513" t="s">
        <v>310</v>
      </c>
      <c r="AF2" t="s">
        <v>190</v>
      </c>
      <c r="AG2" t="s">
        <v>191</v>
      </c>
      <c r="AH2" t="s">
        <v>192</v>
      </c>
      <c r="AI2" t="s">
        <v>193</v>
      </c>
      <c r="AJ2" t="s">
        <v>194</v>
      </c>
      <c r="AK2" t="s">
        <v>195</v>
      </c>
      <c r="AL2" t="s">
        <v>196</v>
      </c>
      <c r="AM2">
        <v>42.5</v>
      </c>
      <c r="AN2">
        <v>32.5</v>
      </c>
      <c r="AO2" t="s">
        <v>328</v>
      </c>
      <c r="AP2" t="s">
        <v>198</v>
      </c>
      <c r="AQ2" t="s">
        <v>199</v>
      </c>
    </row>
    <row r="3" spans="1:47" x14ac:dyDescent="0.25">
      <c r="B3" s="1" t="s">
        <v>201</v>
      </c>
      <c r="C3" s="1">
        <v>42.5</v>
      </c>
      <c r="D3" s="1">
        <v>32.5</v>
      </c>
      <c r="E3" s="1" t="s">
        <v>197</v>
      </c>
      <c r="F3" s="1" t="s">
        <v>177</v>
      </c>
      <c r="G3" s="1" t="s">
        <v>303</v>
      </c>
      <c r="H3" s="186">
        <v>42.5</v>
      </c>
      <c r="I3" s="186">
        <v>32.5</v>
      </c>
      <c r="J3" s="186" t="s">
        <v>197</v>
      </c>
      <c r="K3" s="186" t="s">
        <v>177</v>
      </c>
      <c r="L3" s="1" t="s">
        <v>303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14"/>
      <c r="AB3" s="514"/>
      <c r="AC3" s="514"/>
      <c r="AD3" s="514"/>
      <c r="AE3" s="514"/>
      <c r="AF3" s="1"/>
      <c r="AG3" s="1"/>
      <c r="AH3" s="1"/>
      <c r="AI3" s="1"/>
      <c r="AJ3" s="1"/>
      <c r="AK3" s="1"/>
      <c r="AL3" s="1"/>
      <c r="AQ3">
        <v>42.5</v>
      </c>
      <c r="AR3">
        <v>32.5</v>
      </c>
      <c r="AS3" t="s">
        <v>197</v>
      </c>
      <c r="AT3" t="s">
        <v>208</v>
      </c>
    </row>
    <row r="4" spans="1:47" s="260" customFormat="1" x14ac:dyDescent="0.25">
      <c r="B4" s="277">
        <v>1</v>
      </c>
      <c r="C4" s="1">
        <v>812</v>
      </c>
      <c r="D4" s="1">
        <v>180</v>
      </c>
      <c r="E4" s="1">
        <v>0</v>
      </c>
      <c r="F4" s="1">
        <v>0</v>
      </c>
      <c r="G4" s="1">
        <v>0</v>
      </c>
      <c r="H4" s="1">
        <v>14</v>
      </c>
      <c r="I4" s="1">
        <v>3</v>
      </c>
      <c r="J4" s="1">
        <v>0</v>
      </c>
      <c r="K4" s="1">
        <v>0</v>
      </c>
      <c r="L4" s="1">
        <v>0</v>
      </c>
      <c r="M4" s="277">
        <f t="shared" ref="M4" si="0">C4/H4</f>
        <v>58</v>
      </c>
      <c r="N4" s="277">
        <f t="shared" ref="N4" si="1">D4/I4</f>
        <v>60</v>
      </c>
      <c r="O4" s="277" t="e">
        <f>G4/L4</f>
        <v>#DIV/0!</v>
      </c>
      <c r="P4" s="277" t="e">
        <f t="shared" ref="P4" si="2">F4/K4</f>
        <v>#DIV/0!</v>
      </c>
      <c r="Q4" s="277">
        <f>C4*(0.1888341544*0.9)</f>
        <v>138.00000003552</v>
      </c>
      <c r="R4" s="277">
        <f>C4*0.050492611</f>
        <v>41.000000131999997</v>
      </c>
      <c r="S4" s="277">
        <f>D4*(0.3*0.9)</f>
        <v>48.6</v>
      </c>
      <c r="T4" s="277">
        <f>D4*0.05</f>
        <v>9</v>
      </c>
      <c r="U4" s="277">
        <f>E4*(0.316666666666666*0.9)</f>
        <v>0</v>
      </c>
      <c r="V4" s="277">
        <f>E4*0.052</f>
        <v>0</v>
      </c>
      <c r="W4" s="277">
        <f t="shared" ref="W4:W20" si="3">F4*(0*0.9)</f>
        <v>0</v>
      </c>
      <c r="X4" s="277">
        <f>F4*0.052</f>
        <v>0</v>
      </c>
      <c r="Y4" s="277">
        <f>G4*(0.316666666666666*0.9)</f>
        <v>0</v>
      </c>
      <c r="Z4" s="277">
        <f>G4*0.052</f>
        <v>0</v>
      </c>
      <c r="AA4" s="514">
        <f>C4-Q4-R4</f>
        <v>632.99999983248006</v>
      </c>
      <c r="AB4" s="514">
        <f>D4-S4-T4</f>
        <v>122.4</v>
      </c>
      <c r="AC4" s="514">
        <f>E4-U4-V4</f>
        <v>0</v>
      </c>
      <c r="AD4" s="514">
        <f>F4-W4-X4</f>
        <v>0</v>
      </c>
      <c r="AE4" s="514">
        <f t="shared" ref="AE4:AE35" si="4">G4-Y4-Z4</f>
        <v>0</v>
      </c>
      <c r="AF4" s="43">
        <f>AA4+AB4+AC4+AD4+AE4</f>
        <v>755.39999983248003</v>
      </c>
      <c r="AG4" s="170">
        <f t="shared" ref="AG4:AG32" si="5">Q4+S4+U4+Y4</f>
        <v>186.60000003552</v>
      </c>
      <c r="AH4" s="278">
        <f t="shared" ref="AH4" si="6">R4+T4+V4+X4+Z4</f>
        <v>50.000000131999997</v>
      </c>
      <c r="AI4" s="277">
        <v>0</v>
      </c>
      <c r="AJ4" s="279">
        <v>0</v>
      </c>
      <c r="AK4" s="280">
        <f t="shared" ref="AK4:AK24" si="7">AF4/(C4+D4)*100</f>
        <v>76.149193531500003</v>
      </c>
      <c r="AL4" s="278">
        <f>AF4+AG4+AH4</f>
        <v>992</v>
      </c>
      <c r="AM4" s="260">
        <f>(Q4)/C4*100</f>
        <v>16.995073896000001</v>
      </c>
      <c r="AN4" s="260">
        <f>(S4)/D4*100</f>
        <v>27</v>
      </c>
      <c r="AO4" s="260" t="e">
        <f>Y4/G4</f>
        <v>#DIV/0!</v>
      </c>
      <c r="AQ4" s="281">
        <f t="shared" ref="AQ4:AQ34" si="8">AA4/C4</f>
        <v>0.77955665004000008</v>
      </c>
      <c r="AR4" s="281">
        <f t="shared" ref="AR4:AR34" si="9">AB4/D4</f>
        <v>0.68</v>
      </c>
      <c r="AS4" s="281" t="e">
        <f t="shared" ref="AS4:AS34" si="10">AC4/E4</f>
        <v>#DIV/0!</v>
      </c>
      <c r="AT4" s="281" t="e">
        <f t="shared" ref="AT4:AT34" si="11">AD4/F4</f>
        <v>#DIV/0!</v>
      </c>
      <c r="AU4">
        <f t="shared" ref="AU4:AU36" si="12">C4+D4+E4+F4</f>
        <v>992</v>
      </c>
    </row>
    <row r="5" spans="1:47" x14ac:dyDescent="0.25">
      <c r="B5" s="277">
        <v>2</v>
      </c>
      <c r="C5" s="1">
        <v>1145</v>
      </c>
      <c r="D5" s="1">
        <v>0</v>
      </c>
      <c r="E5" s="1">
        <v>0</v>
      </c>
      <c r="F5" s="1">
        <v>165</v>
      </c>
      <c r="G5" s="1">
        <v>0</v>
      </c>
      <c r="H5" s="1">
        <v>21</v>
      </c>
      <c r="I5" s="1">
        <v>0</v>
      </c>
      <c r="J5" s="1">
        <v>0</v>
      </c>
      <c r="K5" s="1">
        <v>3</v>
      </c>
      <c r="L5" s="1">
        <v>0</v>
      </c>
      <c r="M5" s="1">
        <f t="shared" ref="M5" si="13">C5/H5</f>
        <v>54.523809523809526</v>
      </c>
      <c r="N5" s="1" t="e">
        <f t="shared" ref="N5" si="14">D5/I5</f>
        <v>#DIV/0!</v>
      </c>
      <c r="O5" s="277" t="e">
        <f t="shared" ref="O5:O35" si="15">G5/L5</f>
        <v>#DIV/0!</v>
      </c>
      <c r="P5" s="1">
        <f t="shared" ref="P5:P25" si="16">F5/K5</f>
        <v>55</v>
      </c>
      <c r="Q5" s="1">
        <f>C5*(0.196797671*0.9)</f>
        <v>202.79999996550001</v>
      </c>
      <c r="R5" s="1">
        <f>C5*0.05021834</f>
        <v>57.499999299999999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3"/>
        <v>0</v>
      </c>
      <c r="X5" s="1">
        <f>F5*0.05030303</f>
        <v>8.2999999500000001</v>
      </c>
      <c r="Y5" s="277">
        <f t="shared" ref="Y5:Y34" si="17">G5*(0.316666666666666*0.9)</f>
        <v>0</v>
      </c>
      <c r="Z5" s="277">
        <f t="shared" ref="Z5:Z34" si="18">G5*0.052</f>
        <v>0</v>
      </c>
      <c r="AA5" s="514">
        <f t="shared" ref="AA5:AA41" si="19">C5-Q5-R5</f>
        <v>884.70000073450001</v>
      </c>
      <c r="AB5" s="514">
        <f t="shared" ref="AB5:AB42" si="20">D5-S5-T5</f>
        <v>0</v>
      </c>
      <c r="AC5" s="514">
        <f t="shared" ref="AC5:AC35" si="21">E5-U5-V5</f>
        <v>0</v>
      </c>
      <c r="AD5" s="514">
        <f t="shared" ref="AD5:AD35" si="22">F5-W5-X5</f>
        <v>156.70000005</v>
      </c>
      <c r="AE5" s="514">
        <f t="shared" si="4"/>
        <v>0</v>
      </c>
      <c r="AF5" s="43">
        <f>AA5+AB5+AC5+AD5+AE5</f>
        <v>1041.4000007845</v>
      </c>
      <c r="AG5" s="170">
        <f t="shared" si="5"/>
        <v>202.79999996550001</v>
      </c>
      <c r="AH5" s="278">
        <f>R5+T5+V5+X5+Z5</f>
        <v>65.799999249999999</v>
      </c>
      <c r="AI5" s="1">
        <v>0</v>
      </c>
      <c r="AJ5" s="6">
        <v>0</v>
      </c>
      <c r="AK5" s="45">
        <f t="shared" si="7"/>
        <v>90.95196513401747</v>
      </c>
      <c r="AL5" s="278">
        <f t="shared" ref="AL5:AL37" si="23">AF5+AG5+AH5</f>
        <v>1310</v>
      </c>
      <c r="AM5" s="260">
        <f t="shared" ref="AM5:AM34" si="24">(Q5)/C5*100</f>
        <v>17.711790390000001</v>
      </c>
      <c r="AN5" s="260" t="e">
        <f t="shared" ref="AN5:AN34" si="25">(S5)/D5*100</f>
        <v>#DIV/0!</v>
      </c>
      <c r="AO5" s="260" t="e">
        <f t="shared" ref="AO5:AO34" si="26">Y5/G5</f>
        <v>#DIV/0!</v>
      </c>
      <c r="AQ5" s="241">
        <f t="shared" si="8"/>
        <v>0.77266375610000004</v>
      </c>
      <c r="AR5" s="241" t="e">
        <f t="shared" si="9"/>
        <v>#DIV/0!</v>
      </c>
      <c r="AS5" s="241" t="e">
        <f t="shared" si="10"/>
        <v>#DIV/0!</v>
      </c>
      <c r="AT5" s="241">
        <f t="shared" si="11"/>
        <v>0.94969696999999997</v>
      </c>
      <c r="AU5">
        <f t="shared" si="12"/>
        <v>1310</v>
      </c>
    </row>
    <row r="6" spans="1:47" x14ac:dyDescent="0.25">
      <c r="B6" s="277">
        <v>3</v>
      </c>
      <c r="C6" s="1">
        <v>1070</v>
      </c>
      <c r="D6" s="1">
        <v>0</v>
      </c>
      <c r="E6" s="1">
        <v>0</v>
      </c>
      <c r="F6" s="1">
        <v>110</v>
      </c>
      <c r="G6" s="1">
        <v>0</v>
      </c>
      <c r="H6" s="1">
        <v>18</v>
      </c>
      <c r="I6" s="1">
        <v>0</v>
      </c>
      <c r="J6" s="1">
        <v>0</v>
      </c>
      <c r="K6" s="1">
        <v>2</v>
      </c>
      <c r="L6" s="1">
        <v>0</v>
      </c>
      <c r="M6" s="1">
        <f t="shared" ref="M6:M34" si="27">C6/H6</f>
        <v>59.444444444444443</v>
      </c>
      <c r="N6" s="1" t="e">
        <f t="shared" ref="N6:N34" si="28">D6/I6</f>
        <v>#DIV/0!</v>
      </c>
      <c r="O6" s="277" t="e">
        <f t="shared" si="15"/>
        <v>#DIV/0!</v>
      </c>
      <c r="P6" s="1">
        <f t="shared" si="16"/>
        <v>55</v>
      </c>
      <c r="Q6" s="1">
        <f>C6*(0.196780893*0.9)</f>
        <v>189.49999995900001</v>
      </c>
      <c r="R6" s="1">
        <f>C6*0.05</f>
        <v>53.5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3"/>
        <v>0</v>
      </c>
      <c r="X6" s="1">
        <f>F6*0.05</f>
        <v>5.5</v>
      </c>
      <c r="Y6" s="277">
        <f t="shared" si="17"/>
        <v>0</v>
      </c>
      <c r="Z6" s="277">
        <f t="shared" si="18"/>
        <v>0</v>
      </c>
      <c r="AA6" s="514">
        <f t="shared" si="19"/>
        <v>827.00000004100002</v>
      </c>
      <c r="AB6" s="514">
        <f t="shared" si="20"/>
        <v>0</v>
      </c>
      <c r="AC6" s="514">
        <f t="shared" si="21"/>
        <v>0</v>
      </c>
      <c r="AD6" s="514">
        <f t="shared" si="22"/>
        <v>104.5</v>
      </c>
      <c r="AE6" s="514">
        <f t="shared" si="4"/>
        <v>0</v>
      </c>
      <c r="AF6" s="43">
        <f t="shared" ref="AF6:AF33" si="29">AA6+AB6+AC6+AD6+AE6</f>
        <v>931.50000004100002</v>
      </c>
      <c r="AG6" s="170">
        <f>Q6+S6+U6+Y6</f>
        <v>189.49999995900001</v>
      </c>
      <c r="AH6" s="278">
        <f>R6+T6+V6+X6+Z6</f>
        <v>59</v>
      </c>
      <c r="AI6" s="1">
        <v>0</v>
      </c>
      <c r="AJ6" s="6">
        <v>0</v>
      </c>
      <c r="AK6" s="45">
        <f t="shared" si="7"/>
        <v>87.056074770186925</v>
      </c>
      <c r="AL6" s="278">
        <f t="shared" si="23"/>
        <v>1180</v>
      </c>
      <c r="AM6" s="260">
        <f t="shared" si="24"/>
        <v>17.71028037</v>
      </c>
      <c r="AN6" s="260" t="e">
        <f t="shared" si="25"/>
        <v>#DIV/0!</v>
      </c>
      <c r="AO6" s="260" t="e">
        <f t="shared" si="26"/>
        <v>#DIV/0!</v>
      </c>
      <c r="AQ6" s="241">
        <f t="shared" si="8"/>
        <v>0.77289719629999998</v>
      </c>
      <c r="AR6" s="241" t="e">
        <f t="shared" si="9"/>
        <v>#DIV/0!</v>
      </c>
      <c r="AS6" s="241" t="e">
        <f t="shared" si="10"/>
        <v>#DIV/0!</v>
      </c>
      <c r="AT6" s="241">
        <f t="shared" si="11"/>
        <v>0.95</v>
      </c>
      <c r="AU6">
        <f t="shared" si="12"/>
        <v>1180</v>
      </c>
    </row>
    <row r="7" spans="1:47" s="270" customFormat="1" x14ac:dyDescent="0.25">
      <c r="B7" s="277">
        <v>4</v>
      </c>
      <c r="C7" s="1">
        <v>1346</v>
      </c>
      <c r="D7" s="1">
        <v>0</v>
      </c>
      <c r="E7" s="1">
        <v>0</v>
      </c>
      <c r="F7" s="1">
        <v>0</v>
      </c>
      <c r="G7" s="1">
        <v>0</v>
      </c>
      <c r="H7" s="1">
        <v>23.62</v>
      </c>
      <c r="I7" s="1">
        <v>0</v>
      </c>
      <c r="J7" s="1">
        <v>0</v>
      </c>
      <c r="K7" s="1">
        <v>0</v>
      </c>
      <c r="L7" s="1">
        <v>0</v>
      </c>
      <c r="M7" s="271">
        <f t="shared" si="27"/>
        <v>56.98560541913632</v>
      </c>
      <c r="N7" s="271" t="e">
        <f t="shared" si="28"/>
        <v>#DIV/0!</v>
      </c>
      <c r="O7" s="277" t="e">
        <f t="shared" si="15"/>
        <v>#DIV/0!</v>
      </c>
      <c r="P7" s="271" t="e">
        <f t="shared" si="16"/>
        <v>#DIV/0!</v>
      </c>
      <c r="Q7" s="323">
        <f>C7*(0.194403169*0.9)</f>
        <v>235.49999892659997</v>
      </c>
      <c r="R7" s="275">
        <f>C7*0.05</f>
        <v>67.3</v>
      </c>
      <c r="S7" s="271">
        <f>D7*(0.311111111111111*0.9)</f>
        <v>0</v>
      </c>
      <c r="T7" s="271">
        <f>D7*0.05</f>
        <v>0</v>
      </c>
      <c r="U7" s="271">
        <f>E7*(0.288194444444444*0.9)</f>
        <v>0</v>
      </c>
      <c r="V7" s="271">
        <f>E7*0.05</f>
        <v>0</v>
      </c>
      <c r="W7" s="271">
        <f t="shared" si="3"/>
        <v>0</v>
      </c>
      <c r="X7" s="271">
        <f>F7*0.05</f>
        <v>0</v>
      </c>
      <c r="Y7" s="277">
        <f t="shared" si="17"/>
        <v>0</v>
      </c>
      <c r="Z7" s="277">
        <f t="shared" si="18"/>
        <v>0</v>
      </c>
      <c r="AA7" s="514">
        <f t="shared" si="19"/>
        <v>1043.2000010734</v>
      </c>
      <c r="AB7" s="514">
        <f t="shared" si="20"/>
        <v>0</v>
      </c>
      <c r="AC7" s="514">
        <f t="shared" si="21"/>
        <v>0</v>
      </c>
      <c r="AD7" s="514">
        <f t="shared" si="22"/>
        <v>0</v>
      </c>
      <c r="AE7" s="514">
        <f t="shared" si="4"/>
        <v>0</v>
      </c>
      <c r="AF7" s="43">
        <f t="shared" si="29"/>
        <v>1043.2000010734</v>
      </c>
      <c r="AG7" s="170">
        <f t="shared" si="5"/>
        <v>235.49999892659997</v>
      </c>
      <c r="AH7" s="278">
        <f>R7+T7+V7+X7+Z7</f>
        <v>67.3</v>
      </c>
      <c r="AI7" s="271">
        <v>0</v>
      </c>
      <c r="AJ7" s="273">
        <v>0</v>
      </c>
      <c r="AK7" s="274">
        <f t="shared" si="7"/>
        <v>77.503714790000004</v>
      </c>
      <c r="AL7" s="278">
        <f t="shared" si="23"/>
        <v>1346</v>
      </c>
      <c r="AM7" s="260">
        <f t="shared" si="24"/>
        <v>17.49628521</v>
      </c>
      <c r="AN7" s="260" t="e">
        <f t="shared" si="25"/>
        <v>#DIV/0!</v>
      </c>
      <c r="AO7" s="260" t="e">
        <f t="shared" si="26"/>
        <v>#DIV/0!</v>
      </c>
      <c r="AP7" s="270" t="e">
        <f>(#REF!/C7)*100</f>
        <v>#REF!</v>
      </c>
      <c r="AQ7" s="276">
        <f t="shared" si="8"/>
        <v>0.7750371479</v>
      </c>
      <c r="AR7" s="276" t="e">
        <f t="shared" si="9"/>
        <v>#DIV/0!</v>
      </c>
      <c r="AS7" s="276" t="e">
        <f t="shared" si="10"/>
        <v>#DIV/0!</v>
      </c>
      <c r="AT7" s="276" t="e">
        <f t="shared" si="11"/>
        <v>#DIV/0!</v>
      </c>
      <c r="AU7">
        <f t="shared" si="12"/>
        <v>1346</v>
      </c>
    </row>
    <row r="8" spans="1:47" s="260" customFormat="1" x14ac:dyDescent="0.25">
      <c r="B8" s="277">
        <v>5</v>
      </c>
      <c r="C8" s="1">
        <v>1053</v>
      </c>
      <c r="D8" s="1">
        <v>0</v>
      </c>
      <c r="E8" s="1">
        <v>0</v>
      </c>
      <c r="F8" s="1">
        <v>165</v>
      </c>
      <c r="G8" s="1">
        <v>252</v>
      </c>
      <c r="H8" s="1">
        <v>17</v>
      </c>
      <c r="I8" s="1">
        <v>0</v>
      </c>
      <c r="J8" s="1">
        <v>0</v>
      </c>
      <c r="K8" s="1">
        <v>3</v>
      </c>
      <c r="L8" s="1">
        <v>4</v>
      </c>
      <c r="M8" s="277">
        <f t="shared" si="27"/>
        <v>61.941176470588232</v>
      </c>
      <c r="N8" s="277" t="e">
        <f t="shared" si="28"/>
        <v>#DIV/0!</v>
      </c>
      <c r="O8" s="277">
        <f t="shared" si="15"/>
        <v>63</v>
      </c>
      <c r="P8" s="277">
        <f t="shared" si="16"/>
        <v>55</v>
      </c>
      <c r="Q8" s="426">
        <f>C8*(0.194154268*0.9)</f>
        <v>183.9999997836</v>
      </c>
      <c r="R8" s="278">
        <f>C8*0.049857549</f>
        <v>52.499999097</v>
      </c>
      <c r="S8" s="277">
        <f>D8*(0.311111111111111*0.9)</f>
        <v>0</v>
      </c>
      <c r="T8" s="277">
        <f>D8*0.05</f>
        <v>0</v>
      </c>
      <c r="U8" s="277">
        <f>E8*(0.302222222222222*0.9)</f>
        <v>0</v>
      </c>
      <c r="V8" s="277">
        <f>E8*0.052</f>
        <v>0</v>
      </c>
      <c r="W8" s="277">
        <f t="shared" si="3"/>
        <v>0</v>
      </c>
      <c r="X8" s="277">
        <f>F8*0.048484848</f>
        <v>7.9999999199999996</v>
      </c>
      <c r="Y8" s="277">
        <f>G8*(0.313051146*0.9)</f>
        <v>70.999999912799993</v>
      </c>
      <c r="Z8" s="277">
        <f>G8*0.051587301</f>
        <v>12.999999852</v>
      </c>
      <c r="AA8" s="514">
        <f t="shared" si="19"/>
        <v>816.50000111939994</v>
      </c>
      <c r="AB8" s="514">
        <f t="shared" si="20"/>
        <v>0</v>
      </c>
      <c r="AC8" s="514">
        <f t="shared" si="21"/>
        <v>0</v>
      </c>
      <c r="AD8" s="514">
        <f t="shared" si="22"/>
        <v>157.00000008000001</v>
      </c>
      <c r="AE8" s="514">
        <f t="shared" si="4"/>
        <v>168.00000023520002</v>
      </c>
      <c r="AF8" s="43">
        <f t="shared" si="29"/>
        <v>1141.5000014346001</v>
      </c>
      <c r="AG8" s="170">
        <f t="shared" si="5"/>
        <v>254.99999969639998</v>
      </c>
      <c r="AH8" s="278">
        <f t="shared" ref="AH8:AH40" si="30">R8+T8+V8+X8+Z8</f>
        <v>73.499998868999995</v>
      </c>
      <c r="AI8" s="277">
        <v>0</v>
      </c>
      <c r="AJ8" s="279">
        <v>0</v>
      </c>
      <c r="AK8" s="280">
        <f t="shared" si="7"/>
        <v>108.40455854079774</v>
      </c>
      <c r="AL8" s="278">
        <f t="shared" si="23"/>
        <v>1470</v>
      </c>
      <c r="AM8" s="260">
        <f t="shared" si="24"/>
        <v>17.473884120000001</v>
      </c>
      <c r="AN8" s="260" t="e">
        <f t="shared" si="25"/>
        <v>#DIV/0!</v>
      </c>
      <c r="AO8" s="260">
        <f t="shared" si="26"/>
        <v>0.28174603139999999</v>
      </c>
      <c r="AP8" s="260" t="e">
        <f>#REF!/C8</f>
        <v>#REF!</v>
      </c>
      <c r="AQ8" s="281">
        <f t="shared" si="8"/>
        <v>0.77540360979999989</v>
      </c>
      <c r="AR8" s="281" t="e">
        <f t="shared" si="9"/>
        <v>#DIV/0!</v>
      </c>
      <c r="AS8" s="281" t="e">
        <f t="shared" si="10"/>
        <v>#DIV/0!</v>
      </c>
      <c r="AT8" s="281">
        <f t="shared" si="11"/>
        <v>0.95151515200000003</v>
      </c>
      <c r="AU8">
        <f t="shared" si="12"/>
        <v>1218</v>
      </c>
    </row>
    <row r="9" spans="1:47" s="260" customFormat="1" x14ac:dyDescent="0.25">
      <c r="B9" s="277">
        <v>6</v>
      </c>
      <c r="C9" s="1">
        <v>1285</v>
      </c>
      <c r="D9" s="1">
        <v>0</v>
      </c>
      <c r="E9" s="1">
        <v>0</v>
      </c>
      <c r="F9" s="1">
        <v>110</v>
      </c>
      <c r="G9" s="1">
        <v>0</v>
      </c>
      <c r="H9" s="1">
        <v>21.35</v>
      </c>
      <c r="I9" s="1">
        <v>0</v>
      </c>
      <c r="J9" s="1">
        <v>0</v>
      </c>
      <c r="K9" s="1">
        <v>2</v>
      </c>
      <c r="L9" s="1">
        <v>0</v>
      </c>
      <c r="M9" s="277">
        <f t="shared" si="27"/>
        <v>60.187353629976577</v>
      </c>
      <c r="N9" s="277" t="e">
        <f t="shared" si="28"/>
        <v>#DIV/0!</v>
      </c>
      <c r="O9" s="277" t="e">
        <f t="shared" si="15"/>
        <v>#DIV/0!</v>
      </c>
      <c r="P9" s="277">
        <f t="shared" si="16"/>
        <v>55</v>
      </c>
      <c r="Q9" s="277">
        <f>C9*(0.2*0.9)</f>
        <v>231.30000000000004</v>
      </c>
      <c r="R9" s="277">
        <f>C9*0.05</f>
        <v>64.25</v>
      </c>
      <c r="S9" s="277">
        <f>D9*(0.311447811111111*0.9)</f>
        <v>0</v>
      </c>
      <c r="T9" s="277">
        <f>D9*0.05</f>
        <v>0</v>
      </c>
      <c r="U9" s="277">
        <f>E9*(0.250201288888*0.9)</f>
        <v>0</v>
      </c>
      <c r="V9" s="277">
        <f>E9*0.05</f>
        <v>0</v>
      </c>
      <c r="W9" s="277">
        <f t="shared" si="3"/>
        <v>0</v>
      </c>
      <c r="X9" s="277">
        <f>F9*0.05</f>
        <v>5.5</v>
      </c>
      <c r="Y9" s="277">
        <f t="shared" si="17"/>
        <v>0</v>
      </c>
      <c r="Z9" s="277">
        <f t="shared" si="18"/>
        <v>0</v>
      </c>
      <c r="AA9" s="514">
        <f t="shared" si="19"/>
        <v>989.45</v>
      </c>
      <c r="AB9" s="514">
        <f t="shared" si="20"/>
        <v>0</v>
      </c>
      <c r="AC9" s="514">
        <f t="shared" si="21"/>
        <v>0</v>
      </c>
      <c r="AD9" s="514">
        <f t="shared" si="22"/>
        <v>104.5</v>
      </c>
      <c r="AE9" s="514">
        <f t="shared" si="4"/>
        <v>0</v>
      </c>
      <c r="AF9" s="43">
        <f t="shared" si="29"/>
        <v>1093.95</v>
      </c>
      <c r="AG9" s="170">
        <f t="shared" si="5"/>
        <v>231.30000000000004</v>
      </c>
      <c r="AH9" s="278">
        <f t="shared" si="30"/>
        <v>69.75</v>
      </c>
      <c r="AI9" s="277">
        <v>0</v>
      </c>
      <c r="AJ9" s="279">
        <v>0</v>
      </c>
      <c r="AK9" s="280">
        <f t="shared" si="7"/>
        <v>85.132295719844365</v>
      </c>
      <c r="AL9" s="278">
        <f t="shared" si="23"/>
        <v>1395</v>
      </c>
      <c r="AM9" s="260">
        <f t="shared" si="24"/>
        <v>18.000000000000004</v>
      </c>
      <c r="AN9" s="260" t="e">
        <f t="shared" si="25"/>
        <v>#DIV/0!</v>
      </c>
      <c r="AO9" s="260" t="e">
        <f t="shared" si="26"/>
        <v>#DIV/0!</v>
      </c>
      <c r="AQ9" s="281">
        <f t="shared" si="8"/>
        <v>0.77</v>
      </c>
      <c r="AR9" s="281" t="e">
        <f t="shared" si="9"/>
        <v>#DIV/0!</v>
      </c>
      <c r="AS9" s="281" t="e">
        <f t="shared" si="10"/>
        <v>#DIV/0!</v>
      </c>
      <c r="AT9" s="281">
        <f t="shared" si="11"/>
        <v>0.95</v>
      </c>
      <c r="AU9">
        <f t="shared" si="12"/>
        <v>1395</v>
      </c>
    </row>
    <row r="10" spans="1:47" s="260" customFormat="1" x14ac:dyDescent="0.25">
      <c r="B10" s="277">
        <v>7</v>
      </c>
      <c r="C10" s="1">
        <v>1000</v>
      </c>
      <c r="D10" s="1">
        <v>0</v>
      </c>
      <c r="E10" s="1">
        <v>0</v>
      </c>
      <c r="F10" s="1">
        <v>150</v>
      </c>
      <c r="G10" s="1">
        <v>245</v>
      </c>
      <c r="H10" s="1">
        <v>16.8</v>
      </c>
      <c r="I10" s="1">
        <v>0</v>
      </c>
      <c r="J10" s="1">
        <v>0</v>
      </c>
      <c r="K10" s="1">
        <v>2.58</v>
      </c>
      <c r="L10" s="1">
        <v>4</v>
      </c>
      <c r="M10" s="277">
        <f t="shared" si="27"/>
        <v>59.523809523809518</v>
      </c>
      <c r="N10" s="277" t="e">
        <f t="shared" si="28"/>
        <v>#DIV/0!</v>
      </c>
      <c r="O10" s="277">
        <f t="shared" si="15"/>
        <v>61.25</v>
      </c>
      <c r="P10" s="277">
        <f t="shared" si="16"/>
        <v>58.139534883720927</v>
      </c>
      <c r="Q10" s="277">
        <f>C10*(0.194444444444444*0.9)</f>
        <v>174.9999999999996</v>
      </c>
      <c r="R10" s="282">
        <f>C10*0.05</f>
        <v>50</v>
      </c>
      <c r="S10" s="277">
        <f>D10*(0.192192192*0.9)</f>
        <v>0</v>
      </c>
      <c r="T10" s="277">
        <f>D10*0.048648648</f>
        <v>0</v>
      </c>
      <c r="U10" s="277">
        <f>E10*(0.288888888888888*0.9)</f>
        <v>0</v>
      </c>
      <c r="V10" s="277">
        <f>E10*0.05</f>
        <v>0</v>
      </c>
      <c r="W10" s="277">
        <f t="shared" si="3"/>
        <v>0</v>
      </c>
      <c r="X10" s="277">
        <f>F10*0.05</f>
        <v>7.5</v>
      </c>
      <c r="Y10" s="277">
        <f>G10*(0.288888888888888*0.9)</f>
        <v>63.699999999999797</v>
      </c>
      <c r="Z10" s="277">
        <f>G10*0.05</f>
        <v>12.25</v>
      </c>
      <c r="AA10" s="514">
        <f t="shared" si="19"/>
        <v>775.00000000000045</v>
      </c>
      <c r="AB10" s="514">
        <f t="shared" si="20"/>
        <v>0</v>
      </c>
      <c r="AC10" s="514">
        <f t="shared" si="21"/>
        <v>0</v>
      </c>
      <c r="AD10" s="514">
        <f t="shared" si="22"/>
        <v>142.5</v>
      </c>
      <c r="AE10" s="514">
        <f t="shared" si="4"/>
        <v>169.05000000000021</v>
      </c>
      <c r="AF10" s="43">
        <f t="shared" si="29"/>
        <v>1086.5500000000006</v>
      </c>
      <c r="AG10" s="170">
        <f t="shared" si="5"/>
        <v>238.69999999999939</v>
      </c>
      <c r="AH10" s="278">
        <f t="shared" si="30"/>
        <v>69.75</v>
      </c>
      <c r="AI10" s="277">
        <v>0</v>
      </c>
      <c r="AJ10" s="279">
        <v>0</v>
      </c>
      <c r="AK10" s="280">
        <f t="shared" si="7"/>
        <v>108.65500000000006</v>
      </c>
      <c r="AL10" s="278">
        <f t="shared" si="23"/>
        <v>1395</v>
      </c>
      <c r="AM10" s="260">
        <f t="shared" si="24"/>
        <v>17.499999999999961</v>
      </c>
      <c r="AN10" s="260" t="e">
        <f t="shared" si="25"/>
        <v>#DIV/0!</v>
      </c>
      <c r="AO10" s="260">
        <f t="shared" si="26"/>
        <v>0.25999999999999918</v>
      </c>
      <c r="AQ10" s="281">
        <f t="shared" si="8"/>
        <v>0.77500000000000047</v>
      </c>
      <c r="AR10" s="281" t="e">
        <f t="shared" si="9"/>
        <v>#DIV/0!</v>
      </c>
      <c r="AS10" s="281" t="e">
        <f t="shared" si="10"/>
        <v>#DIV/0!</v>
      </c>
      <c r="AT10" s="281">
        <f t="shared" si="11"/>
        <v>0.95</v>
      </c>
      <c r="AU10">
        <f t="shared" si="12"/>
        <v>1150</v>
      </c>
    </row>
    <row r="11" spans="1:47" s="260" customFormat="1" x14ac:dyDescent="0.25">
      <c r="B11" s="277">
        <v>8</v>
      </c>
      <c r="C11" s="1">
        <v>560</v>
      </c>
      <c r="D11" s="1">
        <v>0</v>
      </c>
      <c r="E11" s="1">
        <v>0</v>
      </c>
      <c r="F11" s="1">
        <v>120</v>
      </c>
      <c r="G11" s="1">
        <v>0</v>
      </c>
      <c r="H11" s="1">
        <v>9.73</v>
      </c>
      <c r="I11" s="1">
        <v>0</v>
      </c>
      <c r="J11" s="1">
        <v>0</v>
      </c>
      <c r="K11" s="1">
        <v>2.2000000000000002</v>
      </c>
      <c r="L11" s="1">
        <v>0</v>
      </c>
      <c r="M11" s="277">
        <f t="shared" si="27"/>
        <v>57.553956834532372</v>
      </c>
      <c r="N11" s="277" t="e">
        <f t="shared" si="28"/>
        <v>#DIV/0!</v>
      </c>
      <c r="O11" s="277" t="e">
        <f t="shared" si="15"/>
        <v>#DIV/0!</v>
      </c>
      <c r="P11" s="277">
        <f t="shared" si="16"/>
        <v>54.54545454545454</v>
      </c>
      <c r="Q11" s="277">
        <f>C11*(0.2*0.9)</f>
        <v>100.80000000000001</v>
      </c>
      <c r="R11" s="277">
        <f t="shared" ref="R11" si="31">C11*0.05</f>
        <v>28</v>
      </c>
      <c r="S11" s="277">
        <f>D11*(0.23148148148*0.9)</f>
        <v>0</v>
      </c>
      <c r="T11" s="277">
        <f>D11*0.0416666666666666</f>
        <v>0</v>
      </c>
      <c r="U11" s="277">
        <f>E11*(0.277777777777777*0.9)</f>
        <v>0</v>
      </c>
      <c r="V11" s="277">
        <f>E11*0.05</f>
        <v>0</v>
      </c>
      <c r="W11" s="277">
        <f t="shared" si="3"/>
        <v>0</v>
      </c>
      <c r="X11" s="277">
        <f>F11*0.05</f>
        <v>6</v>
      </c>
      <c r="Y11" s="277">
        <f t="shared" si="17"/>
        <v>0</v>
      </c>
      <c r="Z11" s="277">
        <f t="shared" si="18"/>
        <v>0</v>
      </c>
      <c r="AA11" s="514">
        <f t="shared" si="19"/>
        <v>431.2</v>
      </c>
      <c r="AB11" s="514">
        <f t="shared" si="20"/>
        <v>0</v>
      </c>
      <c r="AC11" s="514">
        <f t="shared" si="21"/>
        <v>0</v>
      </c>
      <c r="AD11" s="514">
        <f t="shared" si="22"/>
        <v>114</v>
      </c>
      <c r="AE11" s="514">
        <f t="shared" si="4"/>
        <v>0</v>
      </c>
      <c r="AF11" s="43">
        <f t="shared" si="29"/>
        <v>545.20000000000005</v>
      </c>
      <c r="AG11" s="170">
        <f t="shared" si="5"/>
        <v>100.80000000000001</v>
      </c>
      <c r="AH11" s="278">
        <f t="shared" si="30"/>
        <v>34</v>
      </c>
      <c r="AI11" s="277">
        <v>0</v>
      </c>
      <c r="AJ11" s="279">
        <v>0</v>
      </c>
      <c r="AK11" s="280">
        <f t="shared" si="7"/>
        <v>97.357142857142861</v>
      </c>
      <c r="AL11" s="278">
        <f t="shared" si="23"/>
        <v>680</v>
      </c>
      <c r="AM11" s="260">
        <f t="shared" si="24"/>
        <v>18.000000000000004</v>
      </c>
      <c r="AN11" s="260" t="e">
        <f t="shared" si="25"/>
        <v>#DIV/0!</v>
      </c>
      <c r="AO11" s="260" t="e">
        <f t="shared" si="26"/>
        <v>#DIV/0!</v>
      </c>
      <c r="AQ11" s="281">
        <f t="shared" si="8"/>
        <v>0.77</v>
      </c>
      <c r="AR11" s="281" t="e">
        <f t="shared" si="9"/>
        <v>#DIV/0!</v>
      </c>
      <c r="AS11" s="281" t="e">
        <f t="shared" si="10"/>
        <v>#DIV/0!</v>
      </c>
      <c r="AT11" s="281">
        <f t="shared" si="11"/>
        <v>0.95</v>
      </c>
      <c r="AU11">
        <f t="shared" si="12"/>
        <v>680</v>
      </c>
    </row>
    <row r="12" spans="1:47" s="330" customFormat="1" x14ac:dyDescent="0.25">
      <c r="A12" s="330" t="s">
        <v>197</v>
      </c>
      <c r="B12" s="327">
        <v>9</v>
      </c>
      <c r="C12" s="1">
        <v>1029</v>
      </c>
      <c r="D12" s="1">
        <v>175</v>
      </c>
      <c r="E12" s="1">
        <v>0</v>
      </c>
      <c r="F12" s="1">
        <v>165</v>
      </c>
      <c r="G12" s="1">
        <v>0</v>
      </c>
      <c r="H12" s="1">
        <v>18</v>
      </c>
      <c r="I12" s="1">
        <v>3</v>
      </c>
      <c r="J12" s="1">
        <v>0</v>
      </c>
      <c r="K12" s="1">
        <v>3</v>
      </c>
      <c r="L12" s="1">
        <v>0</v>
      </c>
      <c r="M12" s="327">
        <f t="shared" si="27"/>
        <v>57.166666666666664</v>
      </c>
      <c r="N12" s="327">
        <f t="shared" si="28"/>
        <v>58.333333333333336</v>
      </c>
      <c r="O12" s="277" t="e">
        <f t="shared" si="15"/>
        <v>#DIV/0!</v>
      </c>
      <c r="P12" s="327">
        <f t="shared" si="16"/>
        <v>55</v>
      </c>
      <c r="Q12" s="327">
        <f>C12*(0.194363459*0.9)</f>
        <v>179.9999993799</v>
      </c>
      <c r="R12" s="327">
        <f>C12*0.05</f>
        <v>51.45</v>
      </c>
      <c r="S12" s="327">
        <f>D12*(0.3*0.9)</f>
        <v>47.25</v>
      </c>
      <c r="T12" s="327">
        <f>D12*0.05</f>
        <v>8.75</v>
      </c>
      <c r="U12" s="327">
        <f>E12*(0.258258258258258*0.9)</f>
        <v>0</v>
      </c>
      <c r="V12" s="327">
        <f>E12*0.054054054054</f>
        <v>0</v>
      </c>
      <c r="W12" s="327">
        <f t="shared" si="3"/>
        <v>0</v>
      </c>
      <c r="X12" s="327">
        <f>F12*0.05</f>
        <v>8.25</v>
      </c>
      <c r="Y12" s="277">
        <f t="shared" si="17"/>
        <v>0</v>
      </c>
      <c r="Z12" s="277">
        <f t="shared" si="18"/>
        <v>0</v>
      </c>
      <c r="AA12" s="514">
        <f t="shared" si="19"/>
        <v>797.55000062009992</v>
      </c>
      <c r="AB12" s="514">
        <f t="shared" si="20"/>
        <v>119</v>
      </c>
      <c r="AC12" s="514">
        <f t="shared" si="21"/>
        <v>0</v>
      </c>
      <c r="AD12" s="514">
        <f t="shared" si="22"/>
        <v>156.75</v>
      </c>
      <c r="AE12" s="514">
        <f t="shared" si="4"/>
        <v>0</v>
      </c>
      <c r="AF12" s="43">
        <f t="shared" si="29"/>
        <v>1073.3000006201</v>
      </c>
      <c r="AG12" s="170">
        <f t="shared" si="5"/>
        <v>227.2499993799</v>
      </c>
      <c r="AH12" s="278">
        <f t="shared" si="30"/>
        <v>68.45</v>
      </c>
      <c r="AI12" s="327">
        <v>0</v>
      </c>
      <c r="AJ12" s="331">
        <v>0</v>
      </c>
      <c r="AK12" s="332">
        <f t="shared" si="7"/>
        <v>89.14451832392858</v>
      </c>
      <c r="AL12" s="278">
        <f t="shared" si="23"/>
        <v>1369</v>
      </c>
      <c r="AM12" s="260">
        <f t="shared" si="24"/>
        <v>17.492711310000001</v>
      </c>
      <c r="AN12" s="260">
        <f t="shared" si="25"/>
        <v>27</v>
      </c>
      <c r="AO12" s="260" t="e">
        <f t="shared" si="26"/>
        <v>#DIV/0!</v>
      </c>
      <c r="AQ12" s="333">
        <f t="shared" si="8"/>
        <v>0.77507288689999998</v>
      </c>
      <c r="AR12" s="333">
        <f t="shared" si="9"/>
        <v>0.68</v>
      </c>
      <c r="AS12" s="333" t="e">
        <f t="shared" si="10"/>
        <v>#DIV/0!</v>
      </c>
      <c r="AT12" s="333">
        <f t="shared" si="11"/>
        <v>0.95</v>
      </c>
      <c r="AU12" s="324">
        <f t="shared" si="12"/>
        <v>1369</v>
      </c>
    </row>
    <row r="13" spans="1:47" s="260" customFormat="1" x14ac:dyDescent="0.25">
      <c r="B13" s="277">
        <v>10</v>
      </c>
      <c r="C13" s="1">
        <v>1103</v>
      </c>
      <c r="D13" s="1">
        <v>195</v>
      </c>
      <c r="E13" s="1">
        <v>0</v>
      </c>
      <c r="F13" s="1">
        <v>0</v>
      </c>
      <c r="G13" s="1">
        <v>192</v>
      </c>
      <c r="H13" s="1">
        <v>18</v>
      </c>
      <c r="I13" s="1">
        <v>3</v>
      </c>
      <c r="J13" s="1">
        <v>0</v>
      </c>
      <c r="K13" s="1">
        <v>0</v>
      </c>
      <c r="L13" s="1">
        <v>3</v>
      </c>
      <c r="M13" s="277">
        <f t="shared" si="27"/>
        <v>61.277777777777779</v>
      </c>
      <c r="N13" s="277">
        <f t="shared" si="28"/>
        <v>65</v>
      </c>
      <c r="O13" s="277">
        <f t="shared" si="15"/>
        <v>64</v>
      </c>
      <c r="P13" s="277" t="e">
        <f t="shared" si="16"/>
        <v>#DIV/0!</v>
      </c>
      <c r="Q13" s="278">
        <f>C13*(0.199959705*0.9)</f>
        <v>198.4999991535</v>
      </c>
      <c r="R13" s="278">
        <f t="shared" ref="R13:R18" si="32">C13*0.05</f>
        <v>55.150000000000006</v>
      </c>
      <c r="S13" s="277">
        <f>D13*(0.324786324*0.9)</f>
        <v>56.999999862000003</v>
      </c>
      <c r="T13" s="277">
        <f>D13*0.051282051</f>
        <v>9.9999999450000008</v>
      </c>
      <c r="U13" s="277">
        <f>E13*(0.31099353333*0.9)</f>
        <v>0</v>
      </c>
      <c r="V13" s="277">
        <f>E13*0.05026455</f>
        <v>0</v>
      </c>
      <c r="W13" s="277">
        <f t="shared" si="3"/>
        <v>0</v>
      </c>
      <c r="X13" s="277">
        <f>F13*0.038</f>
        <v>0</v>
      </c>
      <c r="Y13" s="277">
        <f>G13*(0.3125*0.9)</f>
        <v>54</v>
      </c>
      <c r="Z13" s="277">
        <f>G13*0.05</f>
        <v>9.6000000000000014</v>
      </c>
      <c r="AA13" s="514">
        <f t="shared" si="19"/>
        <v>849.35000084650005</v>
      </c>
      <c r="AB13" s="514">
        <f t="shared" si="20"/>
        <v>128.00000019299998</v>
      </c>
      <c r="AC13" s="514">
        <f t="shared" si="21"/>
        <v>0</v>
      </c>
      <c r="AD13" s="514">
        <f t="shared" si="22"/>
        <v>0</v>
      </c>
      <c r="AE13" s="514">
        <f t="shared" si="4"/>
        <v>128.4</v>
      </c>
      <c r="AF13" s="44">
        <f t="shared" si="29"/>
        <v>1105.7500010395001</v>
      </c>
      <c r="AG13" s="170">
        <f t="shared" si="5"/>
        <v>309.49999901550001</v>
      </c>
      <c r="AH13" s="278">
        <f t="shared" si="30"/>
        <v>74.749999945000013</v>
      </c>
      <c r="AI13" s="277">
        <v>0</v>
      </c>
      <c r="AJ13" s="279">
        <v>0</v>
      </c>
      <c r="AK13" s="280">
        <f t="shared" si="7"/>
        <v>85.18875200612483</v>
      </c>
      <c r="AL13" s="278">
        <f t="shared" si="23"/>
        <v>1490</v>
      </c>
      <c r="AM13" s="260">
        <f t="shared" si="24"/>
        <v>17.99637345</v>
      </c>
      <c r="AN13" s="260">
        <f t="shared" si="25"/>
        <v>29.230769160000001</v>
      </c>
      <c r="AO13" s="260">
        <f t="shared" si="26"/>
        <v>0.28125</v>
      </c>
      <c r="AQ13" s="281">
        <f t="shared" si="8"/>
        <v>0.77003626550000004</v>
      </c>
      <c r="AR13" s="281">
        <f t="shared" si="9"/>
        <v>0.65641025739999992</v>
      </c>
      <c r="AS13" s="281" t="e">
        <f t="shared" si="10"/>
        <v>#DIV/0!</v>
      </c>
      <c r="AT13" s="281" t="e">
        <f t="shared" si="11"/>
        <v>#DIV/0!</v>
      </c>
      <c r="AU13">
        <f t="shared" si="12"/>
        <v>1298</v>
      </c>
    </row>
    <row r="14" spans="1:47" s="260" customFormat="1" x14ac:dyDescent="0.25">
      <c r="B14" s="277">
        <v>11</v>
      </c>
      <c r="C14" s="1">
        <v>1210</v>
      </c>
      <c r="D14" s="1">
        <v>0</v>
      </c>
      <c r="E14" s="1">
        <v>0</v>
      </c>
      <c r="F14" s="1">
        <v>0</v>
      </c>
      <c r="G14" s="1">
        <v>0</v>
      </c>
      <c r="H14" s="1">
        <v>20.56</v>
      </c>
      <c r="I14" s="1">
        <v>0</v>
      </c>
      <c r="J14" s="1">
        <v>0</v>
      </c>
      <c r="K14" s="1">
        <v>0</v>
      </c>
      <c r="L14" s="1">
        <v>0</v>
      </c>
      <c r="M14" s="277">
        <f t="shared" si="27"/>
        <v>58.852140077821012</v>
      </c>
      <c r="N14" s="277" t="e">
        <f t="shared" si="28"/>
        <v>#DIV/0!</v>
      </c>
      <c r="O14" s="277" t="e">
        <f t="shared" si="15"/>
        <v>#DIV/0!</v>
      </c>
      <c r="P14" s="277" t="e">
        <f t="shared" si="16"/>
        <v>#DIV/0!</v>
      </c>
      <c r="Q14" s="277">
        <f>C14*(0.200183654*0.9)</f>
        <v>217.99999920600001</v>
      </c>
      <c r="R14" s="278">
        <f>C14*0.05</f>
        <v>60.5</v>
      </c>
      <c r="S14" s="277">
        <f>D14*(0.3*0.9)</f>
        <v>0</v>
      </c>
      <c r="T14" s="277">
        <f t="shared" ref="T14:T19" si="33">D14*0.05</f>
        <v>0</v>
      </c>
      <c r="U14" s="277">
        <f>E14*(0.288888888888888*0.9)</f>
        <v>0</v>
      </c>
      <c r="V14" s="277">
        <f>E14*0.05</f>
        <v>0</v>
      </c>
      <c r="W14" s="277">
        <f t="shared" si="3"/>
        <v>0</v>
      </c>
      <c r="X14" s="277">
        <f t="shared" ref="X14:X22" si="34">F14*0.05</f>
        <v>0</v>
      </c>
      <c r="Y14" s="277">
        <f t="shared" si="17"/>
        <v>0</v>
      </c>
      <c r="Z14" s="277">
        <f t="shared" si="18"/>
        <v>0</v>
      </c>
      <c r="AA14" s="514">
        <f t="shared" si="19"/>
        <v>931.50000079400002</v>
      </c>
      <c r="AB14" s="514">
        <f t="shared" si="20"/>
        <v>0</v>
      </c>
      <c r="AC14" s="514">
        <f t="shared" si="21"/>
        <v>0</v>
      </c>
      <c r="AD14" s="514">
        <f t="shared" si="22"/>
        <v>0</v>
      </c>
      <c r="AE14" s="514">
        <f t="shared" si="4"/>
        <v>0</v>
      </c>
      <c r="AF14" s="43">
        <f t="shared" si="29"/>
        <v>931.50000079400002</v>
      </c>
      <c r="AG14" s="170">
        <f t="shared" si="5"/>
        <v>217.99999920600001</v>
      </c>
      <c r="AH14" s="278">
        <f t="shared" si="30"/>
        <v>60.5</v>
      </c>
      <c r="AI14" s="277">
        <v>0</v>
      </c>
      <c r="AJ14" s="279">
        <v>0</v>
      </c>
      <c r="AK14" s="280">
        <f t="shared" si="7"/>
        <v>76.983471140000006</v>
      </c>
      <c r="AL14" s="278">
        <f t="shared" si="23"/>
        <v>1210</v>
      </c>
      <c r="AM14" s="260">
        <f t="shared" si="24"/>
        <v>18.016528860000001</v>
      </c>
      <c r="AN14" s="260" t="e">
        <f t="shared" si="25"/>
        <v>#DIV/0!</v>
      </c>
      <c r="AO14" s="260" t="e">
        <f t="shared" si="26"/>
        <v>#DIV/0!</v>
      </c>
      <c r="AQ14" s="281">
        <f t="shared" si="8"/>
        <v>0.76983471140000004</v>
      </c>
      <c r="AR14" s="281" t="e">
        <f t="shared" si="9"/>
        <v>#DIV/0!</v>
      </c>
      <c r="AS14" s="281" t="e">
        <f t="shared" si="10"/>
        <v>#DIV/0!</v>
      </c>
      <c r="AT14" s="281" t="e">
        <f t="shared" si="11"/>
        <v>#DIV/0!</v>
      </c>
      <c r="AU14">
        <f t="shared" si="12"/>
        <v>1210</v>
      </c>
    </row>
    <row r="15" spans="1:47" s="260" customFormat="1" x14ac:dyDescent="0.25">
      <c r="B15" s="277">
        <v>12</v>
      </c>
      <c r="C15" s="1">
        <v>850</v>
      </c>
      <c r="D15" s="1">
        <v>150</v>
      </c>
      <c r="E15" s="1">
        <v>0</v>
      </c>
      <c r="F15" s="1">
        <v>175</v>
      </c>
      <c r="G15" s="1">
        <v>250</v>
      </c>
      <c r="H15" s="1">
        <v>14.4</v>
      </c>
      <c r="I15" s="1">
        <v>2.5</v>
      </c>
      <c r="J15" s="1">
        <v>0</v>
      </c>
      <c r="K15" s="1">
        <v>3</v>
      </c>
      <c r="L15" s="1">
        <v>4.0999999999999996</v>
      </c>
      <c r="M15" s="277">
        <f t="shared" si="27"/>
        <v>59.027777777777779</v>
      </c>
      <c r="N15" s="277">
        <f t="shared" si="28"/>
        <v>60</v>
      </c>
      <c r="O15" s="277">
        <f t="shared" si="15"/>
        <v>60.975609756097569</v>
      </c>
      <c r="P15" s="277">
        <f t="shared" si="16"/>
        <v>58.333333333333336</v>
      </c>
      <c r="Q15" s="277">
        <f>C15*(0.2*0.9)</f>
        <v>153.00000000000003</v>
      </c>
      <c r="R15" s="277">
        <f t="shared" si="32"/>
        <v>42.5</v>
      </c>
      <c r="S15" s="277">
        <f>D15*(0.311111111111111*0.9)</f>
        <v>41.999999999999986</v>
      </c>
      <c r="T15" s="277">
        <f t="shared" si="33"/>
        <v>7.5</v>
      </c>
      <c r="U15" s="277">
        <f>E15*(0.322222222222222*0.9)</f>
        <v>0</v>
      </c>
      <c r="V15" s="277">
        <f>E15*0.05</f>
        <v>0</v>
      </c>
      <c r="W15" s="277">
        <f t="shared" si="3"/>
        <v>0</v>
      </c>
      <c r="X15" s="277">
        <f t="shared" si="34"/>
        <v>8.75</v>
      </c>
      <c r="Y15" s="277">
        <f>G15*(0.294444444444444*0.9)</f>
        <v>66.249999999999901</v>
      </c>
      <c r="Z15" s="277">
        <f>G15*0.05</f>
        <v>12.5</v>
      </c>
      <c r="AA15" s="514">
        <f t="shared" si="19"/>
        <v>654.5</v>
      </c>
      <c r="AB15" s="514">
        <f t="shared" si="20"/>
        <v>100.50000000000001</v>
      </c>
      <c r="AC15" s="514">
        <f t="shared" si="21"/>
        <v>0</v>
      </c>
      <c r="AD15" s="514">
        <f t="shared" si="22"/>
        <v>166.25</v>
      </c>
      <c r="AE15" s="514">
        <f t="shared" si="4"/>
        <v>171.25000000000011</v>
      </c>
      <c r="AF15" s="43">
        <f t="shared" si="29"/>
        <v>1092.5</v>
      </c>
      <c r="AG15" s="170">
        <f t="shared" si="5"/>
        <v>261.24999999999989</v>
      </c>
      <c r="AH15" s="278">
        <f t="shared" si="30"/>
        <v>71.25</v>
      </c>
      <c r="AI15" s="277">
        <v>0</v>
      </c>
      <c r="AJ15" s="279">
        <v>0</v>
      </c>
      <c r="AK15" s="280">
        <f t="shared" si="7"/>
        <v>109.25</v>
      </c>
      <c r="AL15" s="278">
        <f t="shared" si="23"/>
        <v>1425</v>
      </c>
      <c r="AM15" s="260">
        <f t="shared" si="24"/>
        <v>18.000000000000004</v>
      </c>
      <c r="AN15" s="260">
        <f t="shared" si="25"/>
        <v>27.999999999999993</v>
      </c>
      <c r="AO15" s="260">
        <f t="shared" si="26"/>
        <v>0.26499999999999962</v>
      </c>
      <c r="AQ15" s="281">
        <f t="shared" si="8"/>
        <v>0.77</v>
      </c>
      <c r="AR15" s="281">
        <f t="shared" si="9"/>
        <v>0.67</v>
      </c>
      <c r="AS15" s="281" t="e">
        <f t="shared" si="10"/>
        <v>#DIV/0!</v>
      </c>
      <c r="AT15" s="281">
        <f t="shared" si="11"/>
        <v>0.95</v>
      </c>
      <c r="AU15">
        <f t="shared" si="12"/>
        <v>1175</v>
      </c>
    </row>
    <row r="16" spans="1:47" s="260" customFormat="1" x14ac:dyDescent="0.25">
      <c r="B16" s="277">
        <v>13</v>
      </c>
      <c r="C16" s="1">
        <v>850</v>
      </c>
      <c r="D16" s="1">
        <v>0</v>
      </c>
      <c r="E16" s="1">
        <v>0</v>
      </c>
      <c r="F16" s="1">
        <v>110</v>
      </c>
      <c r="G16" s="1">
        <v>200</v>
      </c>
      <c r="H16" s="1">
        <v>15</v>
      </c>
      <c r="I16" s="1">
        <v>0</v>
      </c>
      <c r="J16" s="1">
        <v>0</v>
      </c>
      <c r="K16" s="1">
        <v>2</v>
      </c>
      <c r="L16" s="1">
        <v>3.32</v>
      </c>
      <c r="M16" s="277">
        <f t="shared" si="27"/>
        <v>56.666666666666664</v>
      </c>
      <c r="N16" s="277" t="e">
        <f t="shared" si="28"/>
        <v>#DIV/0!</v>
      </c>
      <c r="O16" s="277">
        <f t="shared" si="15"/>
        <v>60.24096385542169</v>
      </c>
      <c r="P16" s="277">
        <f t="shared" si="16"/>
        <v>55</v>
      </c>
      <c r="Q16" s="300">
        <f>C16*(0.197777777777777*0.9)</f>
        <v>151.29999999999941</v>
      </c>
      <c r="R16" s="300">
        <f>C16*0.05</f>
        <v>42.5</v>
      </c>
      <c r="S16" s="277">
        <f>D16*(0.244444444444444*0.9)</f>
        <v>0</v>
      </c>
      <c r="T16" s="277">
        <f t="shared" si="33"/>
        <v>0</v>
      </c>
      <c r="U16" s="277">
        <f>E16*(0.288888888888888*0.9)</f>
        <v>0</v>
      </c>
      <c r="V16" s="277">
        <f>E16*0.05</f>
        <v>0</v>
      </c>
      <c r="W16" s="277">
        <f t="shared" si="3"/>
        <v>0</v>
      </c>
      <c r="X16" s="277">
        <f t="shared" si="34"/>
        <v>5.5</v>
      </c>
      <c r="Y16" s="277">
        <f>G16*(0.3*0.9)</f>
        <v>54</v>
      </c>
      <c r="Z16" s="277">
        <f>G16*0.05</f>
        <v>10</v>
      </c>
      <c r="AA16" s="514">
        <f t="shared" si="19"/>
        <v>656.20000000000061</v>
      </c>
      <c r="AB16" s="514">
        <f t="shared" si="20"/>
        <v>0</v>
      </c>
      <c r="AC16" s="514">
        <f t="shared" si="21"/>
        <v>0</v>
      </c>
      <c r="AD16" s="514">
        <f t="shared" si="22"/>
        <v>104.5</v>
      </c>
      <c r="AE16" s="514">
        <f t="shared" si="4"/>
        <v>136</v>
      </c>
      <c r="AF16" s="43">
        <f t="shared" si="29"/>
        <v>896.70000000000061</v>
      </c>
      <c r="AG16" s="170">
        <f t="shared" si="5"/>
        <v>205.29999999999941</v>
      </c>
      <c r="AH16" s="278">
        <f t="shared" si="30"/>
        <v>58</v>
      </c>
      <c r="AI16" s="277">
        <v>0</v>
      </c>
      <c r="AJ16" s="279">
        <v>0</v>
      </c>
      <c r="AK16" s="280">
        <f t="shared" si="7"/>
        <v>105.4941176470589</v>
      </c>
      <c r="AL16" s="278">
        <f t="shared" si="23"/>
        <v>1160</v>
      </c>
      <c r="AM16" s="260">
        <f t="shared" si="24"/>
        <v>17.79999999999993</v>
      </c>
      <c r="AN16" s="260" t="e">
        <f t="shared" si="25"/>
        <v>#DIV/0!</v>
      </c>
      <c r="AO16" s="260">
        <f t="shared" si="26"/>
        <v>0.27</v>
      </c>
      <c r="AQ16" s="281">
        <f t="shared" si="8"/>
        <v>0.77200000000000069</v>
      </c>
      <c r="AR16" s="281" t="e">
        <f t="shared" si="9"/>
        <v>#DIV/0!</v>
      </c>
      <c r="AS16" s="281" t="e">
        <f t="shared" si="10"/>
        <v>#DIV/0!</v>
      </c>
      <c r="AT16" s="281">
        <f t="shared" si="11"/>
        <v>0.95</v>
      </c>
      <c r="AU16">
        <f t="shared" si="12"/>
        <v>960</v>
      </c>
    </row>
    <row r="17" spans="1:47" s="260" customFormat="1" x14ac:dyDescent="0.25">
      <c r="B17" s="277">
        <v>14</v>
      </c>
      <c r="C17" s="1">
        <v>850</v>
      </c>
      <c r="D17" s="1">
        <v>150</v>
      </c>
      <c r="E17" s="1">
        <v>0</v>
      </c>
      <c r="F17" s="1">
        <v>110</v>
      </c>
      <c r="G17" s="1">
        <v>200</v>
      </c>
      <c r="H17" s="1">
        <v>13.85</v>
      </c>
      <c r="I17" s="1">
        <v>2.4</v>
      </c>
      <c r="J17" s="1">
        <v>0</v>
      </c>
      <c r="K17" s="1">
        <v>2</v>
      </c>
      <c r="L17" s="1">
        <v>3.2</v>
      </c>
      <c r="M17" s="277">
        <f t="shared" si="27"/>
        <v>61.371841155234655</v>
      </c>
      <c r="N17" s="277">
        <f t="shared" si="28"/>
        <v>62.5</v>
      </c>
      <c r="O17" s="277">
        <f t="shared" si="15"/>
        <v>62.5</v>
      </c>
      <c r="P17" s="277">
        <f t="shared" si="16"/>
        <v>55</v>
      </c>
      <c r="Q17" s="277">
        <f>C17*(0.2*0.9)</f>
        <v>153.00000000000003</v>
      </c>
      <c r="R17" s="277">
        <f>C17*0.05</f>
        <v>42.5</v>
      </c>
      <c r="S17" s="277">
        <f>D17*(0.311111111111111*0.9)</f>
        <v>41.999999999999986</v>
      </c>
      <c r="T17" s="277">
        <f t="shared" si="33"/>
        <v>7.5</v>
      </c>
      <c r="U17" s="277">
        <f>E17*(0.247531636*0.9)</f>
        <v>0</v>
      </c>
      <c r="V17" s="277">
        <f>E17*0.051314142</f>
        <v>0</v>
      </c>
      <c r="W17" s="277">
        <f t="shared" si="3"/>
        <v>0</v>
      </c>
      <c r="X17" s="277">
        <f t="shared" si="34"/>
        <v>5.5</v>
      </c>
      <c r="Y17" s="277">
        <f>G17*(0.3*0.9)</f>
        <v>54</v>
      </c>
      <c r="Z17" s="277">
        <f>G17*0.049</f>
        <v>9.8000000000000007</v>
      </c>
      <c r="AA17" s="514">
        <f t="shared" si="19"/>
        <v>654.5</v>
      </c>
      <c r="AB17" s="514">
        <f t="shared" si="20"/>
        <v>100.50000000000001</v>
      </c>
      <c r="AC17" s="514">
        <f t="shared" si="21"/>
        <v>0</v>
      </c>
      <c r="AD17" s="514">
        <f t="shared" si="22"/>
        <v>104.5</v>
      </c>
      <c r="AE17" s="514">
        <f t="shared" si="4"/>
        <v>136.19999999999999</v>
      </c>
      <c r="AF17" s="43">
        <f t="shared" si="29"/>
        <v>995.7</v>
      </c>
      <c r="AG17" s="170">
        <f t="shared" si="5"/>
        <v>249</v>
      </c>
      <c r="AH17" s="278">
        <f t="shared" si="30"/>
        <v>65.3</v>
      </c>
      <c r="AI17" s="277">
        <v>0</v>
      </c>
      <c r="AJ17" s="279">
        <v>0</v>
      </c>
      <c r="AK17" s="280">
        <f t="shared" si="7"/>
        <v>99.570000000000007</v>
      </c>
      <c r="AL17" s="278">
        <f t="shared" si="23"/>
        <v>1310</v>
      </c>
      <c r="AM17" s="260">
        <f t="shared" si="24"/>
        <v>18.000000000000004</v>
      </c>
      <c r="AN17" s="260">
        <f t="shared" si="25"/>
        <v>27.999999999999993</v>
      </c>
      <c r="AO17" s="260">
        <f t="shared" si="26"/>
        <v>0.27</v>
      </c>
      <c r="AQ17" s="281">
        <f t="shared" si="8"/>
        <v>0.77</v>
      </c>
      <c r="AR17" s="281">
        <f t="shared" si="9"/>
        <v>0.67</v>
      </c>
      <c r="AS17" s="281" t="e">
        <f t="shared" si="10"/>
        <v>#DIV/0!</v>
      </c>
      <c r="AT17" s="281">
        <f t="shared" si="11"/>
        <v>0.95</v>
      </c>
      <c r="AU17">
        <f t="shared" si="12"/>
        <v>1110</v>
      </c>
    </row>
    <row r="18" spans="1:47" s="330" customFormat="1" x14ac:dyDescent="0.25">
      <c r="B18" s="327">
        <v>15</v>
      </c>
      <c r="C18" s="1">
        <v>752</v>
      </c>
      <c r="D18" s="1">
        <v>0</v>
      </c>
      <c r="E18" s="1">
        <v>0</v>
      </c>
      <c r="F18" s="1">
        <v>110</v>
      </c>
      <c r="G18" s="1">
        <v>200</v>
      </c>
      <c r="H18" s="1">
        <v>14</v>
      </c>
      <c r="I18" s="1">
        <v>0</v>
      </c>
      <c r="J18" s="1">
        <v>0</v>
      </c>
      <c r="K18" s="1">
        <v>2.1</v>
      </c>
      <c r="L18" s="1">
        <v>3.57</v>
      </c>
      <c r="M18" s="327">
        <f t="shared" si="27"/>
        <v>53.714285714285715</v>
      </c>
      <c r="N18" s="327" t="e">
        <f t="shared" si="28"/>
        <v>#DIV/0!</v>
      </c>
      <c r="O18" s="277">
        <f t="shared" si="15"/>
        <v>56.022408963585434</v>
      </c>
      <c r="P18" s="327">
        <f t="shared" si="16"/>
        <v>52.38095238095238</v>
      </c>
      <c r="Q18" s="327">
        <f>C18*(0.194444444444444*0.9)</f>
        <v>131.59999999999971</v>
      </c>
      <c r="R18" s="327">
        <f t="shared" si="32"/>
        <v>37.6</v>
      </c>
      <c r="S18" s="327">
        <f>D18*(0.244444444444444*0.9)</f>
        <v>0</v>
      </c>
      <c r="T18" s="327">
        <f t="shared" si="33"/>
        <v>0</v>
      </c>
      <c r="U18" s="327">
        <f>E18*(0.222222222222222*0.9)</f>
        <v>0</v>
      </c>
      <c r="V18" s="327">
        <f>E18*0.05</f>
        <v>0</v>
      </c>
      <c r="W18" s="327">
        <f t="shared" si="3"/>
        <v>0</v>
      </c>
      <c r="X18" s="327">
        <f t="shared" si="34"/>
        <v>5.5</v>
      </c>
      <c r="Y18" s="277">
        <f>G18*(0.288888888888889*0.9)</f>
        <v>52.000000000000014</v>
      </c>
      <c r="Z18" s="277">
        <f>G18*0.05</f>
        <v>10</v>
      </c>
      <c r="AA18" s="514">
        <f t="shared" si="19"/>
        <v>582.8000000000003</v>
      </c>
      <c r="AB18" s="514">
        <f t="shared" si="20"/>
        <v>0</v>
      </c>
      <c r="AC18" s="514">
        <f t="shared" si="21"/>
        <v>0</v>
      </c>
      <c r="AD18" s="514">
        <f t="shared" si="22"/>
        <v>104.5</v>
      </c>
      <c r="AE18" s="514">
        <f t="shared" si="4"/>
        <v>138</v>
      </c>
      <c r="AF18" s="43">
        <f t="shared" si="29"/>
        <v>825.3000000000003</v>
      </c>
      <c r="AG18" s="170">
        <f t="shared" si="5"/>
        <v>183.59999999999974</v>
      </c>
      <c r="AH18" s="278">
        <f t="shared" si="30"/>
        <v>53.1</v>
      </c>
      <c r="AI18" s="327">
        <v>0</v>
      </c>
      <c r="AJ18" s="331">
        <v>0</v>
      </c>
      <c r="AK18" s="332">
        <f t="shared" si="7"/>
        <v>109.74734042553196</v>
      </c>
      <c r="AL18" s="278">
        <f t="shared" si="23"/>
        <v>1062</v>
      </c>
      <c r="AM18" s="260">
        <f t="shared" si="24"/>
        <v>17.499999999999964</v>
      </c>
      <c r="AN18" s="260" t="e">
        <f t="shared" si="25"/>
        <v>#DIV/0!</v>
      </c>
      <c r="AO18" s="260">
        <f t="shared" si="26"/>
        <v>0.26000000000000006</v>
      </c>
      <c r="AQ18" s="333">
        <f t="shared" si="8"/>
        <v>0.77500000000000036</v>
      </c>
      <c r="AR18" s="333" t="e">
        <f t="shared" si="9"/>
        <v>#DIV/0!</v>
      </c>
      <c r="AS18" s="333" t="e">
        <f t="shared" si="10"/>
        <v>#DIV/0!</v>
      </c>
      <c r="AT18" s="333">
        <f t="shared" si="11"/>
        <v>0.95</v>
      </c>
      <c r="AU18" s="324">
        <f t="shared" si="12"/>
        <v>862</v>
      </c>
    </row>
    <row r="19" spans="1:47" s="324" customFormat="1" x14ac:dyDescent="0.25">
      <c r="B19" s="327">
        <v>16</v>
      </c>
      <c r="C19" s="1">
        <v>650</v>
      </c>
      <c r="D19" s="1">
        <v>150</v>
      </c>
      <c r="E19" s="1">
        <v>0</v>
      </c>
      <c r="F19" s="1">
        <v>0</v>
      </c>
      <c r="G19" s="1">
        <v>250</v>
      </c>
      <c r="H19" s="1">
        <v>11.3</v>
      </c>
      <c r="I19" s="1">
        <v>2.5</v>
      </c>
      <c r="J19" s="1">
        <v>0</v>
      </c>
      <c r="K19" s="1">
        <v>0</v>
      </c>
      <c r="L19" s="1">
        <v>4.2</v>
      </c>
      <c r="M19" s="325">
        <f t="shared" si="27"/>
        <v>57.522123893805308</v>
      </c>
      <c r="N19" s="325">
        <f t="shared" si="28"/>
        <v>60</v>
      </c>
      <c r="O19" s="277">
        <f t="shared" si="15"/>
        <v>59.523809523809518</v>
      </c>
      <c r="P19" s="325" t="e">
        <f t="shared" si="16"/>
        <v>#DIV/0!</v>
      </c>
      <c r="Q19" s="325">
        <f>C19*(0.2*0.9)</f>
        <v>117.00000000000001</v>
      </c>
      <c r="R19" s="325">
        <f>C19*0.05</f>
        <v>32.5</v>
      </c>
      <c r="S19" s="325">
        <f>D19*(0.311111111111111*0.9)</f>
        <v>41.999999999999986</v>
      </c>
      <c r="T19" s="325">
        <f t="shared" si="33"/>
        <v>7.5</v>
      </c>
      <c r="U19" s="325">
        <f>E19*(0.200716845*0.9)</f>
        <v>0</v>
      </c>
      <c r="V19" s="325">
        <f>E19*0.048387096</f>
        <v>0</v>
      </c>
      <c r="W19" s="325">
        <f t="shared" si="3"/>
        <v>0</v>
      </c>
      <c r="X19" s="325">
        <f t="shared" si="34"/>
        <v>0</v>
      </c>
      <c r="Y19" s="277">
        <f>G19*(0.294444444444444*0.9)</f>
        <v>66.249999999999901</v>
      </c>
      <c r="Z19" s="277">
        <f>G19*0.05</f>
        <v>12.5</v>
      </c>
      <c r="AA19" s="514">
        <f t="shared" si="19"/>
        <v>500.5</v>
      </c>
      <c r="AB19" s="514">
        <f t="shared" si="20"/>
        <v>100.50000000000001</v>
      </c>
      <c r="AC19" s="514">
        <f t="shared" si="21"/>
        <v>0</v>
      </c>
      <c r="AD19" s="514">
        <f t="shared" si="22"/>
        <v>0</v>
      </c>
      <c r="AE19" s="514">
        <f t="shared" si="4"/>
        <v>171.25000000000011</v>
      </c>
      <c r="AF19" s="43">
        <f t="shared" si="29"/>
        <v>772.25000000000011</v>
      </c>
      <c r="AG19" s="170">
        <f t="shared" si="5"/>
        <v>225.24999999999989</v>
      </c>
      <c r="AH19" s="278">
        <f t="shared" si="30"/>
        <v>52.5</v>
      </c>
      <c r="AI19" s="325">
        <v>0</v>
      </c>
      <c r="AJ19" s="328">
        <v>0</v>
      </c>
      <c r="AK19" s="334">
        <f t="shared" si="7"/>
        <v>96.531250000000014</v>
      </c>
      <c r="AL19" s="278">
        <f t="shared" si="23"/>
        <v>1050</v>
      </c>
      <c r="AM19" s="260">
        <f t="shared" si="24"/>
        <v>18.000000000000004</v>
      </c>
      <c r="AN19" s="260">
        <f t="shared" si="25"/>
        <v>27.999999999999993</v>
      </c>
      <c r="AO19" s="260">
        <f t="shared" si="26"/>
        <v>0.26499999999999962</v>
      </c>
      <c r="AQ19" s="335">
        <f t="shared" si="8"/>
        <v>0.77</v>
      </c>
      <c r="AR19" s="335">
        <f t="shared" si="9"/>
        <v>0.67</v>
      </c>
      <c r="AS19" s="335" t="e">
        <f t="shared" si="10"/>
        <v>#DIV/0!</v>
      </c>
      <c r="AT19" s="335" t="e">
        <f t="shared" si="11"/>
        <v>#DIV/0!</v>
      </c>
      <c r="AU19" s="324">
        <f t="shared" si="12"/>
        <v>800</v>
      </c>
    </row>
    <row r="20" spans="1:47" s="336" customFormat="1" ht="17.25" customHeight="1" x14ac:dyDescent="0.25">
      <c r="B20" s="327">
        <v>17</v>
      </c>
      <c r="C20" s="1">
        <v>650</v>
      </c>
      <c r="D20" s="1">
        <v>0</v>
      </c>
      <c r="E20" s="1">
        <v>0</v>
      </c>
      <c r="F20" s="1">
        <v>0</v>
      </c>
      <c r="G20" s="1">
        <v>0</v>
      </c>
      <c r="H20" s="1">
        <v>11.41</v>
      </c>
      <c r="I20" s="1">
        <v>0</v>
      </c>
      <c r="J20" s="1">
        <v>0</v>
      </c>
      <c r="K20" s="1">
        <v>0</v>
      </c>
      <c r="L20" s="1">
        <v>0</v>
      </c>
      <c r="M20" s="337">
        <f t="shared" si="27"/>
        <v>56.96757230499562</v>
      </c>
      <c r="N20" s="337" t="e">
        <f t="shared" si="28"/>
        <v>#DIV/0!</v>
      </c>
      <c r="O20" s="277" t="e">
        <f t="shared" si="15"/>
        <v>#DIV/0!</v>
      </c>
      <c r="P20" s="337" t="e">
        <f t="shared" si="16"/>
        <v>#DIV/0!</v>
      </c>
      <c r="Q20" s="337">
        <f>C20*(0.2*0.9)</f>
        <v>117.00000000000001</v>
      </c>
      <c r="R20" s="337">
        <f>C20*0.05</f>
        <v>32.5</v>
      </c>
      <c r="S20" s="337">
        <f>D20*(0.288888888888888*0.9)</f>
        <v>0</v>
      </c>
      <c r="T20" s="337">
        <f>D20*0.055</f>
        <v>0</v>
      </c>
      <c r="U20" s="337">
        <f>E20*(0.277777777777777*0.9)</f>
        <v>0</v>
      </c>
      <c r="V20" s="337">
        <f>E20*0.05</f>
        <v>0</v>
      </c>
      <c r="W20" s="337">
        <f t="shared" si="3"/>
        <v>0</v>
      </c>
      <c r="X20" s="337">
        <f t="shared" si="34"/>
        <v>0</v>
      </c>
      <c r="Y20" s="277">
        <f t="shared" si="17"/>
        <v>0</v>
      </c>
      <c r="Z20" s="277">
        <f t="shared" si="18"/>
        <v>0</v>
      </c>
      <c r="AA20" s="514">
        <f t="shared" si="19"/>
        <v>500.5</v>
      </c>
      <c r="AB20" s="514">
        <f t="shared" si="20"/>
        <v>0</v>
      </c>
      <c r="AC20" s="514">
        <f t="shared" si="21"/>
        <v>0</v>
      </c>
      <c r="AD20" s="514">
        <f t="shared" si="22"/>
        <v>0</v>
      </c>
      <c r="AE20" s="514">
        <f t="shared" si="4"/>
        <v>0</v>
      </c>
      <c r="AF20" s="43">
        <f t="shared" si="29"/>
        <v>500.5</v>
      </c>
      <c r="AG20" s="170">
        <f t="shared" si="5"/>
        <v>117.00000000000001</v>
      </c>
      <c r="AH20" s="278">
        <f t="shared" si="30"/>
        <v>32.5</v>
      </c>
      <c r="AI20" s="337">
        <v>0</v>
      </c>
      <c r="AJ20" s="339">
        <v>0</v>
      </c>
      <c r="AK20" s="340">
        <f t="shared" si="7"/>
        <v>77</v>
      </c>
      <c r="AL20" s="278">
        <f t="shared" si="23"/>
        <v>650</v>
      </c>
      <c r="AM20" s="260">
        <f t="shared" si="24"/>
        <v>18.000000000000004</v>
      </c>
      <c r="AN20" s="260" t="e">
        <f t="shared" si="25"/>
        <v>#DIV/0!</v>
      </c>
      <c r="AO20" s="260" t="e">
        <f t="shared" si="26"/>
        <v>#DIV/0!</v>
      </c>
      <c r="AP20" s="336" t="e">
        <f>(#REF!/C20)*100</f>
        <v>#REF!</v>
      </c>
      <c r="AQ20" s="341">
        <f t="shared" si="8"/>
        <v>0.77</v>
      </c>
      <c r="AR20" s="341" t="e">
        <f t="shared" si="9"/>
        <v>#DIV/0!</v>
      </c>
      <c r="AS20" s="335" t="e">
        <f t="shared" si="10"/>
        <v>#DIV/0!</v>
      </c>
      <c r="AT20" s="335" t="e">
        <f t="shared" si="11"/>
        <v>#DIV/0!</v>
      </c>
      <c r="AU20" s="324">
        <f t="shared" si="12"/>
        <v>650</v>
      </c>
    </row>
    <row r="21" spans="1:47" s="342" customFormat="1" x14ac:dyDescent="0.25">
      <c r="B21" s="327">
        <v>18</v>
      </c>
      <c r="C21" s="1">
        <v>0</v>
      </c>
      <c r="D21" s="1">
        <v>0</v>
      </c>
      <c r="E21" s="1">
        <v>0</v>
      </c>
      <c r="F21" s="1">
        <v>0</v>
      </c>
      <c r="G21" s="1">
        <v>275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  <c r="M21" s="343" t="e">
        <f t="shared" si="27"/>
        <v>#DIV/0!</v>
      </c>
      <c r="N21" s="343" t="e">
        <f>D21/I21</f>
        <v>#DIV/0!</v>
      </c>
      <c r="O21" s="277">
        <f t="shared" si="15"/>
        <v>55</v>
      </c>
      <c r="P21" s="343" t="e">
        <f t="shared" si="16"/>
        <v>#DIV/0!</v>
      </c>
      <c r="Q21" s="343">
        <f>C21*(0.20561167233*0.9)</f>
        <v>0</v>
      </c>
      <c r="R21" s="343">
        <f>C21*0.05</f>
        <v>0</v>
      </c>
      <c r="S21" s="343">
        <f>D21*(0.290404040404*0.9)</f>
        <v>0</v>
      </c>
      <c r="T21" s="343">
        <f>D21*0.05</f>
        <v>0</v>
      </c>
      <c r="U21" s="343">
        <f>E21*(0.263157895*0.9)</f>
        <v>0</v>
      </c>
      <c r="V21" s="343">
        <f>E21*0.052631579</f>
        <v>0</v>
      </c>
      <c r="W21" s="343"/>
      <c r="X21" s="343">
        <f t="shared" si="34"/>
        <v>0</v>
      </c>
      <c r="Y21" s="277">
        <f>G21*(0.311111111*0.9)</f>
        <v>76.999999972500007</v>
      </c>
      <c r="Z21" s="277">
        <f>G21*0.05</f>
        <v>13.75</v>
      </c>
      <c r="AA21" s="514">
        <f t="shared" si="19"/>
        <v>0</v>
      </c>
      <c r="AB21" s="514">
        <f t="shared" si="20"/>
        <v>0</v>
      </c>
      <c r="AC21" s="514">
        <f t="shared" si="21"/>
        <v>0</v>
      </c>
      <c r="AD21" s="514">
        <f t="shared" si="22"/>
        <v>0</v>
      </c>
      <c r="AE21" s="514">
        <f t="shared" si="4"/>
        <v>184.25000002749999</v>
      </c>
      <c r="AF21" s="44">
        <f t="shared" si="29"/>
        <v>184.25000002749999</v>
      </c>
      <c r="AG21" s="170">
        <f t="shared" si="5"/>
        <v>76.999999972500007</v>
      </c>
      <c r="AH21" s="278">
        <f t="shared" si="30"/>
        <v>13.75</v>
      </c>
      <c r="AI21" s="343">
        <v>0</v>
      </c>
      <c r="AJ21" s="344">
        <v>0</v>
      </c>
      <c r="AK21" s="345" t="e">
        <f t="shared" si="7"/>
        <v>#DIV/0!</v>
      </c>
      <c r="AL21" s="278">
        <f t="shared" si="23"/>
        <v>275</v>
      </c>
      <c r="AM21" s="260" t="e">
        <f t="shared" si="24"/>
        <v>#DIV/0!</v>
      </c>
      <c r="AN21" s="260" t="e">
        <f t="shared" si="25"/>
        <v>#DIV/0!</v>
      </c>
      <c r="AO21" s="260">
        <f t="shared" si="26"/>
        <v>0.27999999990000002</v>
      </c>
      <c r="AQ21" s="341" t="e">
        <f t="shared" si="8"/>
        <v>#DIV/0!</v>
      </c>
      <c r="AR21" s="341" t="e">
        <f t="shared" si="9"/>
        <v>#DIV/0!</v>
      </c>
      <c r="AS21" s="335" t="e">
        <f t="shared" si="10"/>
        <v>#DIV/0!</v>
      </c>
      <c r="AT21" s="346" t="e">
        <f t="shared" si="11"/>
        <v>#DIV/0!</v>
      </c>
      <c r="AU21" s="324">
        <f t="shared" si="12"/>
        <v>0</v>
      </c>
    </row>
    <row r="22" spans="1:47" s="342" customFormat="1" x14ac:dyDescent="0.25">
      <c r="B22" s="327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343" t="e">
        <f t="shared" si="27"/>
        <v>#DIV/0!</v>
      </c>
      <c r="N22" s="343" t="e">
        <f t="shared" si="28"/>
        <v>#DIV/0!</v>
      </c>
      <c r="O22" s="277" t="e">
        <f t="shared" si="15"/>
        <v>#DIV/0!</v>
      </c>
      <c r="P22" s="343" t="e">
        <f t="shared" si="16"/>
        <v>#DIV/0!</v>
      </c>
      <c r="Q22" s="343">
        <f>C22*(0.194444444444444*0.9)</f>
        <v>0</v>
      </c>
      <c r="R22" s="343">
        <f>C22*0.05</f>
        <v>0</v>
      </c>
      <c r="S22" s="343">
        <f>D22*(0.277777777777778*0.9)</f>
        <v>0</v>
      </c>
      <c r="T22" s="343">
        <f>D22*0.05</f>
        <v>0</v>
      </c>
      <c r="U22" s="343">
        <f>E22*(0.282766666666*0.9)</f>
        <v>0</v>
      </c>
      <c r="V22" s="343">
        <f>E22*0.04968</f>
        <v>0</v>
      </c>
      <c r="W22" s="343">
        <f t="shared" ref="W22:W34" si="35">F22*(0*0.9)</f>
        <v>0</v>
      </c>
      <c r="X22" s="343">
        <f t="shared" si="34"/>
        <v>0</v>
      </c>
      <c r="Y22" s="277">
        <f t="shared" si="17"/>
        <v>0</v>
      </c>
      <c r="Z22" s="277">
        <f t="shared" si="18"/>
        <v>0</v>
      </c>
      <c r="AA22" s="514">
        <f t="shared" si="19"/>
        <v>0</v>
      </c>
      <c r="AB22" s="514">
        <f t="shared" si="20"/>
        <v>0</v>
      </c>
      <c r="AC22" s="514">
        <f t="shared" si="21"/>
        <v>0</v>
      </c>
      <c r="AD22" s="514">
        <f t="shared" si="22"/>
        <v>0</v>
      </c>
      <c r="AE22" s="514">
        <f t="shared" si="4"/>
        <v>0</v>
      </c>
      <c r="AF22" s="43">
        <f t="shared" si="29"/>
        <v>0</v>
      </c>
      <c r="AG22" s="170">
        <f t="shared" si="5"/>
        <v>0</v>
      </c>
      <c r="AH22" s="278">
        <f t="shared" si="30"/>
        <v>0</v>
      </c>
      <c r="AI22" s="343">
        <v>0</v>
      </c>
      <c r="AJ22" s="344">
        <v>0</v>
      </c>
      <c r="AK22" s="345" t="e">
        <f t="shared" si="7"/>
        <v>#DIV/0!</v>
      </c>
      <c r="AL22" s="278">
        <f t="shared" si="23"/>
        <v>0</v>
      </c>
      <c r="AM22" s="260" t="e">
        <f t="shared" si="24"/>
        <v>#DIV/0!</v>
      </c>
      <c r="AN22" s="260" t="e">
        <f t="shared" si="25"/>
        <v>#DIV/0!</v>
      </c>
      <c r="AO22" s="260" t="e">
        <f t="shared" si="26"/>
        <v>#DIV/0!</v>
      </c>
      <c r="AQ22" s="341" t="e">
        <f t="shared" si="8"/>
        <v>#DIV/0!</v>
      </c>
      <c r="AR22" s="341" t="e">
        <f t="shared" si="9"/>
        <v>#DIV/0!</v>
      </c>
      <c r="AS22" s="335" t="e">
        <f t="shared" si="10"/>
        <v>#DIV/0!</v>
      </c>
      <c r="AT22" s="346" t="e">
        <f t="shared" si="11"/>
        <v>#DIV/0!</v>
      </c>
      <c r="AU22" s="324">
        <f t="shared" si="12"/>
        <v>0</v>
      </c>
    </row>
    <row r="23" spans="1:47" s="324" customFormat="1" x14ac:dyDescent="0.25">
      <c r="B23" s="327">
        <v>20</v>
      </c>
      <c r="C23" s="1">
        <v>0</v>
      </c>
      <c r="D23" s="1">
        <v>0</v>
      </c>
      <c r="E23" s="1">
        <v>0</v>
      </c>
      <c r="F23" s="1">
        <v>0</v>
      </c>
      <c r="G23" s="1">
        <v>298</v>
      </c>
      <c r="H23" s="1">
        <v>0</v>
      </c>
      <c r="I23" s="1">
        <v>0</v>
      </c>
      <c r="J23" s="1">
        <v>0</v>
      </c>
      <c r="K23" s="1">
        <v>0</v>
      </c>
      <c r="L23" s="1">
        <v>5.48</v>
      </c>
      <c r="M23" s="325" t="e">
        <f t="shared" si="27"/>
        <v>#DIV/0!</v>
      </c>
      <c r="N23" s="325" t="e">
        <f t="shared" si="28"/>
        <v>#DIV/0!</v>
      </c>
      <c r="O23" s="277">
        <f t="shared" si="15"/>
        <v>54.379562043795616</v>
      </c>
      <c r="P23" s="325" t="e">
        <f t="shared" si="16"/>
        <v>#DIV/0!</v>
      </c>
      <c r="Q23" s="325">
        <f>C23*(0.209075487*0.9)</f>
        <v>0</v>
      </c>
      <c r="R23" s="325">
        <f>C23*0.050095419</f>
        <v>0</v>
      </c>
      <c r="S23" s="325">
        <f>D23*(0.300453514*0.9)</f>
        <v>0</v>
      </c>
      <c r="T23" s="325">
        <f>D23*0.051020408</f>
        <v>0</v>
      </c>
      <c r="U23" s="325">
        <f>E23*(0.256790123*0.9)</f>
        <v>0</v>
      </c>
      <c r="V23" s="325">
        <f>E23*0.05</f>
        <v>0</v>
      </c>
      <c r="W23" s="325">
        <f t="shared" si="35"/>
        <v>0</v>
      </c>
      <c r="X23" s="325">
        <f>F23*0.054054054054</f>
        <v>0</v>
      </c>
      <c r="Y23" s="277">
        <f>G23*(0.3*0.9)</f>
        <v>80.460000000000008</v>
      </c>
      <c r="Z23" s="277">
        <f>G23*0.05</f>
        <v>14.9</v>
      </c>
      <c r="AA23" s="514">
        <f t="shared" si="19"/>
        <v>0</v>
      </c>
      <c r="AB23" s="514">
        <f t="shared" si="20"/>
        <v>0</v>
      </c>
      <c r="AC23" s="514">
        <f t="shared" si="21"/>
        <v>0</v>
      </c>
      <c r="AD23" s="514">
        <f t="shared" si="22"/>
        <v>0</v>
      </c>
      <c r="AE23" s="514">
        <f t="shared" si="4"/>
        <v>202.64</v>
      </c>
      <c r="AF23" s="43">
        <f t="shared" si="29"/>
        <v>202.64</v>
      </c>
      <c r="AG23" s="170">
        <f t="shared" si="5"/>
        <v>80.460000000000008</v>
      </c>
      <c r="AH23" s="278">
        <f t="shared" si="30"/>
        <v>14.9</v>
      </c>
      <c r="AI23" s="325">
        <v>0</v>
      </c>
      <c r="AJ23" s="328">
        <v>0</v>
      </c>
      <c r="AK23" s="334" t="e">
        <f t="shared" si="7"/>
        <v>#DIV/0!</v>
      </c>
      <c r="AL23" s="278">
        <f t="shared" si="23"/>
        <v>298</v>
      </c>
      <c r="AM23" s="260" t="e">
        <f t="shared" si="24"/>
        <v>#DIV/0!</v>
      </c>
      <c r="AN23" s="260" t="e">
        <f t="shared" si="25"/>
        <v>#DIV/0!</v>
      </c>
      <c r="AO23" s="260">
        <f t="shared" si="26"/>
        <v>0.27</v>
      </c>
      <c r="AQ23" s="341" t="e">
        <f t="shared" si="8"/>
        <v>#DIV/0!</v>
      </c>
      <c r="AR23" s="341" t="e">
        <f t="shared" si="9"/>
        <v>#DIV/0!</v>
      </c>
      <c r="AS23" s="335" t="e">
        <f t="shared" si="10"/>
        <v>#DIV/0!</v>
      </c>
      <c r="AT23" s="335" t="e">
        <f t="shared" si="11"/>
        <v>#DIV/0!</v>
      </c>
      <c r="AU23" s="324">
        <f t="shared" si="12"/>
        <v>0</v>
      </c>
    </row>
    <row r="24" spans="1:47" s="324" customFormat="1" x14ac:dyDescent="0.25">
      <c r="A24" s="411"/>
      <c r="B24" s="325">
        <v>21</v>
      </c>
      <c r="C24" s="1">
        <v>495</v>
      </c>
      <c r="D24" s="1">
        <v>250</v>
      </c>
      <c r="E24" s="1">
        <v>0</v>
      </c>
      <c r="F24" s="1">
        <v>0</v>
      </c>
      <c r="G24" s="1">
        <v>250</v>
      </c>
      <c r="H24" s="1">
        <v>10.1</v>
      </c>
      <c r="I24" s="1">
        <v>4.5</v>
      </c>
      <c r="J24" s="1">
        <v>0</v>
      </c>
      <c r="K24" s="1">
        <v>0</v>
      </c>
      <c r="L24" s="1">
        <v>4.5</v>
      </c>
      <c r="M24" s="325">
        <f t="shared" si="27"/>
        <v>49.009900990099013</v>
      </c>
      <c r="N24" s="325">
        <f t="shared" si="28"/>
        <v>55.555555555555557</v>
      </c>
      <c r="O24" s="277">
        <f t="shared" si="15"/>
        <v>55.555555555555557</v>
      </c>
      <c r="P24" s="325" t="e">
        <f t="shared" si="16"/>
        <v>#DIV/0!</v>
      </c>
      <c r="Q24" s="367">
        <f>C24*(0.188888888888888*0.9)</f>
        <v>84.149999999999608</v>
      </c>
      <c r="R24" s="325">
        <f t="shared" ref="R24:R29" si="36">C24*0.05</f>
        <v>24.75</v>
      </c>
      <c r="S24" s="325">
        <f>D24*(0.3*0.9)</f>
        <v>67.5</v>
      </c>
      <c r="T24" s="325">
        <f>D24*0.05</f>
        <v>12.5</v>
      </c>
      <c r="U24" s="325">
        <f>E24*(0.254629629*0.9)</f>
        <v>0</v>
      </c>
      <c r="V24" s="325">
        <f>E24*0.05</f>
        <v>0</v>
      </c>
      <c r="W24" s="325">
        <f t="shared" si="35"/>
        <v>0</v>
      </c>
      <c r="X24" s="325">
        <f>F24*0.05</f>
        <v>0</v>
      </c>
      <c r="Y24" s="277">
        <f>G24*(0.288888888888888*0.9)</f>
        <v>64.999999999999801</v>
      </c>
      <c r="Z24" s="277">
        <f>G24*0.05</f>
        <v>12.5</v>
      </c>
      <c r="AA24" s="514">
        <f t="shared" si="19"/>
        <v>386.10000000000036</v>
      </c>
      <c r="AB24" s="514">
        <f t="shared" si="20"/>
        <v>170</v>
      </c>
      <c r="AC24" s="514">
        <f t="shared" si="21"/>
        <v>0</v>
      </c>
      <c r="AD24" s="514">
        <f t="shared" si="22"/>
        <v>0</v>
      </c>
      <c r="AE24" s="514">
        <f t="shared" si="4"/>
        <v>172.5000000000002</v>
      </c>
      <c r="AF24" s="43">
        <f t="shared" si="29"/>
        <v>728.60000000000059</v>
      </c>
      <c r="AG24" s="170">
        <f t="shared" si="5"/>
        <v>216.64999999999941</v>
      </c>
      <c r="AH24" s="278">
        <f t="shared" si="30"/>
        <v>49.75</v>
      </c>
      <c r="AI24" s="325">
        <v>0</v>
      </c>
      <c r="AJ24" s="328">
        <v>0</v>
      </c>
      <c r="AK24" s="334">
        <f t="shared" si="7"/>
        <v>97.798657718120879</v>
      </c>
      <c r="AL24" s="278">
        <f t="shared" si="23"/>
        <v>995</v>
      </c>
      <c r="AM24" s="260">
        <f t="shared" si="24"/>
        <v>16.999999999999922</v>
      </c>
      <c r="AN24" s="260">
        <f t="shared" si="25"/>
        <v>27</v>
      </c>
      <c r="AO24" s="260">
        <f t="shared" si="26"/>
        <v>0.25999999999999923</v>
      </c>
      <c r="AQ24" s="341">
        <f t="shared" si="8"/>
        <v>0.78000000000000069</v>
      </c>
      <c r="AR24" s="335">
        <f t="shared" si="9"/>
        <v>0.68</v>
      </c>
      <c r="AS24" s="335" t="e">
        <f t="shared" si="10"/>
        <v>#DIV/0!</v>
      </c>
      <c r="AT24" s="335" t="e">
        <f t="shared" si="11"/>
        <v>#DIV/0!</v>
      </c>
      <c r="AU24" s="324">
        <f t="shared" si="12"/>
        <v>745</v>
      </c>
    </row>
    <row r="25" spans="1:47" s="412" customFormat="1" x14ac:dyDescent="0.25">
      <c r="B25" s="413">
        <v>22</v>
      </c>
      <c r="C25" s="1">
        <v>210</v>
      </c>
      <c r="D25" s="1">
        <v>0</v>
      </c>
      <c r="E25" s="1">
        <v>0</v>
      </c>
      <c r="F25" s="1">
        <v>0</v>
      </c>
      <c r="G25" s="1">
        <v>0</v>
      </c>
      <c r="H25" s="1">
        <v>4.0999999999999996</v>
      </c>
      <c r="I25" s="1">
        <v>0</v>
      </c>
      <c r="J25" s="1">
        <v>0</v>
      </c>
      <c r="K25" s="1">
        <v>0</v>
      </c>
      <c r="L25" s="1">
        <v>0</v>
      </c>
      <c r="M25" s="413">
        <f t="shared" si="27"/>
        <v>51.219512195121958</v>
      </c>
      <c r="N25" s="413" t="e">
        <f t="shared" si="28"/>
        <v>#DIV/0!</v>
      </c>
      <c r="O25" s="277" t="e">
        <f t="shared" si="15"/>
        <v>#DIV/0!</v>
      </c>
      <c r="P25" s="413" t="e">
        <f t="shared" si="16"/>
        <v>#DIV/0!</v>
      </c>
      <c r="Q25" s="416">
        <f>C25*(0.2*0.9)</f>
        <v>37.800000000000004</v>
      </c>
      <c r="R25" s="423">
        <f t="shared" si="36"/>
        <v>10.5</v>
      </c>
      <c r="S25" s="413">
        <f>D25*(0.302222222*0.9)</f>
        <v>0</v>
      </c>
      <c r="T25" s="413">
        <f>D25*0.050666666</f>
        <v>0</v>
      </c>
      <c r="U25" s="413">
        <f>E25*(0.254629629*0.9)</f>
        <v>0</v>
      </c>
      <c r="V25" s="413">
        <f>E25*0.05</f>
        <v>0</v>
      </c>
      <c r="W25" s="413">
        <f t="shared" si="35"/>
        <v>0</v>
      </c>
      <c r="X25" s="413">
        <f>F25*0.0555555555555555</f>
        <v>0</v>
      </c>
      <c r="Y25" s="277">
        <f t="shared" si="17"/>
        <v>0</v>
      </c>
      <c r="Z25" s="277">
        <f t="shared" si="18"/>
        <v>0</v>
      </c>
      <c r="AA25" s="514">
        <f t="shared" si="19"/>
        <v>161.69999999999999</v>
      </c>
      <c r="AB25" s="514">
        <f t="shared" si="20"/>
        <v>0</v>
      </c>
      <c r="AC25" s="514">
        <f t="shared" si="21"/>
        <v>0</v>
      </c>
      <c r="AD25" s="514">
        <f t="shared" si="22"/>
        <v>0</v>
      </c>
      <c r="AE25" s="514">
        <f t="shared" si="4"/>
        <v>0</v>
      </c>
      <c r="AF25" s="43">
        <f t="shared" si="29"/>
        <v>161.69999999999999</v>
      </c>
      <c r="AG25" s="170">
        <f t="shared" si="5"/>
        <v>37.800000000000004</v>
      </c>
      <c r="AH25" s="278">
        <f t="shared" si="30"/>
        <v>10.5</v>
      </c>
      <c r="AI25" s="413">
        <v>0</v>
      </c>
      <c r="AJ25" s="414">
        <v>0</v>
      </c>
      <c r="AK25" s="415">
        <f>AF25/(C25+D25+E25)*100</f>
        <v>76.999999999999986</v>
      </c>
      <c r="AL25" s="278">
        <f t="shared" si="23"/>
        <v>210</v>
      </c>
      <c r="AM25" s="260">
        <f t="shared" si="24"/>
        <v>18.000000000000004</v>
      </c>
      <c r="AN25" s="260" t="e">
        <f t="shared" si="25"/>
        <v>#DIV/0!</v>
      </c>
      <c r="AO25" s="260" t="e">
        <f t="shared" si="26"/>
        <v>#DIV/0!</v>
      </c>
      <c r="AP25" s="412">
        <f>AA25/C25</f>
        <v>0.76999999999999991</v>
      </c>
      <c r="AQ25" s="417">
        <f t="shared" si="8"/>
        <v>0.76999999999999991</v>
      </c>
      <c r="AR25" s="417" t="e">
        <f t="shared" si="9"/>
        <v>#DIV/0!</v>
      </c>
      <c r="AS25" s="417" t="e">
        <f t="shared" si="10"/>
        <v>#DIV/0!</v>
      </c>
      <c r="AT25" s="335" t="e">
        <f t="shared" si="11"/>
        <v>#DIV/0!</v>
      </c>
      <c r="AU25" s="324">
        <f t="shared" si="12"/>
        <v>210</v>
      </c>
    </row>
    <row r="26" spans="1:47" s="324" customFormat="1" x14ac:dyDescent="0.25">
      <c r="A26" s="411"/>
      <c r="B26" s="325">
        <v>23</v>
      </c>
      <c r="C26" s="1">
        <v>212</v>
      </c>
      <c r="D26" s="1">
        <v>0</v>
      </c>
      <c r="E26" s="1">
        <v>0</v>
      </c>
      <c r="F26" s="1">
        <v>0</v>
      </c>
      <c r="G26" s="1">
        <v>0</v>
      </c>
      <c r="H26" s="1">
        <v>4.03</v>
      </c>
      <c r="I26" s="1">
        <v>0</v>
      </c>
      <c r="J26" s="1">
        <v>0</v>
      </c>
      <c r="K26" s="1">
        <v>0</v>
      </c>
      <c r="L26" s="1">
        <v>0</v>
      </c>
      <c r="M26" s="325">
        <f t="shared" ref="M26" si="37">C26/H26</f>
        <v>52.605459057071954</v>
      </c>
      <c r="N26" s="325" t="e">
        <f t="shared" ref="N26" si="38">D26/I26</f>
        <v>#DIV/0!</v>
      </c>
      <c r="O26" s="277" t="e">
        <f t="shared" si="15"/>
        <v>#DIV/0!</v>
      </c>
      <c r="P26" s="325" t="e">
        <f t="shared" ref="P26" si="39">F26/K26</f>
        <v>#DIV/0!</v>
      </c>
      <c r="Q26" s="325">
        <f>C26*(0.202201257777889*0.9)</f>
        <v>38.579999984021221</v>
      </c>
      <c r="R26" s="325">
        <f t="shared" si="36"/>
        <v>10.600000000000001</v>
      </c>
      <c r="S26" s="325">
        <f>D26*(0.288888888888888*0.9)</f>
        <v>0</v>
      </c>
      <c r="T26" s="325">
        <f>D26*0.05</f>
        <v>0</v>
      </c>
      <c r="U26" s="325">
        <f>E26*(0.277777777777777*0.9)</f>
        <v>0</v>
      </c>
      <c r="V26" s="325">
        <f>E26*0.05</f>
        <v>0</v>
      </c>
      <c r="W26" s="325">
        <f t="shared" si="35"/>
        <v>0</v>
      </c>
      <c r="X26" s="325">
        <f>F26*0.05</f>
        <v>0</v>
      </c>
      <c r="Y26" s="277">
        <f t="shared" si="17"/>
        <v>0</v>
      </c>
      <c r="Z26" s="277">
        <f t="shared" si="18"/>
        <v>0</v>
      </c>
      <c r="AA26" s="514">
        <f t="shared" si="19"/>
        <v>162.82000001597879</v>
      </c>
      <c r="AB26" s="514">
        <f t="shared" si="20"/>
        <v>0</v>
      </c>
      <c r="AC26" s="514">
        <f t="shared" si="21"/>
        <v>0</v>
      </c>
      <c r="AD26" s="514">
        <f t="shared" si="22"/>
        <v>0</v>
      </c>
      <c r="AE26" s="514">
        <f t="shared" si="4"/>
        <v>0</v>
      </c>
      <c r="AF26" s="43">
        <f t="shared" si="29"/>
        <v>162.82000001597879</v>
      </c>
      <c r="AG26" s="170">
        <f t="shared" si="5"/>
        <v>38.579999984021221</v>
      </c>
      <c r="AH26" s="278">
        <f t="shared" si="30"/>
        <v>10.600000000000001</v>
      </c>
      <c r="AI26" s="325">
        <v>0</v>
      </c>
      <c r="AJ26" s="328">
        <v>0</v>
      </c>
      <c r="AK26" s="334">
        <f>AF26/(C26+D26+E26)*100</f>
        <v>76.801886799989987</v>
      </c>
      <c r="AL26" s="278">
        <f t="shared" si="23"/>
        <v>212</v>
      </c>
      <c r="AM26" s="260">
        <f t="shared" si="24"/>
        <v>18.19811320001001</v>
      </c>
      <c r="AN26" s="260" t="e">
        <f t="shared" si="25"/>
        <v>#DIV/0!</v>
      </c>
      <c r="AO26" s="260" t="e">
        <f t="shared" si="26"/>
        <v>#DIV/0!</v>
      </c>
      <c r="AP26" s="324">
        <f>AA26/C26</f>
        <v>0.76801886799989993</v>
      </c>
      <c r="AQ26" s="335">
        <f t="shared" si="8"/>
        <v>0.76801886799989993</v>
      </c>
      <c r="AR26" s="335" t="e">
        <f t="shared" si="9"/>
        <v>#DIV/0!</v>
      </c>
      <c r="AS26" s="335" t="e">
        <f t="shared" si="10"/>
        <v>#DIV/0!</v>
      </c>
      <c r="AT26" s="335" t="e">
        <f t="shared" si="11"/>
        <v>#DIV/0!</v>
      </c>
      <c r="AU26" s="324">
        <f t="shared" si="12"/>
        <v>212</v>
      </c>
    </row>
    <row r="27" spans="1:47" s="324" customFormat="1" x14ac:dyDescent="0.25">
      <c r="B27" s="419">
        <v>24</v>
      </c>
      <c r="C27" s="1">
        <v>880</v>
      </c>
      <c r="D27" s="1">
        <v>0</v>
      </c>
      <c r="E27" s="1">
        <v>0</v>
      </c>
      <c r="F27" s="1">
        <v>0</v>
      </c>
      <c r="G27" s="1">
        <v>0</v>
      </c>
      <c r="H27" s="1">
        <v>15</v>
      </c>
      <c r="I27" s="1">
        <v>0</v>
      </c>
      <c r="J27" s="1">
        <v>0</v>
      </c>
      <c r="K27" s="1">
        <v>0</v>
      </c>
      <c r="L27" s="1">
        <v>0</v>
      </c>
      <c r="M27" s="419">
        <f t="shared" si="27"/>
        <v>58.666666666666664</v>
      </c>
      <c r="N27" s="419" t="e">
        <f t="shared" si="28"/>
        <v>#DIV/0!</v>
      </c>
      <c r="O27" s="277" t="e">
        <f t="shared" si="15"/>
        <v>#DIV/0!</v>
      </c>
      <c r="P27" s="419" t="e">
        <f>F27/K27</f>
        <v>#DIV/0!</v>
      </c>
      <c r="Q27" s="419">
        <f>C27*(0.2*0.9)</f>
        <v>158.4</v>
      </c>
      <c r="R27" s="419">
        <f t="shared" si="36"/>
        <v>44</v>
      </c>
      <c r="S27" s="419">
        <f>D27*(0.324786324*0.9)</f>
        <v>0</v>
      </c>
      <c r="T27" s="419">
        <f>D27*0.053846153</f>
        <v>0</v>
      </c>
      <c r="U27" s="419">
        <f>E27*(0.264550266*0.9)</f>
        <v>0</v>
      </c>
      <c r="V27" s="419">
        <f>E27*0.05</f>
        <v>0</v>
      </c>
      <c r="W27" s="419">
        <f t="shared" si="35"/>
        <v>0</v>
      </c>
      <c r="X27" s="419">
        <f>F27*0.05</f>
        <v>0</v>
      </c>
      <c r="Y27" s="277">
        <f t="shared" si="17"/>
        <v>0</v>
      </c>
      <c r="Z27" s="277">
        <f t="shared" si="18"/>
        <v>0</v>
      </c>
      <c r="AA27" s="514">
        <f t="shared" si="19"/>
        <v>677.6</v>
      </c>
      <c r="AB27" s="514">
        <f t="shared" si="20"/>
        <v>0</v>
      </c>
      <c r="AC27" s="514">
        <f t="shared" si="21"/>
        <v>0</v>
      </c>
      <c r="AD27" s="514">
        <f t="shared" si="22"/>
        <v>0</v>
      </c>
      <c r="AE27" s="514">
        <f t="shared" si="4"/>
        <v>0</v>
      </c>
      <c r="AF27" s="43">
        <f t="shared" si="29"/>
        <v>677.6</v>
      </c>
      <c r="AG27" s="170">
        <f t="shared" si="5"/>
        <v>158.4</v>
      </c>
      <c r="AH27" s="278">
        <f t="shared" si="30"/>
        <v>44</v>
      </c>
      <c r="AI27" s="325">
        <v>0</v>
      </c>
      <c r="AJ27" s="328">
        <v>0</v>
      </c>
      <c r="AK27" s="334">
        <f>AF27/(C27+D27+E27)*100</f>
        <v>77</v>
      </c>
      <c r="AL27" s="278">
        <f t="shared" si="23"/>
        <v>880</v>
      </c>
      <c r="AM27" s="260">
        <f t="shared" si="24"/>
        <v>18</v>
      </c>
      <c r="AN27" s="260" t="e">
        <f t="shared" si="25"/>
        <v>#DIV/0!</v>
      </c>
      <c r="AO27" s="260" t="e">
        <f t="shared" si="26"/>
        <v>#DIV/0!</v>
      </c>
      <c r="AQ27" s="335">
        <f t="shared" si="8"/>
        <v>0.77</v>
      </c>
      <c r="AR27" s="335" t="e">
        <f t="shared" si="9"/>
        <v>#DIV/0!</v>
      </c>
      <c r="AS27" s="335" t="e">
        <f t="shared" si="10"/>
        <v>#DIV/0!</v>
      </c>
      <c r="AT27" s="335" t="e">
        <f t="shared" si="11"/>
        <v>#DIV/0!</v>
      </c>
      <c r="AU27" s="324">
        <f t="shared" si="12"/>
        <v>880</v>
      </c>
    </row>
    <row r="28" spans="1:47" s="324" customFormat="1" ht="16.5" customHeight="1" x14ac:dyDescent="0.25">
      <c r="B28" s="325">
        <v>25</v>
      </c>
      <c r="C28" s="1">
        <v>1293</v>
      </c>
      <c r="D28" s="1">
        <v>0</v>
      </c>
      <c r="E28" s="1">
        <v>0</v>
      </c>
      <c r="F28" s="1">
        <v>0</v>
      </c>
      <c r="G28" s="1">
        <v>0</v>
      </c>
      <c r="H28" s="1">
        <v>23.25</v>
      </c>
      <c r="I28" s="1">
        <v>0</v>
      </c>
      <c r="J28" s="1">
        <v>0</v>
      </c>
      <c r="K28" s="1">
        <v>0</v>
      </c>
      <c r="L28" s="1">
        <v>0</v>
      </c>
      <c r="M28" s="325">
        <f t="shared" ref="M28" si="40">C28/H28</f>
        <v>55.612903225806448</v>
      </c>
      <c r="N28" s="325" t="e">
        <f t="shared" ref="N28" si="41">D28/I28</f>
        <v>#DIV/0!</v>
      </c>
      <c r="O28" s="277" t="e">
        <f t="shared" si="15"/>
        <v>#DIV/0!</v>
      </c>
      <c r="P28" s="325" t="e">
        <f t="shared" ref="P28" si="42">F28/K28</f>
        <v>#DIV/0!</v>
      </c>
      <c r="Q28" s="325">
        <f>C28*(0.200223425*0.9)</f>
        <v>232.99999967250002</v>
      </c>
      <c r="R28" s="325">
        <f t="shared" si="36"/>
        <v>64.650000000000006</v>
      </c>
      <c r="S28" s="325">
        <f>D28*(0.266666666666666*0.9)</f>
        <v>0</v>
      </c>
      <c r="T28" s="325">
        <f>D28*0.05</f>
        <v>0</v>
      </c>
      <c r="U28" s="325">
        <f>E28*(0.277777777777777*0.9)</f>
        <v>0</v>
      </c>
      <c r="V28" s="325">
        <f>E28*0.0518518518518</f>
        <v>0</v>
      </c>
      <c r="W28" s="325">
        <f t="shared" si="35"/>
        <v>0</v>
      </c>
      <c r="X28" s="325">
        <f>F28*0.0533333333333333</f>
        <v>0</v>
      </c>
      <c r="Y28" s="277">
        <f t="shared" si="17"/>
        <v>0</v>
      </c>
      <c r="Z28" s="277">
        <f t="shared" si="18"/>
        <v>0</v>
      </c>
      <c r="AA28" s="514">
        <f t="shared" si="19"/>
        <v>995.35000032749997</v>
      </c>
      <c r="AB28" s="514">
        <f t="shared" si="20"/>
        <v>0</v>
      </c>
      <c r="AC28" s="514">
        <f t="shared" si="21"/>
        <v>0</v>
      </c>
      <c r="AD28" s="514">
        <f t="shared" si="22"/>
        <v>0</v>
      </c>
      <c r="AE28" s="514">
        <f t="shared" si="4"/>
        <v>0</v>
      </c>
      <c r="AF28" s="44">
        <f t="shared" si="29"/>
        <v>995.35000032749997</v>
      </c>
      <c r="AG28" s="170">
        <f t="shared" si="5"/>
        <v>232.99999967250002</v>
      </c>
      <c r="AH28" s="278">
        <f t="shared" si="30"/>
        <v>64.650000000000006</v>
      </c>
      <c r="AI28" s="325">
        <v>0</v>
      </c>
      <c r="AJ28" s="328">
        <v>0</v>
      </c>
      <c r="AK28" s="334">
        <f t="shared" ref="AK28:AK40" si="43">AF28/(C28+D28)*100</f>
        <v>76.979891749999993</v>
      </c>
      <c r="AL28" s="278">
        <f t="shared" si="23"/>
        <v>1293</v>
      </c>
      <c r="AM28" s="260">
        <f t="shared" si="24"/>
        <v>18.020108250000003</v>
      </c>
      <c r="AN28" s="260" t="e">
        <f t="shared" si="25"/>
        <v>#DIV/0!</v>
      </c>
      <c r="AO28" s="260" t="e">
        <f t="shared" si="26"/>
        <v>#DIV/0!</v>
      </c>
      <c r="AQ28" s="335">
        <f t="shared" si="8"/>
        <v>0.76979891749999996</v>
      </c>
      <c r="AR28" s="335" t="e">
        <f t="shared" si="9"/>
        <v>#DIV/0!</v>
      </c>
      <c r="AS28" s="335" t="e">
        <f t="shared" si="10"/>
        <v>#DIV/0!</v>
      </c>
      <c r="AT28" s="335" t="e">
        <f t="shared" si="11"/>
        <v>#DIV/0!</v>
      </c>
      <c r="AU28" s="324">
        <f t="shared" si="12"/>
        <v>1293</v>
      </c>
    </row>
    <row r="29" spans="1:47" s="324" customFormat="1" ht="16.5" customHeight="1" x14ac:dyDescent="0.25">
      <c r="B29" s="325">
        <v>26</v>
      </c>
      <c r="C29" s="1">
        <v>890</v>
      </c>
      <c r="D29" s="1">
        <v>300</v>
      </c>
      <c r="E29" s="1">
        <v>0</v>
      </c>
      <c r="F29" s="1">
        <v>220</v>
      </c>
      <c r="G29" s="1">
        <v>0</v>
      </c>
      <c r="H29" s="1">
        <v>15</v>
      </c>
      <c r="I29" s="1">
        <v>5</v>
      </c>
      <c r="J29" s="1">
        <v>0</v>
      </c>
      <c r="K29" s="1">
        <v>4</v>
      </c>
      <c r="L29" s="1">
        <v>0</v>
      </c>
      <c r="M29" s="325">
        <f t="shared" si="27"/>
        <v>59.333333333333336</v>
      </c>
      <c r="N29" s="325">
        <f t="shared" si="28"/>
        <v>60</v>
      </c>
      <c r="O29" s="277" t="e">
        <f t="shared" si="15"/>
        <v>#DIV/0!</v>
      </c>
      <c r="P29" s="325">
        <f t="shared" ref="P29:P35" si="44">F29/K29</f>
        <v>55</v>
      </c>
      <c r="Q29" s="325">
        <f>C29*(0.177777777777777*0.9)</f>
        <v>142.39999999999938</v>
      </c>
      <c r="R29" s="325">
        <f t="shared" si="36"/>
        <v>44.5</v>
      </c>
      <c r="S29" s="367">
        <f>D29*(0.296111111111111*0.9)</f>
        <v>79.949999999999974</v>
      </c>
      <c r="T29" s="325">
        <f>D29*0.05</f>
        <v>15</v>
      </c>
      <c r="U29" s="325">
        <f>E29*(0.277777777777777*0.9)</f>
        <v>0</v>
      </c>
      <c r="V29" s="325">
        <f>E29*0.05</f>
        <v>0</v>
      </c>
      <c r="W29" s="325">
        <f t="shared" si="35"/>
        <v>0</v>
      </c>
      <c r="X29" s="325">
        <f>F29*0.05</f>
        <v>11</v>
      </c>
      <c r="Y29" s="277">
        <f t="shared" si="17"/>
        <v>0</v>
      </c>
      <c r="Z29" s="277">
        <f t="shared" si="18"/>
        <v>0</v>
      </c>
      <c r="AA29" s="514">
        <f t="shared" si="19"/>
        <v>703.10000000000059</v>
      </c>
      <c r="AB29" s="514">
        <f t="shared" si="20"/>
        <v>205.05</v>
      </c>
      <c r="AC29" s="514">
        <f t="shared" si="21"/>
        <v>0</v>
      </c>
      <c r="AD29" s="514">
        <f t="shared" si="22"/>
        <v>209</v>
      </c>
      <c r="AE29" s="514">
        <f t="shared" si="4"/>
        <v>0</v>
      </c>
      <c r="AF29" s="43">
        <f t="shared" si="29"/>
        <v>1117.1500000000005</v>
      </c>
      <c r="AG29" s="170">
        <f t="shared" si="5"/>
        <v>222.34999999999934</v>
      </c>
      <c r="AH29" s="278">
        <f t="shared" si="30"/>
        <v>70.5</v>
      </c>
      <c r="AI29" s="325">
        <v>0</v>
      </c>
      <c r="AJ29" s="328">
        <v>0</v>
      </c>
      <c r="AK29" s="334">
        <f t="shared" si="43"/>
        <v>93.878151260504254</v>
      </c>
      <c r="AL29" s="278">
        <f t="shared" si="23"/>
        <v>1410</v>
      </c>
      <c r="AM29" s="260">
        <f t="shared" si="24"/>
        <v>15.999999999999931</v>
      </c>
      <c r="AN29" s="260">
        <f t="shared" si="25"/>
        <v>26.649999999999991</v>
      </c>
      <c r="AO29" s="260" t="e">
        <f t="shared" si="26"/>
        <v>#DIV/0!</v>
      </c>
      <c r="AQ29" s="335">
        <f t="shared" si="8"/>
        <v>0.7900000000000007</v>
      </c>
      <c r="AR29" s="335">
        <f t="shared" si="9"/>
        <v>0.6835</v>
      </c>
      <c r="AS29" s="335" t="e">
        <f t="shared" si="10"/>
        <v>#DIV/0!</v>
      </c>
      <c r="AT29" s="335">
        <f t="shared" si="11"/>
        <v>0.95</v>
      </c>
      <c r="AU29" s="324">
        <f t="shared" si="12"/>
        <v>1410</v>
      </c>
    </row>
    <row r="30" spans="1:47" ht="16.5" customHeight="1" x14ac:dyDescent="0.25">
      <c r="B30" s="1">
        <v>27</v>
      </c>
      <c r="C30" s="1">
        <v>1060</v>
      </c>
      <c r="D30" s="1">
        <v>150</v>
      </c>
      <c r="E30" s="1">
        <v>0</v>
      </c>
      <c r="F30" s="1">
        <v>0</v>
      </c>
      <c r="G30" s="1">
        <v>200</v>
      </c>
      <c r="H30" s="1">
        <v>17.600000000000001</v>
      </c>
      <c r="I30" s="1">
        <v>2.4</v>
      </c>
      <c r="J30" s="1">
        <v>0</v>
      </c>
      <c r="K30" s="1">
        <v>0</v>
      </c>
      <c r="L30" s="1">
        <v>3.2</v>
      </c>
      <c r="M30" s="1">
        <f t="shared" si="27"/>
        <v>60.22727272727272</v>
      </c>
      <c r="N30" s="1">
        <f t="shared" si="28"/>
        <v>62.5</v>
      </c>
      <c r="O30" s="277">
        <f t="shared" si="15"/>
        <v>62.5</v>
      </c>
      <c r="P30" s="1" t="e">
        <f t="shared" si="44"/>
        <v>#DIV/0!</v>
      </c>
      <c r="Q30" s="1">
        <f>C30*(0.177777777777778*0.9)</f>
        <v>169.60000000000022</v>
      </c>
      <c r="R30" s="1">
        <f>C30*0.05</f>
        <v>53</v>
      </c>
      <c r="S30" s="1">
        <f>D30*(0.294444444444444*0.9)</f>
        <v>39.749999999999943</v>
      </c>
      <c r="T30" s="1">
        <f>D30*0.05</f>
        <v>7.5</v>
      </c>
      <c r="U30" s="1">
        <f>E30*(0.279279272727273*0.9)</f>
        <v>0</v>
      </c>
      <c r="V30" s="1">
        <f>E30*0.0513513513513513</f>
        <v>0</v>
      </c>
      <c r="W30" s="1">
        <f t="shared" si="35"/>
        <v>0</v>
      </c>
      <c r="X30" s="1">
        <f>F30*0.066666666</f>
        <v>0</v>
      </c>
      <c r="Y30" s="277">
        <f>G30*(0.277777777777777*0.9)</f>
        <v>49.999999999999858</v>
      </c>
      <c r="Z30" s="277">
        <f>G30*0.05</f>
        <v>10</v>
      </c>
      <c r="AA30" s="514">
        <f t="shared" si="19"/>
        <v>837.39999999999975</v>
      </c>
      <c r="AB30" s="514">
        <f t="shared" si="20"/>
        <v>102.75000000000006</v>
      </c>
      <c r="AC30" s="514">
        <f t="shared" si="21"/>
        <v>0</v>
      </c>
      <c r="AD30" s="514">
        <f t="shared" si="22"/>
        <v>0</v>
      </c>
      <c r="AE30" s="514">
        <f t="shared" si="4"/>
        <v>140.00000000000014</v>
      </c>
      <c r="AF30" s="43">
        <f t="shared" si="29"/>
        <v>1080.1500000000001</v>
      </c>
      <c r="AG30" s="170">
        <f t="shared" si="5"/>
        <v>259.35000000000002</v>
      </c>
      <c r="AH30" s="278">
        <f t="shared" si="30"/>
        <v>70.5</v>
      </c>
      <c r="AI30" s="1">
        <v>0</v>
      </c>
      <c r="AJ30" s="6">
        <v>0</v>
      </c>
      <c r="AK30" s="32">
        <f t="shared" si="43"/>
        <v>89.268595041322314</v>
      </c>
      <c r="AL30" s="278">
        <f t="shared" si="23"/>
        <v>1410</v>
      </c>
      <c r="AM30" s="260">
        <f t="shared" si="24"/>
        <v>16.000000000000021</v>
      </c>
      <c r="AN30" s="260">
        <f t="shared" si="25"/>
        <v>26.499999999999961</v>
      </c>
      <c r="AO30" s="260">
        <f t="shared" si="26"/>
        <v>0.24999999999999928</v>
      </c>
      <c r="AQ30" s="434">
        <f t="shared" si="8"/>
        <v>0.78999999999999981</v>
      </c>
      <c r="AR30" s="434">
        <f t="shared" si="9"/>
        <v>0.68500000000000039</v>
      </c>
      <c r="AS30" s="434" t="e">
        <f t="shared" si="10"/>
        <v>#DIV/0!</v>
      </c>
      <c r="AT30" s="434" t="e">
        <f t="shared" si="11"/>
        <v>#DIV/0!</v>
      </c>
      <c r="AU30">
        <f t="shared" si="12"/>
        <v>1210</v>
      </c>
    </row>
    <row r="31" spans="1:47" s="17" customFormat="1" x14ac:dyDescent="0.25">
      <c r="A31" s="240"/>
      <c r="B31" s="18">
        <v>28</v>
      </c>
      <c r="C31" s="1">
        <v>655</v>
      </c>
      <c r="D31" s="1">
        <v>0</v>
      </c>
      <c r="E31" s="1">
        <v>0</v>
      </c>
      <c r="F31" s="1">
        <v>0</v>
      </c>
      <c r="G31" s="1">
        <v>210</v>
      </c>
      <c r="H31" s="1">
        <v>11.7</v>
      </c>
      <c r="I31" s="1">
        <v>0</v>
      </c>
      <c r="J31" s="1">
        <v>0</v>
      </c>
      <c r="K31" s="1">
        <v>0</v>
      </c>
      <c r="L31" s="1">
        <v>3.4</v>
      </c>
      <c r="M31" s="18">
        <f t="shared" si="27"/>
        <v>55.982905982905983</v>
      </c>
      <c r="N31" s="18" t="e">
        <f t="shared" si="28"/>
        <v>#DIV/0!</v>
      </c>
      <c r="O31" s="277">
        <f t="shared" si="15"/>
        <v>61.764705882352942</v>
      </c>
      <c r="P31" s="18" t="e">
        <f t="shared" si="44"/>
        <v>#DIV/0!</v>
      </c>
      <c r="Q31" s="601">
        <f>C31*(0.1832061066*0.9)</f>
        <v>107.99999984070001</v>
      </c>
      <c r="R31" s="18">
        <f>C31*0.05</f>
        <v>32.75</v>
      </c>
      <c r="S31" s="18">
        <f>D31*(0.332056194*0.9)</f>
        <v>0</v>
      </c>
      <c r="T31" s="18">
        <f>D31*0.048850574</f>
        <v>0</v>
      </c>
      <c r="U31" s="18">
        <f>E31*(0.227920227988888*0.9)</f>
        <v>0</v>
      </c>
      <c r="V31" s="18">
        <f>E31*0.04871794875</f>
        <v>0</v>
      </c>
      <c r="W31" s="18">
        <f t="shared" si="35"/>
        <v>0</v>
      </c>
      <c r="X31" s="18">
        <f>F31*0.049696969</f>
        <v>0</v>
      </c>
      <c r="Y31" s="277">
        <f>G31*(0.3*0.9)</f>
        <v>56.7</v>
      </c>
      <c r="Z31" s="277">
        <f>G31*0.05</f>
        <v>10.5</v>
      </c>
      <c r="AA31" s="514">
        <f t="shared" si="19"/>
        <v>514.25000015930004</v>
      </c>
      <c r="AB31" s="514">
        <f t="shared" si="20"/>
        <v>0</v>
      </c>
      <c r="AC31" s="514">
        <f t="shared" si="21"/>
        <v>0</v>
      </c>
      <c r="AD31" s="514">
        <f t="shared" si="22"/>
        <v>0</v>
      </c>
      <c r="AE31" s="514">
        <f t="shared" si="4"/>
        <v>142.80000000000001</v>
      </c>
      <c r="AF31" s="43">
        <f t="shared" si="29"/>
        <v>657.0500001593</v>
      </c>
      <c r="AG31" s="170">
        <f t="shared" si="5"/>
        <v>164.6999998407</v>
      </c>
      <c r="AH31" s="278">
        <f t="shared" si="30"/>
        <v>43.25</v>
      </c>
      <c r="AI31" s="18">
        <v>0</v>
      </c>
      <c r="AJ31" s="39">
        <v>0</v>
      </c>
      <c r="AK31" s="189">
        <f t="shared" si="43"/>
        <v>100.31297712355725</v>
      </c>
      <c r="AL31" s="278">
        <f t="shared" si="23"/>
        <v>865</v>
      </c>
      <c r="AM31" s="260">
        <f t="shared" si="24"/>
        <v>16.488549594000002</v>
      </c>
      <c r="AN31" s="260" t="e">
        <f t="shared" si="25"/>
        <v>#DIV/0!</v>
      </c>
      <c r="AO31" s="260">
        <f t="shared" si="26"/>
        <v>0.27</v>
      </c>
      <c r="AQ31" s="241">
        <f t="shared" si="8"/>
        <v>0.78511450406000005</v>
      </c>
      <c r="AR31" s="241" t="e">
        <f t="shared" si="9"/>
        <v>#DIV/0!</v>
      </c>
      <c r="AS31" s="241" t="e">
        <f t="shared" si="10"/>
        <v>#DIV/0!</v>
      </c>
      <c r="AT31" s="241" t="e">
        <f t="shared" si="11"/>
        <v>#DIV/0!</v>
      </c>
      <c r="AU31">
        <f t="shared" si="12"/>
        <v>655</v>
      </c>
    </row>
    <row r="32" spans="1:47" x14ac:dyDescent="0.25">
      <c r="B32" s="1">
        <v>29</v>
      </c>
      <c r="C32" s="1">
        <v>790</v>
      </c>
      <c r="D32" s="1">
        <v>300</v>
      </c>
      <c r="E32" s="1">
        <v>0</v>
      </c>
      <c r="F32" s="1">
        <v>110</v>
      </c>
      <c r="G32" s="1">
        <v>250</v>
      </c>
      <c r="H32" s="1">
        <v>13.2</v>
      </c>
      <c r="I32" s="1">
        <v>4.8</v>
      </c>
      <c r="J32" s="1">
        <v>0</v>
      </c>
      <c r="K32" s="1">
        <v>2</v>
      </c>
      <c r="L32" s="1">
        <v>4</v>
      </c>
      <c r="M32" s="1">
        <f t="shared" si="27"/>
        <v>59.848484848484851</v>
      </c>
      <c r="N32" s="1">
        <f t="shared" si="28"/>
        <v>62.5</v>
      </c>
      <c r="O32" s="277">
        <f t="shared" si="15"/>
        <v>62.5</v>
      </c>
      <c r="P32" s="1">
        <f t="shared" si="44"/>
        <v>55</v>
      </c>
      <c r="Q32" s="1">
        <f>C32*(0.177777777777777*0.9)</f>
        <v>126.39999999999945</v>
      </c>
      <c r="R32" s="1">
        <f t="shared" ref="R32" si="45">C32*0.05</f>
        <v>39.5</v>
      </c>
      <c r="S32" s="1">
        <f>D32*(0.305555555555555*0.9)</f>
        <v>82.499999999999858</v>
      </c>
      <c r="T32" s="1">
        <f>D32*0.05</f>
        <v>15</v>
      </c>
      <c r="U32" s="1">
        <f>E32*(0.28888888888889*0.9)</f>
        <v>0</v>
      </c>
      <c r="V32" s="1">
        <f>E32*0.05</f>
        <v>0</v>
      </c>
      <c r="W32" s="1">
        <f t="shared" si="35"/>
        <v>0</v>
      </c>
      <c r="X32" s="1">
        <f>F32*0.05</f>
        <v>5.5</v>
      </c>
      <c r="Y32" s="277">
        <f>G32*(0.288888888888888*0.9)</f>
        <v>64.999999999999801</v>
      </c>
      <c r="Z32" s="277">
        <f>G32*0.05</f>
        <v>12.5</v>
      </c>
      <c r="AA32" s="514">
        <f t="shared" si="19"/>
        <v>624.10000000000059</v>
      </c>
      <c r="AB32" s="514">
        <f t="shared" si="20"/>
        <v>202.50000000000014</v>
      </c>
      <c r="AC32" s="514">
        <f t="shared" si="21"/>
        <v>0</v>
      </c>
      <c r="AD32" s="514">
        <f t="shared" si="22"/>
        <v>104.5</v>
      </c>
      <c r="AE32" s="514">
        <f t="shared" si="4"/>
        <v>172.5000000000002</v>
      </c>
      <c r="AF32" s="43">
        <f t="shared" si="29"/>
        <v>1103.6000000000008</v>
      </c>
      <c r="AG32" s="170">
        <f t="shared" si="5"/>
        <v>273.89999999999907</v>
      </c>
      <c r="AH32" s="278">
        <f t="shared" si="30"/>
        <v>72.5</v>
      </c>
      <c r="AI32" s="1">
        <v>0</v>
      </c>
      <c r="AJ32" s="6">
        <v>0</v>
      </c>
      <c r="AK32" s="45">
        <f t="shared" si="43"/>
        <v>101.24770642201841</v>
      </c>
      <c r="AL32" s="278">
        <f t="shared" si="23"/>
        <v>1450</v>
      </c>
      <c r="AM32" s="260">
        <f t="shared" si="24"/>
        <v>15.999999999999931</v>
      </c>
      <c r="AN32" s="260">
        <f t="shared" si="25"/>
        <v>27.499999999999954</v>
      </c>
      <c r="AO32" s="260">
        <f t="shared" si="26"/>
        <v>0.25999999999999923</v>
      </c>
      <c r="AQ32" s="241">
        <f t="shared" si="8"/>
        <v>0.7900000000000007</v>
      </c>
      <c r="AR32" s="241">
        <f t="shared" si="9"/>
        <v>0.67500000000000049</v>
      </c>
      <c r="AS32" s="241" t="e">
        <f t="shared" si="10"/>
        <v>#DIV/0!</v>
      </c>
      <c r="AT32" s="241">
        <f t="shared" si="11"/>
        <v>0.95</v>
      </c>
      <c r="AU32">
        <f t="shared" si="12"/>
        <v>1200</v>
      </c>
    </row>
    <row r="33" spans="1:47" x14ac:dyDescent="0.25">
      <c r="B33" s="1">
        <v>30</v>
      </c>
      <c r="C33" s="1">
        <v>1440</v>
      </c>
      <c r="D33" s="1">
        <v>0</v>
      </c>
      <c r="E33" s="1">
        <v>0</v>
      </c>
      <c r="F33" s="1">
        <v>0</v>
      </c>
      <c r="G33" s="1">
        <v>0</v>
      </c>
      <c r="H33" s="1">
        <v>24</v>
      </c>
      <c r="I33" s="1">
        <v>0</v>
      </c>
      <c r="J33" s="1">
        <v>0</v>
      </c>
      <c r="K33" s="1">
        <v>0</v>
      </c>
      <c r="L33" s="1">
        <v>0</v>
      </c>
      <c r="M33" s="1">
        <f t="shared" si="27"/>
        <v>60</v>
      </c>
      <c r="N33" s="1" t="e">
        <f t="shared" si="28"/>
        <v>#DIV/0!</v>
      </c>
      <c r="O33" s="277" t="e">
        <f t="shared" si="15"/>
        <v>#DIV/0!</v>
      </c>
      <c r="P33" s="1" t="e">
        <f t="shared" si="44"/>
        <v>#DIV/0!</v>
      </c>
      <c r="Q33" s="15">
        <f>C33*(0.183333333333333*0.9)</f>
        <v>237.59999999999957</v>
      </c>
      <c r="R33" s="615">
        <f>C33*0.05</f>
        <v>72</v>
      </c>
      <c r="S33" s="1">
        <f>D33*(0.115217392*0.9)</f>
        <v>0</v>
      </c>
      <c r="T33" s="1">
        <f>D33*0.05</f>
        <v>0</v>
      </c>
      <c r="U33" s="1">
        <f>E33*(0.21021021021*0.9)</f>
        <v>0</v>
      </c>
      <c r="V33" s="1">
        <f>E33*0.05135135135135</f>
        <v>0</v>
      </c>
      <c r="W33" s="1">
        <f t="shared" si="35"/>
        <v>0</v>
      </c>
      <c r="X33" s="1">
        <f>F33*0.0496969696969696</f>
        <v>0</v>
      </c>
      <c r="Y33" s="277">
        <f t="shared" si="17"/>
        <v>0</v>
      </c>
      <c r="Z33" s="277">
        <f t="shared" si="18"/>
        <v>0</v>
      </c>
      <c r="AA33" s="514">
        <f t="shared" si="19"/>
        <v>1130.4000000000005</v>
      </c>
      <c r="AB33" s="514">
        <f t="shared" si="20"/>
        <v>0</v>
      </c>
      <c r="AC33" s="514">
        <f t="shared" si="21"/>
        <v>0</v>
      </c>
      <c r="AD33" s="514">
        <f t="shared" si="22"/>
        <v>0</v>
      </c>
      <c r="AE33" s="514">
        <f t="shared" si="4"/>
        <v>0</v>
      </c>
      <c r="AF33" s="43">
        <f t="shared" si="29"/>
        <v>1130.4000000000005</v>
      </c>
      <c r="AG33" s="42">
        <f>Q33+S33+U33</f>
        <v>237.59999999999957</v>
      </c>
      <c r="AH33" s="278">
        <f t="shared" si="30"/>
        <v>72</v>
      </c>
      <c r="AI33" s="1">
        <v>0</v>
      </c>
      <c r="AJ33" s="6">
        <v>0</v>
      </c>
      <c r="AK33" s="45">
        <f t="shared" si="43"/>
        <v>78.500000000000043</v>
      </c>
      <c r="AL33" s="278">
        <f t="shared" si="23"/>
        <v>1440</v>
      </c>
      <c r="AM33" s="260">
        <f t="shared" si="24"/>
        <v>16.499999999999972</v>
      </c>
      <c r="AN33" s="260" t="e">
        <f t="shared" si="25"/>
        <v>#DIV/0!</v>
      </c>
      <c r="AO33" s="260" t="e">
        <f t="shared" si="26"/>
        <v>#DIV/0!</v>
      </c>
      <c r="AQ33" s="241">
        <f t="shared" si="8"/>
        <v>0.78500000000000036</v>
      </c>
      <c r="AR33" s="241" t="e">
        <f t="shared" si="9"/>
        <v>#DIV/0!</v>
      </c>
      <c r="AS33" s="241" t="e">
        <f t="shared" si="10"/>
        <v>#DIV/0!</v>
      </c>
      <c r="AT33" s="241" t="e">
        <f t="shared" si="11"/>
        <v>#DIV/0!</v>
      </c>
      <c r="AU33">
        <f t="shared" si="12"/>
        <v>1440</v>
      </c>
    </row>
    <row r="34" spans="1:47" s="250" customFormat="1" x14ac:dyDescent="0.25">
      <c r="B34" s="8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251" t="e">
        <f t="shared" si="27"/>
        <v>#DIV/0!</v>
      </c>
      <c r="N34" s="251" t="e">
        <f t="shared" si="28"/>
        <v>#DIV/0!</v>
      </c>
      <c r="O34" s="277" t="e">
        <f t="shared" si="15"/>
        <v>#DIV/0!</v>
      </c>
      <c r="P34" s="251" t="e">
        <f t="shared" si="44"/>
        <v>#DIV/0!</v>
      </c>
      <c r="Q34" s="251">
        <f>C34*(0.2*0.9)</f>
        <v>0</v>
      </c>
      <c r="R34" s="251">
        <f>C34*0.05</f>
        <v>0</v>
      </c>
      <c r="S34" s="251">
        <f>D34*(0.3096446704*0.9)</f>
        <v>0</v>
      </c>
      <c r="T34" s="251">
        <f>D34*0.05</f>
        <v>0</v>
      </c>
      <c r="U34" s="251">
        <f>E34*(0.222222222222222*0.9)</f>
        <v>0</v>
      </c>
      <c r="V34" s="251">
        <f>E34*0.05</f>
        <v>0</v>
      </c>
      <c r="W34" s="81">
        <f t="shared" si="35"/>
        <v>0</v>
      </c>
      <c r="X34" s="81">
        <f>F34*0.0512096777</f>
        <v>0</v>
      </c>
      <c r="Y34" s="277">
        <f t="shared" si="17"/>
        <v>0</v>
      </c>
      <c r="Z34" s="277">
        <f t="shared" si="18"/>
        <v>0</v>
      </c>
      <c r="AA34" s="514">
        <f t="shared" si="19"/>
        <v>0</v>
      </c>
      <c r="AB34" s="514">
        <f t="shared" si="20"/>
        <v>0</v>
      </c>
      <c r="AC34" s="514">
        <f t="shared" si="21"/>
        <v>0</v>
      </c>
      <c r="AD34" s="514">
        <f t="shared" si="22"/>
        <v>0</v>
      </c>
      <c r="AE34" s="514">
        <f t="shared" si="4"/>
        <v>0</v>
      </c>
      <c r="AF34" s="248">
        <f t="shared" ref="AF34" si="46">AA34+AB34+AC34+AD34</f>
        <v>0</v>
      </c>
      <c r="AG34" s="251">
        <f>Q34+S34+U34</f>
        <v>0</v>
      </c>
      <c r="AH34" s="278">
        <f t="shared" si="30"/>
        <v>0</v>
      </c>
      <c r="AI34" s="251">
        <v>0</v>
      </c>
      <c r="AJ34" s="252">
        <v>0</v>
      </c>
      <c r="AK34" s="253" t="e">
        <f t="shared" si="43"/>
        <v>#DIV/0!</v>
      </c>
      <c r="AL34" s="278">
        <f t="shared" si="23"/>
        <v>0</v>
      </c>
      <c r="AM34" s="260" t="e">
        <f t="shared" si="24"/>
        <v>#DIV/0!</v>
      </c>
      <c r="AN34" s="260" t="e">
        <f t="shared" si="25"/>
        <v>#DIV/0!</v>
      </c>
      <c r="AO34" s="260" t="e">
        <f t="shared" si="26"/>
        <v>#DIV/0!</v>
      </c>
      <c r="AQ34" s="254" t="e">
        <f t="shared" si="8"/>
        <v>#DIV/0!</v>
      </c>
      <c r="AR34" s="254" t="e">
        <f t="shared" si="9"/>
        <v>#DIV/0!</v>
      </c>
      <c r="AS34" s="254" t="e">
        <f t="shared" si="10"/>
        <v>#DIV/0!</v>
      </c>
      <c r="AT34" s="241" t="e">
        <f t="shared" si="11"/>
        <v>#DIV/0!</v>
      </c>
      <c r="AU34">
        <f t="shared" si="12"/>
        <v>0</v>
      </c>
    </row>
    <row r="35" spans="1:47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2">
        <v>0</v>
      </c>
      <c r="L35" s="2"/>
      <c r="M35" s="1" t="e">
        <f t="shared" ref="M35:N40" si="47">C35/H35</f>
        <v>#DIV/0!</v>
      </c>
      <c r="N35" s="1" t="e">
        <f t="shared" si="47"/>
        <v>#DIV/0!</v>
      </c>
      <c r="O35" s="277" t="e">
        <f t="shared" si="15"/>
        <v>#DIV/0!</v>
      </c>
      <c r="P35" s="1" t="e">
        <f t="shared" si="44"/>
        <v>#DIV/0!</v>
      </c>
      <c r="Q35" s="1">
        <f t="shared" ref="Q35:Q40" si="48">C35*(0.1*0.9)</f>
        <v>0</v>
      </c>
      <c r="R35" s="1">
        <f t="shared" ref="R35:R40" si="49">C35*0.045</f>
        <v>0</v>
      </c>
      <c r="S35" s="1">
        <f t="shared" ref="S35:S40" si="50">D35*(0.18*0.9)</f>
        <v>0</v>
      </c>
      <c r="T35" s="1">
        <f t="shared" ref="T35:T40" si="51">D35*0.045</f>
        <v>0</v>
      </c>
      <c r="U35" s="1"/>
      <c r="V35" s="1"/>
      <c r="W35" s="1"/>
      <c r="X35" s="1"/>
      <c r="Y35" s="1"/>
      <c r="Z35" s="1"/>
      <c r="AA35" s="293">
        <f t="shared" si="19"/>
        <v>0</v>
      </c>
      <c r="AB35" s="293">
        <f t="shared" si="20"/>
        <v>0</v>
      </c>
      <c r="AC35" s="293">
        <f t="shared" si="21"/>
        <v>0</v>
      </c>
      <c r="AD35" s="293">
        <f t="shared" si="22"/>
        <v>0</v>
      </c>
      <c r="AE35" s="514">
        <f t="shared" si="4"/>
        <v>0</v>
      </c>
      <c r="AF35" s="248">
        <f t="shared" ref="AF35:AF40" si="52">AA35+AB35+AC35+AD35</f>
        <v>0</v>
      </c>
      <c r="AG35" s="1">
        <f t="shared" ref="AG35:AG40" si="53">Q35+S35</f>
        <v>0</v>
      </c>
      <c r="AH35" s="278">
        <f t="shared" si="30"/>
        <v>0</v>
      </c>
      <c r="AI35" s="1">
        <v>0</v>
      </c>
      <c r="AJ35" s="1">
        <v>0</v>
      </c>
      <c r="AK35" s="32" t="e">
        <f t="shared" si="43"/>
        <v>#DIV/0!</v>
      </c>
      <c r="AL35" s="278">
        <f t="shared" si="23"/>
        <v>0</v>
      </c>
      <c r="AM35" t="e">
        <f>(Q35+#REF!)/C35*100</f>
        <v>#REF!</v>
      </c>
      <c r="AU35">
        <f t="shared" si="12"/>
        <v>0</v>
      </c>
    </row>
    <row r="36" spans="1:4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7"/>
        <v>#DIV/0!</v>
      </c>
      <c r="N36" s="1" t="e">
        <f t="shared" si="47"/>
        <v>#DIV/0!</v>
      </c>
      <c r="O36" s="1"/>
      <c r="P36" s="1"/>
      <c r="Q36" s="1">
        <f t="shared" si="48"/>
        <v>0</v>
      </c>
      <c r="R36" s="1">
        <f>C36*0.045</f>
        <v>0</v>
      </c>
      <c r="S36" s="1">
        <f t="shared" si="50"/>
        <v>0</v>
      </c>
      <c r="T36" s="1">
        <f t="shared" si="51"/>
        <v>0</v>
      </c>
      <c r="U36" s="1"/>
      <c r="V36" s="1"/>
      <c r="W36" s="1"/>
      <c r="X36" s="1"/>
      <c r="Y36" s="1"/>
      <c r="Z36" s="1"/>
      <c r="AA36" s="277">
        <f t="shared" si="19"/>
        <v>0</v>
      </c>
      <c r="AB36" s="277">
        <f t="shared" si="20"/>
        <v>0</v>
      </c>
      <c r="AC36" s="1"/>
      <c r="AD36" s="1"/>
      <c r="AE36" s="1"/>
      <c r="AF36" s="248">
        <f t="shared" si="52"/>
        <v>0</v>
      </c>
      <c r="AG36" s="1">
        <f t="shared" si="53"/>
        <v>0</v>
      </c>
      <c r="AH36" s="278">
        <f t="shared" si="30"/>
        <v>0</v>
      </c>
      <c r="AI36" s="1">
        <v>0</v>
      </c>
      <c r="AJ36" s="1">
        <v>0</v>
      </c>
      <c r="AK36" s="32" t="e">
        <f t="shared" si="43"/>
        <v>#DIV/0!</v>
      </c>
      <c r="AL36" s="278">
        <f t="shared" si="23"/>
        <v>0</v>
      </c>
      <c r="AM36" t="e">
        <f>(Q36+#REF!)/C36*100</f>
        <v>#REF!</v>
      </c>
      <c r="AU36">
        <f t="shared" si="12"/>
        <v>0</v>
      </c>
    </row>
    <row r="37" spans="1:4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7"/>
        <v>#DIV/0!</v>
      </c>
      <c r="N37" s="1" t="e">
        <f t="shared" si="47"/>
        <v>#DIV/0!</v>
      </c>
      <c r="O37" s="1"/>
      <c r="P37" s="1"/>
      <c r="Q37" s="1">
        <f t="shared" si="48"/>
        <v>0</v>
      </c>
      <c r="R37" s="1">
        <f t="shared" si="49"/>
        <v>0</v>
      </c>
      <c r="S37" s="1">
        <f t="shared" si="50"/>
        <v>0</v>
      </c>
      <c r="T37" s="1">
        <f t="shared" si="51"/>
        <v>0</v>
      </c>
      <c r="U37" s="1"/>
      <c r="V37" s="1"/>
      <c r="W37" s="1"/>
      <c r="X37" s="1"/>
      <c r="Y37" s="1"/>
      <c r="Z37" s="1"/>
      <c r="AA37" s="277">
        <f t="shared" si="19"/>
        <v>0</v>
      </c>
      <c r="AB37" s="277">
        <f t="shared" si="20"/>
        <v>0</v>
      </c>
      <c r="AC37" s="1"/>
      <c r="AD37" s="1"/>
      <c r="AE37" s="1"/>
      <c r="AF37" s="248">
        <f t="shared" si="52"/>
        <v>0</v>
      </c>
      <c r="AG37" s="1">
        <f t="shared" si="53"/>
        <v>0</v>
      </c>
      <c r="AH37" s="278">
        <f t="shared" si="30"/>
        <v>0</v>
      </c>
      <c r="AI37" s="1">
        <v>0</v>
      </c>
      <c r="AJ37" s="1">
        <v>0</v>
      </c>
      <c r="AK37" s="32" t="e">
        <f t="shared" si="43"/>
        <v>#DIV/0!</v>
      </c>
      <c r="AL37" s="278">
        <f t="shared" si="23"/>
        <v>0</v>
      </c>
      <c r="AM37" t="e">
        <f>(Q37+#REF!)/C37*100</f>
        <v>#REF!</v>
      </c>
    </row>
    <row r="38" spans="1:47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7"/>
        <v>#DIV/0!</v>
      </c>
      <c r="N38" s="1" t="e">
        <f t="shared" si="47"/>
        <v>#DIV/0!</v>
      </c>
      <c r="O38" s="1"/>
      <c r="P38" s="1"/>
      <c r="Q38" s="1">
        <f t="shared" si="48"/>
        <v>0</v>
      </c>
      <c r="R38" s="1">
        <f t="shared" si="49"/>
        <v>0</v>
      </c>
      <c r="S38" s="1">
        <f t="shared" si="50"/>
        <v>0</v>
      </c>
      <c r="T38" s="1">
        <f t="shared" si="51"/>
        <v>0</v>
      </c>
      <c r="U38" s="1"/>
      <c r="V38" s="1"/>
      <c r="W38" s="1"/>
      <c r="X38" s="1"/>
      <c r="Y38" s="1"/>
      <c r="Z38" s="1"/>
      <c r="AA38" s="277">
        <f t="shared" si="19"/>
        <v>0</v>
      </c>
      <c r="AB38" s="277">
        <f t="shared" si="20"/>
        <v>0</v>
      </c>
      <c r="AC38" s="1"/>
      <c r="AD38" s="1"/>
      <c r="AE38" s="1"/>
      <c r="AF38" s="248">
        <f t="shared" si="52"/>
        <v>0</v>
      </c>
      <c r="AG38" s="1">
        <f t="shared" si="53"/>
        <v>0</v>
      </c>
      <c r="AH38" s="278">
        <f t="shared" si="30"/>
        <v>0</v>
      </c>
      <c r="AI38" s="1">
        <v>0</v>
      </c>
      <c r="AJ38" s="1">
        <v>0</v>
      </c>
      <c r="AK38" s="32" t="e">
        <f t="shared" si="43"/>
        <v>#DIV/0!</v>
      </c>
      <c r="AL38" s="1"/>
      <c r="AM38" t="e">
        <f>(Q38+#REF!)/C38*100</f>
        <v>#REF!</v>
      </c>
    </row>
    <row r="39" spans="1:4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7"/>
        <v>#DIV/0!</v>
      </c>
      <c r="N39" s="1" t="e">
        <f t="shared" si="47"/>
        <v>#DIV/0!</v>
      </c>
      <c r="O39" s="1"/>
      <c r="P39" s="1"/>
      <c r="Q39" s="1">
        <f t="shared" si="48"/>
        <v>0</v>
      </c>
      <c r="R39" s="1">
        <f t="shared" si="49"/>
        <v>0</v>
      </c>
      <c r="S39" s="1">
        <f t="shared" si="50"/>
        <v>0</v>
      </c>
      <c r="T39" s="1">
        <f t="shared" si="51"/>
        <v>0</v>
      </c>
      <c r="U39" s="1"/>
      <c r="V39" s="1"/>
      <c r="W39" s="1"/>
      <c r="X39" s="1"/>
      <c r="Y39" s="1"/>
      <c r="Z39" s="1"/>
      <c r="AA39" s="277">
        <f t="shared" si="19"/>
        <v>0</v>
      </c>
      <c r="AB39" s="277">
        <f t="shared" si="20"/>
        <v>0</v>
      </c>
      <c r="AC39" s="1"/>
      <c r="AD39" s="1"/>
      <c r="AE39" s="1"/>
      <c r="AF39" s="248">
        <f t="shared" si="52"/>
        <v>0</v>
      </c>
      <c r="AG39" s="1">
        <f t="shared" si="53"/>
        <v>0</v>
      </c>
      <c r="AH39" s="278">
        <f t="shared" si="30"/>
        <v>0</v>
      </c>
      <c r="AI39" s="1">
        <v>0</v>
      </c>
      <c r="AJ39" s="1"/>
      <c r="AK39" s="32" t="e">
        <f t="shared" si="43"/>
        <v>#DIV/0!</v>
      </c>
      <c r="AL39" s="1"/>
      <c r="AM39" t="e">
        <f>(Q39+#REF!)/C39*100</f>
        <v>#REF!</v>
      </c>
    </row>
    <row r="40" spans="1:4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47"/>
        <v>#DIV/0!</v>
      </c>
      <c r="N40" s="1" t="e">
        <f t="shared" si="47"/>
        <v>#DIV/0!</v>
      </c>
      <c r="O40" s="1"/>
      <c r="P40" s="1"/>
      <c r="Q40" s="1">
        <f t="shared" si="48"/>
        <v>0</v>
      </c>
      <c r="R40" s="1">
        <f t="shared" si="49"/>
        <v>0</v>
      </c>
      <c r="S40" s="1">
        <f t="shared" si="50"/>
        <v>0</v>
      </c>
      <c r="T40" s="1">
        <f t="shared" si="51"/>
        <v>0</v>
      </c>
      <c r="U40" s="1"/>
      <c r="V40" s="1"/>
      <c r="W40" s="1"/>
      <c r="X40" s="1"/>
      <c r="Y40" s="1"/>
      <c r="Z40" s="1"/>
      <c r="AA40" s="277">
        <f t="shared" si="19"/>
        <v>0</v>
      </c>
      <c r="AB40" s="277">
        <f t="shared" si="20"/>
        <v>0</v>
      </c>
      <c r="AC40" s="1"/>
      <c r="AD40" s="1"/>
      <c r="AE40" s="1"/>
      <c r="AF40" s="248">
        <f t="shared" si="52"/>
        <v>0</v>
      </c>
      <c r="AG40" s="1">
        <f t="shared" si="53"/>
        <v>0</v>
      </c>
      <c r="AH40" s="278">
        <f t="shared" si="30"/>
        <v>0</v>
      </c>
      <c r="AI40" s="1">
        <v>0</v>
      </c>
      <c r="AJ40" s="1"/>
      <c r="AK40" s="32" t="e">
        <f t="shared" si="43"/>
        <v>#DIV/0!</v>
      </c>
      <c r="AL40" s="1"/>
      <c r="AM40" t="e">
        <f>(Q40+#REF!)/C40*100</f>
        <v>#REF!</v>
      </c>
    </row>
    <row r="41" spans="1:47" x14ac:dyDescent="0.25">
      <c r="A41" t="s">
        <v>26</v>
      </c>
      <c r="B41" s="1" t="s">
        <v>8</v>
      </c>
      <c r="C41" s="1">
        <f>SUM(C4:C34)</f>
        <v>24140</v>
      </c>
      <c r="D41" s="1">
        <f t="shared" ref="D41:AU41" si="54">SUM(D4:D34)</f>
        <v>2000</v>
      </c>
      <c r="E41" s="1">
        <f t="shared" si="54"/>
        <v>0</v>
      </c>
      <c r="F41" s="1">
        <f t="shared" si="54"/>
        <v>1820</v>
      </c>
      <c r="G41" s="1"/>
      <c r="H41" s="1">
        <f t="shared" si="54"/>
        <v>416.00000000000006</v>
      </c>
      <c r="I41" s="1">
        <f t="shared" si="54"/>
        <v>33.099999999999994</v>
      </c>
      <c r="J41" s="1">
        <f t="shared" si="54"/>
        <v>0</v>
      </c>
      <c r="K41" s="1">
        <f>SUM(K4:K35)</f>
        <v>32.880000000000003</v>
      </c>
      <c r="L41" s="1"/>
      <c r="M41" s="1" t="e">
        <f t="shared" si="54"/>
        <v>#DIV/0!</v>
      </c>
      <c r="N41" s="1" t="e">
        <f t="shared" si="54"/>
        <v>#DIV/0!</v>
      </c>
      <c r="O41" s="1" t="e">
        <f t="shared" si="54"/>
        <v>#DIV/0!</v>
      </c>
      <c r="P41" s="1" t="e">
        <f>SUM(P4:P35)</f>
        <v>#DIV/0!</v>
      </c>
      <c r="Q41" s="1">
        <f t="shared" si="54"/>
        <v>4212.2299959068387</v>
      </c>
      <c r="R41" s="1">
        <f t="shared" si="54"/>
        <v>1207.4999985290001</v>
      </c>
      <c r="S41" s="1">
        <f t="shared" si="54"/>
        <v>548.54999986199982</v>
      </c>
      <c r="T41" s="1">
        <f t="shared" si="54"/>
        <v>100.249999945</v>
      </c>
      <c r="U41" s="1">
        <f t="shared" si="54"/>
        <v>0</v>
      </c>
      <c r="V41" s="1">
        <f t="shared" si="54"/>
        <v>0</v>
      </c>
      <c r="W41" s="1">
        <f t="shared" si="54"/>
        <v>0</v>
      </c>
      <c r="X41" s="1">
        <f t="shared" si="54"/>
        <v>90.799999869999994</v>
      </c>
      <c r="Y41" s="1"/>
      <c r="Z41" s="1"/>
      <c r="AA41" s="277">
        <f t="shared" si="19"/>
        <v>18720.270005564158</v>
      </c>
      <c r="AB41" s="277">
        <f t="shared" si="20"/>
        <v>1351.2000001930003</v>
      </c>
      <c r="AC41" s="1">
        <f t="shared" si="54"/>
        <v>0</v>
      </c>
      <c r="AD41" s="1">
        <f t="shared" si="54"/>
        <v>1729.20000013</v>
      </c>
      <c r="AE41" s="1"/>
      <c r="AF41" s="1">
        <f t="shared" si="54"/>
        <v>24033.510006149867</v>
      </c>
      <c r="AG41" s="1">
        <f t="shared" si="54"/>
        <v>5636.1399956541372</v>
      </c>
      <c r="AH41" s="1">
        <f t="shared" si="54"/>
        <v>1562.3499981960001</v>
      </c>
      <c r="AI41" s="1">
        <f t="shared" si="54"/>
        <v>0</v>
      </c>
      <c r="AJ41" s="1">
        <f t="shared" si="54"/>
        <v>0</v>
      </c>
      <c r="AK41" s="1" t="e">
        <f t="shared" si="54"/>
        <v>#DIV/0!</v>
      </c>
      <c r="AL41" s="1">
        <f t="shared" si="54"/>
        <v>31232</v>
      </c>
      <c r="AM41" s="1" t="e">
        <f t="shared" si="54"/>
        <v>#DIV/0!</v>
      </c>
      <c r="AN41" s="1" t="e">
        <f t="shared" si="54"/>
        <v>#DIV/0!</v>
      </c>
      <c r="AO41" s="1" t="e">
        <f t="shared" si="54"/>
        <v>#DIV/0!</v>
      </c>
      <c r="AP41" s="1" t="e">
        <f t="shared" si="54"/>
        <v>#REF!</v>
      </c>
      <c r="AQ41" s="1" t="e">
        <f t="shared" si="54"/>
        <v>#DIV/0!</v>
      </c>
      <c r="AR41" s="1" t="e">
        <f t="shared" si="54"/>
        <v>#DIV/0!</v>
      </c>
      <c r="AS41" s="1" t="e">
        <f t="shared" si="54"/>
        <v>#DIV/0!</v>
      </c>
      <c r="AT41" s="1" t="e">
        <f t="shared" si="54"/>
        <v>#DIV/0!</v>
      </c>
      <c r="AU41" s="1">
        <f t="shared" si="54"/>
        <v>27960</v>
      </c>
    </row>
    <row r="42" spans="1:47" x14ac:dyDescent="0.25">
      <c r="A42" t="s">
        <v>27</v>
      </c>
      <c r="B42" s="1"/>
      <c r="C42" s="1">
        <v>0</v>
      </c>
      <c r="D42" s="1">
        <f>D41+'Daily CEM-1'!D40</f>
        <v>2574</v>
      </c>
      <c r="E42" s="1">
        <f>E41+'Daily CEM-1'!E40</f>
        <v>0</v>
      </c>
      <c r="F42" s="1">
        <f>F41+'Daily CEM-1'!F40</f>
        <v>1820</v>
      </c>
      <c r="G42" s="1"/>
      <c r="H42" s="1">
        <f>H41+'Daily CEM-1'!H40</f>
        <v>622.33000000000004</v>
      </c>
      <c r="I42" s="1">
        <f>I41+'Daily CEM-1'!I40</f>
        <v>42.099999999999994</v>
      </c>
      <c r="J42" s="1">
        <f>J41+'Daily CEM-1'!J40</f>
        <v>0</v>
      </c>
      <c r="K42" s="1">
        <f>K41+'Daily CEM-1'!K40</f>
        <v>32.880000000000003</v>
      </c>
      <c r="L42" s="1"/>
      <c r="M42" s="1" t="e">
        <f>M41+'Daily CEM-1'!M40</f>
        <v>#DIV/0!</v>
      </c>
      <c r="N42" s="1" t="e">
        <f>N41+'Daily CEM-1'!N40</f>
        <v>#DIV/0!</v>
      </c>
      <c r="O42" s="1" t="e">
        <f>O41+'Daily CEM-1'!O40</f>
        <v>#DIV/0!</v>
      </c>
      <c r="P42" s="1" t="e">
        <f>P41+'Daily CEM-1'!P40</f>
        <v>#DIV/0!</v>
      </c>
      <c r="Q42" s="1">
        <f>Q41+'Daily CEM-1'!R40</f>
        <v>6401.4099938458367</v>
      </c>
      <c r="R42" s="1">
        <f>R41+'Daily CEM-1'!S40</f>
        <v>1828.9499967424999</v>
      </c>
      <c r="S42" s="1">
        <f>S41+'Daily CEM-1'!T40</f>
        <v>697.54999959869986</v>
      </c>
      <c r="T42" s="1">
        <f>T41+'Daily CEM-1'!U40</f>
        <v>129.44999995500001</v>
      </c>
      <c r="U42" s="1">
        <f>U41+'Daily CEM-1'!V40</f>
        <v>0</v>
      </c>
      <c r="V42" s="1">
        <f>V41+'Daily CEM-1'!W40</f>
        <v>0</v>
      </c>
      <c r="W42" s="1">
        <f>W41+'Daily CEM-1'!X40</f>
        <v>0</v>
      </c>
      <c r="X42" s="1">
        <f>X41+'Daily CEM-1'!Y40</f>
        <v>90.799999869999994</v>
      </c>
      <c r="Y42" s="1"/>
      <c r="Z42" s="1"/>
      <c r="AA42" s="277">
        <f>C42-Q42-R42</f>
        <v>-8230.3599905883366</v>
      </c>
      <c r="AB42" s="277">
        <f t="shared" si="20"/>
        <v>1747.0000004463002</v>
      </c>
      <c r="AC42" s="1">
        <f>AC41+'Daily CEM-1'!AD40</f>
        <v>0</v>
      </c>
      <c r="AD42" s="1">
        <f>AD41+'Daily CEM-1'!AE40</f>
        <v>1729.20000013</v>
      </c>
      <c r="AE42" s="1"/>
      <c r="AF42" s="1">
        <f>AF41+'Daily CEM-1'!AG40</f>
        <v>35795.980011886269</v>
      </c>
      <c r="AG42" s="1">
        <f>AG41+'Daily CEM-1'!AH40</f>
        <v>8631.8199925622357</v>
      </c>
      <c r="AH42" s="1">
        <f>AH41+'Daily CEM-1'!AI40</f>
        <v>2339.1999955515003</v>
      </c>
      <c r="AI42" s="1">
        <f>AI41+'Daily CEM-1'!AJ40</f>
        <v>0</v>
      </c>
      <c r="AJ42" s="1">
        <f>AJ41+'Daily CEM-1'!AK40</f>
        <v>0</v>
      </c>
      <c r="AK42" s="1" t="e">
        <f>AK41+'Daily CEM-1'!AL40</f>
        <v>#DIV/0!</v>
      </c>
      <c r="AL42" s="1">
        <f>AL41+'Daily CEM-1'!AM40</f>
        <v>46767</v>
      </c>
      <c r="AM42" s="1" t="e">
        <f>AM41+'Daily CEM-1'!AN40</f>
        <v>#DIV/0!</v>
      </c>
      <c r="AN42" s="1" t="e">
        <f>AN41+'Daily CEM-1'!AO40</f>
        <v>#DIV/0!</v>
      </c>
      <c r="AO42" s="1" t="e">
        <f>AO41+'Daily CEM-1'!AP40</f>
        <v>#DIV/0!</v>
      </c>
      <c r="AP42" s="1" t="e">
        <f>AP41+'Daily CEM-1'!AQ40</f>
        <v>#REF!</v>
      </c>
      <c r="AQ42" s="1" t="e">
        <f>AQ41+'Daily CEM-1'!AR40</f>
        <v>#DIV/0!</v>
      </c>
      <c r="AR42" s="1" t="e">
        <f>AR41+'Daily CEM-1'!AS40</f>
        <v>#DIV/0!</v>
      </c>
      <c r="AS42" s="1" t="e">
        <f>AS41+'Daily CEM-1'!AT40</f>
        <v>#DIV/0!</v>
      </c>
      <c r="AT42" s="1" t="e">
        <f>AT41+'Daily CEM-1'!AU40</f>
        <v>#DIV/0!</v>
      </c>
      <c r="AU42" s="1" t="e">
        <f>AU41+'Daily CEM-1'!AV40</f>
        <v>#DIV/0!</v>
      </c>
    </row>
    <row r="43" spans="1:47" x14ac:dyDescent="0.25">
      <c r="A43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 x14ac:dyDescent="0.25">
      <c r="B45" t="s">
        <v>202</v>
      </c>
      <c r="C45">
        <v>1600</v>
      </c>
      <c r="D45" t="s">
        <v>203</v>
      </c>
      <c r="H45">
        <v>8000</v>
      </c>
      <c r="I45" t="s">
        <v>204</v>
      </c>
    </row>
    <row r="46" spans="1:47" x14ac:dyDescent="0.25">
      <c r="C46">
        <f>Cement!G30*1600/8000</f>
        <v>4.7999999999592549E-2</v>
      </c>
      <c r="D46" t="s">
        <v>205</v>
      </c>
      <c r="H46">
        <v>13500</v>
      </c>
      <c r="I46" t="s">
        <v>204</v>
      </c>
      <c r="AA46">
        <v>63</v>
      </c>
    </row>
    <row r="53" spans="17:19" x14ac:dyDescent="0.25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K36"/>
  <sheetViews>
    <sheetView zoomScale="60" zoomScaleNormal="60" workbookViewId="0">
      <selection activeCell="AG25" sqref="AG25"/>
    </sheetView>
  </sheetViews>
  <sheetFormatPr defaultRowHeight="15" x14ac:dyDescent="0.25"/>
  <cols>
    <col min="3" max="3" width="23.42578125" customWidth="1"/>
    <col min="6" max="6" width="20.42578125" bestFit="1" customWidth="1"/>
    <col min="14" max="14" width="30.85546875" customWidth="1"/>
    <col min="17" max="17" width="31.7109375" customWidth="1"/>
    <col min="18" max="18" width="11.7109375" customWidth="1"/>
    <col min="25" max="25" width="32.7109375" customWidth="1"/>
    <col min="28" max="28" width="38.140625" customWidth="1"/>
    <col min="33" max="33" width="32.7109375" customWidth="1"/>
    <col min="36" max="36" width="38.140625" customWidth="1"/>
  </cols>
  <sheetData>
    <row r="1" spans="1:37" ht="29.25" thickBot="1" x14ac:dyDescent="0.5">
      <c r="A1" s="650" t="s">
        <v>209</v>
      </c>
      <c r="B1" s="650"/>
      <c r="C1" s="650"/>
      <c r="E1" s="651" t="s">
        <v>15</v>
      </c>
      <c r="F1" s="651"/>
      <c r="G1" s="651"/>
      <c r="L1" s="650" t="s">
        <v>209</v>
      </c>
      <c r="M1" s="650"/>
      <c r="N1" s="650"/>
      <c r="P1" s="651" t="s">
        <v>15</v>
      </c>
      <c r="Q1" s="651"/>
      <c r="R1" s="651"/>
      <c r="W1" s="650" t="s">
        <v>209</v>
      </c>
      <c r="X1" s="650"/>
      <c r="Y1" s="650"/>
      <c r="AA1" s="651" t="s">
        <v>15</v>
      </c>
      <c r="AB1" s="651"/>
      <c r="AC1" s="651"/>
      <c r="AE1" s="650" t="s">
        <v>209</v>
      </c>
      <c r="AF1" s="650"/>
      <c r="AG1" s="650"/>
      <c r="AI1" s="651" t="s">
        <v>15</v>
      </c>
      <c r="AJ1" s="651"/>
      <c r="AK1" s="651"/>
    </row>
    <row r="2" spans="1:37" x14ac:dyDescent="0.25">
      <c r="A2" s="54" t="s">
        <v>9</v>
      </c>
      <c r="B2" s="55" t="s">
        <v>210</v>
      </c>
      <c r="C2" s="56" t="s">
        <v>211</v>
      </c>
      <c r="E2" s="18" t="s">
        <v>9</v>
      </c>
      <c r="F2" s="58" t="s">
        <v>212</v>
      </c>
      <c r="G2" s="59" t="s">
        <v>213</v>
      </c>
      <c r="L2" s="54" t="s">
        <v>9</v>
      </c>
      <c r="M2" s="55" t="s">
        <v>210</v>
      </c>
      <c r="N2" s="56" t="s">
        <v>214</v>
      </c>
      <c r="P2" s="18" t="s">
        <v>9</v>
      </c>
      <c r="Q2" s="58" t="s">
        <v>215</v>
      </c>
      <c r="R2" s="59" t="s">
        <v>213</v>
      </c>
      <c r="W2" s="54" t="s">
        <v>9</v>
      </c>
      <c r="X2" s="55" t="s">
        <v>210</v>
      </c>
      <c r="Y2" s="56" t="s">
        <v>216</v>
      </c>
      <c r="AA2" s="18" t="s">
        <v>9</v>
      </c>
      <c r="AB2" s="58" t="s">
        <v>217</v>
      </c>
      <c r="AC2" s="59" t="s">
        <v>213</v>
      </c>
      <c r="AE2" s="54" t="s">
        <v>9</v>
      </c>
      <c r="AF2" s="55" t="s">
        <v>210</v>
      </c>
      <c r="AG2" s="56" t="s">
        <v>218</v>
      </c>
      <c r="AI2" s="18" t="s">
        <v>9</v>
      </c>
      <c r="AJ2" s="58" t="s">
        <v>219</v>
      </c>
      <c r="AK2" s="59" t="s">
        <v>213</v>
      </c>
    </row>
    <row r="3" spans="1:37" x14ac:dyDescent="0.25">
      <c r="A3" s="1">
        <v>1</v>
      </c>
      <c r="B3" s="1">
        <v>0</v>
      </c>
      <c r="C3" s="1">
        <v>0</v>
      </c>
      <c r="E3" s="1">
        <v>1</v>
      </c>
      <c r="F3" s="1">
        <v>0</v>
      </c>
      <c r="G3" s="1">
        <f>B3+C3-F3</f>
        <v>0</v>
      </c>
      <c r="L3" s="1">
        <v>1</v>
      </c>
      <c r="M3" s="1">
        <v>0</v>
      </c>
      <c r="N3" s="1">
        <v>0</v>
      </c>
      <c r="P3" s="1">
        <v>1</v>
      </c>
      <c r="Q3" s="1">
        <v>0</v>
      </c>
      <c r="R3" s="1">
        <f>M3+N3-Q3</f>
        <v>0</v>
      </c>
      <c r="W3" s="1">
        <v>1</v>
      </c>
      <c r="X3" s="1">
        <v>0</v>
      </c>
      <c r="Y3" s="1">
        <v>0</v>
      </c>
      <c r="AA3" s="1">
        <v>1</v>
      </c>
      <c r="AB3" s="1">
        <v>0</v>
      </c>
      <c r="AC3" s="1">
        <f>X3+Y3-AB3</f>
        <v>0</v>
      </c>
      <c r="AE3" s="1">
        <v>1</v>
      </c>
      <c r="AF3" s="1">
        <v>0</v>
      </c>
      <c r="AG3" s="1">
        <v>0</v>
      </c>
      <c r="AI3" s="1">
        <v>1</v>
      </c>
      <c r="AJ3" s="1">
        <v>0</v>
      </c>
      <c r="AK3" s="1">
        <f>AF3+AG3-AJ3</f>
        <v>0</v>
      </c>
    </row>
    <row r="4" spans="1:37" x14ac:dyDescent="0.25">
      <c r="A4" s="1">
        <v>2</v>
      </c>
      <c r="B4" s="1">
        <f>G3</f>
        <v>0</v>
      </c>
      <c r="C4" s="1">
        <v>0</v>
      </c>
      <c r="E4" s="1">
        <v>2</v>
      </c>
      <c r="F4" s="1">
        <v>0</v>
      </c>
      <c r="G4" s="1">
        <f t="shared" ref="G4:G33" si="0">B4+C4-F4</f>
        <v>0</v>
      </c>
      <c r="L4" s="1">
        <v>2</v>
      </c>
      <c r="M4" s="1">
        <f>R3</f>
        <v>0</v>
      </c>
      <c r="N4" s="1">
        <v>0</v>
      </c>
      <c r="P4" s="1">
        <v>2</v>
      </c>
      <c r="Q4" s="1">
        <v>0</v>
      </c>
      <c r="R4" s="1">
        <f t="shared" ref="R4:R33" si="1">M4+N4-Q4</f>
        <v>0</v>
      </c>
      <c r="W4" s="1">
        <v>2</v>
      </c>
      <c r="X4" s="1">
        <f>AC3</f>
        <v>0</v>
      </c>
      <c r="Y4" s="1">
        <v>0</v>
      </c>
      <c r="AA4" s="1">
        <v>2</v>
      </c>
      <c r="AB4" s="1">
        <v>0</v>
      </c>
      <c r="AC4" s="1">
        <f t="shared" ref="AC4:AC33" si="2">X4+Y4-AB4</f>
        <v>0</v>
      </c>
      <c r="AE4" s="1">
        <v>2</v>
      </c>
      <c r="AF4" s="1">
        <f>AK3</f>
        <v>0</v>
      </c>
      <c r="AG4" s="1">
        <v>0</v>
      </c>
      <c r="AI4" s="1">
        <v>2</v>
      </c>
      <c r="AJ4" s="1">
        <v>0</v>
      </c>
      <c r="AK4" s="1">
        <f t="shared" ref="AK4:AK33" si="3">AF4+AG4-AJ4</f>
        <v>0</v>
      </c>
    </row>
    <row r="5" spans="1:37" x14ac:dyDescent="0.25">
      <c r="A5" s="1">
        <v>3</v>
      </c>
      <c r="B5" s="1">
        <f>G4</f>
        <v>0</v>
      </c>
      <c r="C5" s="1">
        <v>0</v>
      </c>
      <c r="E5" s="1">
        <v>3</v>
      </c>
      <c r="F5" s="1">
        <v>0</v>
      </c>
      <c r="G5" s="1">
        <f t="shared" si="0"/>
        <v>0</v>
      </c>
      <c r="L5" s="1">
        <v>3</v>
      </c>
      <c r="M5" s="1">
        <f>R4</f>
        <v>0</v>
      </c>
      <c r="N5" s="1">
        <v>0</v>
      </c>
      <c r="P5" s="1">
        <v>3</v>
      </c>
      <c r="Q5" s="1">
        <v>0</v>
      </c>
      <c r="R5" s="1">
        <f t="shared" si="1"/>
        <v>0</v>
      </c>
      <c r="W5" s="1">
        <v>3</v>
      </c>
      <c r="X5" s="1">
        <f>AC4</f>
        <v>0</v>
      </c>
      <c r="Y5" s="1">
        <v>0</v>
      </c>
      <c r="AA5" s="1">
        <v>3</v>
      </c>
      <c r="AB5" s="1">
        <v>0</v>
      </c>
      <c r="AC5" s="1">
        <f t="shared" si="2"/>
        <v>0</v>
      </c>
      <c r="AE5" s="1">
        <v>3</v>
      </c>
      <c r="AF5" s="1">
        <f>AK4</f>
        <v>0</v>
      </c>
      <c r="AG5" s="1">
        <v>0</v>
      </c>
      <c r="AI5" s="1">
        <v>3</v>
      </c>
      <c r="AJ5" s="1">
        <v>0</v>
      </c>
      <c r="AK5" s="1">
        <f t="shared" si="3"/>
        <v>0</v>
      </c>
    </row>
    <row r="6" spans="1:37" x14ac:dyDescent="0.25">
      <c r="A6" s="1">
        <v>4</v>
      </c>
      <c r="B6" s="1">
        <v>0</v>
      </c>
      <c r="C6" s="1">
        <v>0</v>
      </c>
      <c r="E6" s="1">
        <v>4</v>
      </c>
      <c r="F6" s="1">
        <v>0</v>
      </c>
      <c r="G6" s="1">
        <f t="shared" si="0"/>
        <v>0</v>
      </c>
      <c r="L6" s="1">
        <v>4</v>
      </c>
      <c r="M6" s="1">
        <v>0</v>
      </c>
      <c r="N6" s="1">
        <v>0</v>
      </c>
      <c r="P6" s="1">
        <v>4</v>
      </c>
      <c r="Q6" s="1">
        <v>0</v>
      </c>
      <c r="R6" s="1">
        <f t="shared" si="1"/>
        <v>0</v>
      </c>
      <c r="W6" s="1">
        <v>4</v>
      </c>
      <c r="X6" s="1">
        <v>0</v>
      </c>
      <c r="Y6" s="1">
        <v>0</v>
      </c>
      <c r="AA6" s="1">
        <v>4</v>
      </c>
      <c r="AB6" s="1">
        <v>0</v>
      </c>
      <c r="AC6" s="1">
        <f t="shared" si="2"/>
        <v>0</v>
      </c>
      <c r="AE6" s="1">
        <v>4</v>
      </c>
      <c r="AF6" s="1">
        <v>0</v>
      </c>
      <c r="AG6" s="1">
        <v>0</v>
      </c>
      <c r="AI6" s="1">
        <v>4</v>
      </c>
      <c r="AJ6" s="1">
        <v>0</v>
      </c>
      <c r="AK6" s="1">
        <f t="shared" si="3"/>
        <v>0</v>
      </c>
    </row>
    <row r="7" spans="1:37" x14ac:dyDescent="0.25">
      <c r="A7" s="1">
        <v>5</v>
      </c>
      <c r="B7" s="1">
        <f>G6</f>
        <v>0</v>
      </c>
      <c r="C7" s="1">
        <v>0</v>
      </c>
      <c r="E7" s="1">
        <v>5</v>
      </c>
      <c r="F7" s="1">
        <v>0</v>
      </c>
      <c r="G7" s="1">
        <f t="shared" si="0"/>
        <v>0</v>
      </c>
      <c r="L7" s="1">
        <v>5</v>
      </c>
      <c r="M7" s="1">
        <f>R6</f>
        <v>0</v>
      </c>
      <c r="N7" s="1">
        <v>0</v>
      </c>
      <c r="P7" s="1">
        <v>5</v>
      </c>
      <c r="Q7" s="1">
        <v>0</v>
      </c>
      <c r="R7" s="1">
        <f t="shared" si="1"/>
        <v>0</v>
      </c>
      <c r="W7" s="1">
        <v>5</v>
      </c>
      <c r="X7" s="1">
        <f>AC6</f>
        <v>0</v>
      </c>
      <c r="Y7" s="1">
        <v>0</v>
      </c>
      <c r="AA7" s="1">
        <v>5</v>
      </c>
      <c r="AB7" s="1">
        <v>0</v>
      </c>
      <c r="AC7" s="1">
        <f t="shared" si="2"/>
        <v>0</v>
      </c>
      <c r="AE7" s="1">
        <v>5</v>
      </c>
      <c r="AF7" s="1">
        <f>AK6</f>
        <v>0</v>
      </c>
      <c r="AG7" s="1">
        <v>0</v>
      </c>
      <c r="AI7" s="1">
        <v>5</v>
      </c>
      <c r="AJ7" s="1">
        <v>0</v>
      </c>
      <c r="AK7" s="1">
        <f t="shared" si="3"/>
        <v>0</v>
      </c>
    </row>
    <row r="8" spans="1:37" x14ac:dyDescent="0.25">
      <c r="A8" s="1">
        <v>6</v>
      </c>
      <c r="B8" s="1">
        <f>G7</f>
        <v>0</v>
      </c>
      <c r="C8" s="1">
        <v>0</v>
      </c>
      <c r="E8" s="1">
        <v>6</v>
      </c>
      <c r="F8" s="1">
        <v>0</v>
      </c>
      <c r="G8" s="1">
        <f t="shared" si="0"/>
        <v>0</v>
      </c>
      <c r="L8" s="1">
        <v>6</v>
      </c>
      <c r="M8" s="1">
        <f>R7</f>
        <v>0</v>
      </c>
      <c r="N8" s="1">
        <v>0</v>
      </c>
      <c r="P8" s="1">
        <v>6</v>
      </c>
      <c r="Q8" s="1">
        <v>0</v>
      </c>
      <c r="R8" s="1">
        <f t="shared" si="1"/>
        <v>0</v>
      </c>
      <c r="W8" s="1">
        <v>6</v>
      </c>
      <c r="X8" s="1">
        <f>AC7</f>
        <v>0</v>
      </c>
      <c r="Y8" s="1">
        <v>0</v>
      </c>
      <c r="AA8" s="1">
        <v>6</v>
      </c>
      <c r="AB8" s="1">
        <v>0</v>
      </c>
      <c r="AC8" s="1">
        <f t="shared" si="2"/>
        <v>0</v>
      </c>
      <c r="AE8" s="1">
        <v>6</v>
      </c>
      <c r="AF8" s="1">
        <f>AK7</f>
        <v>0</v>
      </c>
      <c r="AG8" s="1">
        <v>0</v>
      </c>
      <c r="AI8" s="1">
        <v>6</v>
      </c>
      <c r="AJ8" s="1">
        <v>0</v>
      </c>
      <c r="AK8" s="1">
        <f t="shared" si="3"/>
        <v>0</v>
      </c>
    </row>
    <row r="9" spans="1:37" x14ac:dyDescent="0.25">
      <c r="A9" s="1">
        <v>7</v>
      </c>
      <c r="B9" s="1">
        <v>0</v>
      </c>
      <c r="C9" s="1">
        <v>0</v>
      </c>
      <c r="E9" s="1">
        <v>7</v>
      </c>
      <c r="F9" s="1">
        <v>0</v>
      </c>
      <c r="G9" s="1">
        <f t="shared" si="0"/>
        <v>0</v>
      </c>
      <c r="L9" s="1">
        <v>7</v>
      </c>
      <c r="M9" s="1">
        <v>0</v>
      </c>
      <c r="N9" s="1">
        <v>0</v>
      </c>
      <c r="P9" s="1">
        <v>7</v>
      </c>
      <c r="Q9" s="1">
        <v>0</v>
      </c>
      <c r="R9" s="1">
        <f t="shared" si="1"/>
        <v>0</v>
      </c>
      <c r="W9" s="1">
        <v>7</v>
      </c>
      <c r="X9" s="1">
        <v>0</v>
      </c>
      <c r="Y9" s="1">
        <v>0</v>
      </c>
      <c r="AA9" s="1">
        <v>7</v>
      </c>
      <c r="AB9" s="1">
        <v>0</v>
      </c>
      <c r="AC9" s="1">
        <f t="shared" si="2"/>
        <v>0</v>
      </c>
      <c r="AE9" s="1">
        <v>7</v>
      </c>
      <c r="AF9" s="1">
        <v>0</v>
      </c>
      <c r="AG9" s="1">
        <v>0</v>
      </c>
      <c r="AI9" s="1">
        <v>7</v>
      </c>
      <c r="AJ9" s="1">
        <v>0</v>
      </c>
      <c r="AK9" s="1">
        <f t="shared" si="3"/>
        <v>0</v>
      </c>
    </row>
    <row r="10" spans="1:37" x14ac:dyDescent="0.25">
      <c r="A10" s="1">
        <v>8</v>
      </c>
      <c r="B10" s="1">
        <f>G9</f>
        <v>0</v>
      </c>
      <c r="C10" s="1">
        <v>0</v>
      </c>
      <c r="E10" s="1">
        <v>8</v>
      </c>
      <c r="F10" s="1">
        <v>0</v>
      </c>
      <c r="G10" s="1">
        <f t="shared" si="0"/>
        <v>0</v>
      </c>
      <c r="L10" s="1">
        <v>8</v>
      </c>
      <c r="M10" s="1">
        <f>R9</f>
        <v>0</v>
      </c>
      <c r="N10" s="1">
        <v>0</v>
      </c>
      <c r="P10" s="1">
        <v>8</v>
      </c>
      <c r="Q10" s="1">
        <v>0</v>
      </c>
      <c r="R10" s="1">
        <f t="shared" si="1"/>
        <v>0</v>
      </c>
      <c r="W10" s="1">
        <v>8</v>
      </c>
      <c r="X10" s="1">
        <f>AC9</f>
        <v>0</v>
      </c>
      <c r="Y10" s="1">
        <v>0</v>
      </c>
      <c r="AA10" s="1">
        <v>8</v>
      </c>
      <c r="AB10" s="1">
        <v>0</v>
      </c>
      <c r="AC10" s="1">
        <f t="shared" si="2"/>
        <v>0</v>
      </c>
      <c r="AE10" s="1">
        <v>8</v>
      </c>
      <c r="AF10" s="1">
        <f>AK9</f>
        <v>0</v>
      </c>
      <c r="AG10" s="1">
        <v>0</v>
      </c>
      <c r="AI10" s="1">
        <v>8</v>
      </c>
      <c r="AJ10" s="1">
        <v>0</v>
      </c>
      <c r="AK10" s="1">
        <f t="shared" si="3"/>
        <v>0</v>
      </c>
    </row>
    <row r="11" spans="1:37" x14ac:dyDescent="0.25">
      <c r="A11" s="1">
        <v>9</v>
      </c>
      <c r="B11" s="1">
        <f>G10</f>
        <v>0</v>
      </c>
      <c r="C11" s="1">
        <v>0</v>
      </c>
      <c r="E11" s="1">
        <v>9</v>
      </c>
      <c r="F11" s="1">
        <v>0</v>
      </c>
      <c r="G11" s="1">
        <f t="shared" si="0"/>
        <v>0</v>
      </c>
      <c r="L11" s="1">
        <v>9</v>
      </c>
      <c r="M11" s="1">
        <f>R10</f>
        <v>0</v>
      </c>
      <c r="N11" s="1">
        <v>0</v>
      </c>
      <c r="P11" s="1">
        <v>9</v>
      </c>
      <c r="Q11" s="1">
        <v>0</v>
      </c>
      <c r="R11" s="1">
        <f t="shared" si="1"/>
        <v>0</v>
      </c>
      <c r="W11" s="1">
        <v>9</v>
      </c>
      <c r="X11" s="1">
        <f>AC10</f>
        <v>0</v>
      </c>
      <c r="Y11" s="1">
        <v>0</v>
      </c>
      <c r="AA11" s="1">
        <v>9</v>
      </c>
      <c r="AB11" s="1">
        <v>0</v>
      </c>
      <c r="AC11" s="1">
        <f t="shared" si="2"/>
        <v>0</v>
      </c>
      <c r="AE11" s="1">
        <v>9</v>
      </c>
      <c r="AF11" s="1">
        <f>AK10</f>
        <v>0</v>
      </c>
      <c r="AG11" s="1">
        <v>0</v>
      </c>
      <c r="AI11" s="1">
        <v>9</v>
      </c>
      <c r="AJ11" s="1">
        <v>0</v>
      </c>
      <c r="AK11" s="1">
        <f t="shared" si="3"/>
        <v>0</v>
      </c>
    </row>
    <row r="12" spans="1:37" x14ac:dyDescent="0.25">
      <c r="A12" s="1">
        <v>10</v>
      </c>
      <c r="B12" s="1">
        <v>0</v>
      </c>
      <c r="C12" s="1">
        <v>0</v>
      </c>
      <c r="E12" s="1">
        <v>10</v>
      </c>
      <c r="F12" s="1">
        <v>0</v>
      </c>
      <c r="G12" s="1">
        <f t="shared" si="0"/>
        <v>0</v>
      </c>
      <c r="L12" s="1">
        <v>10</v>
      </c>
      <c r="M12" s="1">
        <v>0</v>
      </c>
      <c r="N12" s="1">
        <v>0</v>
      </c>
      <c r="P12" s="1">
        <v>10</v>
      </c>
      <c r="Q12" s="1">
        <v>0</v>
      </c>
      <c r="R12" s="1">
        <f t="shared" si="1"/>
        <v>0</v>
      </c>
      <c r="W12" s="1">
        <v>10</v>
      </c>
      <c r="X12" s="1">
        <v>0</v>
      </c>
      <c r="Y12" s="1">
        <v>0</v>
      </c>
      <c r="AA12" s="1">
        <v>10</v>
      </c>
      <c r="AB12" s="1">
        <v>0</v>
      </c>
      <c r="AC12" s="1">
        <f t="shared" si="2"/>
        <v>0</v>
      </c>
      <c r="AE12" s="1">
        <v>10</v>
      </c>
      <c r="AF12" s="1">
        <v>0</v>
      </c>
      <c r="AG12" s="1">
        <v>0</v>
      </c>
      <c r="AI12" s="1">
        <v>10</v>
      </c>
      <c r="AJ12" s="1">
        <v>0</v>
      </c>
      <c r="AK12" s="1">
        <f t="shared" si="3"/>
        <v>0</v>
      </c>
    </row>
    <row r="13" spans="1:37" x14ac:dyDescent="0.25">
      <c r="A13" s="1">
        <v>11</v>
      </c>
      <c r="B13" s="1">
        <f>G12</f>
        <v>0</v>
      </c>
      <c r="C13" s="1">
        <v>0</v>
      </c>
      <c r="E13" s="1">
        <v>11</v>
      </c>
      <c r="F13" s="1">
        <v>0</v>
      </c>
      <c r="G13" s="1">
        <f t="shared" si="0"/>
        <v>0</v>
      </c>
      <c r="L13" s="1">
        <v>11</v>
      </c>
      <c r="M13" s="1">
        <f>R12</f>
        <v>0</v>
      </c>
      <c r="N13" s="1">
        <v>0</v>
      </c>
      <c r="P13" s="1">
        <v>11</v>
      </c>
      <c r="Q13" s="1">
        <v>0</v>
      </c>
      <c r="R13" s="1">
        <f t="shared" si="1"/>
        <v>0</v>
      </c>
      <c r="W13" s="1">
        <v>11</v>
      </c>
      <c r="X13" s="1">
        <f>AC12</f>
        <v>0</v>
      </c>
      <c r="Y13" s="1">
        <v>0</v>
      </c>
      <c r="AA13" s="1">
        <v>11</v>
      </c>
      <c r="AB13" s="1">
        <v>0</v>
      </c>
      <c r="AC13" s="1">
        <f t="shared" si="2"/>
        <v>0</v>
      </c>
      <c r="AE13" s="1">
        <v>11</v>
      </c>
      <c r="AF13" s="1">
        <f>AK12</f>
        <v>0</v>
      </c>
      <c r="AG13" s="1">
        <v>0</v>
      </c>
      <c r="AI13" s="1">
        <v>11</v>
      </c>
      <c r="AJ13" s="1">
        <v>0</v>
      </c>
      <c r="AK13" s="1">
        <f t="shared" si="3"/>
        <v>0</v>
      </c>
    </row>
    <row r="14" spans="1:37" x14ac:dyDescent="0.25">
      <c r="A14" s="1">
        <v>12</v>
      </c>
      <c r="B14" s="1">
        <f>G13</f>
        <v>0</v>
      </c>
      <c r="C14" s="1">
        <v>0</v>
      </c>
      <c r="E14" s="1">
        <v>12</v>
      </c>
      <c r="F14" s="1">
        <v>0</v>
      </c>
      <c r="G14" s="1">
        <f t="shared" si="0"/>
        <v>0</v>
      </c>
      <c r="L14" s="1">
        <v>12</v>
      </c>
      <c r="M14" s="1">
        <f>R13</f>
        <v>0</v>
      </c>
      <c r="N14" s="1">
        <v>0</v>
      </c>
      <c r="P14" s="1">
        <v>12</v>
      </c>
      <c r="Q14" s="1">
        <v>0</v>
      </c>
      <c r="R14" s="1">
        <f t="shared" si="1"/>
        <v>0</v>
      </c>
      <c r="W14" s="1">
        <v>12</v>
      </c>
      <c r="X14" s="1">
        <f>AC13</f>
        <v>0</v>
      </c>
      <c r="Y14" s="1">
        <v>0</v>
      </c>
      <c r="AA14" s="1">
        <v>12</v>
      </c>
      <c r="AB14" s="1">
        <v>0</v>
      </c>
      <c r="AC14" s="1">
        <f t="shared" si="2"/>
        <v>0</v>
      </c>
      <c r="AE14" s="1">
        <v>12</v>
      </c>
      <c r="AF14" s="1">
        <f>AK13</f>
        <v>0</v>
      </c>
      <c r="AG14" s="1">
        <v>0</v>
      </c>
      <c r="AI14" s="1">
        <v>12</v>
      </c>
      <c r="AJ14" s="1">
        <v>0</v>
      </c>
      <c r="AK14" s="1">
        <f t="shared" si="3"/>
        <v>0</v>
      </c>
    </row>
    <row r="15" spans="1:37" x14ac:dyDescent="0.25">
      <c r="A15" s="1">
        <v>13</v>
      </c>
      <c r="B15" s="1">
        <v>0</v>
      </c>
      <c r="C15" s="1">
        <v>0</v>
      </c>
      <c r="E15" s="1">
        <v>13</v>
      </c>
      <c r="F15" s="1">
        <v>0</v>
      </c>
      <c r="G15" s="1">
        <f t="shared" si="0"/>
        <v>0</v>
      </c>
      <c r="L15" s="1">
        <v>13</v>
      </c>
      <c r="M15" s="1">
        <v>0</v>
      </c>
      <c r="N15" s="1">
        <v>0</v>
      </c>
      <c r="P15" s="1">
        <v>13</v>
      </c>
      <c r="Q15" s="1">
        <v>0</v>
      </c>
      <c r="R15" s="1">
        <f t="shared" si="1"/>
        <v>0</v>
      </c>
      <c r="W15" s="1">
        <v>13</v>
      </c>
      <c r="X15" s="1">
        <v>0</v>
      </c>
      <c r="Y15" s="1">
        <v>0</v>
      </c>
      <c r="AA15" s="1">
        <v>13</v>
      </c>
      <c r="AB15" s="1">
        <v>0</v>
      </c>
      <c r="AC15" s="1">
        <f t="shared" si="2"/>
        <v>0</v>
      </c>
      <c r="AE15" s="1">
        <v>13</v>
      </c>
      <c r="AF15" s="1">
        <v>0</v>
      </c>
      <c r="AG15" s="1">
        <v>0</v>
      </c>
      <c r="AI15" s="1">
        <v>13</v>
      </c>
      <c r="AJ15" s="1">
        <v>0</v>
      </c>
      <c r="AK15" s="1">
        <f t="shared" si="3"/>
        <v>0</v>
      </c>
    </row>
    <row r="16" spans="1:37" x14ac:dyDescent="0.25">
      <c r="A16" s="1">
        <v>14</v>
      </c>
      <c r="B16" s="1">
        <f>G15</f>
        <v>0</v>
      </c>
      <c r="C16" s="1">
        <v>0</v>
      </c>
      <c r="E16" s="1">
        <v>14</v>
      </c>
      <c r="F16" s="1">
        <v>0</v>
      </c>
      <c r="G16" s="1">
        <f t="shared" si="0"/>
        <v>0</v>
      </c>
      <c r="L16" s="1">
        <v>14</v>
      </c>
      <c r="M16" s="1">
        <f>R15</f>
        <v>0</v>
      </c>
      <c r="N16" s="1">
        <v>0</v>
      </c>
      <c r="P16" s="1">
        <v>14</v>
      </c>
      <c r="Q16" s="1">
        <v>0</v>
      </c>
      <c r="R16" s="1">
        <f t="shared" si="1"/>
        <v>0</v>
      </c>
      <c r="W16" s="1">
        <v>14</v>
      </c>
      <c r="X16" s="1">
        <f>AC15</f>
        <v>0</v>
      </c>
      <c r="Y16" s="1">
        <v>0</v>
      </c>
      <c r="AA16" s="1">
        <v>14</v>
      </c>
      <c r="AB16" s="1">
        <v>0</v>
      </c>
      <c r="AC16" s="1">
        <f t="shared" si="2"/>
        <v>0</v>
      </c>
      <c r="AE16" s="1">
        <v>14</v>
      </c>
      <c r="AF16" s="1">
        <f>AK15</f>
        <v>0</v>
      </c>
      <c r="AG16" s="1">
        <v>0</v>
      </c>
      <c r="AI16" s="1">
        <v>14</v>
      </c>
      <c r="AJ16" s="1">
        <v>0</v>
      </c>
      <c r="AK16" s="1">
        <f t="shared" si="3"/>
        <v>0</v>
      </c>
    </row>
    <row r="17" spans="1:37" x14ac:dyDescent="0.25">
      <c r="A17" s="1">
        <v>15</v>
      </c>
      <c r="B17" s="1">
        <f>G16</f>
        <v>0</v>
      </c>
      <c r="C17" s="1">
        <v>0</v>
      </c>
      <c r="E17" s="1">
        <v>15</v>
      </c>
      <c r="F17" s="1">
        <v>0</v>
      </c>
      <c r="G17" s="1">
        <f t="shared" si="0"/>
        <v>0</v>
      </c>
      <c r="L17" s="1">
        <v>15</v>
      </c>
      <c r="M17" s="1">
        <f>R16</f>
        <v>0</v>
      </c>
      <c r="N17" s="1">
        <v>0</v>
      </c>
      <c r="P17" s="1">
        <v>15</v>
      </c>
      <c r="Q17" s="1">
        <v>0</v>
      </c>
      <c r="R17" s="1">
        <f t="shared" si="1"/>
        <v>0</v>
      </c>
      <c r="W17" s="1">
        <v>15</v>
      </c>
      <c r="X17" s="1">
        <f>AC16</f>
        <v>0</v>
      </c>
      <c r="Y17" s="1">
        <v>0</v>
      </c>
      <c r="AA17" s="1">
        <v>15</v>
      </c>
      <c r="AB17" s="1">
        <v>0</v>
      </c>
      <c r="AC17" s="1">
        <f t="shared" si="2"/>
        <v>0</v>
      </c>
      <c r="AE17" s="1">
        <v>15</v>
      </c>
      <c r="AF17" s="1">
        <f>AK16</f>
        <v>0</v>
      </c>
      <c r="AG17" s="1">
        <v>0</v>
      </c>
      <c r="AI17" s="1">
        <v>15</v>
      </c>
      <c r="AJ17" s="1">
        <v>0</v>
      </c>
      <c r="AK17" s="1">
        <f t="shared" si="3"/>
        <v>0</v>
      </c>
    </row>
    <row r="18" spans="1:37" x14ac:dyDescent="0.25">
      <c r="A18" s="1">
        <v>16</v>
      </c>
      <c r="B18" s="1">
        <v>0</v>
      </c>
      <c r="C18" s="1">
        <v>0</v>
      </c>
      <c r="E18" s="1">
        <v>16</v>
      </c>
      <c r="F18" s="1">
        <v>0</v>
      </c>
      <c r="G18" s="1">
        <f t="shared" si="0"/>
        <v>0</v>
      </c>
      <c r="L18" s="1">
        <v>16</v>
      </c>
      <c r="M18" s="1">
        <v>0</v>
      </c>
      <c r="N18" s="1">
        <v>0</v>
      </c>
      <c r="P18" s="1">
        <v>16</v>
      </c>
      <c r="Q18" s="1">
        <v>0</v>
      </c>
      <c r="R18" s="1">
        <f t="shared" si="1"/>
        <v>0</v>
      </c>
      <c r="W18" s="1">
        <v>16</v>
      </c>
      <c r="X18" s="1">
        <v>0</v>
      </c>
      <c r="Y18" s="1">
        <v>0</v>
      </c>
      <c r="AA18" s="1">
        <v>16</v>
      </c>
      <c r="AB18" s="1">
        <v>0</v>
      </c>
      <c r="AC18" s="1">
        <f t="shared" si="2"/>
        <v>0</v>
      </c>
      <c r="AE18" s="1">
        <v>16</v>
      </c>
      <c r="AF18" s="1">
        <v>0</v>
      </c>
      <c r="AG18" s="1">
        <v>0</v>
      </c>
      <c r="AI18" s="1">
        <v>16</v>
      </c>
      <c r="AJ18" s="1">
        <v>0</v>
      </c>
      <c r="AK18" s="1">
        <f t="shared" si="3"/>
        <v>0</v>
      </c>
    </row>
    <row r="19" spans="1:37" x14ac:dyDescent="0.25">
      <c r="A19" s="1">
        <v>17</v>
      </c>
      <c r="B19" s="1">
        <f>G18</f>
        <v>0</v>
      </c>
      <c r="C19" s="1">
        <v>0</v>
      </c>
      <c r="E19" s="1">
        <v>17</v>
      </c>
      <c r="F19" s="1">
        <v>0</v>
      </c>
      <c r="G19" s="1">
        <f t="shared" si="0"/>
        <v>0</v>
      </c>
      <c r="L19" s="1">
        <v>17</v>
      </c>
      <c r="M19" s="1">
        <f>R18</f>
        <v>0</v>
      </c>
      <c r="N19" s="1">
        <v>0</v>
      </c>
      <c r="P19" s="1">
        <v>17</v>
      </c>
      <c r="Q19" s="1">
        <v>0</v>
      </c>
      <c r="R19" s="1">
        <f t="shared" si="1"/>
        <v>0</v>
      </c>
      <c r="W19" s="1">
        <v>17</v>
      </c>
      <c r="X19" s="1">
        <f>AC18</f>
        <v>0</v>
      </c>
      <c r="Y19" s="1">
        <v>0</v>
      </c>
      <c r="AA19" s="1">
        <v>17</v>
      </c>
      <c r="AB19" s="1">
        <v>0</v>
      </c>
      <c r="AC19" s="1">
        <f t="shared" si="2"/>
        <v>0</v>
      </c>
      <c r="AE19" s="1">
        <v>17</v>
      </c>
      <c r="AF19" s="1">
        <f>AK18</f>
        <v>0</v>
      </c>
      <c r="AG19" s="1">
        <v>0</v>
      </c>
      <c r="AI19" s="1">
        <v>17</v>
      </c>
      <c r="AJ19" s="1">
        <v>0</v>
      </c>
      <c r="AK19" s="1">
        <f t="shared" si="3"/>
        <v>0</v>
      </c>
    </row>
    <row r="20" spans="1:37" x14ac:dyDescent="0.25">
      <c r="A20" s="1">
        <v>18</v>
      </c>
      <c r="B20" s="1">
        <f>G19</f>
        <v>0</v>
      </c>
      <c r="C20" s="1">
        <v>0</v>
      </c>
      <c r="E20" s="1">
        <v>18</v>
      </c>
      <c r="F20" s="1">
        <v>0</v>
      </c>
      <c r="G20" s="1">
        <f t="shared" si="0"/>
        <v>0</v>
      </c>
      <c r="L20" s="1">
        <v>18</v>
      </c>
      <c r="M20" s="1">
        <f>R19</f>
        <v>0</v>
      </c>
      <c r="N20" s="1">
        <v>0</v>
      </c>
      <c r="P20" s="1">
        <v>18</v>
      </c>
      <c r="Q20" s="1">
        <v>0</v>
      </c>
      <c r="R20" s="1">
        <f t="shared" si="1"/>
        <v>0</v>
      </c>
      <c r="W20" s="1">
        <v>18</v>
      </c>
      <c r="X20" s="1">
        <f>AC19</f>
        <v>0</v>
      </c>
      <c r="Y20" s="1">
        <v>0</v>
      </c>
      <c r="AA20" s="1">
        <v>18</v>
      </c>
      <c r="AB20" s="1">
        <v>0</v>
      </c>
      <c r="AC20" s="1">
        <f t="shared" si="2"/>
        <v>0</v>
      </c>
      <c r="AE20" s="1">
        <v>18</v>
      </c>
      <c r="AF20" s="1">
        <f>AK19</f>
        <v>0</v>
      </c>
      <c r="AG20" s="1">
        <v>0</v>
      </c>
      <c r="AI20" s="1">
        <v>18</v>
      </c>
      <c r="AJ20" s="1">
        <v>0</v>
      </c>
      <c r="AK20" s="1">
        <f t="shared" si="3"/>
        <v>0</v>
      </c>
    </row>
    <row r="21" spans="1:37" x14ac:dyDescent="0.25">
      <c r="A21" s="1">
        <v>19</v>
      </c>
      <c r="B21" s="1">
        <v>0</v>
      </c>
      <c r="C21" s="1">
        <v>0</v>
      </c>
      <c r="E21" s="1">
        <v>19</v>
      </c>
      <c r="F21" s="1">
        <v>0</v>
      </c>
      <c r="G21" s="1">
        <f t="shared" si="0"/>
        <v>0</v>
      </c>
      <c r="L21" s="1">
        <v>19</v>
      </c>
      <c r="M21" s="1">
        <v>0</v>
      </c>
      <c r="N21" s="1">
        <v>0</v>
      </c>
      <c r="P21" s="1">
        <v>19</v>
      </c>
      <c r="Q21" s="1">
        <v>0</v>
      </c>
      <c r="R21" s="1">
        <f t="shared" si="1"/>
        <v>0</v>
      </c>
      <c r="W21" s="1">
        <v>19</v>
      </c>
      <c r="X21" s="1">
        <v>0</v>
      </c>
      <c r="Y21" s="1">
        <v>0</v>
      </c>
      <c r="AA21" s="1">
        <v>19</v>
      </c>
      <c r="AB21" s="1">
        <v>0</v>
      </c>
      <c r="AC21" s="1">
        <f t="shared" si="2"/>
        <v>0</v>
      </c>
      <c r="AE21" s="1">
        <v>19</v>
      </c>
      <c r="AF21" s="1">
        <v>0</v>
      </c>
      <c r="AG21" s="1">
        <v>0</v>
      </c>
      <c r="AI21" s="1">
        <v>19</v>
      </c>
      <c r="AJ21" s="1">
        <v>0</v>
      </c>
      <c r="AK21" s="1">
        <f t="shared" si="3"/>
        <v>0</v>
      </c>
    </row>
    <row r="22" spans="1:37" x14ac:dyDescent="0.25">
      <c r="A22" s="1">
        <v>20</v>
      </c>
      <c r="B22" s="1">
        <f>G21</f>
        <v>0</v>
      </c>
      <c r="C22" s="1">
        <v>0</v>
      </c>
      <c r="E22" s="1">
        <v>20</v>
      </c>
      <c r="F22" s="1">
        <v>0</v>
      </c>
      <c r="G22" s="1">
        <f t="shared" si="0"/>
        <v>0</v>
      </c>
      <c r="L22" s="1">
        <v>20</v>
      </c>
      <c r="M22" s="1">
        <f>R21</f>
        <v>0</v>
      </c>
      <c r="N22" s="1">
        <v>0</v>
      </c>
      <c r="P22" s="1">
        <v>20</v>
      </c>
      <c r="Q22" s="1">
        <v>0</v>
      </c>
      <c r="R22" s="1">
        <f t="shared" si="1"/>
        <v>0</v>
      </c>
      <c r="W22" s="1">
        <v>20</v>
      </c>
      <c r="X22" s="1">
        <f>AC21</f>
        <v>0</v>
      </c>
      <c r="Y22" s="1">
        <v>0</v>
      </c>
      <c r="AA22" s="1">
        <v>20</v>
      </c>
      <c r="AB22" s="1">
        <v>0</v>
      </c>
      <c r="AC22" s="1">
        <f t="shared" si="2"/>
        <v>0</v>
      </c>
      <c r="AE22" s="1">
        <v>20</v>
      </c>
      <c r="AF22" s="1">
        <f>AK21</f>
        <v>0</v>
      </c>
      <c r="AG22" s="1">
        <v>0</v>
      </c>
      <c r="AI22" s="1">
        <v>20</v>
      </c>
      <c r="AJ22" s="1">
        <v>0</v>
      </c>
      <c r="AK22" s="1">
        <f t="shared" si="3"/>
        <v>0</v>
      </c>
    </row>
    <row r="23" spans="1:37" x14ac:dyDescent="0.25">
      <c r="A23" s="1">
        <v>21</v>
      </c>
      <c r="B23" s="1">
        <f>G22</f>
        <v>0</v>
      </c>
      <c r="C23" s="1">
        <v>0</v>
      </c>
      <c r="E23" s="1">
        <v>21</v>
      </c>
      <c r="F23" s="1">
        <v>0</v>
      </c>
      <c r="G23" s="1">
        <f t="shared" si="0"/>
        <v>0</v>
      </c>
      <c r="L23" s="1">
        <v>21</v>
      </c>
      <c r="M23" s="1">
        <f>R22</f>
        <v>0</v>
      </c>
      <c r="N23" s="1">
        <v>0</v>
      </c>
      <c r="P23" s="1">
        <v>21</v>
      </c>
      <c r="Q23" s="1">
        <v>0</v>
      </c>
      <c r="R23" s="1">
        <f t="shared" si="1"/>
        <v>0</v>
      </c>
      <c r="W23" s="1">
        <v>21</v>
      </c>
      <c r="X23" s="1">
        <f>AC22</f>
        <v>0</v>
      </c>
      <c r="Y23" s="1">
        <v>0</v>
      </c>
      <c r="AA23" s="1">
        <v>21</v>
      </c>
      <c r="AB23" s="1">
        <v>0</v>
      </c>
      <c r="AC23" s="1">
        <f t="shared" si="2"/>
        <v>0</v>
      </c>
      <c r="AE23" s="1">
        <v>21</v>
      </c>
      <c r="AF23" s="1">
        <f>AK22</f>
        <v>0</v>
      </c>
      <c r="AG23" s="1">
        <v>0</v>
      </c>
      <c r="AI23" s="1">
        <v>21</v>
      </c>
      <c r="AJ23" s="1">
        <v>0</v>
      </c>
      <c r="AK23" s="1">
        <f t="shared" si="3"/>
        <v>0</v>
      </c>
    </row>
    <row r="24" spans="1:37" x14ac:dyDescent="0.25">
      <c r="A24" s="1">
        <v>22</v>
      </c>
      <c r="B24" s="1">
        <v>0</v>
      </c>
      <c r="C24" s="1">
        <v>0</v>
      </c>
      <c r="E24" s="1">
        <v>22</v>
      </c>
      <c r="F24" s="1">
        <v>0</v>
      </c>
      <c r="G24" s="1">
        <f>B24+C24-F24</f>
        <v>0</v>
      </c>
      <c r="L24" s="1">
        <v>22</v>
      </c>
      <c r="M24" s="1">
        <v>0</v>
      </c>
      <c r="N24" s="1">
        <v>0</v>
      </c>
      <c r="P24" s="1">
        <v>22</v>
      </c>
      <c r="Q24" s="1">
        <v>0</v>
      </c>
      <c r="R24" s="1">
        <f t="shared" si="1"/>
        <v>0</v>
      </c>
      <c r="W24" s="1">
        <v>22</v>
      </c>
      <c r="X24" s="1">
        <v>0</v>
      </c>
      <c r="Y24" s="1">
        <v>0</v>
      </c>
      <c r="AA24" s="1">
        <v>22</v>
      </c>
      <c r="AB24" s="1">
        <v>0</v>
      </c>
      <c r="AC24" s="1">
        <f t="shared" si="2"/>
        <v>0</v>
      </c>
      <c r="AE24" s="1">
        <v>22</v>
      </c>
      <c r="AF24" s="1">
        <v>0</v>
      </c>
      <c r="AG24" s="1">
        <v>0</v>
      </c>
      <c r="AI24" s="1">
        <v>22</v>
      </c>
      <c r="AJ24" s="1">
        <v>0</v>
      </c>
      <c r="AK24" s="1">
        <f t="shared" si="3"/>
        <v>0</v>
      </c>
    </row>
    <row r="25" spans="1:37" x14ac:dyDescent="0.25">
      <c r="A25" s="1">
        <v>23</v>
      </c>
      <c r="B25" s="1">
        <f>G24</f>
        <v>0</v>
      </c>
      <c r="C25" s="1">
        <v>0</v>
      </c>
      <c r="E25" s="1">
        <v>23</v>
      </c>
      <c r="F25" s="1">
        <v>0</v>
      </c>
      <c r="G25" s="1">
        <f t="shared" si="0"/>
        <v>0</v>
      </c>
      <c r="L25" s="1">
        <v>23</v>
      </c>
      <c r="M25" s="1">
        <f>R24</f>
        <v>0</v>
      </c>
      <c r="N25" s="1">
        <v>0</v>
      </c>
      <c r="P25" s="1">
        <v>23</v>
      </c>
      <c r="Q25" s="1">
        <v>0</v>
      </c>
      <c r="R25" s="1">
        <f t="shared" si="1"/>
        <v>0</v>
      </c>
      <c r="W25" s="1">
        <v>23</v>
      </c>
      <c r="X25" s="1">
        <f>AC24</f>
        <v>0</v>
      </c>
      <c r="Y25" s="1">
        <v>0</v>
      </c>
      <c r="AA25" s="1">
        <v>23</v>
      </c>
      <c r="AB25" s="1">
        <v>0</v>
      </c>
      <c r="AC25" s="1">
        <f t="shared" si="2"/>
        <v>0</v>
      </c>
      <c r="AE25" s="1">
        <v>23</v>
      </c>
      <c r="AF25" s="1">
        <f>AK24</f>
        <v>0</v>
      </c>
      <c r="AG25" s="1">
        <v>0</v>
      </c>
      <c r="AI25" s="1">
        <v>23</v>
      </c>
      <c r="AJ25" s="1">
        <v>0</v>
      </c>
      <c r="AK25" s="1">
        <f t="shared" si="3"/>
        <v>0</v>
      </c>
    </row>
    <row r="26" spans="1:37" x14ac:dyDescent="0.25">
      <c r="A26" s="1">
        <v>24</v>
      </c>
      <c r="B26" s="1">
        <f>G25</f>
        <v>0</v>
      </c>
      <c r="C26" s="1">
        <v>0</v>
      </c>
      <c r="E26" s="1">
        <v>24</v>
      </c>
      <c r="F26" s="1">
        <v>0</v>
      </c>
      <c r="G26" s="1">
        <f t="shared" si="0"/>
        <v>0</v>
      </c>
      <c r="L26" s="1">
        <v>24</v>
      </c>
      <c r="M26" s="1">
        <f>R25</f>
        <v>0</v>
      </c>
      <c r="N26" s="1">
        <v>0</v>
      </c>
      <c r="P26" s="1">
        <v>24</v>
      </c>
      <c r="Q26" s="1">
        <v>0</v>
      </c>
      <c r="R26" s="1">
        <f t="shared" si="1"/>
        <v>0</v>
      </c>
      <c r="W26" s="1">
        <v>24</v>
      </c>
      <c r="X26" s="1">
        <f>AC25</f>
        <v>0</v>
      </c>
      <c r="Y26" s="1">
        <v>0</v>
      </c>
      <c r="AA26" s="1">
        <v>24</v>
      </c>
      <c r="AB26" s="1">
        <v>0</v>
      </c>
      <c r="AC26" s="1">
        <f t="shared" si="2"/>
        <v>0</v>
      </c>
      <c r="AE26" s="1">
        <v>24</v>
      </c>
      <c r="AF26" s="1">
        <f>AK25</f>
        <v>0</v>
      </c>
      <c r="AG26" s="1">
        <v>0</v>
      </c>
      <c r="AI26" s="1">
        <v>24</v>
      </c>
      <c r="AJ26" s="1">
        <v>0</v>
      </c>
      <c r="AK26" s="1">
        <f t="shared" si="3"/>
        <v>0</v>
      </c>
    </row>
    <row r="27" spans="1:37" x14ac:dyDescent="0.25">
      <c r="A27" s="1">
        <v>25</v>
      </c>
      <c r="B27" s="1">
        <v>0</v>
      </c>
      <c r="C27" s="1">
        <v>0</v>
      </c>
      <c r="E27" s="1">
        <v>25</v>
      </c>
      <c r="F27" s="1">
        <v>0</v>
      </c>
      <c r="G27" s="1">
        <f t="shared" si="0"/>
        <v>0</v>
      </c>
      <c r="L27" s="1">
        <v>25</v>
      </c>
      <c r="M27" s="1">
        <v>0</v>
      </c>
      <c r="N27" s="1">
        <v>0</v>
      </c>
      <c r="P27" s="1">
        <v>25</v>
      </c>
      <c r="Q27" s="1">
        <v>0</v>
      </c>
      <c r="R27" s="1">
        <f t="shared" si="1"/>
        <v>0</v>
      </c>
      <c r="W27" s="1">
        <v>25</v>
      </c>
      <c r="X27" s="1">
        <v>0</v>
      </c>
      <c r="Y27" s="1">
        <v>0</v>
      </c>
      <c r="AA27" s="1">
        <v>25</v>
      </c>
      <c r="AB27" s="1">
        <v>0</v>
      </c>
      <c r="AC27" s="1">
        <f t="shared" si="2"/>
        <v>0</v>
      </c>
      <c r="AE27" s="1">
        <v>25</v>
      </c>
      <c r="AF27" s="1">
        <v>0</v>
      </c>
      <c r="AG27" s="1">
        <v>0</v>
      </c>
      <c r="AI27" s="1">
        <v>25</v>
      </c>
      <c r="AJ27" s="1">
        <v>0</v>
      </c>
      <c r="AK27" s="1">
        <f t="shared" si="3"/>
        <v>0</v>
      </c>
    </row>
    <row r="28" spans="1:37" x14ac:dyDescent="0.25">
      <c r="A28" s="1">
        <v>26</v>
      </c>
      <c r="B28" s="1">
        <f>G27</f>
        <v>0</v>
      </c>
      <c r="C28" s="1">
        <v>0</v>
      </c>
      <c r="E28" s="1">
        <v>26</v>
      </c>
      <c r="F28" s="1">
        <v>0</v>
      </c>
      <c r="G28" s="1">
        <f t="shared" si="0"/>
        <v>0</v>
      </c>
      <c r="L28" s="1">
        <v>26</v>
      </c>
      <c r="M28" s="1">
        <f>R27</f>
        <v>0</v>
      </c>
      <c r="N28" s="1">
        <v>0</v>
      </c>
      <c r="P28" s="1">
        <v>26</v>
      </c>
      <c r="Q28" s="1">
        <v>0</v>
      </c>
      <c r="R28" s="1">
        <f t="shared" si="1"/>
        <v>0</v>
      </c>
      <c r="W28" s="1">
        <v>26</v>
      </c>
      <c r="X28" s="1">
        <f>AC27</f>
        <v>0</v>
      </c>
      <c r="Y28" s="1">
        <v>0</v>
      </c>
      <c r="AA28" s="1">
        <v>26</v>
      </c>
      <c r="AB28" s="1">
        <v>0</v>
      </c>
      <c r="AC28" s="1">
        <f t="shared" si="2"/>
        <v>0</v>
      </c>
      <c r="AE28" s="1">
        <v>26</v>
      </c>
      <c r="AF28" s="1">
        <f>AK27</f>
        <v>0</v>
      </c>
      <c r="AG28" s="1">
        <v>0</v>
      </c>
      <c r="AI28" s="1">
        <v>26</v>
      </c>
      <c r="AJ28" s="1">
        <v>0</v>
      </c>
      <c r="AK28" s="1">
        <f t="shared" si="3"/>
        <v>0</v>
      </c>
    </row>
    <row r="29" spans="1:37" x14ac:dyDescent="0.25">
      <c r="A29" s="1">
        <v>27</v>
      </c>
      <c r="B29" s="1">
        <f>G28</f>
        <v>0</v>
      </c>
      <c r="C29" s="1">
        <v>0</v>
      </c>
      <c r="E29" s="1">
        <v>27</v>
      </c>
      <c r="F29" s="1">
        <v>0</v>
      </c>
      <c r="G29" s="1">
        <f t="shared" si="0"/>
        <v>0</v>
      </c>
      <c r="L29" s="1">
        <v>27</v>
      </c>
      <c r="M29" s="1">
        <f>R28</f>
        <v>0</v>
      </c>
      <c r="N29" s="1">
        <v>0</v>
      </c>
      <c r="P29" s="1">
        <v>27</v>
      </c>
      <c r="Q29" s="1">
        <v>0</v>
      </c>
      <c r="R29" s="1">
        <f t="shared" si="1"/>
        <v>0</v>
      </c>
      <c r="W29" s="1">
        <v>27</v>
      </c>
      <c r="X29" s="1">
        <f>AC28</f>
        <v>0</v>
      </c>
      <c r="Y29" s="1">
        <v>0</v>
      </c>
      <c r="AA29" s="1">
        <v>27</v>
      </c>
      <c r="AB29" s="1">
        <v>0</v>
      </c>
      <c r="AC29" s="1">
        <f t="shared" si="2"/>
        <v>0</v>
      </c>
      <c r="AE29" s="1">
        <v>27</v>
      </c>
      <c r="AF29" s="1">
        <f>AK28</f>
        <v>0</v>
      </c>
      <c r="AG29" s="1">
        <v>0</v>
      </c>
      <c r="AI29" s="1">
        <v>27</v>
      </c>
      <c r="AJ29" s="1">
        <v>0</v>
      </c>
      <c r="AK29" s="1">
        <f t="shared" si="3"/>
        <v>0</v>
      </c>
    </row>
    <row r="30" spans="1:37" x14ac:dyDescent="0.25">
      <c r="A30" s="1">
        <v>28</v>
      </c>
      <c r="B30" s="1">
        <v>0</v>
      </c>
      <c r="C30" s="1">
        <v>0</v>
      </c>
      <c r="E30" s="1">
        <v>28</v>
      </c>
      <c r="F30" s="1">
        <v>0</v>
      </c>
      <c r="G30" s="1">
        <f t="shared" si="0"/>
        <v>0</v>
      </c>
      <c r="L30" s="1">
        <v>28</v>
      </c>
      <c r="M30" s="1">
        <v>0</v>
      </c>
      <c r="N30" s="1">
        <v>0</v>
      </c>
      <c r="P30" s="1">
        <v>28</v>
      </c>
      <c r="Q30" s="1">
        <v>0</v>
      </c>
      <c r="R30" s="1">
        <f t="shared" si="1"/>
        <v>0</v>
      </c>
      <c r="W30" s="1">
        <v>28</v>
      </c>
      <c r="X30" s="1">
        <v>0</v>
      </c>
      <c r="Y30" s="1">
        <v>0</v>
      </c>
      <c r="AA30" s="1">
        <v>28</v>
      </c>
      <c r="AB30" s="1">
        <v>0</v>
      </c>
      <c r="AC30" s="1">
        <f t="shared" si="2"/>
        <v>0</v>
      </c>
      <c r="AE30" s="1">
        <v>28</v>
      </c>
      <c r="AF30" s="1">
        <v>0</v>
      </c>
      <c r="AG30" s="1">
        <v>0</v>
      </c>
      <c r="AI30" s="1">
        <v>28</v>
      </c>
      <c r="AJ30" s="1">
        <v>0</v>
      </c>
      <c r="AK30" s="1">
        <f t="shared" si="3"/>
        <v>0</v>
      </c>
    </row>
    <row r="31" spans="1:37" x14ac:dyDescent="0.25">
      <c r="A31" s="1">
        <v>29</v>
      </c>
      <c r="B31" s="1">
        <f>G30</f>
        <v>0</v>
      </c>
      <c r="C31" s="1">
        <v>0</v>
      </c>
      <c r="E31" s="1">
        <v>29</v>
      </c>
      <c r="F31" s="1">
        <v>0</v>
      </c>
      <c r="G31" s="1">
        <f t="shared" si="0"/>
        <v>0</v>
      </c>
      <c r="L31" s="1">
        <v>29</v>
      </c>
      <c r="M31" s="1">
        <f>R30</f>
        <v>0</v>
      </c>
      <c r="N31" s="1">
        <v>0</v>
      </c>
      <c r="P31" s="1">
        <v>29</v>
      </c>
      <c r="Q31" s="1">
        <v>0</v>
      </c>
      <c r="R31" s="1">
        <f t="shared" si="1"/>
        <v>0</v>
      </c>
      <c r="W31" s="1">
        <v>29</v>
      </c>
      <c r="X31" s="1">
        <f>AC30</f>
        <v>0</v>
      </c>
      <c r="Y31" s="1">
        <v>0</v>
      </c>
      <c r="AA31" s="1">
        <v>29</v>
      </c>
      <c r="AB31" s="1">
        <v>0</v>
      </c>
      <c r="AC31" s="1">
        <f t="shared" si="2"/>
        <v>0</v>
      </c>
      <c r="AE31" s="1">
        <v>29</v>
      </c>
      <c r="AF31" s="1">
        <f>AK30</f>
        <v>0</v>
      </c>
      <c r="AG31" s="1">
        <v>0</v>
      </c>
      <c r="AI31" s="1">
        <v>29</v>
      </c>
      <c r="AJ31" s="1">
        <v>0</v>
      </c>
      <c r="AK31" s="1">
        <f t="shared" si="3"/>
        <v>0</v>
      </c>
    </row>
    <row r="32" spans="1:37" x14ac:dyDescent="0.25">
      <c r="A32" s="1">
        <v>30</v>
      </c>
      <c r="B32" s="1">
        <f>G31</f>
        <v>0</v>
      </c>
      <c r="C32" s="1">
        <v>0</v>
      </c>
      <c r="E32" s="1">
        <v>30</v>
      </c>
      <c r="F32" s="1">
        <v>0</v>
      </c>
      <c r="G32" s="1">
        <f t="shared" si="0"/>
        <v>0</v>
      </c>
      <c r="L32" s="1">
        <v>30</v>
      </c>
      <c r="M32" s="1">
        <f>R31</f>
        <v>0</v>
      </c>
      <c r="N32" s="1">
        <v>0</v>
      </c>
      <c r="P32" s="1">
        <v>30</v>
      </c>
      <c r="Q32" s="1">
        <v>0</v>
      </c>
      <c r="R32" s="1">
        <f t="shared" si="1"/>
        <v>0</v>
      </c>
      <c r="W32" s="1">
        <v>30</v>
      </c>
      <c r="X32" s="1">
        <f>AC31</f>
        <v>0</v>
      </c>
      <c r="Y32" s="1">
        <v>0</v>
      </c>
      <c r="AA32" s="1">
        <v>30</v>
      </c>
      <c r="AB32" s="1">
        <v>0</v>
      </c>
      <c r="AC32" s="1">
        <f t="shared" si="2"/>
        <v>0</v>
      </c>
      <c r="AE32" s="1">
        <v>30</v>
      </c>
      <c r="AF32" s="1">
        <f>AK31</f>
        <v>0</v>
      </c>
      <c r="AG32" s="1">
        <v>0</v>
      </c>
      <c r="AI32" s="1">
        <v>30</v>
      </c>
      <c r="AJ32" s="1">
        <v>0</v>
      </c>
      <c r="AK32" s="1">
        <f t="shared" si="3"/>
        <v>0</v>
      </c>
    </row>
    <row r="33" spans="1:37" x14ac:dyDescent="0.25">
      <c r="A33" s="1">
        <v>31</v>
      </c>
      <c r="B33" s="1">
        <v>0</v>
      </c>
      <c r="C33" s="1">
        <v>0</v>
      </c>
      <c r="E33" s="1">
        <v>31</v>
      </c>
      <c r="F33" s="1">
        <v>0</v>
      </c>
      <c r="G33" s="1">
        <f t="shared" si="0"/>
        <v>0</v>
      </c>
      <c r="L33" s="1">
        <v>31</v>
      </c>
      <c r="M33" s="1">
        <v>0</v>
      </c>
      <c r="N33" s="1">
        <v>0</v>
      </c>
      <c r="P33" s="1">
        <v>31</v>
      </c>
      <c r="Q33" s="1">
        <v>0</v>
      </c>
      <c r="R33" s="1">
        <f t="shared" si="1"/>
        <v>0</v>
      </c>
      <c r="W33" s="1">
        <v>31</v>
      </c>
      <c r="X33" s="1">
        <v>0</v>
      </c>
      <c r="Y33" s="1">
        <v>0</v>
      </c>
      <c r="AA33" s="1">
        <v>31</v>
      </c>
      <c r="AB33" s="1">
        <v>0</v>
      </c>
      <c r="AC33" s="1">
        <f t="shared" si="2"/>
        <v>0</v>
      </c>
      <c r="AE33" s="1">
        <v>31</v>
      </c>
      <c r="AF33" s="1">
        <v>0</v>
      </c>
      <c r="AG33" s="1">
        <v>0</v>
      </c>
      <c r="AI33" s="1">
        <v>31</v>
      </c>
      <c r="AJ33" s="1">
        <v>0</v>
      </c>
      <c r="AK33" s="1">
        <f t="shared" si="3"/>
        <v>0</v>
      </c>
    </row>
    <row r="34" spans="1:37" ht="17.25" customHeight="1" thickBot="1" x14ac:dyDescent="0.3">
      <c r="A34" s="1" t="s">
        <v>26</v>
      </c>
      <c r="B34" s="1"/>
      <c r="C34" s="1">
        <f>SUM(C3:C33)</f>
        <v>0</v>
      </c>
      <c r="D34" s="57"/>
      <c r="E34" s="1" t="s">
        <v>26</v>
      </c>
      <c r="F34" s="1">
        <f>SUM(F3:F33)</f>
        <v>0</v>
      </c>
      <c r="G34" s="1"/>
      <c r="L34" s="1" t="s">
        <v>26</v>
      </c>
      <c r="M34" s="1"/>
      <c r="N34" s="1">
        <f>SUM(N3:N33)</f>
        <v>0</v>
      </c>
      <c r="O34" s="57"/>
      <c r="P34" s="1" t="s">
        <v>26</v>
      </c>
      <c r="Q34" s="1">
        <f>SUM(Q3:Q33)</f>
        <v>0</v>
      </c>
      <c r="R34" s="1"/>
      <c r="W34" s="1" t="s">
        <v>26</v>
      </c>
      <c r="X34" s="1"/>
      <c r="Y34" s="1">
        <f>SUM(Y3:Y33)</f>
        <v>0</v>
      </c>
      <c r="Z34" s="57"/>
      <c r="AA34" s="1" t="s">
        <v>26</v>
      </c>
      <c r="AB34" s="1">
        <f>SUM(AB3:AB33)</f>
        <v>0</v>
      </c>
      <c r="AC34" s="1"/>
      <c r="AE34" s="1" t="s">
        <v>26</v>
      </c>
      <c r="AF34" s="1"/>
      <c r="AG34" s="1">
        <f>SUM(AG3:AG33)</f>
        <v>0</v>
      </c>
      <c r="AH34" s="57"/>
      <c r="AI34" s="1" t="s">
        <v>26</v>
      </c>
      <c r="AJ34" s="1">
        <f>SUM(AJ3:AJ33)</f>
        <v>0</v>
      </c>
      <c r="AK34" s="1"/>
    </row>
    <row r="35" spans="1:37" ht="15.75" thickTop="1" x14ac:dyDescent="0.25">
      <c r="A35" s="17" t="s">
        <v>27</v>
      </c>
      <c r="B35" s="17"/>
      <c r="C35" s="17">
        <f>C34+C36</f>
        <v>0</v>
      </c>
      <c r="E35" s="17" t="s">
        <v>27</v>
      </c>
      <c r="F35" s="17">
        <f>F36+SUM(F3:F33)</f>
        <v>0</v>
      </c>
      <c r="G35" s="17">
        <v>0</v>
      </c>
      <c r="L35" s="17" t="s">
        <v>27</v>
      </c>
      <c r="M35" s="17"/>
      <c r="N35" s="269">
        <f>N34+N36</f>
        <v>0</v>
      </c>
      <c r="P35" s="17" t="s">
        <v>27</v>
      </c>
      <c r="Q35" s="17">
        <f>Q36+SUM(Q3:Q33)</f>
        <v>0</v>
      </c>
      <c r="R35" s="17">
        <v>0</v>
      </c>
      <c r="W35" s="17" t="s">
        <v>27</v>
      </c>
      <c r="X35" s="17"/>
      <c r="Y35" s="17">
        <f>Y34+Y36</f>
        <v>0</v>
      </c>
      <c r="AA35" s="17" t="s">
        <v>27</v>
      </c>
      <c r="AB35" s="17">
        <f>AB36+SUM(AB3:AB33)</f>
        <v>0</v>
      </c>
      <c r="AC35" s="17">
        <v>0</v>
      </c>
      <c r="AE35" s="17" t="s">
        <v>27</v>
      </c>
      <c r="AF35" s="17"/>
      <c r="AG35" s="17">
        <f>AG34+AG36</f>
        <v>0</v>
      </c>
      <c r="AI35" s="17" t="s">
        <v>27</v>
      </c>
      <c r="AJ35" s="17">
        <f>AJ36+SUM(AJ3:AJ33)</f>
        <v>0</v>
      </c>
      <c r="AK35" s="17">
        <v>0</v>
      </c>
    </row>
    <row r="36" spans="1:37" x14ac:dyDescent="0.25">
      <c r="A36" t="s">
        <v>27</v>
      </c>
      <c r="C36">
        <v>0</v>
      </c>
      <c r="E36" t="s">
        <v>27</v>
      </c>
      <c r="F36">
        <v>0</v>
      </c>
      <c r="G36">
        <v>0</v>
      </c>
      <c r="L36" t="s">
        <v>27</v>
      </c>
      <c r="N36">
        <v>0</v>
      </c>
      <c r="P36" t="s">
        <v>27</v>
      </c>
      <c r="Q36">
        <v>0</v>
      </c>
      <c r="R36">
        <v>0</v>
      </c>
      <c r="W36" t="s">
        <v>27</v>
      </c>
      <c r="Y36">
        <v>0</v>
      </c>
      <c r="AA36" t="s">
        <v>27</v>
      </c>
      <c r="AB36">
        <v>0</v>
      </c>
      <c r="AC36">
        <v>0</v>
      </c>
      <c r="AE36" t="s">
        <v>27</v>
      </c>
      <c r="AG36">
        <v>0</v>
      </c>
      <c r="AI36" t="s">
        <v>27</v>
      </c>
      <c r="AJ36">
        <v>0</v>
      </c>
      <c r="AK36">
        <v>0</v>
      </c>
    </row>
  </sheetData>
  <mergeCells count="8">
    <mergeCell ref="AE1:AG1"/>
    <mergeCell ref="AI1:AK1"/>
    <mergeCell ref="AA1:AC1"/>
    <mergeCell ref="A1:C1"/>
    <mergeCell ref="E1:G1"/>
    <mergeCell ref="L1:N1"/>
    <mergeCell ref="P1:R1"/>
    <mergeCell ref="W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6E0-5CEB-4565-A7B1-A2EDF575312F}">
  <dimension ref="C2:T36"/>
  <sheetViews>
    <sheetView topLeftCell="A15" workbookViewId="0">
      <selection activeCell="J34" sqref="J34"/>
    </sheetView>
  </sheetViews>
  <sheetFormatPr defaultRowHeight="15" x14ac:dyDescent="0.25"/>
  <cols>
    <col min="3" max="3" width="9.140625" style="260"/>
    <col min="4" max="4" width="12.5703125" customWidth="1"/>
    <col min="11" max="11" width="9.140625" style="260"/>
    <col min="17" max="17" width="9.140625" style="260"/>
  </cols>
  <sheetData>
    <row r="2" spans="3:20" x14ac:dyDescent="0.25">
      <c r="C2" s="260" t="s">
        <v>9</v>
      </c>
      <c r="D2" s="261" t="s">
        <v>220</v>
      </c>
      <c r="E2" s="261" t="s">
        <v>221</v>
      </c>
      <c r="F2" s="261" t="s">
        <v>222</v>
      </c>
      <c r="G2" s="261" t="s">
        <v>4</v>
      </c>
      <c r="H2" s="261" t="s">
        <v>223</v>
      </c>
      <c r="I2" s="261" t="s">
        <v>224</v>
      </c>
      <c r="K2" s="260" t="s">
        <v>9</v>
      </c>
      <c r="L2" s="262" t="s">
        <v>220</v>
      </c>
      <c r="M2" s="262" t="s">
        <v>221</v>
      </c>
      <c r="N2" s="262" t="s">
        <v>222</v>
      </c>
      <c r="O2" s="262" t="s">
        <v>4</v>
      </c>
      <c r="Q2" s="260" t="s">
        <v>9</v>
      </c>
      <c r="R2" s="262" t="s">
        <v>225</v>
      </c>
      <c r="S2" s="261" t="s">
        <v>226</v>
      </c>
    </row>
    <row r="3" spans="3:20" x14ac:dyDescent="0.25">
      <c r="C3" s="260">
        <v>1</v>
      </c>
      <c r="D3">
        <f>'Mines (2)'!E3+'Mines (2)'!J3+'Mines (2)'!AB3</f>
        <v>0</v>
      </c>
      <c r="E3">
        <f>'Mines (2)'!N3</f>
        <v>0</v>
      </c>
      <c r="F3">
        <f>Clinker!E3</f>
        <v>0</v>
      </c>
      <c r="G3">
        <f>'Mines (2)'!S3</f>
        <v>0</v>
      </c>
      <c r="H3">
        <v>10</v>
      </c>
      <c r="I3">
        <v>7</v>
      </c>
      <c r="K3" s="260">
        <v>1</v>
      </c>
      <c r="L3">
        <f>D3-(D3*(H3/100))</f>
        <v>0</v>
      </c>
      <c r="M3">
        <f>E3-(E3*(H3/100))</f>
        <v>0</v>
      </c>
      <c r="N3">
        <f>F3-(F3*(I3/100))</f>
        <v>0</v>
      </c>
      <c r="O3">
        <f>G3-(G3*(H3/100))</f>
        <v>0</v>
      </c>
      <c r="Q3" s="260">
        <v>1</v>
      </c>
      <c r="R3">
        <f>Clinker!EC3</f>
        <v>0</v>
      </c>
      <c r="S3">
        <v>10</v>
      </c>
      <c r="T3">
        <f>R3-((R3*S3/100))</f>
        <v>0</v>
      </c>
    </row>
    <row r="4" spans="3:20" x14ac:dyDescent="0.25">
      <c r="C4" s="260">
        <v>2</v>
      </c>
      <c r="D4">
        <f>'Mines (2)'!E4+'Mines (2)'!J4+'Mines (2)'!AB4</f>
        <v>0</v>
      </c>
      <c r="E4">
        <f>'Mines (2)'!N4</f>
        <v>0</v>
      </c>
      <c r="F4">
        <f>Clinker!E4</f>
        <v>0</v>
      </c>
      <c r="G4">
        <f>'Mines (2)'!S4</f>
        <v>0</v>
      </c>
      <c r="H4">
        <v>10</v>
      </c>
      <c r="I4">
        <v>7</v>
      </c>
      <c r="K4" s="260">
        <v>2</v>
      </c>
      <c r="L4">
        <f t="shared" ref="L4:L33" si="0">D4-(D4*(H4/100))</f>
        <v>0</v>
      </c>
      <c r="M4">
        <f t="shared" ref="M4:M33" si="1">E4-(E4*(H4/100))</f>
        <v>0</v>
      </c>
      <c r="N4">
        <f t="shared" ref="N4:N33" si="2">F4-(F4*(I4/100))</f>
        <v>0</v>
      </c>
      <c r="O4">
        <f t="shared" ref="O4:O33" si="3">G4-(G4*(H4/100))</f>
        <v>0</v>
      </c>
      <c r="Q4" s="260">
        <v>2</v>
      </c>
      <c r="R4">
        <f>Clinker!BA4</f>
        <v>0</v>
      </c>
      <c r="S4">
        <v>10</v>
      </c>
      <c r="T4">
        <f t="shared" ref="T4:T33" si="4">R4-((R4*S4/100))</f>
        <v>0</v>
      </c>
    </row>
    <row r="5" spans="3:20" x14ac:dyDescent="0.25">
      <c r="C5" s="260">
        <v>3</v>
      </c>
      <c r="D5">
        <f>'Mines (2)'!E5+'Mines (2)'!J5+'Mines (2)'!AB5</f>
        <v>488</v>
      </c>
      <c r="E5">
        <f>'Mines (2)'!N5</f>
        <v>0</v>
      </c>
      <c r="F5">
        <f>Clinker!E5</f>
        <v>10</v>
      </c>
      <c r="G5">
        <f>'Mines (2)'!S5</f>
        <v>0</v>
      </c>
      <c r="H5">
        <v>10</v>
      </c>
      <c r="I5">
        <v>7</v>
      </c>
      <c r="K5" s="260">
        <v>3</v>
      </c>
      <c r="L5">
        <f t="shared" si="0"/>
        <v>439.2</v>
      </c>
      <c r="M5">
        <f t="shared" si="1"/>
        <v>0</v>
      </c>
      <c r="N5">
        <f t="shared" si="2"/>
        <v>9.3000000000000007</v>
      </c>
      <c r="O5">
        <f t="shared" si="3"/>
        <v>0</v>
      </c>
      <c r="Q5" s="260">
        <v>3</v>
      </c>
      <c r="R5">
        <f>Clinker!BA5</f>
        <v>0</v>
      </c>
      <c r="S5">
        <v>10</v>
      </c>
      <c r="T5">
        <f t="shared" si="4"/>
        <v>0</v>
      </c>
    </row>
    <row r="6" spans="3:20" x14ac:dyDescent="0.25">
      <c r="C6" s="260">
        <v>4</v>
      </c>
      <c r="D6">
        <f>'Mines (2)'!E6+'Mines (2)'!J6+'Mines (2)'!AB6</f>
        <v>1137</v>
      </c>
      <c r="E6">
        <f>'Mines (2)'!N6</f>
        <v>0</v>
      </c>
      <c r="F6">
        <f>Clinker!E6</f>
        <v>23</v>
      </c>
      <c r="G6">
        <f>'Mines (2)'!S6</f>
        <v>0</v>
      </c>
      <c r="H6">
        <v>10</v>
      </c>
      <c r="I6">
        <v>7</v>
      </c>
      <c r="K6" s="260">
        <v>4</v>
      </c>
      <c r="L6">
        <f t="shared" si="0"/>
        <v>1023.3</v>
      </c>
      <c r="M6">
        <f t="shared" si="1"/>
        <v>0</v>
      </c>
      <c r="N6">
        <f t="shared" si="2"/>
        <v>21.39</v>
      </c>
      <c r="O6">
        <f t="shared" si="3"/>
        <v>0</v>
      </c>
      <c r="Q6" s="260">
        <v>4</v>
      </c>
      <c r="R6">
        <f>Clinker!BA6</f>
        <v>0</v>
      </c>
      <c r="S6">
        <v>10</v>
      </c>
      <c r="T6">
        <f t="shared" si="4"/>
        <v>0</v>
      </c>
    </row>
    <row r="7" spans="3:20" x14ac:dyDescent="0.25">
      <c r="C7" s="260">
        <v>5</v>
      </c>
      <c r="D7">
        <f>'Mines (2)'!E7+'Mines (2)'!J7+'Mines (2)'!AB7</f>
        <v>0</v>
      </c>
      <c r="E7">
        <f>'Mines (2)'!N7</f>
        <v>0</v>
      </c>
      <c r="F7">
        <f>Clinker!E7</f>
        <v>0</v>
      </c>
      <c r="G7">
        <f>'Mines (2)'!S7</f>
        <v>0</v>
      </c>
      <c r="H7">
        <v>10</v>
      </c>
      <c r="I7">
        <v>7</v>
      </c>
      <c r="K7" s="260">
        <v>5</v>
      </c>
      <c r="L7">
        <f t="shared" si="0"/>
        <v>0</v>
      </c>
      <c r="M7">
        <f t="shared" si="1"/>
        <v>0</v>
      </c>
      <c r="N7">
        <f t="shared" si="2"/>
        <v>0</v>
      </c>
      <c r="O7">
        <f t="shared" si="3"/>
        <v>0</v>
      </c>
      <c r="Q7" s="260">
        <v>5</v>
      </c>
      <c r="R7">
        <f>Clinker!BA7</f>
        <v>0</v>
      </c>
      <c r="S7">
        <v>10</v>
      </c>
      <c r="T7">
        <f t="shared" si="4"/>
        <v>0</v>
      </c>
    </row>
    <row r="8" spans="3:20" x14ac:dyDescent="0.25">
      <c r="C8" s="260">
        <v>6</v>
      </c>
      <c r="D8">
        <f>'Mines (2)'!E8+'Mines (2)'!J8+'Mines (2)'!AB8</f>
        <v>2471</v>
      </c>
      <c r="E8">
        <f>'Mines (2)'!N8</f>
        <v>10</v>
      </c>
      <c r="F8">
        <f>Clinker!E8</f>
        <v>56</v>
      </c>
      <c r="G8">
        <f>'Mines (2)'!S8</f>
        <v>12</v>
      </c>
      <c r="H8">
        <v>10</v>
      </c>
      <c r="I8">
        <v>7</v>
      </c>
      <c r="K8" s="260">
        <v>6</v>
      </c>
      <c r="L8">
        <f t="shared" si="0"/>
        <v>2223.9</v>
      </c>
      <c r="M8">
        <f t="shared" si="1"/>
        <v>9</v>
      </c>
      <c r="N8">
        <f t="shared" si="2"/>
        <v>52.08</v>
      </c>
      <c r="O8">
        <f t="shared" si="3"/>
        <v>10.8</v>
      </c>
      <c r="Q8" s="260">
        <v>6</v>
      </c>
      <c r="R8">
        <f>Clinker!BA8</f>
        <v>0</v>
      </c>
      <c r="S8">
        <v>10</v>
      </c>
      <c r="T8">
        <f>R8-((R8*S8/100))</f>
        <v>0</v>
      </c>
    </row>
    <row r="9" spans="3:20" x14ac:dyDescent="0.25">
      <c r="C9" s="260">
        <v>7</v>
      </c>
      <c r="D9">
        <f>'Mines (2)'!E9+'Mines (2)'!J9+'Mines (2)'!AB9</f>
        <v>3314</v>
      </c>
      <c r="E9">
        <f>'Mines (2)'!N9</f>
        <v>14</v>
      </c>
      <c r="F9">
        <f>Clinker!E9</f>
        <v>68</v>
      </c>
      <c r="G9">
        <f>'Mines (2)'!S9</f>
        <v>0</v>
      </c>
      <c r="H9">
        <v>10</v>
      </c>
      <c r="I9">
        <v>7</v>
      </c>
      <c r="K9" s="260">
        <v>7</v>
      </c>
      <c r="L9">
        <f t="shared" si="0"/>
        <v>2982.6</v>
      </c>
      <c r="M9">
        <f t="shared" si="1"/>
        <v>12.6</v>
      </c>
      <c r="N9">
        <f t="shared" si="2"/>
        <v>63.24</v>
      </c>
      <c r="O9">
        <f t="shared" si="3"/>
        <v>0</v>
      </c>
      <c r="Q9" s="260">
        <v>7</v>
      </c>
      <c r="R9">
        <f>Clinker!BA9</f>
        <v>0</v>
      </c>
      <c r="S9">
        <v>10</v>
      </c>
      <c r="T9">
        <f t="shared" si="4"/>
        <v>0</v>
      </c>
    </row>
    <row r="10" spans="3:20" x14ac:dyDescent="0.25">
      <c r="C10" s="260">
        <v>8</v>
      </c>
      <c r="D10">
        <f>'Mines (2)'!E10+'Mines (2)'!J10+'Mines (2)'!AB10</f>
        <v>3312</v>
      </c>
      <c r="E10">
        <f>'Mines (2)'!N10</f>
        <v>0</v>
      </c>
      <c r="F10">
        <f>Clinker!E10</f>
        <v>51</v>
      </c>
      <c r="G10">
        <f>'Mines (2)'!S10</f>
        <v>14</v>
      </c>
      <c r="H10">
        <v>10</v>
      </c>
      <c r="I10">
        <v>7</v>
      </c>
      <c r="K10" s="260">
        <v>8</v>
      </c>
      <c r="L10">
        <f t="shared" si="0"/>
        <v>2980.8</v>
      </c>
      <c r="M10">
        <f t="shared" si="1"/>
        <v>0</v>
      </c>
      <c r="N10">
        <f t="shared" si="2"/>
        <v>47.43</v>
      </c>
      <c r="O10">
        <f t="shared" si="3"/>
        <v>12.6</v>
      </c>
      <c r="Q10" s="260">
        <v>8</v>
      </c>
      <c r="R10">
        <f>Clinker!BA10</f>
        <v>0</v>
      </c>
      <c r="S10">
        <v>10</v>
      </c>
      <c r="T10">
        <f t="shared" si="4"/>
        <v>0</v>
      </c>
    </row>
    <row r="11" spans="3:20" x14ac:dyDescent="0.25">
      <c r="C11" s="260">
        <v>9</v>
      </c>
      <c r="D11">
        <f>'Mines (2)'!E11+'Mines (2)'!J11+'Mines (2)'!AB11</f>
        <v>2743</v>
      </c>
      <c r="E11">
        <f>'Mines (2)'!N11</f>
        <v>0</v>
      </c>
      <c r="F11">
        <f>Clinker!E11</f>
        <v>56</v>
      </c>
      <c r="G11">
        <f>'Mines (2)'!S11</f>
        <v>9</v>
      </c>
      <c r="H11">
        <v>10</v>
      </c>
      <c r="I11">
        <v>7</v>
      </c>
      <c r="K11" s="260">
        <v>9</v>
      </c>
      <c r="L11">
        <f t="shared" si="0"/>
        <v>2468.6999999999998</v>
      </c>
      <c r="M11">
        <f t="shared" si="1"/>
        <v>0</v>
      </c>
      <c r="N11">
        <f t="shared" si="2"/>
        <v>52.08</v>
      </c>
      <c r="O11">
        <f t="shared" si="3"/>
        <v>8.1</v>
      </c>
      <c r="Q11" s="260">
        <v>9</v>
      </c>
      <c r="R11">
        <f>Clinker!BA11</f>
        <v>0</v>
      </c>
      <c r="S11">
        <v>10</v>
      </c>
      <c r="T11">
        <f t="shared" si="4"/>
        <v>0</v>
      </c>
    </row>
    <row r="12" spans="3:20" x14ac:dyDescent="0.25">
      <c r="C12" s="260">
        <v>10</v>
      </c>
      <c r="D12">
        <f>'Mines (2)'!E12+'Mines (2)'!J12+'Mines (2)'!AB12</f>
        <v>3150</v>
      </c>
      <c r="E12">
        <f>'Mines (2)'!N12</f>
        <v>0</v>
      </c>
      <c r="F12">
        <f>Clinker!E12</f>
        <v>64</v>
      </c>
      <c r="G12">
        <f>'Mines (2)'!S12</f>
        <v>11</v>
      </c>
      <c r="H12">
        <v>10</v>
      </c>
      <c r="I12">
        <v>7</v>
      </c>
      <c r="K12" s="260">
        <v>10</v>
      </c>
      <c r="L12">
        <f t="shared" si="0"/>
        <v>2835</v>
      </c>
      <c r="M12">
        <f t="shared" si="1"/>
        <v>0</v>
      </c>
      <c r="N12">
        <f t="shared" si="2"/>
        <v>59.519999999999996</v>
      </c>
      <c r="O12">
        <f t="shared" si="3"/>
        <v>9.9</v>
      </c>
      <c r="Q12" s="260">
        <v>10</v>
      </c>
      <c r="R12">
        <f>Clinker!BA12</f>
        <v>0</v>
      </c>
      <c r="S12">
        <v>10</v>
      </c>
      <c r="T12">
        <f t="shared" si="4"/>
        <v>0</v>
      </c>
    </row>
    <row r="13" spans="3:20" x14ac:dyDescent="0.25">
      <c r="C13" s="260">
        <v>11</v>
      </c>
      <c r="D13">
        <f>'Mines (2)'!E13+'Mines (2)'!J13+'Mines (2)'!AB13</f>
        <v>2807</v>
      </c>
      <c r="E13">
        <f>'Mines (2)'!N13</f>
        <v>0</v>
      </c>
      <c r="F13">
        <f>Clinker!E13</f>
        <v>58</v>
      </c>
      <c r="G13">
        <f>'Mines (2)'!S13</f>
        <v>9</v>
      </c>
      <c r="H13">
        <v>10</v>
      </c>
      <c r="I13">
        <v>7</v>
      </c>
      <c r="K13" s="260">
        <v>11</v>
      </c>
      <c r="L13">
        <f t="shared" si="0"/>
        <v>2526.3000000000002</v>
      </c>
      <c r="M13">
        <f t="shared" si="1"/>
        <v>0</v>
      </c>
      <c r="N13">
        <f t="shared" si="2"/>
        <v>53.94</v>
      </c>
      <c r="O13">
        <f t="shared" si="3"/>
        <v>8.1</v>
      </c>
      <c r="Q13" s="260">
        <v>11</v>
      </c>
      <c r="R13">
        <f>Clinker!BA13</f>
        <v>0</v>
      </c>
      <c r="S13">
        <v>10</v>
      </c>
      <c r="T13">
        <f t="shared" si="4"/>
        <v>0</v>
      </c>
    </row>
    <row r="14" spans="3:20" x14ac:dyDescent="0.25">
      <c r="C14" s="260">
        <v>12</v>
      </c>
      <c r="D14">
        <f>'Mines (2)'!E14+'Mines (2)'!J14+'Mines (2)'!AB14</f>
        <v>3141</v>
      </c>
      <c r="E14">
        <f>'Mines (2)'!N14</f>
        <v>5</v>
      </c>
      <c r="F14">
        <f>Clinker!E14</f>
        <v>80</v>
      </c>
      <c r="G14">
        <f>'Mines (2)'!S14</f>
        <v>10</v>
      </c>
      <c r="H14">
        <v>10</v>
      </c>
      <c r="I14">
        <v>7</v>
      </c>
      <c r="K14" s="260">
        <v>12</v>
      </c>
      <c r="L14">
        <f t="shared" si="0"/>
        <v>2826.9</v>
      </c>
      <c r="M14">
        <f t="shared" si="1"/>
        <v>4.5</v>
      </c>
      <c r="N14">
        <f t="shared" si="2"/>
        <v>74.400000000000006</v>
      </c>
      <c r="O14">
        <f t="shared" si="3"/>
        <v>9</v>
      </c>
      <c r="Q14" s="260">
        <v>12</v>
      </c>
      <c r="R14">
        <f>Clinker!BA14</f>
        <v>0</v>
      </c>
      <c r="S14">
        <v>10</v>
      </c>
      <c r="T14">
        <f t="shared" si="4"/>
        <v>0</v>
      </c>
    </row>
    <row r="15" spans="3:20" x14ac:dyDescent="0.25">
      <c r="C15" s="260">
        <v>13</v>
      </c>
      <c r="D15">
        <f>'Mines (2)'!E15+'Mines (2)'!J15+'Mines (2)'!AB15</f>
        <v>2859</v>
      </c>
      <c r="E15">
        <f>'Mines (2)'!N15</f>
        <v>23</v>
      </c>
      <c r="F15">
        <f>Clinker!E15</f>
        <v>60</v>
      </c>
      <c r="G15">
        <f>'Mines (2)'!S15</f>
        <v>19</v>
      </c>
      <c r="H15">
        <v>10</v>
      </c>
      <c r="I15">
        <v>7</v>
      </c>
      <c r="K15" s="260">
        <v>13</v>
      </c>
      <c r="L15">
        <f t="shared" si="0"/>
        <v>2573.1</v>
      </c>
      <c r="M15">
        <f t="shared" si="1"/>
        <v>20.7</v>
      </c>
      <c r="N15">
        <f t="shared" si="2"/>
        <v>55.8</v>
      </c>
      <c r="O15">
        <f t="shared" si="3"/>
        <v>17.100000000000001</v>
      </c>
      <c r="Q15" s="260">
        <v>13</v>
      </c>
      <c r="R15">
        <f>Clinker!BA15</f>
        <v>0</v>
      </c>
      <c r="S15">
        <v>10</v>
      </c>
      <c r="T15">
        <f t="shared" si="4"/>
        <v>0</v>
      </c>
    </row>
    <row r="16" spans="3:20" x14ac:dyDescent="0.25">
      <c r="C16" s="260">
        <v>14</v>
      </c>
      <c r="D16">
        <f>'Mines (2)'!E16+'Mines (2)'!J16+'Mines (2)'!AB16</f>
        <v>2912</v>
      </c>
      <c r="E16">
        <f>'Mines (2)'!N16</f>
        <v>27</v>
      </c>
      <c r="F16">
        <f>Clinker!E16</f>
        <v>60</v>
      </c>
      <c r="G16">
        <f>'Mines (2)'!S16</f>
        <v>0</v>
      </c>
      <c r="H16">
        <v>10</v>
      </c>
      <c r="I16">
        <v>7</v>
      </c>
      <c r="K16" s="260">
        <v>14</v>
      </c>
      <c r="L16">
        <f t="shared" si="0"/>
        <v>2620.8000000000002</v>
      </c>
      <c r="M16">
        <f t="shared" si="1"/>
        <v>24.3</v>
      </c>
      <c r="N16">
        <f t="shared" si="2"/>
        <v>55.8</v>
      </c>
      <c r="O16">
        <f t="shared" si="3"/>
        <v>0</v>
      </c>
      <c r="Q16" s="260">
        <v>14</v>
      </c>
      <c r="R16">
        <f>Clinker!BA16</f>
        <v>0</v>
      </c>
      <c r="S16">
        <v>10</v>
      </c>
      <c r="T16">
        <f t="shared" si="4"/>
        <v>0</v>
      </c>
    </row>
    <row r="17" spans="3:20" x14ac:dyDescent="0.25">
      <c r="C17" s="260">
        <v>15</v>
      </c>
      <c r="D17">
        <f>'Mines (2)'!E17+'Mines (2)'!J17+'Mines (2)'!AB17</f>
        <v>2666</v>
      </c>
      <c r="E17">
        <f>'Mines (2)'!N17</f>
        <v>5</v>
      </c>
      <c r="F17">
        <f>Clinker!E17</f>
        <v>68</v>
      </c>
      <c r="G17">
        <f>'Mines (2)'!S17</f>
        <v>0</v>
      </c>
      <c r="H17">
        <v>10</v>
      </c>
      <c r="I17">
        <v>7</v>
      </c>
      <c r="K17" s="260">
        <v>15</v>
      </c>
      <c r="L17">
        <f t="shared" si="0"/>
        <v>2399.4</v>
      </c>
      <c r="M17">
        <f t="shared" si="1"/>
        <v>4.5</v>
      </c>
      <c r="N17">
        <f t="shared" si="2"/>
        <v>63.24</v>
      </c>
      <c r="O17">
        <f t="shared" si="3"/>
        <v>0</v>
      </c>
      <c r="Q17" s="260">
        <v>15</v>
      </c>
      <c r="R17">
        <f>Clinker!BA17</f>
        <v>0</v>
      </c>
      <c r="S17">
        <v>10</v>
      </c>
      <c r="T17">
        <f t="shared" si="4"/>
        <v>0</v>
      </c>
    </row>
    <row r="18" spans="3:20" x14ac:dyDescent="0.25">
      <c r="C18" s="260">
        <v>16</v>
      </c>
      <c r="D18">
        <f>'Mines (2)'!E18+'Mines (2)'!J18+'Mines (2)'!AB18</f>
        <v>2542</v>
      </c>
      <c r="E18">
        <f>'Mines (2)'!N18</f>
        <v>5</v>
      </c>
      <c r="F18">
        <f>Clinker!E18</f>
        <v>52</v>
      </c>
      <c r="G18">
        <f>'Mines (2)'!S18</f>
        <v>1</v>
      </c>
      <c r="H18">
        <v>10</v>
      </c>
      <c r="I18">
        <v>7</v>
      </c>
      <c r="K18" s="260">
        <v>16</v>
      </c>
      <c r="L18">
        <f t="shared" si="0"/>
        <v>2287.8000000000002</v>
      </c>
      <c r="M18">
        <f t="shared" si="1"/>
        <v>4.5</v>
      </c>
      <c r="N18">
        <f t="shared" si="2"/>
        <v>48.36</v>
      </c>
      <c r="O18">
        <f t="shared" si="3"/>
        <v>0.9</v>
      </c>
      <c r="Q18" s="260">
        <v>16</v>
      </c>
      <c r="R18">
        <f>Clinker!BA18</f>
        <v>0</v>
      </c>
      <c r="S18">
        <v>10</v>
      </c>
      <c r="T18">
        <f t="shared" si="4"/>
        <v>0</v>
      </c>
    </row>
    <row r="19" spans="3:20" x14ac:dyDescent="0.25">
      <c r="C19" s="260">
        <v>17</v>
      </c>
      <c r="D19">
        <f>'Mines (2)'!E19+'Mines (2)'!J19+'Mines (2)'!AB19</f>
        <v>2609</v>
      </c>
      <c r="E19">
        <f>'Mines (2)'!N19</f>
        <v>5</v>
      </c>
      <c r="F19">
        <f>Clinker!E19</f>
        <v>53</v>
      </c>
      <c r="G19">
        <f>'Mines (2)'!S19</f>
        <v>1</v>
      </c>
      <c r="H19">
        <v>10</v>
      </c>
      <c r="I19">
        <v>7</v>
      </c>
      <c r="K19" s="260">
        <v>17</v>
      </c>
      <c r="L19">
        <f t="shared" si="0"/>
        <v>2348.1</v>
      </c>
      <c r="M19">
        <f t="shared" si="1"/>
        <v>4.5</v>
      </c>
      <c r="N19">
        <f t="shared" si="2"/>
        <v>49.29</v>
      </c>
      <c r="O19">
        <f t="shared" si="3"/>
        <v>0.9</v>
      </c>
      <c r="Q19" s="260">
        <v>17</v>
      </c>
      <c r="R19">
        <f>Clinker!BA19</f>
        <v>0</v>
      </c>
      <c r="S19">
        <v>10</v>
      </c>
      <c r="T19">
        <f t="shared" si="4"/>
        <v>0</v>
      </c>
    </row>
    <row r="20" spans="3:20" x14ac:dyDescent="0.25">
      <c r="C20" s="260">
        <v>18</v>
      </c>
      <c r="D20">
        <f>'Mines (2)'!E20+'Mines (2)'!J20+'Mines (2)'!AB20</f>
        <v>2073</v>
      </c>
      <c r="E20">
        <f>'Mines (2)'!N20</f>
        <v>3</v>
      </c>
      <c r="F20">
        <f>Clinker!E20</f>
        <v>43</v>
      </c>
      <c r="G20">
        <f>'Mines (2)'!S20</f>
        <v>1</v>
      </c>
      <c r="H20">
        <v>10</v>
      </c>
      <c r="I20">
        <v>7</v>
      </c>
      <c r="K20" s="260">
        <v>18</v>
      </c>
      <c r="L20">
        <f t="shared" si="0"/>
        <v>1865.7</v>
      </c>
      <c r="M20">
        <f t="shared" si="1"/>
        <v>2.7</v>
      </c>
      <c r="N20">
        <f t="shared" si="2"/>
        <v>39.99</v>
      </c>
      <c r="O20">
        <f t="shared" si="3"/>
        <v>0.9</v>
      </c>
      <c r="Q20" s="260">
        <v>18</v>
      </c>
      <c r="R20">
        <f>Clinker!BA20</f>
        <v>0</v>
      </c>
      <c r="S20">
        <v>10</v>
      </c>
      <c r="T20">
        <f t="shared" si="4"/>
        <v>0</v>
      </c>
    </row>
    <row r="21" spans="3:20" x14ac:dyDescent="0.25">
      <c r="C21" s="260">
        <v>19</v>
      </c>
      <c r="D21">
        <f>'Mines (2)'!E21+'Mines (2)'!J21+'Mines (2)'!AB21</f>
        <v>1991</v>
      </c>
      <c r="E21">
        <f>'Mines (2)'!N21</f>
        <v>0</v>
      </c>
      <c r="F21">
        <f>Clinker!E21</f>
        <v>42</v>
      </c>
      <c r="G21">
        <f>'Mines (2)'!S21</f>
        <v>0</v>
      </c>
      <c r="H21">
        <v>10</v>
      </c>
      <c r="I21">
        <v>7</v>
      </c>
      <c r="K21" s="260">
        <v>19</v>
      </c>
      <c r="L21">
        <f t="shared" si="0"/>
        <v>1791.9</v>
      </c>
      <c r="M21">
        <f t="shared" si="1"/>
        <v>0</v>
      </c>
      <c r="N21">
        <f t="shared" si="2"/>
        <v>39.06</v>
      </c>
      <c r="O21">
        <f t="shared" si="3"/>
        <v>0</v>
      </c>
      <c r="Q21" s="260">
        <v>19</v>
      </c>
      <c r="R21">
        <f>Clinker!BA21</f>
        <v>0</v>
      </c>
      <c r="S21">
        <v>10</v>
      </c>
      <c r="T21">
        <f t="shared" si="4"/>
        <v>0</v>
      </c>
    </row>
    <row r="22" spans="3:20" x14ac:dyDescent="0.25">
      <c r="C22" s="260">
        <v>20</v>
      </c>
      <c r="D22">
        <f>'Mines (2)'!E22+'Mines (2)'!J22+'Mines (2)'!AB22</f>
        <v>1979</v>
      </c>
      <c r="E22">
        <f>'Mines (2)'!N22</f>
        <v>0</v>
      </c>
      <c r="F22">
        <f>Clinker!E22</f>
        <v>41</v>
      </c>
      <c r="G22">
        <f>'Mines (2)'!S22</f>
        <v>21</v>
      </c>
      <c r="H22">
        <v>10</v>
      </c>
      <c r="I22">
        <v>7</v>
      </c>
      <c r="K22" s="260">
        <v>20</v>
      </c>
      <c r="L22">
        <f t="shared" si="0"/>
        <v>1781.1</v>
      </c>
      <c r="M22">
        <f t="shared" si="1"/>
        <v>0</v>
      </c>
      <c r="N22">
        <f t="shared" si="2"/>
        <v>38.130000000000003</v>
      </c>
      <c r="O22">
        <f t="shared" si="3"/>
        <v>18.899999999999999</v>
      </c>
      <c r="Q22" s="260">
        <v>20</v>
      </c>
      <c r="R22">
        <f>Clinker!BA22</f>
        <v>0</v>
      </c>
      <c r="S22">
        <v>10</v>
      </c>
      <c r="T22">
        <f t="shared" si="4"/>
        <v>0</v>
      </c>
    </row>
    <row r="23" spans="3:20" x14ac:dyDescent="0.25">
      <c r="C23" s="260">
        <v>21</v>
      </c>
      <c r="D23">
        <f>'Mines (2)'!E23+'Mines (2)'!J23+'Mines (2)'!AB23</f>
        <v>1894</v>
      </c>
      <c r="E23">
        <f>'Mines (2)'!N23</f>
        <v>3</v>
      </c>
      <c r="F23">
        <f>Clinker!E23</f>
        <v>47</v>
      </c>
      <c r="G23">
        <f>'Mines (2)'!S23</f>
        <v>81</v>
      </c>
      <c r="H23">
        <v>10</v>
      </c>
      <c r="I23">
        <v>7</v>
      </c>
      <c r="K23" s="260">
        <v>21</v>
      </c>
      <c r="L23">
        <f t="shared" si="0"/>
        <v>1704.6</v>
      </c>
      <c r="M23">
        <f t="shared" si="1"/>
        <v>2.7</v>
      </c>
      <c r="N23">
        <f t="shared" si="2"/>
        <v>43.71</v>
      </c>
      <c r="O23">
        <f t="shared" si="3"/>
        <v>72.900000000000006</v>
      </c>
      <c r="Q23" s="260">
        <v>21</v>
      </c>
      <c r="R23">
        <f>Clinker!BA23</f>
        <v>0</v>
      </c>
      <c r="S23">
        <v>10</v>
      </c>
      <c r="T23">
        <f t="shared" si="4"/>
        <v>0</v>
      </c>
    </row>
    <row r="24" spans="3:20" x14ac:dyDescent="0.25">
      <c r="C24" s="260">
        <v>22</v>
      </c>
      <c r="D24">
        <f>'Mines (2)'!E24+'Mines (2)'!J24+'Mines (2)'!AB24</f>
        <v>2419</v>
      </c>
      <c r="E24">
        <f>'Mines (2)'!N24</f>
        <v>15</v>
      </c>
      <c r="F24">
        <f>Clinker!E24</f>
        <v>53</v>
      </c>
      <c r="G24">
        <f>'Mines (2)'!S24</f>
        <v>36</v>
      </c>
      <c r="H24">
        <v>10</v>
      </c>
      <c r="I24">
        <v>7</v>
      </c>
      <c r="K24" s="260">
        <v>22</v>
      </c>
      <c r="L24">
        <f t="shared" si="0"/>
        <v>2177.1</v>
      </c>
      <c r="M24">
        <f t="shared" si="1"/>
        <v>13.5</v>
      </c>
      <c r="N24">
        <f t="shared" si="2"/>
        <v>49.29</v>
      </c>
      <c r="O24">
        <f t="shared" si="3"/>
        <v>32.4</v>
      </c>
      <c r="Q24" s="260">
        <v>22</v>
      </c>
      <c r="R24">
        <f>Clinker!BA24</f>
        <v>0</v>
      </c>
      <c r="S24">
        <v>10</v>
      </c>
      <c r="T24">
        <f t="shared" si="4"/>
        <v>0</v>
      </c>
    </row>
    <row r="25" spans="3:20" x14ac:dyDescent="0.25">
      <c r="C25" s="260">
        <v>23</v>
      </c>
      <c r="D25">
        <f>'Mines (2)'!E25+'Mines (2)'!J25+'Mines (2)'!AB25</f>
        <v>2013</v>
      </c>
      <c r="E25">
        <f>'Mines (2)'!N25</f>
        <v>90</v>
      </c>
      <c r="F25">
        <f>Clinker!E25</f>
        <v>68</v>
      </c>
      <c r="G25">
        <f>'Mines (2)'!S25</f>
        <v>88</v>
      </c>
      <c r="H25">
        <v>10</v>
      </c>
      <c r="I25">
        <v>7</v>
      </c>
      <c r="K25" s="260">
        <v>23</v>
      </c>
      <c r="L25">
        <f t="shared" si="0"/>
        <v>1811.7</v>
      </c>
      <c r="M25">
        <f t="shared" si="1"/>
        <v>81</v>
      </c>
      <c r="N25">
        <f t="shared" si="2"/>
        <v>63.24</v>
      </c>
      <c r="O25">
        <f t="shared" si="3"/>
        <v>79.2</v>
      </c>
      <c r="Q25" s="260">
        <v>23</v>
      </c>
      <c r="R25">
        <f>Clinker!BA25</f>
        <v>0</v>
      </c>
      <c r="S25">
        <v>10</v>
      </c>
      <c r="T25">
        <f t="shared" si="4"/>
        <v>0</v>
      </c>
    </row>
    <row r="26" spans="3:20" x14ac:dyDescent="0.25">
      <c r="C26" s="260">
        <v>24</v>
      </c>
      <c r="D26">
        <f>'Mines (2)'!E26+'Mines (2)'!J26+'Mines (2)'!AB26</f>
        <v>2375</v>
      </c>
      <c r="E26">
        <f>'Mines (2)'!N26</f>
        <v>16</v>
      </c>
      <c r="F26">
        <f>Clinker!E26</f>
        <v>52</v>
      </c>
      <c r="G26">
        <f>'Mines (2)'!S26</f>
        <v>35</v>
      </c>
      <c r="H26">
        <v>10</v>
      </c>
      <c r="I26">
        <v>7</v>
      </c>
      <c r="K26" s="260">
        <v>24</v>
      </c>
      <c r="L26">
        <f t="shared" si="0"/>
        <v>2137.5</v>
      </c>
      <c r="M26">
        <f t="shared" si="1"/>
        <v>14.4</v>
      </c>
      <c r="N26">
        <f t="shared" si="2"/>
        <v>48.36</v>
      </c>
      <c r="O26">
        <f t="shared" si="3"/>
        <v>31.5</v>
      </c>
      <c r="Q26" s="260">
        <v>24</v>
      </c>
      <c r="R26">
        <f>Clinker!BA26</f>
        <v>0</v>
      </c>
      <c r="S26">
        <v>10</v>
      </c>
      <c r="T26">
        <f t="shared" si="4"/>
        <v>0</v>
      </c>
    </row>
    <row r="27" spans="3:20" x14ac:dyDescent="0.25">
      <c r="C27" s="260">
        <v>25</v>
      </c>
      <c r="D27">
        <f>'Mines (2)'!E27+'Mines (2)'!J27+'Mines (2)'!AB27</f>
        <v>2356</v>
      </c>
      <c r="E27">
        <f>'Mines (2)'!N27</f>
        <v>15</v>
      </c>
      <c r="F27">
        <f>Clinker!E27</f>
        <v>52</v>
      </c>
      <c r="G27">
        <f>'Mines (2)'!S27</f>
        <v>34</v>
      </c>
      <c r="H27">
        <v>10</v>
      </c>
      <c r="I27">
        <v>7</v>
      </c>
      <c r="K27" s="260">
        <v>25</v>
      </c>
      <c r="L27">
        <f t="shared" si="0"/>
        <v>2120.4</v>
      </c>
      <c r="M27">
        <f t="shared" si="1"/>
        <v>13.5</v>
      </c>
      <c r="N27">
        <f t="shared" si="2"/>
        <v>48.36</v>
      </c>
      <c r="O27">
        <f t="shared" si="3"/>
        <v>30.6</v>
      </c>
      <c r="Q27" s="260">
        <v>25</v>
      </c>
      <c r="R27">
        <f>Clinker!BA27</f>
        <v>0</v>
      </c>
      <c r="S27">
        <v>10</v>
      </c>
      <c r="T27">
        <f t="shared" si="4"/>
        <v>0</v>
      </c>
    </row>
    <row r="28" spans="3:20" x14ac:dyDescent="0.25">
      <c r="C28" s="260">
        <v>26</v>
      </c>
      <c r="D28">
        <f>'Mines (2)'!E28+'Mines (2)'!J28+'Mines (2)'!AB28</f>
        <v>2634</v>
      </c>
      <c r="E28">
        <f>'Mines (2)'!N28</f>
        <v>27</v>
      </c>
      <c r="F28">
        <f>Clinker!E28</f>
        <v>41</v>
      </c>
      <c r="G28">
        <f>'Mines (2)'!S28</f>
        <v>8</v>
      </c>
      <c r="H28">
        <v>10</v>
      </c>
      <c r="I28">
        <v>7</v>
      </c>
      <c r="K28" s="260">
        <v>26</v>
      </c>
      <c r="L28">
        <f t="shared" si="0"/>
        <v>2370.6</v>
      </c>
      <c r="M28">
        <f t="shared" si="1"/>
        <v>24.3</v>
      </c>
      <c r="N28">
        <f t="shared" si="2"/>
        <v>38.130000000000003</v>
      </c>
      <c r="O28">
        <f t="shared" si="3"/>
        <v>7.2</v>
      </c>
      <c r="Q28" s="260">
        <v>26</v>
      </c>
      <c r="R28">
        <f>Clinker!BA28</f>
        <v>0</v>
      </c>
      <c r="S28">
        <v>10</v>
      </c>
      <c r="T28">
        <f t="shared" si="4"/>
        <v>0</v>
      </c>
    </row>
    <row r="29" spans="3:20" x14ac:dyDescent="0.25">
      <c r="C29" s="260">
        <v>27</v>
      </c>
      <c r="D29">
        <f>'Mines (2)'!E29+'Mines (2)'!J29+'Mines (2)'!AB29</f>
        <v>2871</v>
      </c>
      <c r="E29">
        <f>'Mines (2)'!N29</f>
        <v>12</v>
      </c>
      <c r="F29">
        <f>Clinker!E29</f>
        <v>59</v>
      </c>
      <c r="G29">
        <f>'Mines (2)'!S29</f>
        <v>12</v>
      </c>
      <c r="H29">
        <v>10</v>
      </c>
      <c r="I29">
        <v>7</v>
      </c>
      <c r="K29" s="260">
        <v>27</v>
      </c>
      <c r="L29">
        <f t="shared" si="0"/>
        <v>2583.9</v>
      </c>
      <c r="M29">
        <f t="shared" si="1"/>
        <v>10.8</v>
      </c>
      <c r="N29">
        <f t="shared" si="2"/>
        <v>54.87</v>
      </c>
      <c r="O29">
        <f t="shared" si="3"/>
        <v>10.8</v>
      </c>
      <c r="Q29" s="260">
        <v>27</v>
      </c>
      <c r="R29">
        <f>Clinker!BA29</f>
        <v>0</v>
      </c>
      <c r="S29">
        <v>10</v>
      </c>
      <c r="T29">
        <f t="shared" si="4"/>
        <v>0</v>
      </c>
    </row>
    <row r="30" spans="3:20" x14ac:dyDescent="0.25">
      <c r="C30" s="260">
        <v>28</v>
      </c>
      <c r="D30">
        <f>'Mines (2)'!E30+'Mines (2)'!J30+'Mines (2)'!AB30</f>
        <v>2779</v>
      </c>
      <c r="E30">
        <f>'Mines (2)'!N30</f>
        <v>66</v>
      </c>
      <c r="F30">
        <f>Clinker!E30</f>
        <v>55</v>
      </c>
      <c r="G30">
        <f>'Mines (2)'!S30</f>
        <v>23</v>
      </c>
      <c r="H30">
        <v>10</v>
      </c>
      <c r="I30">
        <v>7</v>
      </c>
      <c r="K30" s="260">
        <v>28</v>
      </c>
      <c r="L30">
        <f t="shared" si="0"/>
        <v>2501.1</v>
      </c>
      <c r="M30">
        <f t="shared" si="1"/>
        <v>59.4</v>
      </c>
      <c r="N30">
        <f t="shared" si="2"/>
        <v>51.15</v>
      </c>
      <c r="O30">
        <f t="shared" si="3"/>
        <v>20.7</v>
      </c>
      <c r="Q30" s="260">
        <v>28</v>
      </c>
      <c r="R30">
        <f>Clinker!BA30</f>
        <v>0</v>
      </c>
      <c r="S30">
        <v>10</v>
      </c>
      <c r="T30">
        <f t="shared" si="4"/>
        <v>0</v>
      </c>
    </row>
    <row r="31" spans="3:20" x14ac:dyDescent="0.25">
      <c r="C31" s="260">
        <v>29</v>
      </c>
      <c r="D31">
        <f>'Mines (2)'!E31+'Mines (2)'!J31+'Mines (2)'!AB31</f>
        <v>2702</v>
      </c>
      <c r="E31">
        <f>'Mines (2)'!N31</f>
        <v>71</v>
      </c>
      <c r="F31">
        <f>Clinker!E31</f>
        <v>67</v>
      </c>
      <c r="G31">
        <f>'Mines (2)'!S31</f>
        <v>67</v>
      </c>
      <c r="H31">
        <v>10</v>
      </c>
      <c r="I31">
        <v>7</v>
      </c>
      <c r="K31" s="260">
        <v>29</v>
      </c>
      <c r="L31">
        <f t="shared" si="0"/>
        <v>2431.8000000000002</v>
      </c>
      <c r="M31">
        <f t="shared" si="1"/>
        <v>63.9</v>
      </c>
      <c r="N31">
        <f t="shared" si="2"/>
        <v>62.31</v>
      </c>
      <c r="O31">
        <f t="shared" si="3"/>
        <v>60.3</v>
      </c>
      <c r="Q31" s="260">
        <v>29</v>
      </c>
      <c r="R31">
        <f>Clinker!BA31</f>
        <v>0</v>
      </c>
      <c r="S31">
        <v>10</v>
      </c>
      <c r="T31">
        <f t="shared" si="4"/>
        <v>0</v>
      </c>
    </row>
    <row r="32" spans="3:20" x14ac:dyDescent="0.25">
      <c r="C32" s="260">
        <v>30</v>
      </c>
      <c r="D32">
        <f>'Mines (2)'!E32+'Mines (2)'!J32+'Mines (2)'!AB32</f>
        <v>2650</v>
      </c>
      <c r="E32">
        <f>'Mines (2)'!N32</f>
        <v>117</v>
      </c>
      <c r="F32">
        <f>Clinker!E32</f>
        <v>58</v>
      </c>
      <c r="G32">
        <f>'Mines (2)'!S32</f>
        <v>55</v>
      </c>
      <c r="H32">
        <v>10</v>
      </c>
      <c r="I32">
        <v>7</v>
      </c>
      <c r="K32" s="260">
        <v>30</v>
      </c>
      <c r="L32">
        <f t="shared" si="0"/>
        <v>2385</v>
      </c>
      <c r="M32">
        <f t="shared" si="1"/>
        <v>105.3</v>
      </c>
      <c r="N32">
        <f t="shared" si="2"/>
        <v>53.94</v>
      </c>
      <c r="O32">
        <f t="shared" si="3"/>
        <v>49.5</v>
      </c>
      <c r="Q32" s="260">
        <v>30</v>
      </c>
      <c r="R32">
        <f>Clinker!BA32</f>
        <v>0</v>
      </c>
      <c r="S32">
        <v>10</v>
      </c>
      <c r="T32">
        <f t="shared" si="4"/>
        <v>0</v>
      </c>
    </row>
    <row r="33" spans="3:20" x14ac:dyDescent="0.25">
      <c r="C33" s="260">
        <v>31</v>
      </c>
      <c r="D33">
        <f>'Mines (2)'!E33+'Mines (2)'!J33+'Mines (2)'!AB33</f>
        <v>0</v>
      </c>
      <c r="E33">
        <f>'Mines (2)'!N33</f>
        <v>0</v>
      </c>
      <c r="F33">
        <f>Clinker!E33</f>
        <v>0</v>
      </c>
      <c r="G33">
        <f>'Mines (2)'!S33</f>
        <v>0</v>
      </c>
      <c r="H33">
        <v>10</v>
      </c>
      <c r="I33">
        <v>7</v>
      </c>
      <c r="K33" s="260">
        <v>31</v>
      </c>
      <c r="L33">
        <f t="shared" si="0"/>
        <v>0</v>
      </c>
      <c r="M33">
        <f t="shared" si="1"/>
        <v>0</v>
      </c>
      <c r="N33">
        <f t="shared" si="2"/>
        <v>0</v>
      </c>
      <c r="O33">
        <f t="shared" si="3"/>
        <v>0</v>
      </c>
      <c r="Q33" s="260">
        <v>31</v>
      </c>
      <c r="R33">
        <f>Clinker!BA33</f>
        <v>0</v>
      </c>
      <c r="S33">
        <v>10</v>
      </c>
      <c r="T33">
        <f t="shared" si="4"/>
        <v>0</v>
      </c>
    </row>
    <row r="34" spans="3:20" x14ac:dyDescent="0.25">
      <c r="C34" s="260" t="s">
        <v>8</v>
      </c>
      <c r="D34">
        <f>SUM(D3:D33)</f>
        <v>66887</v>
      </c>
      <c r="E34">
        <f t="shared" ref="E34:G34" si="5">SUM(E3:E33)</f>
        <v>529</v>
      </c>
      <c r="F34">
        <f t="shared" si="5"/>
        <v>1437</v>
      </c>
      <c r="G34">
        <f t="shared" si="5"/>
        <v>547</v>
      </c>
      <c r="K34" s="260" t="s">
        <v>8</v>
      </c>
      <c r="L34">
        <f>SUM(L3:L33)</f>
        <v>60198.299999999996</v>
      </c>
      <c r="M34">
        <f>SUM(M3:M33)</f>
        <v>476.1</v>
      </c>
      <c r="N34">
        <f t="shared" ref="N34:O34" si="6">SUM(N3:N33)</f>
        <v>1336.41</v>
      </c>
      <c r="O34">
        <f t="shared" si="6"/>
        <v>492.30000000000007</v>
      </c>
      <c r="Q34" s="260" t="s">
        <v>8</v>
      </c>
      <c r="R34">
        <f>SUM(R3:R33)</f>
        <v>0</v>
      </c>
      <c r="S34">
        <v>10</v>
      </c>
      <c r="T34">
        <f>SUM(T3:T33)</f>
        <v>0</v>
      </c>
    </row>
    <row r="35" spans="3:20" x14ac:dyDescent="0.25">
      <c r="L35" s="241">
        <f>((D34-L34)/D34)</f>
        <v>0.10000000000000006</v>
      </c>
      <c r="M35" s="241">
        <f>((E34-M34)/E34)</f>
        <v>9.9999999999999964E-2</v>
      </c>
      <c r="N35" s="241">
        <f>((F34-N34)/F34)</f>
        <v>6.9999999999999937E-2</v>
      </c>
      <c r="O35" s="241">
        <f>((G34-O34)/G34)</f>
        <v>9.9999999999999881E-2</v>
      </c>
      <c r="S35" s="265" t="e">
        <f>(R34-T34)/R34</f>
        <v>#DIV/0!</v>
      </c>
    </row>
    <row r="36" spans="3:20" x14ac:dyDescent="0.25">
      <c r="S36" s="265" t="e">
        <f>(R35-T35)/R35</f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8" sqref="T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10.14062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10.42578125" style="68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52" t="s">
        <v>229</v>
      </c>
      <c r="Q4" s="153" t="s">
        <v>314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'Mines (2)'!C3+'Mines (2)'!H3+'Mines (2)'!V3+'Mines (2)'!Z3+'Mines (2)'!AD3</f>
        <v>23104.871697183829</v>
      </c>
      <c r="F9" s="74">
        <f>Production2!D3</f>
        <v>401.14000000000004</v>
      </c>
      <c r="G9" s="74">
        <f>F9</f>
        <v>401.14000000000004</v>
      </c>
      <c r="H9" s="74">
        <f>F9+Production2!D36</f>
        <v>401.14000000000004</v>
      </c>
      <c r="I9" s="74">
        <f>Production2!E3</f>
        <v>0</v>
      </c>
      <c r="J9" s="74">
        <f>I9</f>
        <v>0</v>
      </c>
      <c r="K9" s="74">
        <f>I9+Production2!E36</f>
        <v>0</v>
      </c>
      <c r="L9" s="74">
        <f>E9+F9-I9-I21</f>
        <v>23053.161697148309</v>
      </c>
      <c r="M9" s="75">
        <f>I9</f>
        <v>0</v>
      </c>
      <c r="N9" s="75" t="e">
        <f>(I9/I13)*100</f>
        <v>#DIV/0!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(2)'!L3</f>
        <v>124.03999999999975</v>
      </c>
      <c r="F10" s="77">
        <f>'Mines (2)'!M3</f>
        <v>0</v>
      </c>
      <c r="G10" s="74">
        <f t="shared" ref="G10:G12" si="0">F10</f>
        <v>0</v>
      </c>
      <c r="H10" s="74">
        <f>F10+'Mines (2)'!M36</f>
        <v>0</v>
      </c>
      <c r="I10" s="77">
        <f>'Mines (2)'!N3</f>
        <v>0</v>
      </c>
      <c r="J10" s="74">
        <f t="shared" ref="J10:J12" si="1">I10</f>
        <v>0</v>
      </c>
      <c r="K10" s="74">
        <f>I10+'Mines (2)'!N36</f>
        <v>0</v>
      </c>
      <c r="L10" s="77">
        <f t="shared" ref="L10:L13" si="2">E10+F10-I10</f>
        <v>124.03999999999975</v>
      </c>
      <c r="M10" s="75">
        <f t="shared" ref="M10:M12" si="3">I10</f>
        <v>0</v>
      </c>
      <c r="N10" s="75" t="e">
        <f>(I10/I13)*100</f>
        <v>#DIV/0!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Clinker!C3</f>
        <v>5365.6399999999994</v>
      </c>
      <c r="F11" s="77">
        <f>Clinker!D3</f>
        <v>0</v>
      </c>
      <c r="G11" s="74">
        <f t="shared" si="0"/>
        <v>0</v>
      </c>
      <c r="H11" s="74">
        <f>F11+Clinker!D36</f>
        <v>0</v>
      </c>
      <c r="I11" s="77">
        <f>Clinker!E3</f>
        <v>0</v>
      </c>
      <c r="J11" s="74">
        <f t="shared" si="1"/>
        <v>0</v>
      </c>
      <c r="K11" s="74">
        <f>I11+Clinker!E36</f>
        <v>0</v>
      </c>
      <c r="L11" s="77">
        <f t="shared" si="2"/>
        <v>5365.6399999999994</v>
      </c>
      <c r="M11" s="75">
        <f t="shared" si="3"/>
        <v>0</v>
      </c>
      <c r="N11" s="75" t="e">
        <f>(I11/I13)*100</f>
        <v>#DIV/0!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(2)'!Q3</f>
        <v>600.28</v>
      </c>
      <c r="F12" s="77">
        <f>'Mines (2)'!R3</f>
        <v>0</v>
      </c>
      <c r="G12" s="74">
        <f t="shared" si="0"/>
        <v>0</v>
      </c>
      <c r="H12" s="74">
        <f>F12+'Mines (2)'!R36</f>
        <v>0</v>
      </c>
      <c r="I12" s="77">
        <f>'Mines (2)'!S3</f>
        <v>0</v>
      </c>
      <c r="J12" s="74">
        <f t="shared" si="1"/>
        <v>0</v>
      </c>
      <c r="K12" s="74">
        <f>I12+'Mines (2)'!S36</f>
        <v>0</v>
      </c>
      <c r="L12" s="77">
        <f t="shared" si="2"/>
        <v>600.28</v>
      </c>
      <c r="M12" s="75">
        <f t="shared" si="3"/>
        <v>0</v>
      </c>
      <c r="N12" s="75" t="e">
        <f>(I12/I13)*100</f>
        <v>#DIV/0!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4">SUM(E9:E12)</f>
        <v>29194.831697183829</v>
      </c>
      <c r="F13" s="127">
        <f t="shared" si="4"/>
        <v>401.14000000000004</v>
      </c>
      <c r="G13" s="127">
        <f t="shared" si="4"/>
        <v>401.14000000000004</v>
      </c>
      <c r="H13" s="127">
        <f t="shared" si="4"/>
        <v>401.14000000000004</v>
      </c>
      <c r="I13" s="127">
        <f t="shared" si="4"/>
        <v>0</v>
      </c>
      <c r="J13" s="127">
        <f t="shared" si="4"/>
        <v>0</v>
      </c>
      <c r="K13" s="127">
        <f t="shared" si="4"/>
        <v>0</v>
      </c>
      <c r="L13" s="127">
        <f t="shared" si="2"/>
        <v>29595.971697183828</v>
      </c>
      <c r="M13" s="128">
        <f>SUM(M9:M12)</f>
        <v>0</v>
      </c>
      <c r="N13" s="128" t="e">
        <f>SUM(N9:N12)</f>
        <v>#DIV/0!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Clinker!EA3</f>
        <v>15834.276999999989</v>
      </c>
      <c r="F14" s="77">
        <f>Clinker!EB3</f>
        <v>60</v>
      </c>
      <c r="G14" s="77">
        <f>F14</f>
        <v>60</v>
      </c>
      <c r="H14" s="77">
        <f>F14+Clinker!EB36</f>
        <v>60</v>
      </c>
      <c r="I14" s="77">
        <f>Clinker!EC3</f>
        <v>0</v>
      </c>
      <c r="J14" s="77">
        <f>I14</f>
        <v>0</v>
      </c>
      <c r="K14" s="77">
        <f>I14+Clinker!EC36</f>
        <v>0</v>
      </c>
      <c r="L14" s="77">
        <f>E14+F14-I14-Clinker!N3-Clinker!Z3-Clinker!AR3-Clinker!AW3-Clinker!BB3-Clinker!BV3-Clinker!BG3-Clinker!BL3-Clinker!BQ3-Clinker!CU3-Clinker!DO3</f>
        <v>15894.276999999989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Clinker!EE3</f>
        <v>12785.649999999998</v>
      </c>
      <c r="F15" s="77">
        <f>Clinker!EF3</f>
        <v>33.35</v>
      </c>
      <c r="G15" s="77">
        <f>F15</f>
        <v>33.35</v>
      </c>
      <c r="H15" s="77">
        <f>F15+Clinker!EF36</f>
        <v>33.35</v>
      </c>
      <c r="I15" s="77">
        <f>Clinker!EG3</f>
        <v>22</v>
      </c>
      <c r="J15" s="77">
        <f>I15</f>
        <v>22</v>
      </c>
      <c r="K15" s="77">
        <f>I15+Clinker!EG36</f>
        <v>22</v>
      </c>
      <c r="L15" s="77">
        <f>E15+F15-Clinker!AE3-Clinker!AI3-Clinker!CK3-Clinker!CP3-Clinker!CF3</f>
        <v>12796.999999999998</v>
      </c>
      <c r="M15" s="81"/>
      <c r="N15" s="81"/>
      <c r="O15" s="667"/>
      <c r="P15" s="78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28619.926999999989</v>
      </c>
      <c r="F16" s="125">
        <f>F14+F15</f>
        <v>93.35</v>
      </c>
      <c r="G16" s="125">
        <f t="shared" ref="G16:L16" si="5">G14+G15</f>
        <v>93.35</v>
      </c>
      <c r="H16" s="125">
        <f t="shared" si="5"/>
        <v>93.35</v>
      </c>
      <c r="I16" s="125">
        <f>I14+I15</f>
        <v>22</v>
      </c>
      <c r="J16" s="125">
        <f>J14+J15</f>
        <v>22</v>
      </c>
      <c r="K16" s="125">
        <f t="shared" si="5"/>
        <v>22</v>
      </c>
      <c r="L16" s="125">
        <f t="shared" si="5"/>
        <v>28691.276999999987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Clinker!EI3</f>
        <v>3281.5400996267299</v>
      </c>
      <c r="F18" s="74">
        <f>Clinker!EJ3</f>
        <v>0</v>
      </c>
      <c r="G18" s="74">
        <f>F18</f>
        <v>0</v>
      </c>
      <c r="H18" s="74">
        <f>F18+Clinker!EJ36</f>
        <v>0</v>
      </c>
      <c r="I18" s="74">
        <f>Clinker!EK3</f>
        <v>4.9999832480807527E-2</v>
      </c>
      <c r="J18" s="74">
        <f>I18</f>
        <v>4.9999832480807527E-2</v>
      </c>
      <c r="K18" s="74">
        <f>I18+Clinker!EK36</f>
        <v>4.9999832480807527E-2</v>
      </c>
      <c r="L18" s="74">
        <f>E18+F18-I18-I20</f>
        <v>3281.4900997942491</v>
      </c>
      <c r="M18" s="704">
        <f>((I18+I19)/(J40+J46))*100</f>
        <v>76.363075651006611</v>
      </c>
      <c r="N18" s="687"/>
      <c r="O18" s="689"/>
      <c r="P18" s="691"/>
      <c r="Q18" s="692"/>
      <c r="R18" s="20"/>
      <c r="S18" s="190"/>
    </row>
    <row r="19" spans="2:19" ht="45" x14ac:dyDescent="0.25">
      <c r="B19" s="677"/>
      <c r="C19" s="685"/>
      <c r="D19" s="85" t="s">
        <v>75</v>
      </c>
      <c r="E19" s="74">
        <f>Clinker!EN3</f>
        <v>8849.5490080001382</v>
      </c>
      <c r="F19" s="74">
        <f>Clinker!EO3</f>
        <v>657.16</v>
      </c>
      <c r="G19" s="74">
        <f>F19</f>
        <v>657.16</v>
      </c>
      <c r="H19" s="74">
        <f>F19+Clinker!EO36</f>
        <v>657.16</v>
      </c>
      <c r="I19" s="74">
        <f>Clinker!EP3</f>
        <v>1857.1</v>
      </c>
      <c r="J19" s="74">
        <f>I19</f>
        <v>1857.1</v>
      </c>
      <c r="K19" s="74">
        <f>I19+Clinker!EP36</f>
        <v>1857.1</v>
      </c>
      <c r="L19" s="74">
        <f>E19+F19-I19</f>
        <v>7649.6090080001377</v>
      </c>
      <c r="M19" s="70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Clinker!EM3</f>
        <v>0</v>
      </c>
      <c r="G20" s="74">
        <f t="shared" ref="G20:G24" si="6">F20</f>
        <v>0</v>
      </c>
      <c r="H20" s="74">
        <v>0</v>
      </c>
      <c r="I20" s="77">
        <f>Clinker!EM3</f>
        <v>0</v>
      </c>
      <c r="J20" s="74">
        <f t="shared" ref="J20:J24" si="7">I20</f>
        <v>0</v>
      </c>
      <c r="K20" s="74">
        <f>I20+Clinker!EM36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06" t="s">
        <v>244</v>
      </c>
      <c r="D21" s="707"/>
      <c r="E21" s="77"/>
      <c r="F21" s="77">
        <f>Cement!P3</f>
        <v>0</v>
      </c>
      <c r="G21" s="74">
        <f t="shared" si="6"/>
        <v>0</v>
      </c>
      <c r="H21" s="74">
        <f>F21+Cement!P36</f>
        <v>0</v>
      </c>
      <c r="I21" s="77">
        <f>Cement!Q3</f>
        <v>452.85000003551937</v>
      </c>
      <c r="J21" s="74">
        <f t="shared" si="7"/>
        <v>452.85000003551937</v>
      </c>
      <c r="K21" s="74">
        <f>I21+Cement!Q36</f>
        <v>452.85000003551937</v>
      </c>
      <c r="L21" s="74"/>
      <c r="M21" s="78">
        <f>(I21/(J40+J46))*100</f>
        <v>18.620476975144712</v>
      </c>
      <c r="N21" s="78">
        <f>M21+(M21*P21)/100</f>
        <v>18.620476975144712</v>
      </c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Cement!C3</f>
        <v>7445.3800591497793</v>
      </c>
      <c r="F22" s="77">
        <f>Cement!D3</f>
        <v>277.82</v>
      </c>
      <c r="G22" s="74">
        <f t="shared" si="6"/>
        <v>277.82</v>
      </c>
      <c r="H22" s="74">
        <f>F22+Cement!D36</f>
        <v>277.82</v>
      </c>
      <c r="I22" s="77">
        <f>Cement!E3</f>
        <v>122.000000132</v>
      </c>
      <c r="J22" s="74">
        <f t="shared" si="7"/>
        <v>122.000000132</v>
      </c>
      <c r="K22" s="74">
        <f>I22+Cement!E36</f>
        <v>122.000000132</v>
      </c>
      <c r="L22" s="74">
        <f t="shared" ref="L22:L24" si="8">E22+F22-I22</f>
        <v>7601.2000590177786</v>
      </c>
      <c r="M22" s="78">
        <f>(I22/(J40+J46))*100</f>
        <v>5.0164473738486839</v>
      </c>
      <c r="N22" s="78">
        <f>M22+(M22*P22)/100</f>
        <v>5.0164473738486839</v>
      </c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Cement!G3</f>
        <v>0.23999999999796273</v>
      </c>
      <c r="F23" s="77">
        <f>Cement!H3</f>
        <v>0</v>
      </c>
      <c r="G23" s="74">
        <f t="shared" si="6"/>
        <v>0</v>
      </c>
      <c r="H23" s="74">
        <f>F23+Cement!H36</f>
        <v>0</v>
      </c>
      <c r="I23" s="77">
        <f>Cement!I3</f>
        <v>0</v>
      </c>
      <c r="J23" s="74">
        <f t="shared" si="7"/>
        <v>0</v>
      </c>
      <c r="K23" s="74">
        <f>I23+Cement!I36</f>
        <v>0</v>
      </c>
      <c r="L23" s="74">
        <f t="shared" si="8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Cement!K3</f>
        <v>0</v>
      </c>
      <c r="F24" s="77">
        <f>Cement!L3</f>
        <v>0</v>
      </c>
      <c r="G24" s="74">
        <f t="shared" si="6"/>
        <v>0</v>
      </c>
      <c r="H24" s="74">
        <f>F24+Cement!L36</f>
        <v>0</v>
      </c>
      <c r="I24" s="77">
        <f>Cement!M3</f>
        <v>0</v>
      </c>
      <c r="J24" s="74">
        <f t="shared" si="7"/>
        <v>0</v>
      </c>
      <c r="K24" s="74">
        <f>I24+Cement!M36</f>
        <v>0</v>
      </c>
      <c r="L24" s="74">
        <f t="shared" si="8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19576.709166776644</v>
      </c>
      <c r="F25" s="122">
        <f t="shared" ref="F25:L25" si="9">F18+F19+F21+F22+F23+F24</f>
        <v>934.98</v>
      </c>
      <c r="G25" s="122">
        <f t="shared" si="9"/>
        <v>934.98</v>
      </c>
      <c r="H25" s="122">
        <f t="shared" si="9"/>
        <v>934.98</v>
      </c>
      <c r="I25" s="122">
        <f t="shared" si="9"/>
        <v>2432</v>
      </c>
      <c r="J25" s="122">
        <f t="shared" si="9"/>
        <v>2432</v>
      </c>
      <c r="K25" s="122">
        <f t="shared" si="9"/>
        <v>2432</v>
      </c>
      <c r="L25" s="122">
        <f t="shared" si="9"/>
        <v>18532.539166812163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Production2!C3</f>
        <v>0</v>
      </c>
      <c r="G30" s="75">
        <f>F30</f>
        <v>0</v>
      </c>
      <c r="H30" s="75">
        <f>F30+Production2!C36</f>
        <v>0</v>
      </c>
      <c r="I30" s="74">
        <f>'Mines (2)'!C3+'Mines (2)'!H3+'Mines (2)'!V3+'Mines (2)'!Z3+'Mines (2)'!AD3+Cement!O3+Cement!S3+Cement!W3</f>
        <v>23104.871697183829</v>
      </c>
      <c r="J30" s="74">
        <f>F9+F21</f>
        <v>401.14000000000004</v>
      </c>
      <c r="K30" s="74">
        <f>J30</f>
        <v>401.14000000000004</v>
      </c>
      <c r="L30" s="74">
        <f>J30+Production2!D36</f>
        <v>401.14000000000004</v>
      </c>
      <c r="M30" s="74">
        <f>I9+I21</f>
        <v>452.85000003551937</v>
      </c>
      <c r="N30" s="74">
        <f>M30</f>
        <v>452.85000003551937</v>
      </c>
      <c r="O30" s="74">
        <f>M30+Production2!E36+Cement!Q36</f>
        <v>452.85000003551937</v>
      </c>
      <c r="P30" s="74">
        <f>I30+J30-M30</f>
        <v>23053.161697148309</v>
      </c>
      <c r="Q30" s="93" t="e">
        <f>J30/F30</f>
        <v>#DIV/0!</v>
      </c>
      <c r="R30" s="94"/>
      <c r="S30" s="94"/>
    </row>
    <row r="31" spans="2:19" x14ac:dyDescent="0.25">
      <c r="B31" s="79">
        <v>2</v>
      </c>
      <c r="C31" s="680" t="s">
        <v>264</v>
      </c>
      <c r="D31" s="681"/>
      <c r="E31" s="95">
        <v>120</v>
      </c>
      <c r="F31" s="78">
        <f>Production2!G3</f>
        <v>0</v>
      </c>
      <c r="G31" s="75">
        <f t="shared" ref="G31:G38" si="10">F31</f>
        <v>0</v>
      </c>
      <c r="H31" s="75">
        <f>F31+Production2!G36</f>
        <v>0</v>
      </c>
      <c r="I31" s="747">
        <f>Production2!H3</f>
        <v>1993.73001683752</v>
      </c>
      <c r="J31" s="78">
        <f>Production2!N3</f>
        <v>0</v>
      </c>
      <c r="K31" s="74">
        <f t="shared" ref="K31:K37" si="11">J31</f>
        <v>0</v>
      </c>
      <c r="L31" s="74">
        <f>J31+Production2!N36</f>
        <v>0</v>
      </c>
      <c r="M31" s="747">
        <f>Production2!K3</f>
        <v>0</v>
      </c>
      <c r="N31" s="747">
        <f t="shared" ref="N31:N38" si="12">M31</f>
        <v>0</v>
      </c>
      <c r="O31" s="747">
        <f>M31+Production2!K36</f>
        <v>0</v>
      </c>
      <c r="P31" s="747">
        <f>I31+J31+J32-M31</f>
        <v>1993.73001683752</v>
      </c>
      <c r="Q31" s="96" t="e">
        <f t="shared" ref="Q31:Q40" si="13">J31/F31</f>
        <v>#DIV/0!</v>
      </c>
      <c r="R31" s="94"/>
      <c r="S31" s="94"/>
    </row>
    <row r="32" spans="2:19" x14ac:dyDescent="0.25">
      <c r="B32" s="79"/>
      <c r="C32" s="680" t="s">
        <v>265</v>
      </c>
      <c r="D32" s="681"/>
      <c r="E32" s="95">
        <v>20</v>
      </c>
      <c r="F32" s="78">
        <f>Production2!P3</f>
        <v>0</v>
      </c>
      <c r="G32" s="75">
        <f t="shared" si="10"/>
        <v>0</v>
      </c>
      <c r="H32" s="75">
        <f>F32+Production2!P36</f>
        <v>0</v>
      </c>
      <c r="I32" s="748"/>
      <c r="J32" s="78">
        <f>Production2!Q3</f>
        <v>0</v>
      </c>
      <c r="K32" s="74">
        <f t="shared" si="11"/>
        <v>0</v>
      </c>
      <c r="L32" s="74">
        <f>J32+Production2!Q36</f>
        <v>0</v>
      </c>
      <c r="M32" s="748"/>
      <c r="N32" s="748"/>
      <c r="O32" s="748"/>
      <c r="P32" s="748"/>
      <c r="Q32" s="96" t="e">
        <f t="shared" si="13"/>
        <v>#DIV/0!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Production2!S3</f>
        <v>0</v>
      </c>
      <c r="G33" s="75">
        <f t="shared" si="10"/>
        <v>0</v>
      </c>
      <c r="H33" s="75">
        <f>F33+Production2!S36</f>
        <v>0</v>
      </c>
      <c r="I33" s="77">
        <f>Production2!T3</f>
        <v>15.51</v>
      </c>
      <c r="J33" s="77">
        <f>Production2!U3</f>
        <v>0</v>
      </c>
      <c r="K33" s="74">
        <f t="shared" si="11"/>
        <v>0</v>
      </c>
      <c r="L33" s="74">
        <f>J33+Production2!U36</f>
        <v>0</v>
      </c>
      <c r="M33" s="77">
        <f>Production2!V3</f>
        <v>0</v>
      </c>
      <c r="N33" s="74">
        <f t="shared" si="12"/>
        <v>0</v>
      </c>
      <c r="O33" s="74">
        <f>M33+Production2!V36</f>
        <v>0</v>
      </c>
      <c r="P33" s="74">
        <f t="shared" ref="P33" si="14">I33+J33-M33</f>
        <v>15.51</v>
      </c>
      <c r="Q33" s="96" t="e">
        <f t="shared" si="13"/>
        <v>#DIV/0!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Production2!Y3</f>
        <v>0</v>
      </c>
      <c r="G34" s="75">
        <f t="shared" si="10"/>
        <v>0</v>
      </c>
      <c r="H34" s="75">
        <f>F34+Production2!Y36</f>
        <v>0</v>
      </c>
      <c r="I34" s="77">
        <f>Clinker!EI3</f>
        <v>3281.5400996267299</v>
      </c>
      <c r="J34" s="77">
        <f>Clinker!EJ3</f>
        <v>0</v>
      </c>
      <c r="K34" s="74">
        <f t="shared" si="11"/>
        <v>0</v>
      </c>
      <c r="L34" s="74">
        <f>J34+Clinker!EJ36</f>
        <v>0</v>
      </c>
      <c r="M34" s="77">
        <f>Clinker!EK3</f>
        <v>4.9999832480807527E-2</v>
      </c>
      <c r="N34" s="74">
        <f t="shared" si="12"/>
        <v>4.9999832480807527E-2</v>
      </c>
      <c r="O34" s="74">
        <f>M34+Clinker!EK36</f>
        <v>4.9999832480807527E-2</v>
      </c>
      <c r="P34" s="74">
        <f>I34+J34-M34-I20</f>
        <v>3281.4900997942491</v>
      </c>
      <c r="Q34" s="96" t="e">
        <f t="shared" si="13"/>
        <v>#DIV/0!</v>
      </c>
      <c r="R34" s="94"/>
      <c r="S34" s="94"/>
    </row>
    <row r="35" spans="2:19" x14ac:dyDescent="0.25">
      <c r="B35" s="753">
        <v>5</v>
      </c>
      <c r="C35" s="679" t="s">
        <v>266</v>
      </c>
      <c r="D35" s="80" t="s">
        <v>267</v>
      </c>
      <c r="E35" s="97">
        <v>90</v>
      </c>
      <c r="F35" s="78">
        <f>Production2!AE3</f>
        <v>0</v>
      </c>
      <c r="G35" s="75">
        <f t="shared" si="10"/>
        <v>0</v>
      </c>
      <c r="H35" s="75">
        <f>F35+Production2!AE36</f>
        <v>0</v>
      </c>
      <c r="I35" s="77">
        <f>Production2!BJ3</f>
        <v>232.29999999999998</v>
      </c>
      <c r="J35" s="77">
        <f>Production2!AF3</f>
        <v>0</v>
      </c>
      <c r="K35" s="74">
        <f t="shared" si="11"/>
        <v>0</v>
      </c>
      <c r="L35" s="75">
        <f>J35+Production2!AF36</f>
        <v>0</v>
      </c>
      <c r="M35" s="77">
        <f>Production2!BL3</f>
        <v>151</v>
      </c>
      <c r="N35" s="74">
        <f>M35</f>
        <v>151</v>
      </c>
      <c r="O35" s="75">
        <f>M35+Production2!BL36</f>
        <v>151</v>
      </c>
      <c r="P35" s="74">
        <f>I35+J35+J41-M35-F59</f>
        <v>261.29999999999995</v>
      </c>
      <c r="Q35" s="96" t="e">
        <f t="shared" si="13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Production2!AB3</f>
        <v>20.399999999999999</v>
      </c>
      <c r="G36" s="75">
        <f t="shared" si="10"/>
        <v>20.399999999999999</v>
      </c>
      <c r="H36" s="75">
        <f>F36+Production2!AB36</f>
        <v>20.399999999999999</v>
      </c>
      <c r="I36" s="77">
        <f>Production2!BF3</f>
        <v>1278.55799999998</v>
      </c>
      <c r="J36" s="77">
        <f>Production2!AC3</f>
        <v>1250</v>
      </c>
      <c r="K36" s="74">
        <f t="shared" si="11"/>
        <v>1250</v>
      </c>
      <c r="L36" s="74">
        <f>J36+Production2!AC36</f>
        <v>1250</v>
      </c>
      <c r="M36" s="77">
        <f>Production2!BH3</f>
        <v>1888.5</v>
      </c>
      <c r="N36" s="74">
        <f t="shared" si="12"/>
        <v>1888.5</v>
      </c>
      <c r="O36" s="74">
        <f>M36+Production2!BH36</f>
        <v>1888.5</v>
      </c>
      <c r="P36" s="74">
        <f>I36+J36+J42-M36-F57</f>
        <v>1452.05799999998</v>
      </c>
      <c r="Q36" s="96">
        <f t="shared" si="13"/>
        <v>61.274509803921575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Production2!AH3</f>
        <v>0</v>
      </c>
      <c r="G37" s="75">
        <f t="shared" si="10"/>
        <v>0</v>
      </c>
      <c r="H37" s="75">
        <f>F37+Production2!AH36</f>
        <v>0</v>
      </c>
      <c r="I37" s="77">
        <f>Production2!BN3</f>
        <v>1.9400000000008499</v>
      </c>
      <c r="J37" s="77">
        <f>Production2!AI3</f>
        <v>0</v>
      </c>
      <c r="K37" s="74">
        <f t="shared" si="11"/>
        <v>0</v>
      </c>
      <c r="L37" s="74">
        <f>J37+Production2!AI36</f>
        <v>0</v>
      </c>
      <c r="M37" s="77">
        <f>Production2!BP3</f>
        <v>0</v>
      </c>
      <c r="N37" s="74">
        <f t="shared" si="12"/>
        <v>0</v>
      </c>
      <c r="O37" s="74">
        <f>M37+Production2!BP36</f>
        <v>0</v>
      </c>
      <c r="P37" s="74">
        <f>I37+J37+J43-M37-F58</f>
        <v>1.9400000000008499</v>
      </c>
      <c r="Q37" s="96" t="e">
        <f t="shared" si="13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Production2!AK3</f>
        <v>0</v>
      </c>
      <c r="G38" s="75">
        <f t="shared" si="10"/>
        <v>0</v>
      </c>
      <c r="H38" s="75">
        <f>F38+Production2!AK36</f>
        <v>0</v>
      </c>
      <c r="I38" s="600">
        <f>Production2!BR3</f>
        <v>213.3</v>
      </c>
      <c r="J38" s="195">
        <v>0</v>
      </c>
      <c r="K38" s="74">
        <f>J38</f>
        <v>0</v>
      </c>
      <c r="L38" s="74">
        <f>J38+Production2!AL36</f>
        <v>0</v>
      </c>
      <c r="M38" s="195">
        <f>Production2!BT3</f>
        <v>60</v>
      </c>
      <c r="N38" s="74">
        <f t="shared" si="12"/>
        <v>60</v>
      </c>
      <c r="O38" s="74">
        <f>M38+Production2!BT36</f>
        <v>60</v>
      </c>
      <c r="P38" s="74">
        <f>I38+J38+J44-M38-F60</f>
        <v>153.30000000000001</v>
      </c>
      <c r="Q38" s="96" t="e">
        <f t="shared" si="13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Production2!AN3</f>
        <v>3</v>
      </c>
      <c r="G39" s="75">
        <f>F39</f>
        <v>3</v>
      </c>
      <c r="H39" s="75">
        <f>F39+Production2!AN36</f>
        <v>3</v>
      </c>
      <c r="I39" s="600">
        <f>Production2!BV3</f>
        <v>373.71</v>
      </c>
      <c r="J39" s="195">
        <f>Production2!BW3</f>
        <v>190</v>
      </c>
      <c r="K39" s="74">
        <f>J39</f>
        <v>190</v>
      </c>
      <c r="L39" s="74">
        <f>J39+Production2!AO36</f>
        <v>190</v>
      </c>
      <c r="M39" s="77">
        <f>Production2!BX3</f>
        <v>301</v>
      </c>
      <c r="N39" s="74">
        <f>M39</f>
        <v>301</v>
      </c>
      <c r="O39" s="74">
        <f>M39+Production2!BX36</f>
        <v>301</v>
      </c>
      <c r="P39" s="74">
        <f>I39+J39+J45-M39</f>
        <v>262.71000000000004</v>
      </c>
      <c r="Q39" s="96">
        <f t="shared" si="13"/>
        <v>63.333333333333336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23.4</v>
      </c>
      <c r="G40" s="132">
        <f t="shared" ref="G40:I40" si="15">G35+G36+G37+G38+G39</f>
        <v>23.4</v>
      </c>
      <c r="H40" s="132">
        <f t="shared" si="15"/>
        <v>23.4</v>
      </c>
      <c r="I40" s="122">
        <f t="shared" si="15"/>
        <v>2099.8079999999804</v>
      </c>
      <c r="J40" s="122">
        <f>J35+J36+J37+J38+J39</f>
        <v>1440</v>
      </c>
      <c r="K40" s="122">
        <f t="shared" ref="K40:P40" si="16">K35+K36+K37+K38+K39</f>
        <v>1440</v>
      </c>
      <c r="L40" s="122">
        <f t="shared" si="16"/>
        <v>1440</v>
      </c>
      <c r="M40" s="122">
        <f t="shared" si="16"/>
        <v>2400.5</v>
      </c>
      <c r="N40" s="122">
        <f t="shared" si="16"/>
        <v>2400.5</v>
      </c>
      <c r="O40" s="122">
        <f t="shared" si="16"/>
        <v>2400.5</v>
      </c>
      <c r="P40" s="122">
        <f t="shared" si="16"/>
        <v>2131.3079999999809</v>
      </c>
      <c r="Q40" s="123">
        <f t="shared" si="13"/>
        <v>61.53846153846154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Production2!AT3</f>
        <v>3</v>
      </c>
      <c r="G41" s="75">
        <f>F41</f>
        <v>3</v>
      </c>
      <c r="H41" s="75">
        <f>F41+Production2!AT36</f>
        <v>3</v>
      </c>
      <c r="I41" s="764"/>
      <c r="J41" s="77">
        <f>Production2!AU3</f>
        <v>180</v>
      </c>
      <c r="K41" s="74">
        <f>J41</f>
        <v>180</v>
      </c>
      <c r="L41" s="75">
        <f>J41+Production2!AU36</f>
        <v>180</v>
      </c>
      <c r="M41" s="766"/>
      <c r="N41" s="767"/>
      <c r="O41" s="767"/>
      <c r="P41" s="768"/>
      <c r="Q41" s="96">
        <f t="shared" ref="Q41:Q46" si="17">J41/F41</f>
        <v>60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Production2!AQ3</f>
        <v>14</v>
      </c>
      <c r="G42" s="75">
        <f t="shared" ref="G42:G44" si="18">F42</f>
        <v>14</v>
      </c>
      <c r="H42" s="75">
        <f>F42+Production2!AQ36</f>
        <v>14</v>
      </c>
      <c r="I42" s="765"/>
      <c r="J42" s="77">
        <f>Production2!AR3</f>
        <v>812</v>
      </c>
      <c r="K42" s="74">
        <f t="shared" ref="K42:K44" si="19">J42</f>
        <v>812</v>
      </c>
      <c r="L42" s="74">
        <f>J42+Production2!AR36</f>
        <v>812</v>
      </c>
      <c r="M42" s="769"/>
      <c r="N42" s="770"/>
      <c r="O42" s="770"/>
      <c r="P42" s="771"/>
      <c r="Q42" s="96">
        <f t="shared" si="17"/>
        <v>58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Production2!AW3</f>
        <v>0</v>
      </c>
      <c r="G43" s="75">
        <f t="shared" si="18"/>
        <v>0</v>
      </c>
      <c r="H43" s="75">
        <f>F43+Production2!AW36</f>
        <v>0</v>
      </c>
      <c r="I43" s="765"/>
      <c r="J43" s="77">
        <f>Production2!AX3</f>
        <v>0</v>
      </c>
      <c r="K43" s="74">
        <f t="shared" si="19"/>
        <v>0</v>
      </c>
      <c r="L43" s="74">
        <f>J43+Production2!AX36</f>
        <v>0</v>
      </c>
      <c r="M43" s="769"/>
      <c r="N43" s="770"/>
      <c r="O43" s="770"/>
      <c r="P43" s="771"/>
      <c r="Q43" s="96" t="e">
        <f t="shared" si="17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Production2!AZ3</f>
        <v>0</v>
      </c>
      <c r="G44" s="75">
        <f t="shared" si="18"/>
        <v>0</v>
      </c>
      <c r="H44" s="75">
        <f>F44+Production2!AZ36</f>
        <v>0</v>
      </c>
      <c r="I44" s="765"/>
      <c r="J44" s="195">
        <f>Production2!BA3</f>
        <v>0</v>
      </c>
      <c r="K44" s="74">
        <f t="shared" si="19"/>
        <v>0</v>
      </c>
      <c r="L44" s="74">
        <f>J44+Production2!BA36</f>
        <v>0</v>
      </c>
      <c r="M44" s="769"/>
      <c r="N44" s="770"/>
      <c r="O44" s="770"/>
      <c r="P44" s="771"/>
      <c r="Q44" s="96" t="e">
        <f t="shared" si="17"/>
        <v>#DIV/0!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Production2!BC3</f>
        <v>0</v>
      </c>
      <c r="G45" s="75">
        <f>F45</f>
        <v>0</v>
      </c>
      <c r="H45" s="75">
        <f>F45+Production2!BC36</f>
        <v>0</v>
      </c>
      <c r="I45" s="748"/>
      <c r="J45" s="195">
        <f>Production2!BD3</f>
        <v>0</v>
      </c>
      <c r="K45" s="74">
        <f>J45</f>
        <v>0</v>
      </c>
      <c r="L45" s="74">
        <f>J45+Production2!BD36</f>
        <v>0</v>
      </c>
      <c r="M45" s="772"/>
      <c r="N45" s="773"/>
      <c r="O45" s="773"/>
      <c r="P45" s="774"/>
      <c r="Q45" s="96" t="e">
        <f t="shared" si="17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60</v>
      </c>
      <c r="F46" s="132">
        <f>F41+F42+F43+F44+F45</f>
        <v>17</v>
      </c>
      <c r="G46" s="132">
        <f t="shared" ref="G46:H46" si="20">G41+G42+G43+G44+G45</f>
        <v>17</v>
      </c>
      <c r="H46" s="132">
        <f t="shared" si="20"/>
        <v>17</v>
      </c>
      <c r="I46" s="132">
        <f t="shared" ref="I46" si="21">I41+I42+I43+I44</f>
        <v>0</v>
      </c>
      <c r="J46" s="122">
        <f>J41+J42+J43+J44+J45</f>
        <v>992</v>
      </c>
      <c r="K46" s="122">
        <f t="shared" ref="K46:L46" si="22">K41+K42+K43+K44+K45</f>
        <v>992</v>
      </c>
      <c r="L46" s="122">
        <f t="shared" si="22"/>
        <v>992</v>
      </c>
      <c r="M46" s="122"/>
      <c r="N46" s="122"/>
      <c r="O46" s="122"/>
      <c r="P46" s="122"/>
      <c r="Q46" s="123">
        <f t="shared" si="17"/>
        <v>58.352941176470587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738" t="s">
        <v>271</v>
      </c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40"/>
      <c r="N48" s="741" t="s">
        <v>272</v>
      </c>
      <c r="O48" s="742"/>
      <c r="P48" s="742"/>
      <c r="Q48" s="743"/>
      <c r="R48" s="98"/>
      <c r="S48" s="98"/>
    </row>
    <row r="49" spans="2:19" s="70" customFormat="1" ht="15.6" customHeight="1" thickBot="1" x14ac:dyDescent="0.3">
      <c r="B49" s="145" t="s">
        <v>231</v>
      </c>
      <c r="C49" s="750" t="s">
        <v>232</v>
      </c>
      <c r="D49" s="750"/>
      <c r="E49" s="133" t="s">
        <v>143</v>
      </c>
      <c r="F49" s="133" t="s">
        <v>122</v>
      </c>
      <c r="G49" s="133" t="s">
        <v>146</v>
      </c>
      <c r="H49" s="133" t="s">
        <v>147</v>
      </c>
      <c r="I49" s="133" t="s">
        <v>273</v>
      </c>
      <c r="J49" s="133" t="s">
        <v>149</v>
      </c>
      <c r="K49" s="133" t="s">
        <v>274</v>
      </c>
      <c r="L49" s="146" t="s">
        <v>275</v>
      </c>
      <c r="M49" s="135" t="s">
        <v>152</v>
      </c>
      <c r="N49" s="147" t="s">
        <v>231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3.3454654235429024</v>
      </c>
      <c r="F50" s="99" t="e">
        <f>F53/(J31+J32)</f>
        <v>#DIV/0!</v>
      </c>
      <c r="G50" s="99" t="e">
        <f>G53/J34</f>
        <v>#DIV/0!</v>
      </c>
      <c r="H50" s="99" t="e">
        <f>H53/J33</f>
        <v>#DIV/0!</v>
      </c>
      <c r="I50" s="99"/>
      <c r="J50" s="99"/>
      <c r="K50" s="99"/>
      <c r="L50" s="99"/>
      <c r="M50" s="100"/>
      <c r="N50" s="101">
        <v>1</v>
      </c>
      <c r="O50" s="749" t="s">
        <v>277</v>
      </c>
      <c r="P50" s="749"/>
      <c r="Q50" s="93" t="e">
        <f>(M33/J34)*100</f>
        <v>#DIV/0!</v>
      </c>
    </row>
    <row r="51" spans="2:19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 t="e">
        <f>F50*1.55</f>
        <v>#DIV/0!</v>
      </c>
      <c r="G51" s="102" t="e">
        <f>G50</f>
        <v>#DIV/0!</v>
      </c>
      <c r="H51" s="102" t="e">
        <f>H50*Q50/100</f>
        <v>#DIV/0!</v>
      </c>
      <c r="I51" s="102"/>
      <c r="J51" s="102"/>
      <c r="K51" s="102"/>
      <c r="L51" s="102"/>
      <c r="M51" s="96" t="e">
        <f>SUM(E51:H51)</f>
        <v>#DIV/0!</v>
      </c>
      <c r="N51" s="103">
        <v>2</v>
      </c>
      <c r="O51" s="668" t="s">
        <v>279</v>
      </c>
      <c r="P51" s="668"/>
      <c r="Q51" s="104">
        <v>0</v>
      </c>
    </row>
    <row r="52" spans="2:19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 t="e">
        <f>F51*M18/100</f>
        <v>#DIV/0!</v>
      </c>
      <c r="G52" s="102" t="e">
        <f>G51*M18/100</f>
        <v>#DIV/0!</v>
      </c>
      <c r="H52" s="102" t="e">
        <f>H51*M18/100</f>
        <v>#DIV/0!</v>
      </c>
      <c r="I52" s="102">
        <f>I53/(J40+J46)</f>
        <v>44.658717105263158</v>
      </c>
      <c r="J52" s="99">
        <f>J53/(J40+J46)</f>
        <v>0.46258223684210525</v>
      </c>
      <c r="K52" s="99">
        <f>K53/(M40+M46)</f>
        <v>2.4624036659029369</v>
      </c>
      <c r="L52" s="99">
        <f>L53/(J40+J46)</f>
        <v>1.8564967105263157</v>
      </c>
      <c r="M52" s="96" t="e">
        <f>SUM(E52:L52)</f>
        <v>#DIV/0!</v>
      </c>
      <c r="N52" s="103">
        <v>3</v>
      </c>
      <c r="O52" s="668" t="s">
        <v>281</v>
      </c>
      <c r="P52" s="668"/>
      <c r="Q52" s="104" t="e">
        <f>Q51*Q50/100</f>
        <v>#DIV/0!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unit'!B3</f>
        <v>1342</v>
      </c>
      <c r="F53" s="118">
        <f>'Daily unit'!C3</f>
        <v>469</v>
      </c>
      <c r="G53" s="118">
        <f>'Daily unit'!E3</f>
        <v>4478</v>
      </c>
      <c r="H53" s="118">
        <f>'Daily unit'!F3</f>
        <v>744</v>
      </c>
      <c r="I53" s="118">
        <f>'Daily unit'!G3</f>
        <v>108610</v>
      </c>
      <c r="J53" s="118">
        <f>'Daily unit'!H3</f>
        <v>1125</v>
      </c>
      <c r="K53" s="118">
        <f>'Daily unit'!I3</f>
        <v>5911</v>
      </c>
      <c r="L53" s="118">
        <f>'Daily unit'!J3</f>
        <v>4515</v>
      </c>
      <c r="M53" s="119">
        <f>SUM(E53:L53)</f>
        <v>127194</v>
      </c>
      <c r="N53" s="105"/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3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290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60">
        <v>1</v>
      </c>
      <c r="C57" s="757" t="s">
        <v>287</v>
      </c>
      <c r="D57" s="757"/>
      <c r="E57" s="80">
        <v>42.5</v>
      </c>
      <c r="F57" s="53">
        <f>'Internal use cement'!F3</f>
        <v>0</v>
      </c>
      <c r="G57" s="53">
        <f>F57</f>
        <v>0</v>
      </c>
      <c r="H57" s="182">
        <f>F57+'Internal use cement'!F36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60"/>
      <c r="C58" s="758"/>
      <c r="D58" s="758"/>
      <c r="E58" s="80" t="s">
        <v>197</v>
      </c>
      <c r="F58" s="53">
        <f>'Internal use cement'!Q3</f>
        <v>0</v>
      </c>
      <c r="G58" s="53">
        <f t="shared" ref="G58:G59" si="23">F58</f>
        <v>0</v>
      </c>
      <c r="H58" s="291">
        <f>F58+'Internal use cement'!N36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60"/>
      <c r="C59" s="758"/>
      <c r="D59" s="758"/>
      <c r="E59" s="80">
        <v>32.5</v>
      </c>
      <c r="F59" s="53">
        <f>'Internal use cement'!AB3</f>
        <v>0</v>
      </c>
      <c r="G59" s="53">
        <f t="shared" si="23"/>
        <v>0</v>
      </c>
      <c r="H59" s="292">
        <f>F59+'Internal use cement'!Y36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60"/>
      <c r="C60" s="759"/>
      <c r="D60" s="759"/>
      <c r="E60" s="112" t="s">
        <v>177</v>
      </c>
      <c r="F60" s="113">
        <f>'Internal use cement'!AJ3</f>
        <v>0</v>
      </c>
      <c r="G60" s="53">
        <f>F60</f>
        <v>0</v>
      </c>
      <c r="H60" s="291">
        <f>F60+'Internal use cement'!AJ36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B35:B40"/>
    <mergeCell ref="C35:C40"/>
    <mergeCell ref="B26:Q26"/>
    <mergeCell ref="B27:Q27"/>
    <mergeCell ref="C57:D60"/>
    <mergeCell ref="B57:B60"/>
    <mergeCell ref="B41:B46"/>
    <mergeCell ref="C41:C46"/>
    <mergeCell ref="B55:H55"/>
    <mergeCell ref="I41:I45"/>
    <mergeCell ref="M41:P45"/>
    <mergeCell ref="C56:E56"/>
    <mergeCell ref="C53:D53"/>
    <mergeCell ref="I31:I32"/>
    <mergeCell ref="P31:P32"/>
    <mergeCell ref="M31:M32"/>
    <mergeCell ref="C30:D30"/>
    <mergeCell ref="C31:D31"/>
    <mergeCell ref="C33:D33"/>
    <mergeCell ref="C34:D34"/>
    <mergeCell ref="C32:D32"/>
    <mergeCell ref="N31:N32"/>
    <mergeCell ref="O31:O32"/>
    <mergeCell ref="O50:P50"/>
    <mergeCell ref="C51:D51"/>
    <mergeCell ref="O51:P51"/>
    <mergeCell ref="C49:D49"/>
    <mergeCell ref="O49:P49"/>
    <mergeCell ref="C52:D52"/>
    <mergeCell ref="O52:P52"/>
    <mergeCell ref="I55:Q60"/>
    <mergeCell ref="C28:D29"/>
    <mergeCell ref="F28:H28"/>
    <mergeCell ref="I28:I29"/>
    <mergeCell ref="J28:L28"/>
    <mergeCell ref="M28:O28"/>
    <mergeCell ref="P28:P29"/>
    <mergeCell ref="Q28:Q29"/>
    <mergeCell ref="B54:Q54"/>
    <mergeCell ref="B47:Q47"/>
    <mergeCell ref="B48:M48"/>
    <mergeCell ref="N48:Q48"/>
    <mergeCell ref="B28:B29"/>
    <mergeCell ref="C50:D50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C21:D21"/>
    <mergeCell ref="C13:D13"/>
    <mergeCell ref="P13:Q13"/>
    <mergeCell ref="O9:O16"/>
    <mergeCell ref="C10:D10"/>
    <mergeCell ref="B3:Q3"/>
    <mergeCell ref="C8:Q8"/>
    <mergeCell ref="C11:D11"/>
    <mergeCell ref="C12:D12"/>
    <mergeCell ref="Q6:Q7"/>
    <mergeCell ref="B14:B16"/>
    <mergeCell ref="C14:C16"/>
    <mergeCell ref="C9:D9"/>
    <mergeCell ref="B2:Q2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</mergeCells>
  <pageMargins left="0" right="0" top="0.75" bottom="0.75" header="0.3" footer="0.3"/>
  <pageSetup paperSize="9" scale="5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B2:U150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54" sqref="R5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315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 t="s">
        <v>288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'1'!L9</f>
        <v>23053.161697148309</v>
      </c>
      <c r="F9" s="74">
        <f>Production2!D4</f>
        <v>808.48000000000013</v>
      </c>
      <c r="G9" s="74">
        <f>F9+'1'!G9</f>
        <v>1209.6200000000001</v>
      </c>
      <c r="H9" s="74">
        <f>F9+'1'!H9</f>
        <v>1209.6200000000001</v>
      </c>
      <c r="I9" s="74">
        <f>Production2!E4</f>
        <v>0</v>
      </c>
      <c r="J9" s="74">
        <f>I9+'1'!J9</f>
        <v>0</v>
      </c>
      <c r="K9" s="74">
        <f>I9+'1'!K9</f>
        <v>0</v>
      </c>
      <c r="L9" s="74">
        <f>E9+F9-I9-I21</f>
        <v>23388.241698160808</v>
      </c>
      <c r="M9" s="75">
        <f>I9</f>
        <v>0</v>
      </c>
      <c r="N9" s="75" t="e">
        <f>(I9/I13)*100</f>
        <v>#DIV/0!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(2)'!L4</f>
        <v>124.03999999999975</v>
      </c>
      <c r="F10" s="77">
        <f>'Mines (2)'!M4</f>
        <v>0</v>
      </c>
      <c r="G10" s="74">
        <f>F10+'1'!G10</f>
        <v>0</v>
      </c>
      <c r="H10" s="74">
        <f>F10+'1'!H10</f>
        <v>0</v>
      </c>
      <c r="I10" s="77">
        <f>'Mines (2)'!N4</f>
        <v>0</v>
      </c>
      <c r="J10" s="74">
        <f>I10+'1'!J10</f>
        <v>0</v>
      </c>
      <c r="K10" s="74">
        <f>I10+'1'!K10</f>
        <v>0</v>
      </c>
      <c r="L10" s="77">
        <f t="shared" ref="L10:L13" si="0">E10+F10-I10</f>
        <v>124.03999999999975</v>
      </c>
      <c r="M10" s="75">
        <f t="shared" ref="M10:M12" si="1">I10</f>
        <v>0</v>
      </c>
      <c r="N10" s="75" t="e">
        <f>(I10/I13)*100</f>
        <v>#DIV/0!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Clinker!C4</f>
        <v>5365.6399999999994</v>
      </c>
      <c r="F11" s="77">
        <f>Clinker!D4</f>
        <v>0</v>
      </c>
      <c r="G11" s="74">
        <f>F11+'1'!G11</f>
        <v>0</v>
      </c>
      <c r="H11" s="74">
        <f>F11+'1'!H11</f>
        <v>0</v>
      </c>
      <c r="I11" s="77">
        <f>Clinker!E4</f>
        <v>0</v>
      </c>
      <c r="J11" s="74">
        <f>I11+'1'!J11</f>
        <v>0</v>
      </c>
      <c r="K11" s="74">
        <f>I11+'1'!K11</f>
        <v>0</v>
      </c>
      <c r="L11" s="77">
        <f t="shared" si="0"/>
        <v>5365.6399999999994</v>
      </c>
      <c r="M11" s="75">
        <f t="shared" si="1"/>
        <v>0</v>
      </c>
      <c r="N11" s="75" t="e">
        <f>(I11/I13)*100</f>
        <v>#DIV/0!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(2)'!Q4</f>
        <v>600.28</v>
      </c>
      <c r="F12" s="77">
        <f>'Mines (2)'!R4</f>
        <v>0</v>
      </c>
      <c r="G12" s="74">
        <f>F12+'1'!G12</f>
        <v>0</v>
      </c>
      <c r="H12" s="74">
        <f>F12+'1'!H12</f>
        <v>0</v>
      </c>
      <c r="I12" s="77">
        <f>'Mines (2)'!S4</f>
        <v>0</v>
      </c>
      <c r="J12" s="74">
        <f>I12+'1'!J12</f>
        <v>0</v>
      </c>
      <c r="K12" s="74">
        <f>I12+'1'!K12</f>
        <v>0</v>
      </c>
      <c r="L12" s="77">
        <f t="shared" si="0"/>
        <v>600.28</v>
      </c>
      <c r="M12" s="75">
        <f t="shared" si="1"/>
        <v>0</v>
      </c>
      <c r="N12" s="75" t="e">
        <f>(I12/I13)*100</f>
        <v>#DIV/0!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29143.121697148308</v>
      </c>
      <c r="F13" s="127">
        <f t="shared" si="2"/>
        <v>808.48000000000013</v>
      </c>
      <c r="G13" s="127">
        <f t="shared" si="2"/>
        <v>1209.6200000000001</v>
      </c>
      <c r="H13" s="127">
        <f t="shared" si="2"/>
        <v>1209.6200000000001</v>
      </c>
      <c r="I13" s="127">
        <f t="shared" si="2"/>
        <v>0</v>
      </c>
      <c r="J13" s="127">
        <f t="shared" si="2"/>
        <v>0</v>
      </c>
      <c r="K13" s="127">
        <f t="shared" si="2"/>
        <v>0</v>
      </c>
      <c r="L13" s="127">
        <f t="shared" si="0"/>
        <v>29951.601697148308</v>
      </c>
      <c r="M13" s="128">
        <f>SUM(M9:M12)</f>
        <v>0</v>
      </c>
      <c r="N13" s="128" t="e">
        <f>SUM(N9:N12)</f>
        <v>#DIV/0!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Clinker!EA4</f>
        <v>15894.266999999989</v>
      </c>
      <c r="F14" s="77">
        <f>Clinker!EB4</f>
        <v>60.5</v>
      </c>
      <c r="G14" s="77">
        <f>F14+'1'!G14</f>
        <v>120.5</v>
      </c>
      <c r="H14" s="77">
        <f>F14+'1'!H14</f>
        <v>120.5</v>
      </c>
      <c r="I14" s="77">
        <f>Clinker!EC4</f>
        <v>11.11</v>
      </c>
      <c r="J14" s="77">
        <f>I14+'1'!J14</f>
        <v>11.11</v>
      </c>
      <c r="K14" s="77">
        <f>I14+'1'!K14</f>
        <v>11.11</v>
      </c>
      <c r="L14" s="77">
        <f>E14+F14-I14-Clinker!N4-Clinker!Z4-Clinker!AR4-Clinker!AW4-Clinker!BB4-Clinker!BV4-Clinker!BG4-Clinker!BL4-Clinker!BQ4-Clinker!CU4-Clinker!DO4</f>
        <v>15943.656999999988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Clinker!EE4</f>
        <v>12796.999999999996</v>
      </c>
      <c r="F15" s="77">
        <f>Clinker!EF4</f>
        <v>61.7</v>
      </c>
      <c r="G15" s="77">
        <f>F15+'1'!G15</f>
        <v>95.050000000000011</v>
      </c>
      <c r="H15" s="77">
        <f>F15+'1'!H15</f>
        <v>95.050000000000011</v>
      </c>
      <c r="I15" s="77">
        <f>Clinker!EG4</f>
        <v>138</v>
      </c>
      <c r="J15" s="77">
        <f>I15+'1'!J15</f>
        <v>160</v>
      </c>
      <c r="K15" s="77">
        <f>I15+'1'!K15</f>
        <v>160</v>
      </c>
      <c r="L15" s="77">
        <f>E15+F15-Clinker!AE4-Clinker!AI4-Clinker!CK4-Clinker!CP4-Clinker!CF4</f>
        <v>12720.699999999997</v>
      </c>
      <c r="M15" s="81"/>
      <c r="N15" s="81"/>
      <c r="O15" s="667"/>
      <c r="P15" s="78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28691.266999999985</v>
      </c>
      <c r="F16" s="125">
        <f>F14+F15</f>
        <v>122.2</v>
      </c>
      <c r="G16" s="125">
        <f t="shared" ref="G16" si="3">G14+G15</f>
        <v>215.55</v>
      </c>
      <c r="H16" s="125">
        <f>H14+H15</f>
        <v>215.55</v>
      </c>
      <c r="I16" s="125">
        <f>I14+I15</f>
        <v>149.11000000000001</v>
      </c>
      <c r="J16" s="125">
        <f>J14+J15</f>
        <v>171.11</v>
      </c>
      <c r="K16" s="125">
        <f>K14+K15</f>
        <v>171.11</v>
      </c>
      <c r="L16" s="125">
        <f>L14+L15</f>
        <v>28664.356999999985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Clinker!EI4</f>
        <v>3281.4900997942491</v>
      </c>
      <c r="F18" s="74">
        <f>Clinker!EJ4</f>
        <v>0</v>
      </c>
      <c r="G18" s="74">
        <f>F18+'1'!G18</f>
        <v>0</v>
      </c>
      <c r="H18" s="74">
        <f>F18+'1'!H18</f>
        <v>0</v>
      </c>
      <c r="I18" s="74">
        <f>Clinker!EK4</f>
        <v>2.6725001589511521E-6</v>
      </c>
      <c r="J18" s="74">
        <f>I18+'1'!J18</f>
        <v>5.0002504980966478E-2</v>
      </c>
      <c r="K18" s="74">
        <f>I18+'1'!K18</f>
        <v>5.0002504980966478E-2</v>
      </c>
      <c r="L18" s="74">
        <f>E18+F18-I18-I20</f>
        <v>3281.4900971217489</v>
      </c>
      <c r="M18" s="704">
        <f>((I18+I19)/(J40+J46))*100</f>
        <v>77.580882451194853</v>
      </c>
      <c r="N18" s="687"/>
      <c r="O18" s="689"/>
      <c r="P18" s="691"/>
      <c r="Q18" s="692"/>
      <c r="R18" s="20"/>
      <c r="S18" s="190"/>
    </row>
    <row r="19" spans="2:19" ht="45" x14ac:dyDescent="0.25">
      <c r="B19" s="677"/>
      <c r="C19" s="685"/>
      <c r="D19" s="85" t="s">
        <v>75</v>
      </c>
      <c r="E19" s="74">
        <f>Clinker!EN4</f>
        <v>7649.6090080001377</v>
      </c>
      <c r="F19" s="74">
        <f>Clinker!EO4</f>
        <v>1503.82</v>
      </c>
      <c r="G19" s="74">
        <f>F19+'1'!G19</f>
        <v>2160.98</v>
      </c>
      <c r="H19" s="74">
        <f>F19+'1'!H19</f>
        <v>2160.98</v>
      </c>
      <c r="I19" s="74">
        <f>Clinker!EP4</f>
        <v>2110.1999999999998</v>
      </c>
      <c r="J19" s="74">
        <f>I19+'1'!J19</f>
        <v>3967.2999999999997</v>
      </c>
      <c r="K19" s="74">
        <f>I19+'1'!K19</f>
        <v>3967.2999999999997</v>
      </c>
      <c r="L19" s="74">
        <f>E19+F19-I19</f>
        <v>7043.2290080001376</v>
      </c>
      <c r="M19" s="705"/>
      <c r="N19" s="687"/>
      <c r="O19" s="689"/>
      <c r="P19" s="691"/>
      <c r="Q19" s="692"/>
      <c r="R19" s="20"/>
      <c r="S19" s="237"/>
    </row>
    <row r="20" spans="2:19" ht="30" x14ac:dyDescent="0.25">
      <c r="B20" s="677"/>
      <c r="C20" s="686"/>
      <c r="D20" s="86" t="s">
        <v>251</v>
      </c>
      <c r="E20" s="77"/>
      <c r="F20" s="77">
        <f>Clinker!EM4</f>
        <v>0</v>
      </c>
      <c r="G20" s="74">
        <f>F20+'1'!G20</f>
        <v>0</v>
      </c>
      <c r="H20" s="74">
        <f>F20+'1'!H20</f>
        <v>0</v>
      </c>
      <c r="I20" s="77">
        <f>Clinker!EM4</f>
        <v>0</v>
      </c>
      <c r="J20" s="74">
        <f>I20+'1'!J20</f>
        <v>0</v>
      </c>
      <c r="K20" s="74">
        <f>I20+'1'!K20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Cement!Q4</f>
        <v>473.3999989875</v>
      </c>
      <c r="J21" s="74">
        <f>I21+'1'!J21</f>
        <v>926.24999902301943</v>
      </c>
      <c r="K21" s="74">
        <f>I21+'1'!K21</f>
        <v>926.24999902301943</v>
      </c>
      <c r="L21" s="74"/>
      <c r="M21" s="78">
        <f>(I21/(J40+J46))*100</f>
        <v>17.404411727481616</v>
      </c>
      <c r="N21" s="78">
        <f>M21+(M21*P21)/100</f>
        <v>19.144852900229779</v>
      </c>
      <c r="O21" s="689"/>
      <c r="P21" s="87">
        <v>10</v>
      </c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Cement!C4</f>
        <v>7601.2000590177786</v>
      </c>
      <c r="F22" s="77">
        <f>Cement!D4</f>
        <v>308.68</v>
      </c>
      <c r="G22" s="74">
        <f>F22+'1'!G22</f>
        <v>586.5</v>
      </c>
      <c r="H22" s="74">
        <f>F22+'1'!H22</f>
        <v>586.5</v>
      </c>
      <c r="I22" s="77">
        <f>Cement!E4</f>
        <v>136.39999834</v>
      </c>
      <c r="J22" s="74">
        <f>I22+'1'!J22</f>
        <v>258.39999847199999</v>
      </c>
      <c r="K22" s="74">
        <f>I22+'1'!K22</f>
        <v>258.39999847199999</v>
      </c>
      <c r="L22" s="74">
        <f t="shared" ref="L22:L24" si="4">E22+F22-I22</f>
        <v>7773.480060677779</v>
      </c>
      <c r="M22" s="78">
        <f>(I22/(J40+J46))*100</f>
        <v>5.0147058213235294</v>
      </c>
      <c r="N22" s="78">
        <f>M22+(M22*P22)/100</f>
        <v>5.2152940541764705</v>
      </c>
      <c r="O22" s="689"/>
      <c r="P22" s="87">
        <v>4</v>
      </c>
      <c r="Q22" s="696"/>
      <c r="R22" s="239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Cement!G4</f>
        <v>0.23999999999796273</v>
      </c>
      <c r="F23" s="77">
        <f>Cement!H4</f>
        <v>0</v>
      </c>
      <c r="G23" s="74">
        <f>F23+'1'!G23</f>
        <v>0</v>
      </c>
      <c r="H23" s="74">
        <f>F23+'1'!H23</f>
        <v>0</v>
      </c>
      <c r="I23" s="77">
        <f>Cement!I4</f>
        <v>0</v>
      </c>
      <c r="J23" s="74">
        <f>I23+'1'!J23</f>
        <v>0</v>
      </c>
      <c r="K23" s="74">
        <f>I23+'1'!K23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Cement!K4</f>
        <v>0</v>
      </c>
      <c r="F24" s="77">
        <f>Cement!L4</f>
        <v>0</v>
      </c>
      <c r="G24" s="74">
        <f>F24+'1'!G24</f>
        <v>0</v>
      </c>
      <c r="H24" s="74">
        <f>F24+'1'!H24</f>
        <v>0</v>
      </c>
      <c r="I24" s="77">
        <f>Cement!M4</f>
        <v>0</v>
      </c>
      <c r="J24" s="74">
        <f>I24+'1'!J24</f>
        <v>0</v>
      </c>
      <c r="K24" s="74">
        <f>I24+'1'!K24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18532.539166812163</v>
      </c>
      <c r="F25" s="122">
        <f t="shared" ref="F25:L25" si="5">F18+F19+F21+F22+F23+F24</f>
        <v>1812.5</v>
      </c>
      <c r="G25" s="122">
        <f t="shared" si="5"/>
        <v>2747.48</v>
      </c>
      <c r="H25" s="122">
        <f t="shared" si="5"/>
        <v>2747.48</v>
      </c>
      <c r="I25" s="122">
        <f t="shared" si="5"/>
        <v>2720</v>
      </c>
      <c r="J25" s="122">
        <f t="shared" si="5"/>
        <v>5152.0000000000009</v>
      </c>
      <c r="K25" s="122">
        <f t="shared" si="5"/>
        <v>5152.0000000000009</v>
      </c>
      <c r="L25" s="122">
        <f t="shared" si="5"/>
        <v>18098.439165799664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Production2!C4</f>
        <v>2.25</v>
      </c>
      <c r="G30" s="75">
        <f>F30+'1'!G30</f>
        <v>2.25</v>
      </c>
      <c r="H30" s="75">
        <f>F30+'1'!H30</f>
        <v>2.25</v>
      </c>
      <c r="I30" s="74">
        <f>'Mines (2)'!C4+'Mines (2)'!H4+'Mines (2)'!V4+'Mines (2)'!Z4+'Mines (2)'!AD4</f>
        <v>23053.161697148309</v>
      </c>
      <c r="J30" s="74">
        <f>F9+F21</f>
        <v>808.48000000000013</v>
      </c>
      <c r="K30" s="74">
        <f>J30+'1'!K30</f>
        <v>1209.6200000000001</v>
      </c>
      <c r="L30" s="74">
        <f>J30+'1'!L30</f>
        <v>1209.6200000000001</v>
      </c>
      <c r="M30" s="74">
        <f>I9+I21</f>
        <v>473.3999989875</v>
      </c>
      <c r="N30" s="74">
        <f>M30+'1'!N30</f>
        <v>926.24999902301943</v>
      </c>
      <c r="O30" s="74">
        <f>M30+'1'!O30</f>
        <v>926.24999902301943</v>
      </c>
      <c r="P30" s="74">
        <f>I30+J30-M30</f>
        <v>23388.241698160808</v>
      </c>
      <c r="Q30" s="93">
        <f>J30/F30</f>
        <v>359.32444444444451</v>
      </c>
      <c r="R30" s="94"/>
      <c r="S30" s="94"/>
    </row>
    <row r="31" spans="2:19" x14ac:dyDescent="0.25">
      <c r="B31" s="79">
        <v>2</v>
      </c>
      <c r="C31" s="680" t="s">
        <v>264</v>
      </c>
      <c r="D31" s="681"/>
      <c r="E31" s="95">
        <v>120</v>
      </c>
      <c r="F31" s="78">
        <f>Production2!G4</f>
        <v>0</v>
      </c>
      <c r="G31" s="75">
        <f>F31+'1'!G31</f>
        <v>0</v>
      </c>
      <c r="H31" s="75">
        <f>F31+'1'!H31</f>
        <v>0</v>
      </c>
      <c r="I31" s="747">
        <f>Production2!H4</f>
        <v>1993.73001683752</v>
      </c>
      <c r="J31" s="78">
        <f>Production2!N4</f>
        <v>0</v>
      </c>
      <c r="K31" s="74">
        <f>J31+'1'!K31</f>
        <v>0</v>
      </c>
      <c r="L31" s="74">
        <f>J31+'1'!L31</f>
        <v>0</v>
      </c>
      <c r="M31" s="747">
        <f>Production2!K4</f>
        <v>0</v>
      </c>
      <c r="N31" s="747">
        <f>M31+'1'!N31</f>
        <v>0</v>
      </c>
      <c r="O31" s="747">
        <f>M31+'1'!O31</f>
        <v>0</v>
      </c>
      <c r="P31" s="747">
        <f>I31+J32+J31-M31</f>
        <v>1993.73001683752</v>
      </c>
      <c r="Q31" s="96" t="e">
        <f t="shared" ref="Q31:Q46" si="6">J31/F31</f>
        <v>#DIV/0!</v>
      </c>
      <c r="R31" s="94"/>
      <c r="S31" s="94"/>
    </row>
    <row r="32" spans="2:19" x14ac:dyDescent="0.25">
      <c r="B32" s="79"/>
      <c r="C32" s="680" t="s">
        <v>265</v>
      </c>
      <c r="D32" s="681"/>
      <c r="E32" s="95">
        <v>20</v>
      </c>
      <c r="F32" s="78">
        <f>Production2!P4</f>
        <v>0</v>
      </c>
      <c r="G32" s="75">
        <f>F32+'1'!G32</f>
        <v>0</v>
      </c>
      <c r="H32" s="75">
        <f>F32+'1'!H32</f>
        <v>0</v>
      </c>
      <c r="I32" s="748"/>
      <c r="J32" s="78">
        <f>Production2!Q4</f>
        <v>0</v>
      </c>
      <c r="K32" s="74">
        <f>J32+'1'!K32</f>
        <v>0</v>
      </c>
      <c r="L32" s="74">
        <f>J32+'1'!L32</f>
        <v>0</v>
      </c>
      <c r="M32" s="748"/>
      <c r="N32" s="748"/>
      <c r="O32" s="748"/>
      <c r="P32" s="748"/>
      <c r="Q32" s="96" t="e">
        <f t="shared" si="6"/>
        <v>#DIV/0!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Production2!S4</f>
        <v>4</v>
      </c>
      <c r="G33" s="75">
        <f>F33+'1'!G33</f>
        <v>4</v>
      </c>
      <c r="H33" s="75">
        <f>F33+'1'!H33</f>
        <v>4</v>
      </c>
      <c r="I33" s="77">
        <f>Production2!T4</f>
        <v>15.51</v>
      </c>
      <c r="J33" s="77">
        <f>Production2!U4</f>
        <v>10</v>
      </c>
      <c r="K33" s="74">
        <f>J33+'1'!K33</f>
        <v>10</v>
      </c>
      <c r="L33" s="74">
        <f>J33+'1'!L33</f>
        <v>10</v>
      </c>
      <c r="M33" s="77">
        <f>Production2!V4</f>
        <v>0</v>
      </c>
      <c r="N33" s="74">
        <f>M33+'1'!N33</f>
        <v>0</v>
      </c>
      <c r="O33" s="74">
        <f>M33+'1'!O33</f>
        <v>0</v>
      </c>
      <c r="P33" s="74">
        <f t="shared" ref="P33" si="7">I33+J33-M33</f>
        <v>25.509999999999998</v>
      </c>
      <c r="Q33" s="96">
        <f t="shared" si="6"/>
        <v>2.5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Production2!Y4</f>
        <v>0</v>
      </c>
      <c r="G34" s="75">
        <f>F34+'1'!G34</f>
        <v>0</v>
      </c>
      <c r="H34" s="75">
        <f>F34+'1'!H34</f>
        <v>0</v>
      </c>
      <c r="I34" s="77">
        <f>Clinker!EI4</f>
        <v>3281.4900997942491</v>
      </c>
      <c r="J34" s="77">
        <f>Clinker!EJ4</f>
        <v>0</v>
      </c>
      <c r="K34" s="74">
        <f>J34+'1'!K34</f>
        <v>0</v>
      </c>
      <c r="L34" s="74">
        <f>J34+'1'!L34</f>
        <v>0</v>
      </c>
      <c r="M34" s="77">
        <f>Clinker!EK4</f>
        <v>2.6725001589511521E-6</v>
      </c>
      <c r="N34" s="74">
        <f>M34+'1'!N34</f>
        <v>5.0002504980966478E-2</v>
      </c>
      <c r="O34" s="74">
        <f>M34+'1'!O34</f>
        <v>5.0002504980966478E-2</v>
      </c>
      <c r="P34" s="74">
        <f>I34+J34-M34-I20</f>
        <v>3281.4900971217489</v>
      </c>
      <c r="Q34" s="96" t="e">
        <f t="shared" si="6"/>
        <v>#DIV/0!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Production2!AE4</f>
        <v>0</v>
      </c>
      <c r="G35" s="75">
        <f>F35+'1'!G35</f>
        <v>0</v>
      </c>
      <c r="H35" s="75">
        <f>F35+'1'!H35</f>
        <v>0</v>
      </c>
      <c r="I35" s="77">
        <f>Production2!BJ4</f>
        <v>261.29999999999995</v>
      </c>
      <c r="J35" s="77">
        <f>Production2!AF4</f>
        <v>0</v>
      </c>
      <c r="K35" s="74">
        <f>J35+'1'!K35</f>
        <v>0</v>
      </c>
      <c r="L35" s="74">
        <f>J35+'1'!L35</f>
        <v>0</v>
      </c>
      <c r="M35" s="77">
        <f>Production2!BL4</f>
        <v>0</v>
      </c>
      <c r="N35" s="74">
        <f>M35+'1'!N35</f>
        <v>151</v>
      </c>
      <c r="O35" s="74">
        <f>M35+'1'!O35</f>
        <v>151</v>
      </c>
      <c r="P35" s="74">
        <f>I35+J35+J41-M35-F59</f>
        <v>261.29999999999995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Production2!AB4</f>
        <v>20</v>
      </c>
      <c r="G36" s="75">
        <f>F36+'1'!G36</f>
        <v>40.4</v>
      </c>
      <c r="H36" s="75">
        <f>F36+'1'!H36</f>
        <v>40.4</v>
      </c>
      <c r="I36" s="77">
        <f>Production2!BF4</f>
        <v>1452.05799999998</v>
      </c>
      <c r="J36" s="77">
        <f>Production2!AC4</f>
        <v>1158</v>
      </c>
      <c r="K36" s="74">
        <f>J36+'1'!K36</f>
        <v>2408</v>
      </c>
      <c r="L36" s="74">
        <f>J36+'1'!L36</f>
        <v>2408</v>
      </c>
      <c r="M36" s="77">
        <f>Production2!BH4</f>
        <v>2431.15</v>
      </c>
      <c r="N36" s="74">
        <f>M36+'1'!N36</f>
        <v>4319.6499999999996</v>
      </c>
      <c r="O36" s="74">
        <f>M36+'1'!O36</f>
        <v>4319.6499999999996</v>
      </c>
      <c r="P36" s="74">
        <f>I36+J36+J42-M36-F57</f>
        <v>1323.9079999999799</v>
      </c>
      <c r="Q36" s="96">
        <f t="shared" si="6"/>
        <v>57.9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Production2!AH4</f>
        <v>0</v>
      </c>
      <c r="G37" s="75">
        <f>F37+'1'!G37</f>
        <v>0</v>
      </c>
      <c r="H37" s="75">
        <f>F37+'1'!H37</f>
        <v>0</v>
      </c>
      <c r="I37" s="77">
        <f>Production2!BN4</f>
        <v>1.9400000000008499</v>
      </c>
      <c r="J37" s="77">
        <f>Production2!AI4</f>
        <v>0</v>
      </c>
      <c r="K37" s="74">
        <f>J37+'1'!K37</f>
        <v>0</v>
      </c>
      <c r="L37" s="74">
        <f>J37+'1'!L37</f>
        <v>0</v>
      </c>
      <c r="M37" s="77">
        <f>Production2!BP4</f>
        <v>0</v>
      </c>
      <c r="N37" s="74">
        <f>M37+'1'!N37</f>
        <v>0</v>
      </c>
      <c r="O37" s="74">
        <f>M37+'1'!O37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Production2!AK4</f>
        <v>0</v>
      </c>
      <c r="G38" s="75">
        <f>F38+'1'!G38</f>
        <v>0</v>
      </c>
      <c r="H38" s="75">
        <f>F38+'1'!H38</f>
        <v>0</v>
      </c>
      <c r="I38" s="195">
        <f>Production2!BR4</f>
        <v>153.30000000000001</v>
      </c>
      <c r="J38" s="195">
        <v>0</v>
      </c>
      <c r="K38" s="74">
        <f>J38+'1'!K38</f>
        <v>0</v>
      </c>
      <c r="L38" s="74">
        <f>J38+'1'!L38</f>
        <v>0</v>
      </c>
      <c r="M38" s="195">
        <f>Production2!BT4</f>
        <v>183</v>
      </c>
      <c r="N38" s="74">
        <f>M38+'1'!N38</f>
        <v>243</v>
      </c>
      <c r="O38" s="74">
        <f>M38+'1'!O38</f>
        <v>243</v>
      </c>
      <c r="P38" s="74">
        <f>I38+J38+J44-M38-F60</f>
        <v>135.30000000000001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Production2!AN4</f>
        <v>4</v>
      </c>
      <c r="G39" s="75">
        <f>F39+'1'!G39</f>
        <v>7</v>
      </c>
      <c r="H39" s="75">
        <f>F39+'1'!H39</f>
        <v>7</v>
      </c>
      <c r="I39" s="195">
        <f>Production2!BV4</f>
        <v>262.71000000000004</v>
      </c>
      <c r="J39" s="195">
        <f>Production2!BW4</f>
        <v>252</v>
      </c>
      <c r="K39" s="74">
        <f>J39+'1'!K39</f>
        <v>442</v>
      </c>
      <c r="L39" s="74">
        <f>J39+'1'!L39</f>
        <v>442</v>
      </c>
      <c r="M39" s="77">
        <f>Production2!BX4</f>
        <v>359.66</v>
      </c>
      <c r="N39" s="74">
        <f>M39+'1'!N39</f>
        <v>660.66000000000008</v>
      </c>
      <c r="O39" s="74">
        <f>M39+'1'!O39</f>
        <v>660.66000000000008</v>
      </c>
      <c r="P39" s="74">
        <f>I39+J39+J45-M39</f>
        <v>155.05000000000001</v>
      </c>
      <c r="Q39" s="96">
        <f t="shared" si="6"/>
        <v>63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24</v>
      </c>
      <c r="G40" s="132">
        <f t="shared" ref="G40:H40" si="8">G35+G36+G37+G38+G39</f>
        <v>47.4</v>
      </c>
      <c r="H40" s="132">
        <f t="shared" si="8"/>
        <v>47.4</v>
      </c>
      <c r="I40" s="122">
        <f>I35+I36+I37+I38+I39</f>
        <v>2131.3079999999809</v>
      </c>
      <c r="J40" s="122">
        <f>J35+J36+J37+J38+J39</f>
        <v>1410</v>
      </c>
      <c r="K40" s="122">
        <f t="shared" ref="K40:P40" si="9">K35+K36+K37+K38+K39</f>
        <v>2850</v>
      </c>
      <c r="L40" s="122">
        <f t="shared" si="9"/>
        <v>2850</v>
      </c>
      <c r="M40" s="122">
        <f t="shared" si="9"/>
        <v>2973.81</v>
      </c>
      <c r="N40" s="122">
        <f t="shared" si="9"/>
        <v>5374.3099999999995</v>
      </c>
      <c r="O40" s="122">
        <f t="shared" si="9"/>
        <v>5374.3099999999995</v>
      </c>
      <c r="P40" s="122">
        <f t="shared" si="9"/>
        <v>1877.4979999999805</v>
      </c>
      <c r="Q40" s="123">
        <f t="shared" si="6"/>
        <v>58.75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Production2!AT4</f>
        <v>0</v>
      </c>
      <c r="G41" s="75">
        <f>F41+'1'!G41</f>
        <v>3</v>
      </c>
      <c r="H41" s="75">
        <f>F41+'1'!H41</f>
        <v>3</v>
      </c>
      <c r="I41" s="764"/>
      <c r="J41" s="77">
        <f>Production2!AU4</f>
        <v>0</v>
      </c>
      <c r="K41" s="74">
        <f>J41+'1'!K41</f>
        <v>180</v>
      </c>
      <c r="L41" s="74">
        <f>J41+'1'!L41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Production2!AQ4</f>
        <v>21</v>
      </c>
      <c r="G42" s="75">
        <f>F42+'1'!G42</f>
        <v>35</v>
      </c>
      <c r="H42" s="75">
        <f>F42+'1'!H42</f>
        <v>35</v>
      </c>
      <c r="I42" s="765"/>
      <c r="J42" s="77">
        <f>Production2!AR4</f>
        <v>1145</v>
      </c>
      <c r="K42" s="74">
        <f>J42+'1'!K42</f>
        <v>1957</v>
      </c>
      <c r="L42" s="74">
        <f>J42+'1'!L42</f>
        <v>1957</v>
      </c>
      <c r="M42" s="769"/>
      <c r="N42" s="770"/>
      <c r="O42" s="770"/>
      <c r="P42" s="771"/>
      <c r="Q42" s="96">
        <f t="shared" si="6"/>
        <v>54.523809523809526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Production2!AW4</f>
        <v>0</v>
      </c>
      <c r="G43" s="75">
        <f>F43+'1'!G43</f>
        <v>0</v>
      </c>
      <c r="H43" s="75">
        <f>F43+'1'!H43</f>
        <v>0</v>
      </c>
      <c r="I43" s="765"/>
      <c r="J43" s="77">
        <f>Production2!AX4</f>
        <v>0</v>
      </c>
      <c r="K43" s="74">
        <f>J43+'1'!K43</f>
        <v>0</v>
      </c>
      <c r="L43" s="74">
        <f>J43+'1'!L43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Production2!AZ4</f>
        <v>3</v>
      </c>
      <c r="G44" s="75">
        <f>F44+'1'!G44</f>
        <v>3</v>
      </c>
      <c r="H44" s="75">
        <f>F44+'1'!H44</f>
        <v>3</v>
      </c>
      <c r="I44" s="748"/>
      <c r="J44" s="195">
        <f>Production2!BA4</f>
        <v>165</v>
      </c>
      <c r="K44" s="74">
        <f>J44+'1'!K44</f>
        <v>165</v>
      </c>
      <c r="L44" s="74">
        <f>J44+'1'!L44</f>
        <v>165</v>
      </c>
      <c r="M44" s="769"/>
      <c r="N44" s="770"/>
      <c r="O44" s="770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Production2!BC4</f>
        <v>0</v>
      </c>
      <c r="G45" s="75">
        <f>F45+'1'!G45</f>
        <v>0</v>
      </c>
      <c r="H45" s="75">
        <f>F45+'1'!H45</f>
        <v>0</v>
      </c>
      <c r="I45" s="431"/>
      <c r="J45" s="195">
        <f>Production2!BD4</f>
        <v>0</v>
      </c>
      <c r="K45" s="74">
        <f>J45+'1'!K45</f>
        <v>0</v>
      </c>
      <c r="L45" s="74">
        <f>J45+'1'!L45</f>
        <v>0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41</v>
      </c>
      <c r="H46" s="132">
        <f t="shared" si="10"/>
        <v>41</v>
      </c>
      <c r="I46" s="132">
        <f t="shared" ref="I46" si="11">I41+I42+I43+I44</f>
        <v>0</v>
      </c>
      <c r="J46" s="132">
        <f>J41+J42+J43+J44+J45</f>
        <v>1310</v>
      </c>
      <c r="K46" s="132">
        <f t="shared" ref="K46:L46" si="12">K41+K42+K43+K44+K45</f>
        <v>2302</v>
      </c>
      <c r="L46" s="132">
        <f t="shared" si="12"/>
        <v>2302</v>
      </c>
      <c r="M46" s="132"/>
      <c r="N46" s="132"/>
      <c r="O46" s="132"/>
      <c r="P46" s="132"/>
      <c r="Q46" s="123">
        <f t="shared" si="6"/>
        <v>54.583333333333336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738" t="s">
        <v>271</v>
      </c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40"/>
      <c r="N48" s="741" t="s">
        <v>272</v>
      </c>
      <c r="O48" s="742"/>
      <c r="P48" s="742"/>
      <c r="Q48" s="743"/>
      <c r="R48" s="98"/>
      <c r="S48" s="98"/>
    </row>
    <row r="49" spans="2:19" s="70" customFormat="1" ht="15.6" customHeight="1" thickBot="1" x14ac:dyDescent="0.3">
      <c r="B49" s="145" t="s">
        <v>231</v>
      </c>
      <c r="C49" s="750" t="s">
        <v>232</v>
      </c>
      <c r="D49" s="750"/>
      <c r="E49" s="133" t="s">
        <v>143</v>
      </c>
      <c r="F49" s="133" t="s">
        <v>122</v>
      </c>
      <c r="G49" s="133" t="s">
        <v>146</v>
      </c>
      <c r="H49" s="133" t="s">
        <v>147</v>
      </c>
      <c r="I49" s="133" t="s">
        <v>273</v>
      </c>
      <c r="J49" s="133" t="s">
        <v>149</v>
      </c>
      <c r="K49" s="133" t="s">
        <v>274</v>
      </c>
      <c r="L49" s="146" t="s">
        <v>275</v>
      </c>
      <c r="M49" s="135" t="s">
        <v>152</v>
      </c>
      <c r="N49" s="147" t="s">
        <v>231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1.789778349495349</v>
      </c>
      <c r="F50" s="99" t="e">
        <f>F53/(J31+J32)</f>
        <v>#DIV/0!</v>
      </c>
      <c r="G50" s="99" t="e">
        <f>G53/J34</f>
        <v>#DIV/0!</v>
      </c>
      <c r="H50" s="99">
        <f>H53/J33</f>
        <v>347.4</v>
      </c>
      <c r="I50" s="99"/>
      <c r="J50" s="99"/>
      <c r="K50" s="99"/>
      <c r="L50" s="99"/>
      <c r="M50" s="100"/>
      <c r="N50" s="101">
        <v>1</v>
      </c>
      <c r="O50" s="749" t="s">
        <v>277</v>
      </c>
      <c r="P50" s="749"/>
      <c r="Q50" s="93" t="e">
        <f>(M33/J34)*100</f>
        <v>#DIV/0!</v>
      </c>
    </row>
    <row r="51" spans="2:19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 t="e">
        <f>F50*1.55</f>
        <v>#DIV/0!</v>
      </c>
      <c r="G51" s="102" t="e">
        <f>G50</f>
        <v>#DIV/0!</v>
      </c>
      <c r="H51" s="102" t="e">
        <f>H50*Q50/100</f>
        <v>#DIV/0!</v>
      </c>
      <c r="I51" s="102"/>
      <c r="J51" s="102"/>
      <c r="K51" s="102"/>
      <c r="L51" s="102"/>
      <c r="M51" s="96" t="e">
        <f>SUM(E51:H51)</f>
        <v>#DIV/0!</v>
      </c>
      <c r="N51" s="103">
        <v>2</v>
      </c>
      <c r="O51" s="668" t="s">
        <v>279</v>
      </c>
      <c r="P51" s="668"/>
      <c r="Q51" s="104">
        <v>0</v>
      </c>
    </row>
    <row r="52" spans="2:19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 t="e">
        <f>F51*M18/100</f>
        <v>#DIV/0!</v>
      </c>
      <c r="G52" s="102" t="e">
        <f>G51*M18/100</f>
        <v>#DIV/0!</v>
      </c>
      <c r="H52" s="102" t="e">
        <f>H51*M18/100</f>
        <v>#DIV/0!</v>
      </c>
      <c r="I52" s="102">
        <f>I53/(J40+J46)</f>
        <v>43.242279411764706</v>
      </c>
      <c r="J52" s="99">
        <f>J53/(J40+J46)</f>
        <v>0.44669117647058826</v>
      </c>
      <c r="K52" s="99">
        <f>K53/(M40+M46)</f>
        <v>2.18608451784075</v>
      </c>
      <c r="L52" s="99">
        <f>L53/(J40+J46)</f>
        <v>1.651470588235294</v>
      </c>
      <c r="M52" s="96" t="e">
        <f>SUM(E52:L52)</f>
        <v>#DIV/0!</v>
      </c>
      <c r="N52" s="103">
        <v>3</v>
      </c>
      <c r="O52" s="668" t="s">
        <v>281</v>
      </c>
      <c r="P52" s="668"/>
      <c r="Q52" s="104" t="e">
        <f>Q51*Q50/100</f>
        <v>#DIV/0!</v>
      </c>
    </row>
    <row r="53" spans="2:19" ht="15" customHeight="1" thickBot="1" x14ac:dyDescent="0.3">
      <c r="B53" s="199" t="s">
        <v>243</v>
      </c>
      <c r="C53" s="781" t="s">
        <v>282</v>
      </c>
      <c r="D53" s="781"/>
      <c r="E53" s="203">
        <f>'Daily unit'!B4</f>
        <v>1447</v>
      </c>
      <c r="F53" s="203">
        <f>'Daily unit'!C4</f>
        <v>2194</v>
      </c>
      <c r="G53" s="203">
        <f>'Daily unit'!E4</f>
        <v>5360</v>
      </c>
      <c r="H53" s="203">
        <f>'Daily unit'!F4</f>
        <v>3474</v>
      </c>
      <c r="I53" s="203">
        <f>'Daily unit'!G4</f>
        <v>117619</v>
      </c>
      <c r="J53" s="203">
        <f>'Daily unit'!H4</f>
        <v>1215</v>
      </c>
      <c r="K53" s="203">
        <f>'Daily unit'!I4</f>
        <v>6501</v>
      </c>
      <c r="L53" s="203">
        <f>'Daily unit'!J4</f>
        <v>4492</v>
      </c>
      <c r="M53" s="204">
        <f>SUM(E53:L53)</f>
        <v>142302</v>
      </c>
      <c r="N53" s="205"/>
      <c r="O53" s="206"/>
      <c r="P53" s="84"/>
      <c r="Q53" s="207"/>
    </row>
    <row r="54" spans="2:19" ht="15" customHeight="1" thickBot="1" x14ac:dyDescent="0.3">
      <c r="B54" s="778"/>
      <c r="C54" s="779"/>
      <c r="D54" s="779"/>
      <c r="E54" s="779"/>
      <c r="F54" s="779"/>
      <c r="G54" s="779"/>
      <c r="H54" s="779"/>
      <c r="I54" s="779"/>
      <c r="J54" s="779"/>
      <c r="K54" s="779"/>
      <c r="L54" s="779"/>
      <c r="M54" s="779"/>
      <c r="N54" s="779"/>
      <c r="O54" s="779"/>
      <c r="P54" s="779"/>
      <c r="Q54" s="780"/>
    </row>
    <row r="55" spans="2:19" ht="14.45" customHeight="1" x14ac:dyDescent="0.25">
      <c r="B55" s="738" t="s">
        <v>283</v>
      </c>
      <c r="C55" s="739"/>
      <c r="D55" s="739"/>
      <c r="E55" s="739"/>
      <c r="F55" s="739"/>
      <c r="G55" s="739"/>
      <c r="H55" s="73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187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83" t="s">
        <v>287</v>
      </c>
      <c r="D57" s="784"/>
      <c r="E57" s="80">
        <v>42.5</v>
      </c>
      <c r="F57" s="53">
        <f>'Internal use cement'!F4</f>
        <v>0</v>
      </c>
      <c r="G57" s="53">
        <f>F57+'1'!G57</f>
        <v>0</v>
      </c>
      <c r="H57" s="77">
        <f>F57+'1'!H57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85"/>
      <c r="D58" s="786"/>
      <c r="E58" s="80" t="s">
        <v>197</v>
      </c>
      <c r="F58" s="53">
        <f>'Internal use cement'!Q4</f>
        <v>0</v>
      </c>
      <c r="G58" s="53">
        <f>F58+'1'!G58</f>
        <v>0</v>
      </c>
      <c r="H58" s="77">
        <f>F58+'1'!H58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85"/>
      <c r="D59" s="786"/>
      <c r="E59" s="80">
        <v>32.5</v>
      </c>
      <c r="F59" s="53">
        <f>'Internal use cement'!AB4</f>
        <v>0</v>
      </c>
      <c r="G59" s="53">
        <f>F59+'1'!G59</f>
        <v>0</v>
      </c>
      <c r="H59" s="77">
        <f>F59+'1'!H59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787"/>
      <c r="D60" s="788"/>
      <c r="E60" s="112" t="s">
        <v>177</v>
      </c>
      <c r="F60" s="113">
        <f>'Internal use cement'!AJ4</f>
        <v>0</v>
      </c>
      <c r="G60" s="113">
        <f>F60+'1'!G60</f>
        <v>0</v>
      </c>
      <c r="H60" s="209">
        <f>F60+'1'!H60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09"/>
      <c r="S61" s="109"/>
    </row>
    <row r="62" spans="2:19" x14ac:dyDescent="0.25">
      <c r="R62" s="94"/>
      <c r="S62" s="94"/>
    </row>
    <row r="63" spans="2:19" x14ac:dyDescent="0.25">
      <c r="R63" s="117"/>
      <c r="S63" s="117"/>
    </row>
    <row r="64" spans="2:19" x14ac:dyDescent="0.25">
      <c r="R64" s="117"/>
      <c r="S64" s="117"/>
    </row>
    <row r="65" spans="2:19" x14ac:dyDescent="0.25">
      <c r="R65" s="117"/>
      <c r="S65" s="117"/>
    </row>
    <row r="66" spans="2:19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2:19" x14ac:dyDescent="0.2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2:19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</sheetData>
  <mergeCells count="85">
    <mergeCell ref="P31:P32"/>
    <mergeCell ref="C32:D32"/>
    <mergeCell ref="C56:E56"/>
    <mergeCell ref="I55:Q60"/>
    <mergeCell ref="C57:D60"/>
    <mergeCell ref="I41:I44"/>
    <mergeCell ref="O52:P52"/>
    <mergeCell ref="I31:I32"/>
    <mergeCell ref="M31:M32"/>
    <mergeCell ref="N31:N32"/>
    <mergeCell ref="O31:O32"/>
    <mergeCell ref="M41:P45"/>
    <mergeCell ref="B57:B60"/>
    <mergeCell ref="B41:B46"/>
    <mergeCell ref="C41:C46"/>
    <mergeCell ref="B55:H55"/>
    <mergeCell ref="B47:Q47"/>
    <mergeCell ref="B48:M48"/>
    <mergeCell ref="N48:Q48"/>
    <mergeCell ref="C49:D49"/>
    <mergeCell ref="O49:P49"/>
    <mergeCell ref="C50:D50"/>
    <mergeCell ref="O50:P50"/>
    <mergeCell ref="C51:D51"/>
    <mergeCell ref="O51:P51"/>
    <mergeCell ref="C52:D52"/>
    <mergeCell ref="B54:Q54"/>
    <mergeCell ref="C53:D53"/>
    <mergeCell ref="C30:D30"/>
    <mergeCell ref="C31:D31"/>
    <mergeCell ref="C33:D33"/>
    <mergeCell ref="C34:D34"/>
    <mergeCell ref="B35:B40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M18:M19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</mergeCells>
  <pageMargins left="0" right="0" top="0.75" bottom="0.75" header="0.3" footer="0.3"/>
  <pageSetup paperSize="9" scale="5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B2:U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5" sqref="S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10.140625" style="68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341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 t="s">
        <v>288</v>
      </c>
    </row>
    <row r="7" spans="2:21" ht="15" customHeight="1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210" t="s">
        <v>244</v>
      </c>
      <c r="D9" s="73" t="s">
        <v>29</v>
      </c>
      <c r="E9" s="74">
        <f>'2'!L9</f>
        <v>23388.241698160808</v>
      </c>
      <c r="F9" s="74">
        <f>Production2!D5</f>
        <v>239.08</v>
      </c>
      <c r="G9" s="74">
        <f>F9+'2'!G9</f>
        <v>1448.7</v>
      </c>
      <c r="H9" s="74">
        <f>F9+'2'!H9</f>
        <v>1448.7</v>
      </c>
      <c r="I9" s="74">
        <f>Production2!E5</f>
        <v>488</v>
      </c>
      <c r="J9" s="74">
        <f>I9+'2'!J9</f>
        <v>488</v>
      </c>
      <c r="K9" s="74">
        <f>I9+'2'!K9</f>
        <v>488</v>
      </c>
      <c r="L9" s="74">
        <f>E9+F9-I9-I21</f>
        <v>22689.521698893208</v>
      </c>
      <c r="M9" s="75">
        <f>I9</f>
        <v>488</v>
      </c>
      <c r="N9" s="75">
        <f>(I9/I13)*100</f>
        <v>97.99196787148594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(2)'!L5</f>
        <v>124.03999999999975</v>
      </c>
      <c r="F10" s="77">
        <f>'Mines (2)'!M5</f>
        <v>0</v>
      </c>
      <c r="G10" s="74">
        <f>F10+'2'!G10</f>
        <v>0</v>
      </c>
      <c r="H10" s="74">
        <f>F10+'2'!H10</f>
        <v>0</v>
      </c>
      <c r="I10" s="77">
        <f>'Mines (2)'!N5</f>
        <v>0</v>
      </c>
      <c r="J10" s="74">
        <f>I10+'2'!J10</f>
        <v>0</v>
      </c>
      <c r="K10" s="74">
        <f>I10+'2'!K10</f>
        <v>0</v>
      </c>
      <c r="L10" s="77">
        <f t="shared" ref="L10:L13" si="0">E10+F10-I10</f>
        <v>124.03999999999975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Clinker!C5</f>
        <v>5365.6399999999994</v>
      </c>
      <c r="F11" s="77">
        <f>Clinker!D5</f>
        <v>0</v>
      </c>
      <c r="G11" s="74">
        <f>F11+'2'!G11</f>
        <v>0</v>
      </c>
      <c r="H11" s="74">
        <f>F11+'2'!H11</f>
        <v>0</v>
      </c>
      <c r="I11" s="77">
        <f>Clinker!E5</f>
        <v>10</v>
      </c>
      <c r="J11" s="74">
        <f>I11+'2'!J11</f>
        <v>10</v>
      </c>
      <c r="K11" s="74">
        <f>I11+'2'!K11</f>
        <v>10</v>
      </c>
      <c r="L11" s="77">
        <f t="shared" si="0"/>
        <v>5355.6399999999994</v>
      </c>
      <c r="M11" s="75">
        <f t="shared" si="1"/>
        <v>10</v>
      </c>
      <c r="N11" s="75">
        <f>(I11/I13)*100</f>
        <v>2.0080321285140563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(2)'!Q5</f>
        <v>600.28</v>
      </c>
      <c r="F12" s="77">
        <f>'Mines (2)'!R5</f>
        <v>0</v>
      </c>
      <c r="G12" s="74">
        <f>F12+'2'!G12</f>
        <v>0</v>
      </c>
      <c r="H12" s="74">
        <f>F12+'2'!H12</f>
        <v>0</v>
      </c>
      <c r="I12" s="77">
        <f>'Mines (2)'!S5</f>
        <v>0</v>
      </c>
      <c r="J12" s="74">
        <f>I12+'2'!J12</f>
        <v>0</v>
      </c>
      <c r="K12" s="74">
        <f>I12+'2'!K12</f>
        <v>0</v>
      </c>
      <c r="L12" s="77">
        <f t="shared" si="0"/>
        <v>600.28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29478.201698160807</v>
      </c>
      <c r="F13" s="127">
        <f t="shared" si="2"/>
        <v>239.08</v>
      </c>
      <c r="G13" s="127">
        <f t="shared" si="2"/>
        <v>1448.7</v>
      </c>
      <c r="H13" s="127">
        <f t="shared" si="2"/>
        <v>1448.7</v>
      </c>
      <c r="I13" s="127">
        <f t="shared" si="2"/>
        <v>498</v>
      </c>
      <c r="J13" s="127">
        <f t="shared" si="2"/>
        <v>498</v>
      </c>
      <c r="K13" s="127">
        <f t="shared" si="2"/>
        <v>498</v>
      </c>
      <c r="L13" s="127">
        <f t="shared" si="0"/>
        <v>29219.281698160808</v>
      </c>
      <c r="M13" s="128">
        <f>SUM(M9:M12)</f>
        <v>498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Clinker!EA5</f>
        <v>15943.656999999988</v>
      </c>
      <c r="F14" s="77">
        <f>Clinker!EB5</f>
        <v>0</v>
      </c>
      <c r="G14" s="77">
        <f>F14+'2'!G14</f>
        <v>120.5</v>
      </c>
      <c r="H14" s="77">
        <f>F14+'2'!H14</f>
        <v>120.5</v>
      </c>
      <c r="I14" s="77">
        <f>Clinker!EC5</f>
        <v>133.33000000000001</v>
      </c>
      <c r="J14" s="77">
        <f>I14+'2'!J14</f>
        <v>144.44</v>
      </c>
      <c r="K14" s="77">
        <f>I14+'2'!K14</f>
        <v>144.44</v>
      </c>
      <c r="L14" s="77">
        <f>E14+F14-I14-Clinker!N5-Clinker!Z5-Clinker!AR5-Clinker!AW5-Clinker!BB5-Clinker!BV5-Clinker!BG5-Clinker!BL5-Clinker!BQ5-Clinker!CU5-Clinker!DO5</f>
        <v>15776.326999999988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Clinker!EE5</f>
        <v>12720.699999999997</v>
      </c>
      <c r="F15" s="77">
        <f>Clinker!EF5</f>
        <v>0</v>
      </c>
      <c r="G15" s="77">
        <f>F15+'2'!G15</f>
        <v>95.050000000000011</v>
      </c>
      <c r="H15" s="77">
        <f>F15+'2'!H15</f>
        <v>95.050000000000011</v>
      </c>
      <c r="I15" s="77">
        <f>Clinker!EG5</f>
        <v>126</v>
      </c>
      <c r="J15" s="77">
        <f>I15+'2'!J15</f>
        <v>286</v>
      </c>
      <c r="K15" s="77">
        <f>I15+'2'!K15</f>
        <v>286</v>
      </c>
      <c r="L15" s="77">
        <f>E15+F15-Clinker!AE5-Clinker!AI5-Clinker!CF5-Clinker!CK5-Clinker!CP5</f>
        <v>12628.699999999997</v>
      </c>
      <c r="M15" s="81"/>
      <c r="N15" s="81"/>
      <c r="O15" s="667"/>
      <c r="P15" s="78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28664.356999999985</v>
      </c>
      <c r="F16" s="125">
        <f>F14+F15</f>
        <v>0</v>
      </c>
      <c r="G16" s="125">
        <f t="shared" ref="G16:L16" si="3">G14+G15</f>
        <v>215.55</v>
      </c>
      <c r="H16" s="125">
        <f t="shared" si="3"/>
        <v>215.55</v>
      </c>
      <c r="I16" s="125">
        <f>I14+I15</f>
        <v>259.33000000000004</v>
      </c>
      <c r="J16" s="125">
        <f>J14+J15</f>
        <v>430.44</v>
      </c>
      <c r="K16" s="125">
        <f>K14+K15</f>
        <v>430.44</v>
      </c>
      <c r="L16" s="125">
        <f t="shared" si="3"/>
        <v>28405.026999999987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Clinker!EI5</f>
        <v>3281.4900971217489</v>
      </c>
      <c r="F18" s="74">
        <f>Clinker!EJ5</f>
        <v>550</v>
      </c>
      <c r="G18" s="74">
        <f>F18+'2'!G18</f>
        <v>550</v>
      </c>
      <c r="H18" s="74">
        <f>F18+'2'!H18</f>
        <v>550</v>
      </c>
      <c r="I18" s="437">
        <f>Clinker!EK5</f>
        <v>1.6123999557748903E-6</v>
      </c>
      <c r="J18" s="74">
        <f>I18+'2'!J18</f>
        <v>5.0004117380922253E-2</v>
      </c>
      <c r="K18" s="74">
        <f>I18+'2'!K18</f>
        <v>5.0004117380922253E-2</v>
      </c>
      <c r="L18" s="99">
        <f>E18+F18-I18-I20</f>
        <v>3831.490095509349</v>
      </c>
      <c r="M18" s="704">
        <f>((I19+I18)/I25)*100</f>
        <v>77.063745084159365</v>
      </c>
      <c r="N18" s="687"/>
      <c r="O18" s="689"/>
      <c r="P18" s="691"/>
      <c r="Q18" s="692"/>
      <c r="R18" s="20"/>
      <c r="S18" s="20"/>
    </row>
    <row r="19" spans="2:19" ht="45" x14ac:dyDescent="0.25">
      <c r="B19" s="677"/>
      <c r="C19" s="685"/>
      <c r="D19" s="85" t="s">
        <v>75</v>
      </c>
      <c r="E19" s="74">
        <f>Clinker!EN5</f>
        <v>7043.2290080001376</v>
      </c>
      <c r="F19" s="74">
        <f>Clinker!EO5</f>
        <v>0</v>
      </c>
      <c r="G19" s="74">
        <f>F19+'2'!G19</f>
        <v>2160.98</v>
      </c>
      <c r="H19" s="74">
        <f>F19+'2'!H19</f>
        <v>2160.98</v>
      </c>
      <c r="I19" s="74">
        <f>Clinker!EP5</f>
        <v>1934.3</v>
      </c>
      <c r="J19" s="74">
        <f>I19+'2'!J19</f>
        <v>5901.5999999999995</v>
      </c>
      <c r="K19" s="74">
        <f>I19+'2'!K19</f>
        <v>5901.5999999999995</v>
      </c>
      <c r="L19" s="74">
        <f>E19+F19-I19</f>
        <v>5108.9290080001374</v>
      </c>
      <c r="M19" s="705"/>
      <c r="N19" s="687"/>
      <c r="O19" s="689"/>
      <c r="P19" s="691"/>
      <c r="Q19" s="692"/>
      <c r="R19" s="19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Clinker!EM5</f>
        <v>0</v>
      </c>
      <c r="G20" s="74">
        <f>F20+'2'!G20</f>
        <v>0</v>
      </c>
      <c r="H20" s="74">
        <f>F20+'2'!H20</f>
        <v>0</v>
      </c>
      <c r="I20" s="77">
        <f>Clinker!EM5</f>
        <v>0</v>
      </c>
      <c r="J20" s="74">
        <f>I20+'2'!J20</f>
        <v>0</v>
      </c>
      <c r="K20" s="74">
        <f>I20+'2'!K20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Cement!Q5</f>
        <v>449.79999926760001</v>
      </c>
      <c r="J21" s="74">
        <f>I21+'2'!J21</f>
        <v>1376.0499982906194</v>
      </c>
      <c r="K21" s="74">
        <f>I21+'2'!K21</f>
        <v>1376.0499982906194</v>
      </c>
      <c r="L21" s="74"/>
      <c r="M21" s="78">
        <f>(I21/(J40+J46))*100</f>
        <v>17.920318695920319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Cement!C5</f>
        <v>7773.480060677779</v>
      </c>
      <c r="F22" s="77">
        <f>Cement!D5</f>
        <v>0</v>
      </c>
      <c r="G22" s="74">
        <f>F22+'2'!G22</f>
        <v>586.5</v>
      </c>
      <c r="H22" s="74">
        <f>F22+'2'!H22</f>
        <v>586.5</v>
      </c>
      <c r="I22" s="77">
        <f>Cement!E5</f>
        <v>125.89999911999999</v>
      </c>
      <c r="J22" s="74">
        <f>I22+'2'!J22</f>
        <v>384.29999759199995</v>
      </c>
      <c r="K22" s="74">
        <f>I22+'2'!K22</f>
        <v>384.29999759199995</v>
      </c>
      <c r="L22" s="74">
        <f t="shared" ref="L22:L24" si="4">E22+F22-I22</f>
        <v>7647.5800615577791</v>
      </c>
      <c r="M22" s="78">
        <f>(I22/(J40+J46))*100</f>
        <v>5.0159362199203184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Cement!G5</f>
        <v>0.23999999999796273</v>
      </c>
      <c r="F23" s="77">
        <f>Cement!H5</f>
        <v>0</v>
      </c>
      <c r="G23" s="74">
        <f>F23+'2'!G23</f>
        <v>0</v>
      </c>
      <c r="H23" s="74">
        <f>F23+'2'!H23</f>
        <v>0</v>
      </c>
      <c r="I23" s="77">
        <f>Cement!I5</f>
        <v>0</v>
      </c>
      <c r="J23" s="74">
        <f>I23+'2'!J23</f>
        <v>0</v>
      </c>
      <c r="K23" s="74">
        <f>I23+'2'!K23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Cement!K5</f>
        <v>0</v>
      </c>
      <c r="F24" s="77">
        <f>Cement!L5</f>
        <v>0</v>
      </c>
      <c r="G24" s="74">
        <f>F24+'2'!G24</f>
        <v>0</v>
      </c>
      <c r="H24" s="74">
        <f>F24+'2'!H24</f>
        <v>0</v>
      </c>
      <c r="I24" s="77">
        <f>Cement!M5</f>
        <v>0</v>
      </c>
      <c r="J24" s="74">
        <f>I24+'2'!J24</f>
        <v>0</v>
      </c>
      <c r="K24" s="74">
        <f>I24+'2'!K24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18098.439165799664</v>
      </c>
      <c r="F25" s="122">
        <f t="shared" ref="F25:L25" si="5">F18+F19+F21+F22+F23+F24</f>
        <v>550</v>
      </c>
      <c r="G25" s="122">
        <f t="shared" si="5"/>
        <v>3297.48</v>
      </c>
      <c r="H25" s="122">
        <f t="shared" si="5"/>
        <v>3297.48</v>
      </c>
      <c r="I25" s="122">
        <f t="shared" si="5"/>
        <v>2510</v>
      </c>
      <c r="J25" s="122">
        <f t="shared" si="5"/>
        <v>7662</v>
      </c>
      <c r="K25" s="122">
        <f t="shared" si="5"/>
        <v>7662</v>
      </c>
      <c r="L25" s="122">
        <f t="shared" si="5"/>
        <v>16588.239165067265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Production2!C5</f>
        <v>0</v>
      </c>
      <c r="G30" s="75">
        <f>F30+'2'!G30</f>
        <v>2.25</v>
      </c>
      <c r="H30" s="75">
        <f>F30+'2'!H30</f>
        <v>2.25</v>
      </c>
      <c r="I30" s="74">
        <f>'Mines (2)'!C5+'Mines (2)'!H5+'Mines (2)'!V5+'Mines (2)'!Z5+'Mines (2)'!AD5</f>
        <v>23388.241698160811</v>
      </c>
      <c r="J30" s="74">
        <f>Production2!D5</f>
        <v>239.08</v>
      </c>
      <c r="K30" s="74">
        <f>J30+'2'!K30</f>
        <v>1448.7</v>
      </c>
      <c r="L30" s="74">
        <f>J30+'2'!L30</f>
        <v>1448.7</v>
      </c>
      <c r="M30" s="74">
        <f>I9+I21</f>
        <v>937.79999926760001</v>
      </c>
      <c r="N30" s="74">
        <f>M30+'2'!N30</f>
        <v>1864.0499982906194</v>
      </c>
      <c r="O30" s="74">
        <f>M30+'2'!O30</f>
        <v>1864.0499982906194</v>
      </c>
      <c r="P30" s="74">
        <f>I30+J30-M30</f>
        <v>22689.521698893212</v>
      </c>
      <c r="Q30" s="93" t="e">
        <f>J30/F30</f>
        <v>#DIV/0!</v>
      </c>
      <c r="R30" s="94"/>
      <c r="S30" s="94"/>
    </row>
    <row r="31" spans="2:19" x14ac:dyDescent="0.25">
      <c r="B31" s="91">
        <v>2</v>
      </c>
      <c r="C31" s="680" t="s">
        <v>264</v>
      </c>
      <c r="D31" s="681"/>
      <c r="E31" s="95">
        <v>120</v>
      </c>
      <c r="F31" s="78">
        <f>Production2!G5</f>
        <v>4.12</v>
      </c>
      <c r="G31" s="75">
        <f>F31+'2'!G31</f>
        <v>4.12</v>
      </c>
      <c r="H31" s="75">
        <f>F31+'2'!H31</f>
        <v>4.12</v>
      </c>
      <c r="I31" s="747">
        <f>Production2!H5</f>
        <v>1993.73001683752</v>
      </c>
      <c r="J31" s="77">
        <f>Production2!N5</f>
        <v>448.5</v>
      </c>
      <c r="K31" s="74">
        <f>J31+'2'!K31</f>
        <v>448.5</v>
      </c>
      <c r="L31" s="74">
        <f>J31+'2'!L31</f>
        <v>448.5</v>
      </c>
      <c r="M31" s="747">
        <f>Production2!K5</f>
        <v>852.5</v>
      </c>
      <c r="N31" s="747">
        <f>M31+'2'!N31</f>
        <v>852.5</v>
      </c>
      <c r="O31" s="747">
        <f>M31+'2'!O31</f>
        <v>852.5</v>
      </c>
      <c r="P31" s="747">
        <f>I31+J32+J31-M31</f>
        <v>1589.73001683752</v>
      </c>
      <c r="Q31" s="96">
        <f t="shared" ref="Q31:Q46" si="6">J31/F31</f>
        <v>108.85922330097087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Production2!P5</f>
        <v>0</v>
      </c>
      <c r="G32" s="75">
        <f>F32+'2'!G32</f>
        <v>0</v>
      </c>
      <c r="H32" s="75">
        <f>F32+'2'!H32</f>
        <v>0</v>
      </c>
      <c r="I32" s="748"/>
      <c r="J32" s="78">
        <f>Production2!Q5</f>
        <v>0</v>
      </c>
      <c r="K32" s="74">
        <f>J32+'2'!K32</f>
        <v>0</v>
      </c>
      <c r="L32" s="74">
        <f>J32+'2'!L32</f>
        <v>0</v>
      </c>
      <c r="M32" s="748"/>
      <c r="N32" s="748"/>
      <c r="O32" s="748"/>
      <c r="P32" s="748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Production2!S5</f>
        <v>11</v>
      </c>
      <c r="G33" s="75">
        <f>F33+'2'!G33</f>
        <v>15</v>
      </c>
      <c r="H33" s="75">
        <f>F33+'2'!H33</f>
        <v>15</v>
      </c>
      <c r="I33" s="77">
        <f>Production2!T5</f>
        <v>25.509999999999998</v>
      </c>
      <c r="J33" s="77">
        <f>Production2!U5</f>
        <v>120</v>
      </c>
      <c r="K33" s="74">
        <f>J33+'2'!K33</f>
        <v>130</v>
      </c>
      <c r="L33" s="74">
        <f>J33+'2'!L33</f>
        <v>130</v>
      </c>
      <c r="M33" s="77">
        <f>Production2!V5</f>
        <v>128</v>
      </c>
      <c r="N33" s="74">
        <f>M33+'2'!N33</f>
        <v>128</v>
      </c>
      <c r="O33" s="74">
        <f>M33+'2'!O33</f>
        <v>128</v>
      </c>
      <c r="P33" s="74">
        <f t="shared" ref="P33" si="7">I33+J33-M33</f>
        <v>17.509999999999991</v>
      </c>
      <c r="Q33" s="96">
        <f t="shared" si="6"/>
        <v>10.909090909090908</v>
      </c>
      <c r="R33" s="94"/>
      <c r="S33" s="94"/>
    </row>
    <row r="34" spans="2:19" x14ac:dyDescent="0.25">
      <c r="B34" s="79">
        <v>5</v>
      </c>
      <c r="C34" s="680" t="s">
        <v>69</v>
      </c>
      <c r="D34" s="681"/>
      <c r="E34" s="95">
        <v>50</v>
      </c>
      <c r="F34" s="78">
        <f>Production2!Y5</f>
        <v>11.45</v>
      </c>
      <c r="G34" s="75">
        <f>F34+'2'!G34</f>
        <v>11.45</v>
      </c>
      <c r="H34" s="75">
        <f>F34+'2'!H34</f>
        <v>11.45</v>
      </c>
      <c r="I34" s="77">
        <f>Clinker!EI5</f>
        <v>3281.4900971217489</v>
      </c>
      <c r="J34" s="77">
        <f>Clinker!EJ5</f>
        <v>550</v>
      </c>
      <c r="K34" s="74">
        <f>J34+'2'!K34</f>
        <v>550</v>
      </c>
      <c r="L34" s="74">
        <f>J34+'2'!L34</f>
        <v>550</v>
      </c>
      <c r="M34" s="77">
        <f>Clinker!EK5</f>
        <v>1.6123999557748903E-6</v>
      </c>
      <c r="N34" s="74">
        <f>M34+'2'!N34</f>
        <v>5.0004117380922253E-2</v>
      </c>
      <c r="O34" s="74">
        <f>M34+'2'!O34</f>
        <v>5.0004117380922253E-2</v>
      </c>
      <c r="P34" s="74">
        <f>I34+J34-M34-I20</f>
        <v>3831.490095509349</v>
      </c>
      <c r="Q34" s="96">
        <f t="shared" si="6"/>
        <v>48.0349344978166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Production2!AE5</f>
        <v>0</v>
      </c>
      <c r="G35" s="75">
        <f>F35+'2'!G35</f>
        <v>0</v>
      </c>
      <c r="H35" s="75">
        <f>F35+'2'!H35</f>
        <v>0</v>
      </c>
      <c r="I35" s="77">
        <f>Production2!BJ5</f>
        <v>261.29999999999995</v>
      </c>
      <c r="J35" s="77">
        <f>Production2!AF5</f>
        <v>0</v>
      </c>
      <c r="K35" s="74">
        <f>J35+'2'!K35</f>
        <v>0</v>
      </c>
      <c r="L35" s="74">
        <f>J35+'2'!L35</f>
        <v>0</v>
      </c>
      <c r="M35" s="77">
        <f>Production2!BL5</f>
        <v>61</v>
      </c>
      <c r="N35" s="74">
        <f>M35+'2'!N35</f>
        <v>212</v>
      </c>
      <c r="O35" s="74">
        <f>M35+'2'!O35</f>
        <v>212</v>
      </c>
      <c r="P35" s="74">
        <f>I35+J35+J41-M35-F59</f>
        <v>200.29999999999995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Production2!AB5</f>
        <v>15.57</v>
      </c>
      <c r="G36" s="75">
        <f>F36+'2'!G36</f>
        <v>55.97</v>
      </c>
      <c r="H36" s="75">
        <f>F36+'2'!H36</f>
        <v>55.97</v>
      </c>
      <c r="I36" s="77">
        <f>Production2!BF5</f>
        <v>1323.9079999999799</v>
      </c>
      <c r="J36" s="77">
        <f>Production2!AC5</f>
        <v>948</v>
      </c>
      <c r="K36" s="74">
        <f>J36+'2'!K36</f>
        <v>3356</v>
      </c>
      <c r="L36" s="74">
        <f>J36+'2'!L36</f>
        <v>3356</v>
      </c>
      <c r="M36" s="77">
        <f>Production2!BH5</f>
        <v>1717</v>
      </c>
      <c r="N36" s="74">
        <f>M36+'2'!N36</f>
        <v>6036.65</v>
      </c>
      <c r="O36" s="74">
        <f>M36+'2'!O36</f>
        <v>6036.65</v>
      </c>
      <c r="P36" s="74">
        <f>I36+J36+J42-M36-F57</f>
        <v>1624.9079999999799</v>
      </c>
      <c r="Q36" s="96">
        <f t="shared" si="6"/>
        <v>60.886319845857415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Production2!AH5</f>
        <v>0</v>
      </c>
      <c r="G37" s="75">
        <f>F37+'2'!G37</f>
        <v>0</v>
      </c>
      <c r="H37" s="75">
        <f>F37+'2'!H37</f>
        <v>0</v>
      </c>
      <c r="I37" s="77">
        <f>Production2!BN5</f>
        <v>1.9400000000008499</v>
      </c>
      <c r="J37" s="77">
        <f>Production2!AI5</f>
        <v>0</v>
      </c>
      <c r="K37" s="74">
        <f>J37+'2'!K37</f>
        <v>0</v>
      </c>
      <c r="L37" s="74">
        <f>J37+'2'!L37</f>
        <v>0</v>
      </c>
      <c r="M37" s="77">
        <f>Production2!BP5</f>
        <v>0</v>
      </c>
      <c r="N37" s="74">
        <f>M37+'2'!N37</f>
        <v>0</v>
      </c>
      <c r="O37" s="74">
        <f>M37+'2'!O37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Production2!AK5</f>
        <v>0</v>
      </c>
      <c r="G38" s="75">
        <f>F38+'2'!G38</f>
        <v>0</v>
      </c>
      <c r="H38" s="75">
        <f>F38+'2'!H38</f>
        <v>0</v>
      </c>
      <c r="I38" s="195">
        <f>Production2!BR5</f>
        <v>135.30000000000001</v>
      </c>
      <c r="J38" s="195">
        <v>0</v>
      </c>
      <c r="K38" s="74">
        <f>J38+'2'!K38</f>
        <v>0</v>
      </c>
      <c r="L38" s="74">
        <f>J38+'2'!L38</f>
        <v>0</v>
      </c>
      <c r="M38" s="195">
        <f>Production2!BT5</f>
        <v>61</v>
      </c>
      <c r="N38" s="74">
        <f>M38+'2'!N38</f>
        <v>304</v>
      </c>
      <c r="O38" s="74">
        <f>M38+'2'!O38</f>
        <v>304</v>
      </c>
      <c r="P38" s="74">
        <f>I38+J38+J44-M38-F60</f>
        <v>184.3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Production2!AN5</f>
        <v>6</v>
      </c>
      <c r="G39" s="75">
        <f>F39+'2'!G39</f>
        <v>13</v>
      </c>
      <c r="H39" s="75">
        <f>F39+'2'!H39</f>
        <v>13</v>
      </c>
      <c r="I39" s="195">
        <f>Production2!BV5</f>
        <v>155.05000000000001</v>
      </c>
      <c r="J39" s="195">
        <f>Production2!BW5</f>
        <v>382</v>
      </c>
      <c r="K39" s="74">
        <f>J39+'2'!K39</f>
        <v>824</v>
      </c>
      <c r="L39" s="74">
        <f>J39+'2'!L39</f>
        <v>824</v>
      </c>
      <c r="M39" s="77">
        <f>Production2!BX5</f>
        <v>301.88</v>
      </c>
      <c r="N39" s="74">
        <f>M39+'2'!N39</f>
        <v>962.54000000000008</v>
      </c>
      <c r="O39" s="74">
        <f>M39+'2'!O39</f>
        <v>962.54000000000008</v>
      </c>
      <c r="P39" s="74">
        <f>I39+J39+J45-M39</f>
        <v>235.16999999999996</v>
      </c>
      <c r="Q39" s="96">
        <f t="shared" si="6"/>
        <v>63.666666666666664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21.57</v>
      </c>
      <c r="G40" s="132">
        <f t="shared" ref="G40:H40" si="8">G35+G36+G37+G38+G39</f>
        <v>68.97</v>
      </c>
      <c r="H40" s="132">
        <f t="shared" si="8"/>
        <v>68.97</v>
      </c>
      <c r="I40" s="122">
        <f>I35+I36+I37+I38+I39</f>
        <v>1877.4979999999805</v>
      </c>
      <c r="J40" s="122">
        <f t="shared" ref="J40:P40" si="9">J35+J36+J37+J38+J39</f>
        <v>1330</v>
      </c>
      <c r="K40" s="122">
        <f t="shared" si="9"/>
        <v>4180</v>
      </c>
      <c r="L40" s="122">
        <f t="shared" si="9"/>
        <v>4180</v>
      </c>
      <c r="M40" s="122">
        <f t="shared" si="9"/>
        <v>2140.88</v>
      </c>
      <c r="N40" s="122">
        <f t="shared" si="9"/>
        <v>7515.19</v>
      </c>
      <c r="O40" s="122">
        <f t="shared" si="9"/>
        <v>7515.19</v>
      </c>
      <c r="P40" s="122">
        <f t="shared" si="9"/>
        <v>2246.6179999999804</v>
      </c>
      <c r="Q40" s="123">
        <f t="shared" si="6"/>
        <v>61.659712563745941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Production2!AT5</f>
        <v>0</v>
      </c>
      <c r="G41" s="75">
        <f>F41+'2'!G41</f>
        <v>3</v>
      </c>
      <c r="H41" s="75">
        <f>F41+'2'!H41</f>
        <v>3</v>
      </c>
      <c r="I41" s="764"/>
      <c r="J41" s="77">
        <f>Production2!AU5</f>
        <v>0</v>
      </c>
      <c r="K41" s="74">
        <f>J41+'2'!K41</f>
        <v>180</v>
      </c>
      <c r="L41" s="74">
        <f>J41+'2'!L41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Production2!AQ5</f>
        <v>18</v>
      </c>
      <c r="G42" s="75">
        <f>F42+'2'!G42</f>
        <v>53</v>
      </c>
      <c r="H42" s="75">
        <f>F42+'2'!H42</f>
        <v>53</v>
      </c>
      <c r="I42" s="765"/>
      <c r="J42" s="77">
        <f>Production2!AR5</f>
        <v>1070</v>
      </c>
      <c r="K42" s="74">
        <f>J42+'2'!K42</f>
        <v>3027</v>
      </c>
      <c r="L42" s="74">
        <f>J42+'2'!L42</f>
        <v>3027</v>
      </c>
      <c r="M42" s="769"/>
      <c r="N42" s="770"/>
      <c r="O42" s="770"/>
      <c r="P42" s="771"/>
      <c r="Q42" s="96">
        <f t="shared" si="6"/>
        <v>59.444444444444443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Production2!AW5</f>
        <v>0</v>
      </c>
      <c r="G43" s="75">
        <f>F43+'2'!G43</f>
        <v>0</v>
      </c>
      <c r="H43" s="75">
        <f>F43+'2'!H43</f>
        <v>0</v>
      </c>
      <c r="I43" s="765"/>
      <c r="J43" s="77">
        <f>Production2!AX5</f>
        <v>0</v>
      </c>
      <c r="K43" s="74">
        <f>J43+'2'!K43</f>
        <v>0</v>
      </c>
      <c r="L43" s="74">
        <f>J43+'2'!L43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Production2!AZ5</f>
        <v>2</v>
      </c>
      <c r="G44" s="75">
        <f>F44+'2'!G44</f>
        <v>5</v>
      </c>
      <c r="H44" s="75">
        <f>F44+'2'!H44</f>
        <v>5</v>
      </c>
      <c r="I44" s="748"/>
      <c r="J44" s="195">
        <f>Production2!BA5</f>
        <v>110</v>
      </c>
      <c r="K44" s="74">
        <f>J44+'2'!K44</f>
        <v>275</v>
      </c>
      <c r="L44" s="74">
        <f>J44+'2'!L44</f>
        <v>275</v>
      </c>
      <c r="M44" s="769"/>
      <c r="N44" s="770"/>
      <c r="O44" s="770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Production2!BC5</f>
        <v>0</v>
      </c>
      <c r="G45" s="75">
        <f>F45+'2'!G45</f>
        <v>0</v>
      </c>
      <c r="H45" s="75">
        <f>F45+'2'!H45</f>
        <v>0</v>
      </c>
      <c r="I45" s="431"/>
      <c r="J45" s="195">
        <f>Production2!BD5</f>
        <v>0</v>
      </c>
      <c r="K45" s="74">
        <f>J45+'2'!K45</f>
        <v>0</v>
      </c>
      <c r="L45" s="74">
        <f>J45+'2'!L45</f>
        <v>0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20</v>
      </c>
      <c r="G46" s="132">
        <f t="shared" ref="G46:H46" si="10">G41+G42+G43+G44+G45</f>
        <v>61</v>
      </c>
      <c r="H46" s="132">
        <f t="shared" si="10"/>
        <v>61</v>
      </c>
      <c r="I46" s="132">
        <f t="shared" ref="I46" si="11">I41+I42+I43+I44</f>
        <v>0</v>
      </c>
      <c r="J46" s="122">
        <f>J41+J42+J43+J44+J45</f>
        <v>1180</v>
      </c>
      <c r="K46" s="122">
        <f t="shared" ref="K46:L46" si="12">K41+K42+K43+K44+K45</f>
        <v>3482</v>
      </c>
      <c r="L46" s="122">
        <f t="shared" si="12"/>
        <v>3482</v>
      </c>
      <c r="M46" s="132"/>
      <c r="N46" s="132"/>
      <c r="O46" s="132"/>
      <c r="P46" s="132"/>
      <c r="Q46" s="123">
        <f t="shared" si="6"/>
        <v>59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790" t="s">
        <v>271</v>
      </c>
      <c r="C48" s="791"/>
      <c r="D48" s="791"/>
      <c r="E48" s="791"/>
      <c r="F48" s="791"/>
      <c r="G48" s="791"/>
      <c r="H48" s="791"/>
      <c r="I48" s="791"/>
      <c r="J48" s="791"/>
      <c r="K48" s="791"/>
      <c r="L48" s="791"/>
      <c r="M48" s="792"/>
      <c r="N48" s="793" t="s">
        <v>272</v>
      </c>
      <c r="O48" s="794"/>
      <c r="P48" s="794"/>
      <c r="Q48" s="795"/>
      <c r="R48" s="98"/>
      <c r="S48" s="98"/>
    </row>
    <row r="49" spans="2:19" s="70" customFormat="1" ht="15.6" customHeight="1" thickBot="1" x14ac:dyDescent="0.3">
      <c r="B49" s="305" t="s">
        <v>231</v>
      </c>
      <c r="C49" s="796" t="s">
        <v>232</v>
      </c>
      <c r="D49" s="796"/>
      <c r="E49" s="304" t="s">
        <v>143</v>
      </c>
      <c r="F49" s="309" t="s">
        <v>144</v>
      </c>
      <c r="G49" s="304" t="s">
        <v>145</v>
      </c>
      <c r="H49" s="304" t="s">
        <v>146</v>
      </c>
      <c r="I49" s="304" t="s">
        <v>147</v>
      </c>
      <c r="J49" s="304" t="s">
        <v>273</v>
      </c>
      <c r="K49" s="304" t="s">
        <v>149</v>
      </c>
      <c r="L49" s="304" t="s">
        <v>274</v>
      </c>
      <c r="M49" s="306" t="s">
        <v>275</v>
      </c>
      <c r="N49" s="307" t="s">
        <v>152</v>
      </c>
      <c r="O49" s="796" t="s">
        <v>232</v>
      </c>
      <c r="P49" s="796"/>
      <c r="Q49" s="30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5.9645307010205784</v>
      </c>
      <c r="F50" s="99">
        <f>F53/(J31+J32)</f>
        <v>13.172798216276478</v>
      </c>
      <c r="G50" s="99" t="e">
        <f>G53/J32</f>
        <v>#DIV/0!</v>
      </c>
      <c r="H50" s="99">
        <f>H53/J34</f>
        <v>42.463636363636361</v>
      </c>
      <c r="I50" s="99">
        <f>I53/J33</f>
        <v>62.15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23.272727272727273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5.2921654219964411</v>
      </c>
      <c r="F51" s="102">
        <f>F50*1.55</f>
        <v>20.417837235228543</v>
      </c>
      <c r="G51" s="102" t="e">
        <f>G50*1.55</f>
        <v>#DIV/0!</v>
      </c>
      <c r="H51" s="102">
        <f>H50</f>
        <v>42.463636363636361</v>
      </c>
      <c r="I51" s="102">
        <f>I50*(Q50/100)</f>
        <v>14.464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5424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4.078340870239364</v>
      </c>
      <c r="F52" s="102">
        <f>F51*M18/100</f>
        <v>15.734750038655097</v>
      </c>
      <c r="G52" s="102" t="e">
        <f>G51*M18/100</f>
        <v>#DIV/0!</v>
      </c>
      <c r="H52" s="102">
        <f>H51*M18/100</f>
        <v>32.724068480737124</v>
      </c>
      <c r="I52" s="102">
        <f>I51*M18/100</f>
        <v>11.146500088972811</v>
      </c>
      <c r="J52" s="99">
        <f>J53/(J40+J46)</f>
        <v>43.319123505976094</v>
      </c>
      <c r="K52" s="99">
        <f>K53/(J46+J40)</f>
        <v>0.53266932270916334</v>
      </c>
      <c r="L52" s="99">
        <f>L53/(M40)</f>
        <v>3.02445723253989</v>
      </c>
      <c r="M52" s="96">
        <f>M53/(J46+J40)</f>
        <v>1.8900398406374501</v>
      </c>
      <c r="N52" s="310" t="e">
        <f>SUM(E52:M52)</f>
        <v>#DIV/0!</v>
      </c>
      <c r="O52" s="668" t="s">
        <v>281</v>
      </c>
      <c r="P52" s="668"/>
      <c r="Q52" s="104">
        <f>Q51*Q50/100</f>
        <v>1262.3127272727274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unit'!B5</f>
        <v>1426</v>
      </c>
      <c r="F53" s="118">
        <f>'Daily unit'!C5</f>
        <v>5908</v>
      </c>
      <c r="G53" s="118">
        <f>'Daily unit'!D5</f>
        <v>0</v>
      </c>
      <c r="H53" s="118">
        <f>'Daily unit'!E5</f>
        <v>23355</v>
      </c>
      <c r="I53" s="118">
        <f>'Daily unit'!F5</f>
        <v>7458</v>
      </c>
      <c r="J53" s="118">
        <f>'Daily unit'!G5</f>
        <v>108731</v>
      </c>
      <c r="K53" s="118">
        <f>'Daily unit'!H5</f>
        <v>1337</v>
      </c>
      <c r="L53" s="118">
        <f>'Daily unit'!I5</f>
        <v>6475</v>
      </c>
      <c r="M53" s="119">
        <f>'Daily unit'!J5</f>
        <v>4744</v>
      </c>
      <c r="N53" s="321">
        <f>SUM(E53:M53)</f>
        <v>159434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cement'!F5</f>
        <v>0</v>
      </c>
      <c r="G57" s="53">
        <f>F57+'2'!G57</f>
        <v>0</v>
      </c>
      <c r="H57" s="104">
        <f>F57+'2'!H57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cement'!Q5</f>
        <v>0</v>
      </c>
      <c r="G58" s="53">
        <f>F58+'2'!G58</f>
        <v>0</v>
      </c>
      <c r="H58" s="104">
        <f>F58+'2'!H58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99"/>
      <c r="D59" s="800"/>
      <c r="E59" s="80">
        <v>32.5</v>
      </c>
      <c r="F59" s="53">
        <f>'Internal use cement'!AB5</f>
        <v>0</v>
      </c>
      <c r="G59" s="53">
        <f>F59+'2'!G59</f>
        <v>0</v>
      </c>
      <c r="H59" s="104">
        <f>F59+'2'!H59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cement'!AJ5</f>
        <v>0</v>
      </c>
      <c r="G60" s="53">
        <f>F60+'2'!G60</f>
        <v>0</v>
      </c>
      <c r="H60" s="104">
        <f>F60+'2'!H60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4">
    <mergeCell ref="P31:P32"/>
    <mergeCell ref="C32:D32"/>
    <mergeCell ref="I31:I32"/>
    <mergeCell ref="M31:M32"/>
    <mergeCell ref="N31:N32"/>
    <mergeCell ref="O31:O32"/>
    <mergeCell ref="P6:P7"/>
    <mergeCell ref="Q6:Q7"/>
    <mergeCell ref="B14:B16"/>
    <mergeCell ref="C14:C16"/>
    <mergeCell ref="C57:D60"/>
    <mergeCell ref="B57:B60"/>
    <mergeCell ref="C8:Q8"/>
    <mergeCell ref="C11:D11"/>
    <mergeCell ref="C12:D12"/>
    <mergeCell ref="C13:D13"/>
    <mergeCell ref="P13:Q13"/>
    <mergeCell ref="O9:O16"/>
    <mergeCell ref="C10:D10"/>
    <mergeCell ref="C17:Q17"/>
    <mergeCell ref="B18:B20"/>
    <mergeCell ref="B23:B24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23:C24"/>
    <mergeCell ref="M23:N24"/>
    <mergeCell ref="P23:Q25"/>
    <mergeCell ref="C25:D25"/>
    <mergeCell ref="M25:N25"/>
    <mergeCell ref="O18:O25"/>
    <mergeCell ref="P18:Q20"/>
    <mergeCell ref="Q21:Q22"/>
    <mergeCell ref="C22:D22"/>
    <mergeCell ref="C21:D21"/>
    <mergeCell ref="M18:M19"/>
    <mergeCell ref="C18:C20"/>
    <mergeCell ref="N18:N2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51:D51"/>
    <mergeCell ref="O51:P51"/>
    <mergeCell ref="I41:I44"/>
    <mergeCell ref="B35:B40"/>
    <mergeCell ref="C35:C40"/>
    <mergeCell ref="B41:B46"/>
    <mergeCell ref="C34:D34"/>
    <mergeCell ref="O49:P49"/>
    <mergeCell ref="C50:D50"/>
    <mergeCell ref="O50:P50"/>
    <mergeCell ref="C41:C46"/>
    <mergeCell ref="M41:P45"/>
    <mergeCell ref="B2:Q2"/>
    <mergeCell ref="B3:Q3"/>
    <mergeCell ref="B55:H55"/>
    <mergeCell ref="I55:Q60"/>
    <mergeCell ref="C56:E56"/>
    <mergeCell ref="B54:Q54"/>
    <mergeCell ref="B47:Q47"/>
    <mergeCell ref="B48:M48"/>
    <mergeCell ref="N48:Q48"/>
    <mergeCell ref="C49:D49"/>
    <mergeCell ref="C52:D52"/>
    <mergeCell ref="O52:P52"/>
    <mergeCell ref="C53:D53"/>
    <mergeCell ref="C30:D30"/>
    <mergeCell ref="C31:D31"/>
    <mergeCell ref="C33:D33"/>
  </mergeCells>
  <pageMargins left="0" right="0" top="0.75" bottom="0.75" header="0.3" footer="0.3"/>
  <pageSetup paperSize="9" scale="5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4" sqref="R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5.8554687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316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 t="s">
        <v>290</v>
      </c>
    </row>
    <row r="7" spans="2:21" ht="27" customHeight="1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'3'!L9</f>
        <v>22689.521698893208</v>
      </c>
      <c r="F9" s="74">
        <f>Production2!D6</f>
        <v>2165.9</v>
      </c>
      <c r="G9" s="74">
        <f>F9+'3'!G9</f>
        <v>3614.6000000000004</v>
      </c>
      <c r="H9" s="74">
        <f>F9+'3'!H9</f>
        <v>3614.6000000000004</v>
      </c>
      <c r="I9" s="74">
        <f>Production2!E6</f>
        <v>1137</v>
      </c>
      <c r="J9" s="74">
        <f>I9+'3'!J9</f>
        <v>1625</v>
      </c>
      <c r="K9" s="74">
        <f>I9+'3'!K9</f>
        <v>1625</v>
      </c>
      <c r="L9" s="74">
        <f>E9+F9-I9-I21</f>
        <v>23316.92170058261</v>
      </c>
      <c r="M9" s="75">
        <f>I9</f>
        <v>1137</v>
      </c>
      <c r="N9" s="75">
        <f>(I9/I13)*100</f>
        <v>98.017241379310349</v>
      </c>
      <c r="O9" s="667"/>
      <c r="P9" s="289">
        <v>10</v>
      </c>
      <c r="Q9" s="263">
        <f>'Raw mill moisture content'!L35</f>
        <v>0.10000000000000006</v>
      </c>
      <c r="S9" s="176"/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(2)'!L6</f>
        <v>124.03999999999975</v>
      </c>
      <c r="F10" s="77">
        <f>'Mines (2)'!M6</f>
        <v>0</v>
      </c>
      <c r="G10" s="74">
        <f>F10+'3'!G10</f>
        <v>0</v>
      </c>
      <c r="H10" s="74">
        <f>F10+'3'!H10</f>
        <v>0</v>
      </c>
      <c r="I10" s="77">
        <f>'Mines (2)'!N6</f>
        <v>0</v>
      </c>
      <c r="J10" s="74">
        <f>I10+'3'!J10</f>
        <v>0</v>
      </c>
      <c r="K10" s="74">
        <f>I10+'3'!K10</f>
        <v>0</v>
      </c>
      <c r="L10" s="77">
        <f t="shared" ref="L10:L16" si="0">E10+F10-I10</f>
        <v>124.03999999999975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  <c r="S10" s="176"/>
    </row>
    <row r="11" spans="2:21" x14ac:dyDescent="0.25">
      <c r="B11" s="79">
        <v>3</v>
      </c>
      <c r="C11" s="668" t="s">
        <v>32</v>
      </c>
      <c r="D11" s="668"/>
      <c r="E11" s="77">
        <f>Clinker!C6</f>
        <v>5355.6399999999994</v>
      </c>
      <c r="F11" s="77">
        <f>Clinker!D6</f>
        <v>0</v>
      </c>
      <c r="G11" s="74">
        <f>F11+'3'!G11</f>
        <v>0</v>
      </c>
      <c r="H11" s="74">
        <f>F11+'3'!H11</f>
        <v>0</v>
      </c>
      <c r="I11" s="77">
        <f>Clinker!E6</f>
        <v>23</v>
      </c>
      <c r="J11" s="74">
        <f>I11+'3'!J11</f>
        <v>33</v>
      </c>
      <c r="K11" s="74">
        <f>I11+'3'!K11</f>
        <v>33</v>
      </c>
      <c r="L11" s="77">
        <f t="shared" si="0"/>
        <v>5332.6399999999994</v>
      </c>
      <c r="M11" s="75">
        <f t="shared" si="1"/>
        <v>23</v>
      </c>
      <c r="N11" s="75">
        <f>(I11/I13)*100</f>
        <v>1.9827586206896552</v>
      </c>
      <c r="O11" s="667"/>
      <c r="P11" s="53">
        <v>7</v>
      </c>
      <c r="Q11" s="264">
        <f>'Raw mill moisture content'!N35</f>
        <v>6.9999999999999937E-2</v>
      </c>
      <c r="S11" s="176"/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(2)'!Q6</f>
        <v>600.28</v>
      </c>
      <c r="F12" s="77">
        <f>'Mines (2)'!R6</f>
        <v>0</v>
      </c>
      <c r="G12" s="74">
        <f>F12+'3'!G12</f>
        <v>0</v>
      </c>
      <c r="H12" s="74">
        <f>F12+'3'!H12</f>
        <v>0</v>
      </c>
      <c r="I12" s="77">
        <f>'Mines (2)'!S6</f>
        <v>0</v>
      </c>
      <c r="J12" s="74">
        <f>I12+'3'!J12</f>
        <v>0</v>
      </c>
      <c r="K12" s="74">
        <f>I12+'3'!K12</f>
        <v>0</v>
      </c>
      <c r="L12" s="77">
        <f t="shared" si="0"/>
        <v>600.28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  <c r="S12" s="176"/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28769.481698893207</v>
      </c>
      <c r="F13" s="127">
        <f t="shared" si="2"/>
        <v>2165.9</v>
      </c>
      <c r="G13" s="127">
        <f t="shared" si="2"/>
        <v>3614.6000000000004</v>
      </c>
      <c r="H13" s="127">
        <f t="shared" si="2"/>
        <v>3614.6000000000004</v>
      </c>
      <c r="I13" s="127">
        <f>SUM(I9:I12)</f>
        <v>1160</v>
      </c>
      <c r="J13" s="127">
        <f t="shared" si="2"/>
        <v>1658</v>
      </c>
      <c r="K13" s="127">
        <f t="shared" si="2"/>
        <v>1658</v>
      </c>
      <c r="L13" s="127">
        <f t="shared" si="0"/>
        <v>29775.381698893209</v>
      </c>
      <c r="M13" s="128">
        <f>SUM(M9:M12)</f>
        <v>1160</v>
      </c>
      <c r="N13" s="128">
        <f>SUM(N9:N12)</f>
        <v>100</v>
      </c>
      <c r="O13" s="667"/>
      <c r="P13" s="665"/>
      <c r="Q13" s="666"/>
      <c r="S13" s="177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Clinker!EA6</f>
        <v>15776.32699999999</v>
      </c>
      <c r="F14" s="77">
        <f>Clinker!EB6</f>
        <v>31</v>
      </c>
      <c r="G14" s="77">
        <f>F14+'3'!G14</f>
        <v>151.5</v>
      </c>
      <c r="H14" s="77">
        <f>F14+'3'!H14</f>
        <v>151.5</v>
      </c>
      <c r="I14" s="77">
        <f>Clinker!EC6</f>
        <v>137.78</v>
      </c>
      <c r="J14" s="77">
        <f>I14+'3'!J14</f>
        <v>282.22000000000003</v>
      </c>
      <c r="K14" s="77">
        <f>I14+'3'!K14</f>
        <v>282.22000000000003</v>
      </c>
      <c r="L14" s="77">
        <f>E14+F14-I14-Clinker!N6-Clinker!Z6-Clinker!AR6-Clinker!AW6-Clinker!BB6-Clinker!BV6-Clinker!BG6-Clinker!BL6-Clinker!BQ6-Clinker!CU6-Clinker!DO6</f>
        <v>15669.54699999999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258"/>
    </row>
    <row r="15" spans="2:21" x14ac:dyDescent="0.25">
      <c r="B15" s="677"/>
      <c r="C15" s="678"/>
      <c r="D15" s="80" t="s">
        <v>68</v>
      </c>
      <c r="E15" s="77">
        <f>Clinker!EE6</f>
        <v>12628.699999999997</v>
      </c>
      <c r="F15" s="77">
        <f>Clinker!EF6</f>
        <v>0</v>
      </c>
      <c r="G15" s="77">
        <f>F15+'3'!G15</f>
        <v>95.050000000000011</v>
      </c>
      <c r="H15" s="77">
        <f>F15+'3'!H15</f>
        <v>95.050000000000011</v>
      </c>
      <c r="I15" s="77">
        <f>Clinker!EG6</f>
        <v>97</v>
      </c>
      <c r="J15" s="77">
        <f>I15+'3'!J15</f>
        <v>383</v>
      </c>
      <c r="K15" s="77">
        <f>I15+'3'!K15</f>
        <v>383</v>
      </c>
      <c r="L15" s="77">
        <f>E15+F15-Clinker!AE6-Clinker!AI6-Clinker!CK6-Clinker!CP6</f>
        <v>12531.699999999997</v>
      </c>
      <c r="M15" s="81"/>
      <c r="N15" s="81"/>
      <c r="O15" s="667"/>
      <c r="P15" s="78"/>
      <c r="Q15" s="82"/>
      <c r="R15" s="83"/>
      <c r="S15" s="259"/>
    </row>
    <row r="16" spans="2:21" x14ac:dyDescent="0.25">
      <c r="B16" s="677"/>
      <c r="C16" s="679"/>
      <c r="D16" s="124" t="s">
        <v>152</v>
      </c>
      <c r="E16" s="125">
        <f>E14+E15</f>
        <v>28405.026999999987</v>
      </c>
      <c r="F16" s="125">
        <f>F14+F15</f>
        <v>31</v>
      </c>
      <c r="G16" s="425">
        <f t="shared" ref="G16:K16" si="3">G14+G15</f>
        <v>246.55</v>
      </c>
      <c r="H16" s="125">
        <f t="shared" si="3"/>
        <v>246.55</v>
      </c>
      <c r="I16" s="125">
        <f>I14+I15</f>
        <v>234.78</v>
      </c>
      <c r="J16" s="125">
        <f>J14+J15</f>
        <v>665.22</v>
      </c>
      <c r="K16" s="125">
        <f t="shared" si="3"/>
        <v>665.22</v>
      </c>
      <c r="L16" s="125">
        <f t="shared" si="0"/>
        <v>28201.246999999988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19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Clinker!EI6</f>
        <v>3831.490095509349</v>
      </c>
      <c r="F18" s="74">
        <f>Clinker!EJ6</f>
        <v>750</v>
      </c>
      <c r="G18" s="74">
        <f>F18+'3'!G18</f>
        <v>1300</v>
      </c>
      <c r="H18" s="74">
        <f>F18+'3'!H18</f>
        <v>1300</v>
      </c>
      <c r="I18" s="438">
        <f>Clinker!EK6</f>
        <v>1.7293998553213896E-6</v>
      </c>
      <c r="J18" s="74">
        <f>I18+'3'!J18</f>
        <v>5.0005846780777574E-2</v>
      </c>
      <c r="K18" s="74">
        <f>I18+'3'!K18</f>
        <v>5.0005846780777574E-2</v>
      </c>
      <c r="L18" s="74">
        <f>E18+F18-I18-I20</f>
        <v>4581.4900937799493</v>
      </c>
      <c r="M18" s="75">
        <f>((I18+I19)/(J40+J46))*100</f>
        <v>77.008086331060184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Clinker!EN6</f>
        <v>5108.9290080001374</v>
      </c>
      <c r="F19" s="74">
        <f>Clinker!EO6</f>
        <v>1617.32</v>
      </c>
      <c r="G19" s="74">
        <f>F19+'3'!G19</f>
        <v>3778.3</v>
      </c>
      <c r="H19" s="74">
        <f>F19+'3'!H19</f>
        <v>3778.3</v>
      </c>
      <c r="I19" s="74">
        <f>Clinker!EP6</f>
        <v>1714.2</v>
      </c>
      <c r="J19" s="74">
        <f>I19+'3'!J19</f>
        <v>7615.7999999999993</v>
      </c>
      <c r="K19" s="74">
        <f>I19+'3'!K19</f>
        <v>7615.7999999999993</v>
      </c>
      <c r="L19" s="74">
        <f>E19+F19-I19</f>
        <v>5012.0490080001373</v>
      </c>
      <c r="M19" s="75"/>
      <c r="N19" s="687"/>
      <c r="O19" s="689"/>
      <c r="P19" s="691"/>
      <c r="Q19" s="692"/>
      <c r="R19" s="20"/>
      <c r="S19" s="237"/>
    </row>
    <row r="20" spans="2:19" ht="30" x14ac:dyDescent="0.25">
      <c r="B20" s="677"/>
      <c r="C20" s="686"/>
      <c r="D20" s="86" t="s">
        <v>251</v>
      </c>
      <c r="E20" s="77"/>
      <c r="F20" s="77">
        <f>Clinker!EM6</f>
        <v>0</v>
      </c>
      <c r="G20" s="74">
        <f>F20+'3'!G20</f>
        <v>0</v>
      </c>
      <c r="H20" s="74">
        <f>F20+'3'!H20</f>
        <v>0</v>
      </c>
      <c r="I20" s="77">
        <f>Clinker!EM6</f>
        <v>0</v>
      </c>
      <c r="J20" s="74">
        <f>I20+'3'!J20</f>
        <v>0</v>
      </c>
      <c r="K20" s="74">
        <f>I20+'3'!K20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>
        <v>8</v>
      </c>
      <c r="C21" s="776" t="s">
        <v>244</v>
      </c>
      <c r="D21" s="777"/>
      <c r="E21" s="77">
        <f>Cement!S6</f>
        <v>0</v>
      </c>
      <c r="F21" s="77"/>
      <c r="G21" s="74"/>
      <c r="H21" s="74"/>
      <c r="I21" s="77">
        <f>Cement!Q6</f>
        <v>401.49999831059995</v>
      </c>
      <c r="J21" s="74">
        <f>I21+'3'!J21</f>
        <v>1777.5499966012194</v>
      </c>
      <c r="K21" s="74">
        <f>I21+'3'!K21</f>
        <v>1777.5499966012194</v>
      </c>
      <c r="L21" s="74"/>
      <c r="M21" s="78">
        <f>(I21/I25)*100</f>
        <v>18.036837300566035</v>
      </c>
      <c r="N21" s="78"/>
      <c r="O21" s="689"/>
      <c r="P21" s="87"/>
      <c r="Q21" s="813" t="s">
        <v>291</v>
      </c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Cement!C6</f>
        <v>7647.5800615577791</v>
      </c>
      <c r="F22" s="77">
        <f>Cement!D6</f>
        <v>154.24</v>
      </c>
      <c r="G22" s="74">
        <f>F22+'3'!G22</f>
        <v>740.74</v>
      </c>
      <c r="H22" s="74">
        <f>F22+'3'!H22</f>
        <v>740.74</v>
      </c>
      <c r="I22" s="77">
        <f>Cement!E6</f>
        <v>110.29999995999999</v>
      </c>
      <c r="J22" s="74">
        <f>I22+'3'!J22</f>
        <v>494.59999755199993</v>
      </c>
      <c r="K22" s="74">
        <f>I22+'3'!K22</f>
        <v>494.59999755199993</v>
      </c>
      <c r="L22" s="74">
        <f t="shared" ref="L22:L24" si="4">E22+F22-I22</f>
        <v>7691.5200615977792</v>
      </c>
      <c r="M22" s="78">
        <f>(I22/(J40+J46))*100</f>
        <v>4.9550763683737644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Cement!G6</f>
        <v>0.23999999999796273</v>
      </c>
      <c r="F23" s="77">
        <f>Cement!H6</f>
        <v>0</v>
      </c>
      <c r="G23" s="74">
        <f>F23+'3'!G23</f>
        <v>0</v>
      </c>
      <c r="H23" s="74">
        <f>F23+'3'!H23</f>
        <v>0</v>
      </c>
      <c r="I23" s="77">
        <f>Cement!I6</f>
        <v>0</v>
      </c>
      <c r="J23" s="74">
        <f>I23+'3'!J23</f>
        <v>0</v>
      </c>
      <c r="K23" s="74">
        <f>I23+'3'!K23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Cement!K6</f>
        <v>0</v>
      </c>
      <c r="F24" s="77">
        <f>Cement!L6</f>
        <v>0</v>
      </c>
      <c r="G24" s="74">
        <f>F24+'3'!G24</f>
        <v>0</v>
      </c>
      <c r="H24" s="74">
        <f>F24+'3'!H24</f>
        <v>0</v>
      </c>
      <c r="I24" s="77">
        <f>Cement!M6</f>
        <v>0</v>
      </c>
      <c r="J24" s="74">
        <f>I24+'3'!J24</f>
        <v>0</v>
      </c>
      <c r="K24" s="74">
        <f>I24+'3'!K24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16588.239165067265</v>
      </c>
      <c r="F25" s="122">
        <f>F18+F19+F21+F22+F23+F24</f>
        <v>2521.5599999999995</v>
      </c>
      <c r="G25" s="122">
        <f t="shared" ref="G25:L25" si="5">G18+G19+G21+G22+G23+G24</f>
        <v>5819.04</v>
      </c>
      <c r="H25" s="122">
        <f t="shared" si="5"/>
        <v>5819.04</v>
      </c>
      <c r="I25" s="122">
        <f>I18+I19+I21+I22+I23+I24</f>
        <v>2226</v>
      </c>
      <c r="J25" s="122">
        <f t="shared" si="5"/>
        <v>9888</v>
      </c>
      <c r="K25" s="122">
        <f t="shared" si="5"/>
        <v>9888</v>
      </c>
      <c r="L25" s="122">
        <f t="shared" si="5"/>
        <v>17285.299163377866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Production2!C6</f>
        <v>11.7</v>
      </c>
      <c r="G30" s="75">
        <f>F30+'3'!G30</f>
        <v>13.95</v>
      </c>
      <c r="H30" s="75">
        <f>F30+'3'!H30</f>
        <v>13.95</v>
      </c>
      <c r="I30" s="74">
        <f>'Mines (2)'!C6+'Mines (2)'!H6+'Mines (2)'!V6+'Mines (2)'!Z6+'Mines (2)'!AD6</f>
        <v>22689.521698893212</v>
      </c>
      <c r="J30" s="442">
        <f>Production2!D6</f>
        <v>2165.9</v>
      </c>
      <c r="K30" s="74">
        <f>J30+'3'!K30</f>
        <v>3614.6000000000004</v>
      </c>
      <c r="L30" s="74">
        <f>J30+'3'!L30</f>
        <v>3614.6000000000004</v>
      </c>
      <c r="M30" s="74">
        <f>I9+I21</f>
        <v>1538.4999983105999</v>
      </c>
      <c r="N30" s="74">
        <f>M30+'3'!N30</f>
        <v>3402.5499966012194</v>
      </c>
      <c r="O30" s="74">
        <f>M30+'3'!O30</f>
        <v>3402.5499966012194</v>
      </c>
      <c r="P30" s="74">
        <f>I30+J30-M30</f>
        <v>23316.921700582614</v>
      </c>
      <c r="Q30" s="93">
        <f>J30/F30</f>
        <v>185.11965811965814</v>
      </c>
      <c r="R30" s="94"/>
      <c r="S30" s="94"/>
    </row>
    <row r="31" spans="2:19" x14ac:dyDescent="0.25">
      <c r="B31" s="79">
        <v>2</v>
      </c>
      <c r="C31" s="680" t="s">
        <v>292</v>
      </c>
      <c r="D31" s="681"/>
      <c r="E31" s="95">
        <v>120</v>
      </c>
      <c r="F31" s="78">
        <f>Production2!G6</f>
        <v>9</v>
      </c>
      <c r="G31" s="75">
        <f>F31+'3'!G31</f>
        <v>13.120000000000001</v>
      </c>
      <c r="H31" s="75">
        <f>F31+'3'!H31</f>
        <v>13.120000000000001</v>
      </c>
      <c r="I31" s="747">
        <f>Production2!H6</f>
        <v>1589.73001683752</v>
      </c>
      <c r="J31" s="77">
        <f>Production2!N6</f>
        <v>1044.69</v>
      </c>
      <c r="K31" s="74">
        <f>J31+'3'!K31</f>
        <v>1493.19</v>
      </c>
      <c r="L31" s="74">
        <f>J31+'3'!L31</f>
        <v>1493.19</v>
      </c>
      <c r="M31" s="747">
        <f>Production2!K6</f>
        <v>1162.5</v>
      </c>
      <c r="N31" s="747">
        <f>M31+'3'!N31</f>
        <v>2015</v>
      </c>
      <c r="O31" s="747">
        <f>M31+'3'!O31</f>
        <v>2015</v>
      </c>
      <c r="P31" s="747">
        <f>I31+J31+J32-M31</f>
        <v>1471.9200168375201</v>
      </c>
      <c r="Q31" s="96">
        <f t="shared" ref="Q31:Q46" si="6">J31/F31</f>
        <v>116.07666666666667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Production2!P6</f>
        <v>0</v>
      </c>
      <c r="G32" s="75">
        <f>F32+'3'!G32</f>
        <v>0</v>
      </c>
      <c r="H32" s="75">
        <f>F32+'3'!H32</f>
        <v>0</v>
      </c>
      <c r="I32" s="748"/>
      <c r="J32" s="78">
        <f>Production2!Q6</f>
        <v>0</v>
      </c>
      <c r="K32" s="74">
        <f>J32+'3'!K32</f>
        <v>0</v>
      </c>
      <c r="L32" s="74">
        <f>J32+'3'!L32</f>
        <v>0</v>
      </c>
      <c r="M32" s="748"/>
      <c r="N32" s="748"/>
      <c r="O32" s="748"/>
      <c r="P32" s="748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Production2!S6</f>
        <v>8</v>
      </c>
      <c r="G33" s="75">
        <f>F33+'3'!G33</f>
        <v>23</v>
      </c>
      <c r="H33" s="75">
        <f>F33+'3'!H33</f>
        <v>23</v>
      </c>
      <c r="I33" s="77">
        <f>Production2!T6</f>
        <v>17.509999999999991</v>
      </c>
      <c r="J33" s="77">
        <f>Production2!U6</f>
        <v>124</v>
      </c>
      <c r="K33" s="74">
        <f>J33+'3'!K33</f>
        <v>254</v>
      </c>
      <c r="L33" s="74">
        <f>J33+'3'!L33</f>
        <v>254</v>
      </c>
      <c r="M33" s="77">
        <f>Production2!V6</f>
        <v>124</v>
      </c>
      <c r="N33" s="74">
        <f>M33+'3'!N33</f>
        <v>252</v>
      </c>
      <c r="O33" s="74">
        <f>M33+'3'!O33</f>
        <v>252</v>
      </c>
      <c r="P33" s="74">
        <f t="shared" ref="P33" si="7">I33+J33-M33</f>
        <v>17.509999999999991</v>
      </c>
      <c r="Q33" s="96">
        <f t="shared" si="6"/>
        <v>15.5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Production2!Y6</f>
        <v>11.4</v>
      </c>
      <c r="G34" s="75">
        <f>F34+'3'!G34</f>
        <v>22.85</v>
      </c>
      <c r="H34" s="75">
        <f>F34+'3'!H34</f>
        <v>22.85</v>
      </c>
      <c r="I34" s="77">
        <f>Clinker!EI6</f>
        <v>3831.490095509349</v>
      </c>
      <c r="J34" s="77">
        <f>Clinker!EJ6</f>
        <v>750</v>
      </c>
      <c r="K34" s="74">
        <f>J34+'3'!K34</f>
        <v>1300</v>
      </c>
      <c r="L34" s="74">
        <f>J34+'3'!L34</f>
        <v>1300</v>
      </c>
      <c r="M34" s="77">
        <f>Clinker!EK6</f>
        <v>1.7293998553213896E-6</v>
      </c>
      <c r="N34" s="74">
        <f>M34+'3'!N34</f>
        <v>5.0005846780777574E-2</v>
      </c>
      <c r="O34" s="74">
        <f>M34+'3'!O34</f>
        <v>5.0005846780777574E-2</v>
      </c>
      <c r="P34" s="74">
        <f>I34+J34-M34-I20</f>
        <v>4581.4900937799493</v>
      </c>
      <c r="Q34" s="96">
        <f t="shared" si="6"/>
        <v>65.78947368421052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Production2!AE6</f>
        <v>0</v>
      </c>
      <c r="G35" s="75">
        <f>F35+'3'!G35</f>
        <v>0</v>
      </c>
      <c r="H35" s="75">
        <f>F35+'3'!H35</f>
        <v>0</v>
      </c>
      <c r="I35" s="77">
        <f>Production2!BJ6</f>
        <v>200.29999999999995</v>
      </c>
      <c r="J35" s="77">
        <f>Production2!AF6</f>
        <v>0</v>
      </c>
      <c r="K35" s="74">
        <f>J35+'3'!K35</f>
        <v>0</v>
      </c>
      <c r="L35" s="74">
        <f>J35+'3'!L35</f>
        <v>0</v>
      </c>
      <c r="M35" s="77">
        <f>Production2!BL6</f>
        <v>30</v>
      </c>
      <c r="N35" s="74">
        <f>M35+'3'!N35</f>
        <v>242</v>
      </c>
      <c r="O35" s="74">
        <f>M35+'3'!O35</f>
        <v>242</v>
      </c>
      <c r="P35" s="74">
        <f>I35+J35+J41-M35-F59</f>
        <v>170.29999999999995</v>
      </c>
      <c r="Q35" s="96" t="e">
        <f t="shared" si="6"/>
        <v>#DIV/0!</v>
      </c>
      <c r="R35" s="94"/>
      <c r="S35" s="94"/>
    </row>
    <row r="36" spans="2:19" ht="15.75" customHeight="1" x14ac:dyDescent="0.25">
      <c r="B36" s="754"/>
      <c r="C36" s="685"/>
      <c r="D36" s="80" t="s">
        <v>268</v>
      </c>
      <c r="E36" s="97">
        <v>78</v>
      </c>
      <c r="F36" s="78">
        <f>Production2!AB6</f>
        <v>11.8</v>
      </c>
      <c r="G36" s="75">
        <f>F36+'3'!G36</f>
        <v>67.77</v>
      </c>
      <c r="H36" s="75">
        <f>F36+'3'!H36</f>
        <v>67.77</v>
      </c>
      <c r="I36" s="77">
        <f>Production2!BF6</f>
        <v>1624.9079999999799</v>
      </c>
      <c r="J36" s="77">
        <f>Production2!AC6</f>
        <v>750</v>
      </c>
      <c r="K36" s="74">
        <f>J36+'3'!K36</f>
        <v>4106</v>
      </c>
      <c r="L36" s="74">
        <f>J36+'3'!L36</f>
        <v>4106</v>
      </c>
      <c r="M36" s="77">
        <f>Production2!BH6</f>
        <v>1419.98</v>
      </c>
      <c r="N36" s="74">
        <f>M36+'3'!N36</f>
        <v>7456.6299999999992</v>
      </c>
      <c r="O36" s="74">
        <f>M36+'3'!O36</f>
        <v>7456.6299999999992</v>
      </c>
      <c r="P36" s="74">
        <f>I36+J36+J42-M36-F57</f>
        <v>2300.9279999999799</v>
      </c>
      <c r="Q36" s="96">
        <f t="shared" si="6"/>
        <v>63.559322033898304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Production2!AH6</f>
        <v>0</v>
      </c>
      <c r="G37" s="75">
        <f>F37+'3'!G37</f>
        <v>0</v>
      </c>
      <c r="H37" s="75">
        <f>F37+'3'!H37</f>
        <v>0</v>
      </c>
      <c r="I37" s="77">
        <f>Production2!BN6</f>
        <v>1.9400000000008499</v>
      </c>
      <c r="J37" s="77">
        <f>Production2!AI6</f>
        <v>0</v>
      </c>
      <c r="K37" s="74">
        <f>J37+'3'!K37</f>
        <v>0</v>
      </c>
      <c r="L37" s="74">
        <f>J37+'3'!L37</f>
        <v>0</v>
      </c>
      <c r="M37" s="77">
        <f>Production2!BP6</f>
        <v>0</v>
      </c>
      <c r="N37" s="74">
        <f>M37+'3'!N37</f>
        <v>0</v>
      </c>
      <c r="O37" s="74">
        <f>M37+'3'!O37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Production2!AK6</f>
        <v>0</v>
      </c>
      <c r="G38" s="75">
        <f>F38+'3'!G38</f>
        <v>0</v>
      </c>
      <c r="H38" s="75">
        <f>F38+'3'!H38</f>
        <v>0</v>
      </c>
      <c r="I38" s="195">
        <f>Production2!BR6</f>
        <v>184.3</v>
      </c>
      <c r="J38" s="195">
        <v>0</v>
      </c>
      <c r="K38" s="74">
        <f>J38+'3'!K38</f>
        <v>0</v>
      </c>
      <c r="L38" s="74">
        <f>J38+'3'!L38</f>
        <v>0</v>
      </c>
      <c r="M38" s="195">
        <f>Production2!BT6</f>
        <v>92</v>
      </c>
      <c r="N38" s="74">
        <f>M38+'3'!N38</f>
        <v>396</v>
      </c>
      <c r="O38" s="74">
        <f>M38+'3'!O38</f>
        <v>396</v>
      </c>
      <c r="P38" s="74">
        <f>I38+J38+J44-M38-F60</f>
        <v>92.300000000000011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Production2!AN6</f>
        <v>2</v>
      </c>
      <c r="G39" s="75">
        <f>F39+'3'!G39</f>
        <v>15</v>
      </c>
      <c r="H39" s="75">
        <f>F39+'3'!H39</f>
        <v>15</v>
      </c>
      <c r="I39" s="195">
        <f>Production2!BV6</f>
        <v>235.16999999999996</v>
      </c>
      <c r="J39" s="195">
        <f>Production2!BW6</f>
        <v>130</v>
      </c>
      <c r="K39" s="74">
        <f>J39+'3'!K39</f>
        <v>954</v>
      </c>
      <c r="L39" s="74">
        <f>J39+'3'!L39</f>
        <v>954</v>
      </c>
      <c r="M39" s="77">
        <f>Production2!BX6</f>
        <v>150.97999999999999</v>
      </c>
      <c r="N39" s="74">
        <f>M39+'3'!N39</f>
        <v>1113.52</v>
      </c>
      <c r="O39" s="74">
        <f>M39+'3'!O39</f>
        <v>1113.52</v>
      </c>
      <c r="P39" s="74">
        <f>I39+J39+J45-M39</f>
        <v>214.18999999999997</v>
      </c>
      <c r="Q39" s="96">
        <f t="shared" si="6"/>
        <v>65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13.8</v>
      </c>
      <c r="G40" s="132">
        <f>G35+G36+G37+G38+G39</f>
        <v>82.77</v>
      </c>
      <c r="H40" s="132">
        <f>H35+H36+H37+H38+H39</f>
        <v>82.77</v>
      </c>
      <c r="I40" s="122">
        <f>I35+I36+I37+I38+I39</f>
        <v>2246.6179999999804</v>
      </c>
      <c r="J40" s="122">
        <f>J35+J36+J37+J38+J39</f>
        <v>880</v>
      </c>
      <c r="K40" s="122">
        <f t="shared" ref="K40:P40" si="8">K35+K36+K37+K38+K39</f>
        <v>5060</v>
      </c>
      <c r="L40" s="122">
        <f t="shared" si="8"/>
        <v>5060</v>
      </c>
      <c r="M40" s="122">
        <f t="shared" si="8"/>
        <v>1692.96</v>
      </c>
      <c r="N40" s="122">
        <f t="shared" si="8"/>
        <v>9208.15</v>
      </c>
      <c r="O40" s="122">
        <f t="shared" si="8"/>
        <v>9208.15</v>
      </c>
      <c r="P40" s="122">
        <f t="shared" si="8"/>
        <v>2779.6579999999813</v>
      </c>
      <c r="Q40" s="123">
        <f t="shared" si="6"/>
        <v>63.768115942028984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Production2!AT6</f>
        <v>0</v>
      </c>
      <c r="G41" s="75">
        <f>F41+'3'!G41</f>
        <v>3</v>
      </c>
      <c r="H41" s="75">
        <f>F41+'3'!H41</f>
        <v>3</v>
      </c>
      <c r="I41" s="764"/>
      <c r="J41" s="77">
        <f>Production2!AU6</f>
        <v>0</v>
      </c>
      <c r="K41" s="74">
        <f>J41+'3'!K41</f>
        <v>180</v>
      </c>
      <c r="L41" s="74">
        <f>J41+'3'!L41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Production2!AQ6</f>
        <v>23.62</v>
      </c>
      <c r="G42" s="75">
        <f>F42+'3'!G42</f>
        <v>76.62</v>
      </c>
      <c r="H42" s="75">
        <f>F42+'3'!H42</f>
        <v>76.62</v>
      </c>
      <c r="I42" s="765"/>
      <c r="J42" s="77">
        <f>Production2!AR6</f>
        <v>1346</v>
      </c>
      <c r="K42" s="74">
        <f>J42+'3'!K42</f>
        <v>4373</v>
      </c>
      <c r="L42" s="74">
        <f>J42+'3'!L42</f>
        <v>4373</v>
      </c>
      <c r="M42" s="769"/>
      <c r="N42" s="770"/>
      <c r="O42" s="770"/>
      <c r="P42" s="771"/>
      <c r="Q42" s="96">
        <f t="shared" si="6"/>
        <v>56.98560541913632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Production2!AW6</f>
        <v>0</v>
      </c>
      <c r="G43" s="75">
        <f>F43+'3'!G43</f>
        <v>0</v>
      </c>
      <c r="H43" s="75">
        <f>F43+'3'!H43</f>
        <v>0</v>
      </c>
      <c r="I43" s="765"/>
      <c r="J43" s="77">
        <f>Production2!AX6</f>
        <v>0</v>
      </c>
      <c r="K43" s="74">
        <f>J43+'3'!K43</f>
        <v>0</v>
      </c>
      <c r="L43" s="74">
        <f>J43+'3'!L43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Production2!AZ6</f>
        <v>0</v>
      </c>
      <c r="G44" s="75">
        <f>F44+'3'!G44</f>
        <v>5</v>
      </c>
      <c r="H44" s="75">
        <f>F44+'3'!H44</f>
        <v>5</v>
      </c>
      <c r="I44" s="748"/>
      <c r="J44" s="195">
        <f>Production2!BA6</f>
        <v>0</v>
      </c>
      <c r="K44" s="74">
        <f>J44+'3'!K44</f>
        <v>275</v>
      </c>
      <c r="L44" s="74">
        <f>J44+'3'!L44</f>
        <v>275</v>
      </c>
      <c r="M44" s="769"/>
      <c r="N44" s="770"/>
      <c r="O44" s="770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Production2!BC6</f>
        <v>0</v>
      </c>
      <c r="G45" s="75">
        <f>F45+'3'!G45</f>
        <v>0</v>
      </c>
      <c r="H45" s="75">
        <f>F45+'3'!H45</f>
        <v>0</v>
      </c>
      <c r="I45" s="431"/>
      <c r="J45" s="195">
        <f>Production2!BD6</f>
        <v>0</v>
      </c>
      <c r="K45" s="74">
        <f>J45+'2'!K45</f>
        <v>0</v>
      </c>
      <c r="L45" s="74">
        <f>J45+'2'!L45</f>
        <v>0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23.62</v>
      </c>
      <c r="G46" s="132">
        <f t="shared" ref="G46:H46" si="9">G41+G42+G43+G44+G45</f>
        <v>84.62</v>
      </c>
      <c r="H46" s="132">
        <f t="shared" si="9"/>
        <v>84.62</v>
      </c>
      <c r="I46" s="132">
        <f t="shared" ref="I46" si="10">I41+I42+I43+I44</f>
        <v>0</v>
      </c>
      <c r="J46" s="122">
        <f>J41+J42+J43+J44+J45</f>
        <v>1346</v>
      </c>
      <c r="K46" s="122">
        <f t="shared" ref="K46:L46" si="11">K41+K42+K43+K44+K45</f>
        <v>4828</v>
      </c>
      <c r="L46" s="122">
        <f t="shared" si="11"/>
        <v>4828</v>
      </c>
      <c r="M46" s="132"/>
      <c r="N46" s="132"/>
      <c r="O46" s="132"/>
      <c r="P46" s="132"/>
      <c r="Q46" s="123">
        <f t="shared" si="6"/>
        <v>56.98560541913632</v>
      </c>
      <c r="R46" s="94"/>
      <c r="S46" s="94"/>
    </row>
    <row r="47" spans="2:19" x14ac:dyDescent="0.25">
      <c r="B47" s="808"/>
      <c r="C47" s="809"/>
      <c r="D47" s="809"/>
      <c r="E47" s="809"/>
      <c r="F47" s="809"/>
      <c r="G47" s="809"/>
      <c r="H47" s="809"/>
      <c r="I47" s="809"/>
      <c r="J47" s="809"/>
      <c r="K47" s="809"/>
      <c r="L47" s="809"/>
      <c r="M47" s="809"/>
      <c r="N47" s="809"/>
      <c r="O47" s="809"/>
      <c r="P47" s="809"/>
      <c r="Q47" s="810"/>
      <c r="R47" s="94"/>
      <c r="S47" s="94"/>
    </row>
    <row r="48" spans="2:19" s="70" customFormat="1" ht="15" customHeight="1" x14ac:dyDescent="0.25">
      <c r="B48" s="782" t="s">
        <v>271</v>
      </c>
      <c r="C48" s="782"/>
      <c r="D48" s="782"/>
      <c r="E48" s="782"/>
      <c r="F48" s="782"/>
      <c r="G48" s="782"/>
      <c r="H48" s="782"/>
      <c r="I48" s="782"/>
      <c r="J48" s="782"/>
      <c r="K48" s="782"/>
      <c r="L48" s="782"/>
      <c r="M48" s="811"/>
      <c r="N48" s="314"/>
      <c r="O48" s="803" t="s">
        <v>272</v>
      </c>
      <c r="P48" s="660"/>
      <c r="Q48" s="660"/>
      <c r="R48" s="98"/>
      <c r="S48" s="98"/>
    </row>
    <row r="49" spans="2:19" s="70" customFormat="1" ht="15.6" customHeight="1" thickBot="1" x14ac:dyDescent="0.3">
      <c r="B49" s="145" t="s">
        <v>231</v>
      </c>
      <c r="C49" s="750" t="s">
        <v>232</v>
      </c>
      <c r="D49" s="750"/>
      <c r="E49" s="318" t="s">
        <v>143</v>
      </c>
      <c r="F49" s="319" t="s">
        <v>144</v>
      </c>
      <c r="G49" s="318" t="s">
        <v>145</v>
      </c>
      <c r="H49" s="318" t="s">
        <v>146</v>
      </c>
      <c r="I49" s="318" t="s">
        <v>147</v>
      </c>
      <c r="J49" s="318" t="s">
        <v>273</v>
      </c>
      <c r="K49" s="318" t="s">
        <v>149</v>
      </c>
      <c r="L49" s="318" t="s">
        <v>274</v>
      </c>
      <c r="M49" s="320" t="s">
        <v>275</v>
      </c>
      <c r="N49" s="318" t="s">
        <v>152</v>
      </c>
      <c r="O49" s="812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0.86938455145666926</v>
      </c>
      <c r="F50" s="99">
        <f>F53/(J31+J32)</f>
        <v>36.117891431908028</v>
      </c>
      <c r="G50" s="99" t="e">
        <f>G53/J32</f>
        <v>#DIV/0!</v>
      </c>
      <c r="H50" s="99">
        <f>H53/J34</f>
        <v>36.43866666666667</v>
      </c>
      <c r="I50" s="99">
        <f>I53/J33</f>
        <v>53.895161290322584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16.533333333333331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1.3179869800083106</v>
      </c>
      <c r="F51" s="102">
        <f>F50*1.55</f>
        <v>55.982731719457448</v>
      </c>
      <c r="G51" s="102" t="e">
        <f>G50*1.55</f>
        <v>#DIV/0!</v>
      </c>
      <c r="H51" s="102">
        <f>H50</f>
        <v>36.43866666666667</v>
      </c>
      <c r="I51" s="102">
        <f>I50*(Q50/100)</f>
        <v>8.9106666666666658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5350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1.0149565513969327</v>
      </c>
      <c r="F52" s="102">
        <f>F51*M18/100</f>
        <v>43.111230373005604</v>
      </c>
      <c r="G52" s="102" t="e">
        <f>G51*M18/100</f>
        <v>#DIV/0!</v>
      </c>
      <c r="H52" s="102">
        <f>H51*M18/100</f>
        <v>28.060719884553919</v>
      </c>
      <c r="I52" s="102">
        <f>I51*M18/100</f>
        <v>6.8619338793396683</v>
      </c>
      <c r="J52" s="99">
        <f>J53/(J40+J46)</f>
        <v>38.37825696316262</v>
      </c>
      <c r="K52" s="99">
        <f>K53/(J46+J40)</f>
        <v>0.65543575920934416</v>
      </c>
      <c r="L52" s="99">
        <f>L53/(M40)</f>
        <v>4.1489462243644271</v>
      </c>
      <c r="M52" s="96">
        <f>M53/(J46+J40)</f>
        <v>2.2614555256064688</v>
      </c>
      <c r="N52" s="310" t="e">
        <f>SUM(E52:M52)</f>
        <v>#DIV/0!</v>
      </c>
      <c r="O52" s="668" t="s">
        <v>281</v>
      </c>
      <c r="P52" s="668"/>
      <c r="Q52" s="104">
        <f>Q51*Q50/100</f>
        <v>884.5333333333333</v>
      </c>
    </row>
    <row r="53" spans="2:19" ht="15" customHeight="1" thickBot="1" x14ac:dyDescent="0.3">
      <c r="B53" s="199" t="s">
        <v>243</v>
      </c>
      <c r="C53" s="781" t="s">
        <v>282</v>
      </c>
      <c r="D53" s="781"/>
      <c r="E53" s="118">
        <f>'Daily unit'!B6</f>
        <v>1883</v>
      </c>
      <c r="F53" s="118">
        <f>'Daily unit'!C6</f>
        <v>37732</v>
      </c>
      <c r="G53" s="118">
        <f>'Daily unit'!D6</f>
        <v>0</v>
      </c>
      <c r="H53" s="118">
        <f>'Daily unit'!E6</f>
        <v>27329</v>
      </c>
      <c r="I53" s="118">
        <f>'Daily unit'!F6</f>
        <v>6683</v>
      </c>
      <c r="J53" s="118">
        <f>'Daily unit'!G6</f>
        <v>85430</v>
      </c>
      <c r="K53" s="118">
        <f>'Daily unit'!H6</f>
        <v>1459</v>
      </c>
      <c r="L53" s="118">
        <f>'Daily unit'!I6</f>
        <v>7024</v>
      </c>
      <c r="M53" s="119">
        <f>'Daily unit'!J6</f>
        <v>5034</v>
      </c>
      <c r="N53" s="321">
        <f>SUM(E53:M53)</f>
        <v>172574</v>
      </c>
      <c r="O53" s="206"/>
      <c r="P53" s="84"/>
      <c r="Q53" s="207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804" t="s">
        <v>283</v>
      </c>
      <c r="C55" s="782"/>
      <c r="D55" s="782"/>
      <c r="E55" s="782"/>
      <c r="F55" s="782"/>
      <c r="G55" s="782"/>
      <c r="H55" s="78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187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05">
        <v>1</v>
      </c>
      <c r="C57" s="783" t="s">
        <v>287</v>
      </c>
      <c r="D57" s="784"/>
      <c r="E57" s="80">
        <v>42.5</v>
      </c>
      <c r="F57" s="53">
        <f>'Internal use cement'!F6</f>
        <v>0</v>
      </c>
      <c r="G57" s="53">
        <f>F57+'3'!G57</f>
        <v>0</v>
      </c>
      <c r="H57" s="77">
        <f>F57+'3'!H57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6"/>
      <c r="C58" s="785"/>
      <c r="D58" s="786"/>
      <c r="E58" s="80" t="s">
        <v>197</v>
      </c>
      <c r="F58" s="53">
        <f>'Internal use cement'!Q6</f>
        <v>0</v>
      </c>
      <c r="G58" s="53">
        <f>F58+'3'!G58</f>
        <v>0</v>
      </c>
      <c r="H58" s="77">
        <f>F58+'3'!H58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6"/>
      <c r="C59" s="785"/>
      <c r="D59" s="786"/>
      <c r="E59" s="80">
        <v>32.5</v>
      </c>
      <c r="F59" s="53">
        <f>'Internal use cement'!AB6</f>
        <v>0</v>
      </c>
      <c r="G59" s="53">
        <f>F59+'3'!G59</f>
        <v>0</v>
      </c>
      <c r="H59" s="77">
        <f>F59+'3'!H59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07"/>
      <c r="C60" s="787"/>
      <c r="D60" s="788"/>
      <c r="E60" s="112" t="s">
        <v>177</v>
      </c>
      <c r="F60" s="113">
        <f>'Internal use cement'!AJ6</f>
        <v>0</v>
      </c>
      <c r="G60" s="113">
        <f>F60+'3'!G60</f>
        <v>0</v>
      </c>
      <c r="H60" s="212">
        <f>F60+'3'!H60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P6:P7"/>
    <mergeCell ref="C21:D21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C12:D12"/>
    <mergeCell ref="C13:D13"/>
    <mergeCell ref="P13:Q13"/>
    <mergeCell ref="O9:O16"/>
    <mergeCell ref="C10:D10"/>
    <mergeCell ref="C9:D9"/>
    <mergeCell ref="Q28:Q29"/>
    <mergeCell ref="Q6:Q7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C11:D11"/>
    <mergeCell ref="F28:H28"/>
    <mergeCell ref="I28:I29"/>
    <mergeCell ref="J28:L28"/>
    <mergeCell ref="M28:O28"/>
    <mergeCell ref="P28:P29"/>
    <mergeCell ref="B54:Q54"/>
    <mergeCell ref="B47:Q47"/>
    <mergeCell ref="B48:M48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55:H55"/>
    <mergeCell ref="C56:E56"/>
    <mergeCell ref="C57:D60"/>
    <mergeCell ref="B57:B60"/>
    <mergeCell ref="I55:Q60"/>
    <mergeCell ref="B41:B46"/>
    <mergeCell ref="C41:C46"/>
    <mergeCell ref="I41:I44"/>
    <mergeCell ref="B2:Q2"/>
    <mergeCell ref="B3:Q3"/>
    <mergeCell ref="C30:D30"/>
    <mergeCell ref="C31:D31"/>
    <mergeCell ref="C33:D33"/>
    <mergeCell ref="C34:D34"/>
    <mergeCell ref="M25:N25"/>
    <mergeCell ref="B35:B40"/>
    <mergeCell ref="C35:C40"/>
    <mergeCell ref="B26:Q26"/>
    <mergeCell ref="B27:Q27"/>
    <mergeCell ref="B28:B29"/>
    <mergeCell ref="C28:D29"/>
    <mergeCell ref="P31:P32"/>
    <mergeCell ref="O48:Q48"/>
    <mergeCell ref="C32:D32"/>
    <mergeCell ref="I31:I32"/>
    <mergeCell ref="M31:M32"/>
    <mergeCell ref="N31:N32"/>
    <mergeCell ref="O31:O32"/>
    <mergeCell ref="M41:P45"/>
  </mergeCells>
  <pageMargins left="0.2" right="0.2" top="0.75" bottom="0.75" header="0.3" footer="0.3"/>
  <pageSetup paperSize="9" scale="5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6" sqref="S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7.570312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318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 t="s">
        <v>290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776" t="s">
        <v>244</v>
      </c>
      <c r="D9" s="777"/>
      <c r="E9" s="74">
        <f>'4'!L9</f>
        <v>23316.92170058261</v>
      </c>
      <c r="F9" s="74">
        <f>Production2!D7</f>
        <v>1485.3799999999999</v>
      </c>
      <c r="G9" s="74">
        <f>F9+'4'!G9</f>
        <v>5099.9800000000005</v>
      </c>
      <c r="H9" s="74">
        <f>F9+'4'!H9</f>
        <v>5099.9800000000005</v>
      </c>
      <c r="I9" s="74">
        <f>Production2!E7</f>
        <v>0</v>
      </c>
      <c r="J9" s="74">
        <f>I9+'4'!J9</f>
        <v>1625</v>
      </c>
      <c r="K9" s="74">
        <f>I9+'4'!K9</f>
        <v>1625</v>
      </c>
      <c r="L9" s="74">
        <f>E9+F9-I9-I21</f>
        <v>24214.301701523411</v>
      </c>
      <c r="M9" s="75">
        <f>I9</f>
        <v>0</v>
      </c>
      <c r="N9" s="75" t="e">
        <f>(I9/I13)*100</f>
        <v>#DIV/0!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(2)'!L7</f>
        <v>124.03999999999975</v>
      </c>
      <c r="F10" s="77">
        <f>'Mines (2)'!M7</f>
        <v>0</v>
      </c>
      <c r="G10" s="74">
        <f>F10+'4'!G10</f>
        <v>0</v>
      </c>
      <c r="H10" s="74">
        <f>F10+'4'!H10</f>
        <v>0</v>
      </c>
      <c r="I10" s="77">
        <f>'Mines (2)'!N7</f>
        <v>0</v>
      </c>
      <c r="J10" s="74">
        <f>I10+'4'!J10</f>
        <v>0</v>
      </c>
      <c r="K10" s="74">
        <f>I10+'4'!K10</f>
        <v>0</v>
      </c>
      <c r="L10" s="77">
        <f t="shared" ref="L10:L16" si="0">E10+F10-I10</f>
        <v>124.03999999999975</v>
      </c>
      <c r="M10" s="75">
        <f t="shared" ref="M10:M12" si="1">I10</f>
        <v>0</v>
      </c>
      <c r="N10" s="75" t="e">
        <f>(I10/I13)*100</f>
        <v>#DIV/0!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Clinker!C7</f>
        <v>5332.6399999999994</v>
      </c>
      <c r="F11" s="77">
        <f>Clinker!D7</f>
        <v>0</v>
      </c>
      <c r="G11" s="74">
        <f>F11+'4'!G11</f>
        <v>0</v>
      </c>
      <c r="H11" s="74">
        <f>F11+'4'!H11</f>
        <v>0</v>
      </c>
      <c r="I11" s="77">
        <f>Clinker!E7</f>
        <v>0</v>
      </c>
      <c r="J11" s="74">
        <f>I11+'4'!J11</f>
        <v>33</v>
      </c>
      <c r="K11" s="74">
        <f>I11+'4'!K11</f>
        <v>33</v>
      </c>
      <c r="L11" s="77">
        <f t="shared" si="0"/>
        <v>5332.6399999999994</v>
      </c>
      <c r="M11" s="75">
        <f t="shared" si="1"/>
        <v>0</v>
      </c>
      <c r="N11" s="75" t="e">
        <f>(I11/I13)*100</f>
        <v>#DIV/0!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(2)'!Q7</f>
        <v>600.28</v>
      </c>
      <c r="F12" s="77">
        <f>'Mines (2)'!R7</f>
        <v>0</v>
      </c>
      <c r="G12" s="74">
        <f>F12+'4'!G12</f>
        <v>0</v>
      </c>
      <c r="H12" s="74">
        <f>F12+'4'!H12</f>
        <v>0</v>
      </c>
      <c r="I12" s="77">
        <f>'Mines (2)'!S7</f>
        <v>0</v>
      </c>
      <c r="J12" s="74">
        <f>I12+'4'!J12</f>
        <v>0</v>
      </c>
      <c r="K12" s="74">
        <f>I12+'4'!K12</f>
        <v>0</v>
      </c>
      <c r="L12" s="77">
        <f t="shared" si="0"/>
        <v>600.28</v>
      </c>
      <c r="M12" s="75">
        <f t="shared" si="1"/>
        <v>0</v>
      </c>
      <c r="N12" s="75" t="e">
        <f>(I12/I13)*100</f>
        <v>#DIV/0!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29373.881700582609</v>
      </c>
      <c r="F13" s="127">
        <f t="shared" si="2"/>
        <v>1485.3799999999999</v>
      </c>
      <c r="G13" s="127">
        <f t="shared" si="2"/>
        <v>5099.9800000000005</v>
      </c>
      <c r="H13" s="127">
        <f t="shared" si="2"/>
        <v>5099.9800000000005</v>
      </c>
      <c r="I13" s="127">
        <f t="shared" si="2"/>
        <v>0</v>
      </c>
      <c r="J13" s="127">
        <f t="shared" si="2"/>
        <v>1658</v>
      </c>
      <c r="K13" s="127">
        <f t="shared" si="2"/>
        <v>1658</v>
      </c>
      <c r="L13" s="127">
        <f t="shared" si="0"/>
        <v>30859.261700582611</v>
      </c>
      <c r="M13" s="128">
        <f>SUM(M9:M12)</f>
        <v>0</v>
      </c>
      <c r="N13" s="128" t="e">
        <f>SUM(N9:N12)</f>
        <v>#DIV/0!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Clinker!EA7</f>
        <v>15669.54699999999</v>
      </c>
      <c r="F14" s="77">
        <f>Clinker!EB7</f>
        <v>0</v>
      </c>
      <c r="G14" s="77">
        <f>F14+'4'!G14</f>
        <v>151.5</v>
      </c>
      <c r="H14" s="77">
        <f>F14+'4'!H14</f>
        <v>151.5</v>
      </c>
      <c r="I14" s="77">
        <f>Clinker!EC7</f>
        <v>0</v>
      </c>
      <c r="J14" s="77">
        <f>I14+'4'!J14</f>
        <v>282.22000000000003</v>
      </c>
      <c r="K14" s="77">
        <f>I14+'4'!K14</f>
        <v>282.22000000000003</v>
      </c>
      <c r="L14" s="77">
        <f>E14+F14-I14-Clinker!N7-Clinker!Z7-Clinker!AR7-Clinker!AW7-Clinker!BB7-Clinker!BV7-Clinker!BG7-Clinker!BL7-Clinker!BQ7-Clinker!CU7</f>
        <v>15669.54699999999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Clinker!EE7</f>
        <v>12531.699999999997</v>
      </c>
      <c r="F15" s="77">
        <f>Clinker!EF7</f>
        <v>0</v>
      </c>
      <c r="G15" s="77">
        <f>F15+'4'!G15</f>
        <v>95.050000000000011</v>
      </c>
      <c r="H15" s="77">
        <f>F15+'4'!H15</f>
        <v>95.050000000000011</v>
      </c>
      <c r="I15" s="77">
        <f>Clinker!EG7</f>
        <v>91</v>
      </c>
      <c r="J15" s="77">
        <f>I15+'4'!J15</f>
        <v>474</v>
      </c>
      <c r="K15" s="77">
        <f>I15+'4'!K15</f>
        <v>474</v>
      </c>
      <c r="L15" s="77">
        <f>E15+F15-Clinker!AE7-Clinker!AI7-Clinker!CK7-Clinker!CP7-Clinker!CF7</f>
        <v>12440.699999999997</v>
      </c>
      <c r="M15" s="81"/>
      <c r="N15" s="81"/>
      <c r="O15" s="667"/>
      <c r="P15" s="78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28201.246999999988</v>
      </c>
      <c r="F16" s="125">
        <f>F14+F15</f>
        <v>0</v>
      </c>
      <c r="G16" s="125">
        <f t="shared" ref="G16:K16" si="3">G14+G15</f>
        <v>246.55</v>
      </c>
      <c r="H16" s="125">
        <f t="shared" si="3"/>
        <v>246.55</v>
      </c>
      <c r="I16" s="125">
        <f>I14+I15</f>
        <v>91</v>
      </c>
      <c r="J16" s="125">
        <f>J14+J15</f>
        <v>756.22</v>
      </c>
      <c r="K16" s="125">
        <f t="shared" si="3"/>
        <v>756.22</v>
      </c>
      <c r="L16" s="125">
        <f t="shared" si="0"/>
        <v>28110.246999999988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Clinker!EI7</f>
        <v>4581.4900937799493</v>
      </c>
      <c r="F18" s="74">
        <f>Clinker!EJ7</f>
        <v>0</v>
      </c>
      <c r="G18" s="74">
        <f>F18+'4'!G18</f>
        <v>1300</v>
      </c>
      <c r="H18" s="74">
        <f>F18+'4'!H18</f>
        <v>1300</v>
      </c>
      <c r="I18" s="74">
        <f>Clinker!EK7</f>
        <v>217.50000257580018</v>
      </c>
      <c r="J18" s="74">
        <f>I18+'4'!J18</f>
        <v>217.55000842258096</v>
      </c>
      <c r="K18" s="74">
        <f>I18+'4'!K18</f>
        <v>217.55000842258096</v>
      </c>
      <c r="L18" s="74">
        <f>E18+F18-I18-I20</f>
        <v>4363.9900912041494</v>
      </c>
      <c r="M18" s="704">
        <f>((I18+I19)/(J40+J46))*100</f>
        <v>74.786941669271485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Clinker!EN7</f>
        <v>5012.0490080001373</v>
      </c>
      <c r="F19" s="74">
        <f>Clinker!EO7</f>
        <v>0</v>
      </c>
      <c r="G19" s="74">
        <f>F19+'4'!G19</f>
        <v>3778.3</v>
      </c>
      <c r="H19" s="74">
        <f>F19+'4'!H19</f>
        <v>3778.3</v>
      </c>
      <c r="I19" s="74">
        <f>Clinker!EP7</f>
        <v>1958.8</v>
      </c>
      <c r="J19" s="74">
        <f>I19+'4'!J19</f>
        <v>9574.5999999999985</v>
      </c>
      <c r="K19" s="74">
        <f>I19+'4'!K19</f>
        <v>9574.5999999999985</v>
      </c>
      <c r="L19" s="74">
        <f>E19+F19-I19</f>
        <v>3053.2490080001371</v>
      </c>
      <c r="M19" s="705"/>
      <c r="N19" s="687"/>
      <c r="O19" s="689"/>
      <c r="P19" s="691"/>
      <c r="Q19" s="692"/>
      <c r="R19" s="19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Clinker!EM7</f>
        <v>0</v>
      </c>
      <c r="G20" s="74">
        <f>F20+'4'!G20</f>
        <v>0</v>
      </c>
      <c r="H20" s="74">
        <f>F20+'4'!H20</f>
        <v>0</v>
      </c>
      <c r="I20" s="77">
        <f>Clinker!EM7</f>
        <v>0</v>
      </c>
      <c r="J20" s="74">
        <f>I20+'4'!J20</f>
        <v>0</v>
      </c>
      <c r="K20" s="74">
        <f>I20+'4'!K20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Cement!Q7</f>
        <v>587.99999905920004</v>
      </c>
      <c r="J21" s="74">
        <f>I21+'4'!J21</f>
        <v>2365.5499956604194</v>
      </c>
      <c r="K21" s="74">
        <f>I21+'4'!K21</f>
        <v>2365.5499956604194</v>
      </c>
      <c r="L21" s="74"/>
      <c r="M21" s="78">
        <f>(I21/(J40+J46))*100</f>
        <v>20.206185534680412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Cement!C7</f>
        <v>7691.5200615977792</v>
      </c>
      <c r="F22" s="77">
        <f>Cement!D7</f>
        <v>0</v>
      </c>
      <c r="G22" s="74">
        <f>F22+'4'!G22</f>
        <v>740.74</v>
      </c>
      <c r="H22" s="74">
        <f>F22+'4'!H22</f>
        <v>740.74</v>
      </c>
      <c r="I22" s="77">
        <f>Cement!E7</f>
        <v>145.699998365</v>
      </c>
      <c r="J22" s="74">
        <f>I22+'4'!J22</f>
        <v>640.29999591699993</v>
      </c>
      <c r="K22" s="74">
        <f>I22+'4'!K22</f>
        <v>640.29999591699993</v>
      </c>
      <c r="L22" s="74">
        <f t="shared" ref="L22:L24" si="4">E22+F22-I22</f>
        <v>7545.8200632327789</v>
      </c>
      <c r="M22" s="78">
        <f>(I22/(J40+J46))*100</f>
        <v>5.0068727960481096</v>
      </c>
      <c r="N22" s="78"/>
      <c r="O22" s="689"/>
      <c r="P22" s="87"/>
      <c r="Q22" s="696"/>
      <c r="R22" s="20"/>
      <c r="S22" s="237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Cement!G7</f>
        <v>0.23999999999796273</v>
      </c>
      <c r="F23" s="77">
        <f>Cement!H7</f>
        <v>0</v>
      </c>
      <c r="G23" s="74">
        <f>F23+'4'!G23</f>
        <v>0</v>
      </c>
      <c r="H23" s="74">
        <f>F23+'4'!H23</f>
        <v>0</v>
      </c>
      <c r="I23" s="77">
        <f>Cement!I7</f>
        <v>0</v>
      </c>
      <c r="J23" s="74">
        <f>I23+'4'!J23</f>
        <v>0</v>
      </c>
      <c r="K23" s="74">
        <f>I23+'4'!K23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Cement!K7</f>
        <v>0</v>
      </c>
      <c r="F24" s="77">
        <f>Cement!L7</f>
        <v>0</v>
      </c>
      <c r="G24" s="74">
        <f>F24+'4'!G24</f>
        <v>0</v>
      </c>
      <c r="H24" s="74">
        <f>F24+'4'!H24</f>
        <v>0</v>
      </c>
      <c r="I24" s="77">
        <f>Cement!M7</f>
        <v>0</v>
      </c>
      <c r="J24" s="74">
        <f>I24+'4'!J24</f>
        <v>0</v>
      </c>
      <c r="K24" s="74">
        <f>I24+'4'!K24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17285.299163377866</v>
      </c>
      <c r="F25" s="122">
        <f t="shared" ref="F25:L25" si="5">F18+F19+F21+F22+F23+F24</f>
        <v>0</v>
      </c>
      <c r="G25" s="122">
        <f t="shared" si="5"/>
        <v>5819.04</v>
      </c>
      <c r="H25" s="122">
        <f t="shared" si="5"/>
        <v>5819.04</v>
      </c>
      <c r="I25" s="122">
        <f t="shared" si="5"/>
        <v>2910</v>
      </c>
      <c r="J25" s="122">
        <f t="shared" si="5"/>
        <v>12797.999999999998</v>
      </c>
      <c r="K25" s="122">
        <f t="shared" si="5"/>
        <v>12797.999999999998</v>
      </c>
      <c r="L25" s="122">
        <f t="shared" si="5"/>
        <v>14963.299162437062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Production2!C7</f>
        <v>4.92</v>
      </c>
      <c r="G30" s="75">
        <f>F30+'4'!G30</f>
        <v>18.869999999999997</v>
      </c>
      <c r="H30" s="75">
        <f>F30+'4'!H30</f>
        <v>18.869999999999997</v>
      </c>
      <c r="I30" s="74">
        <f>'Mines (2)'!C7+'Mines (2)'!H7+'Mines (2)'!V7+'Mines (2)'!Z7+'Mines (2)'!AD7</f>
        <v>23316.921700582614</v>
      </c>
      <c r="J30" s="74">
        <f>Production2!D7</f>
        <v>1485.3799999999999</v>
      </c>
      <c r="K30" s="74">
        <f>J30+'4'!K30</f>
        <v>5099.9800000000005</v>
      </c>
      <c r="L30" s="74">
        <f>J30+'4'!L30</f>
        <v>5099.9800000000005</v>
      </c>
      <c r="M30" s="74">
        <f>I9+I21</f>
        <v>587.99999905920004</v>
      </c>
      <c r="N30" s="74">
        <f>M30+'4'!N30</f>
        <v>3990.5499956604194</v>
      </c>
      <c r="O30" s="74">
        <f>M30+'4'!O30</f>
        <v>3990.5499956604194</v>
      </c>
      <c r="P30" s="74">
        <f>I30+J30-M30</f>
        <v>24214.301701523415</v>
      </c>
      <c r="Q30" s="93">
        <f>J30/F30</f>
        <v>301.90650406504062</v>
      </c>
      <c r="R30" s="94"/>
      <c r="S30" s="94"/>
    </row>
    <row r="31" spans="2:19" x14ac:dyDescent="0.25">
      <c r="B31" s="79">
        <v>2</v>
      </c>
      <c r="C31" s="680" t="s">
        <v>292</v>
      </c>
      <c r="D31" s="681"/>
      <c r="E31" s="95">
        <v>120</v>
      </c>
      <c r="F31" s="78">
        <f>Production2!G7</f>
        <v>0</v>
      </c>
      <c r="G31" s="75">
        <f>F31+'4'!G31</f>
        <v>13.120000000000001</v>
      </c>
      <c r="H31" s="75">
        <f>F31+'4'!H31</f>
        <v>13.120000000000001</v>
      </c>
      <c r="I31" s="747">
        <f>Production2!H7</f>
        <v>1471.9200168375201</v>
      </c>
      <c r="J31" s="78">
        <f>Production2!N7</f>
        <v>0</v>
      </c>
      <c r="K31" s="74">
        <f>J31+'4'!K31</f>
        <v>1493.19</v>
      </c>
      <c r="L31" s="74">
        <f>J31+'4'!L31</f>
        <v>1493.19</v>
      </c>
      <c r="M31" s="747">
        <f>Production2!K7</f>
        <v>0</v>
      </c>
      <c r="N31" s="747">
        <f>M31+'4'!N31</f>
        <v>2015</v>
      </c>
      <c r="O31" s="747">
        <f>M31+'4'!O31</f>
        <v>2015</v>
      </c>
      <c r="P31" s="747">
        <f>I31+J31+J32-M31</f>
        <v>1471.9200168375201</v>
      </c>
      <c r="Q31" s="96" t="e">
        <f t="shared" ref="Q31:Q46" si="6">J31/F31</f>
        <v>#DIV/0!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Production2!P7</f>
        <v>0</v>
      </c>
      <c r="G32" s="75">
        <f>F32+'4'!G32</f>
        <v>0</v>
      </c>
      <c r="H32" s="75">
        <f>F32+'4'!H32</f>
        <v>0</v>
      </c>
      <c r="I32" s="748"/>
      <c r="J32" s="78">
        <f>Production2!Q7</f>
        <v>0</v>
      </c>
      <c r="K32" s="74">
        <f>J32+'4'!K32</f>
        <v>0</v>
      </c>
      <c r="L32" s="74">
        <f>J32+'4'!L32</f>
        <v>0</v>
      </c>
      <c r="M32" s="748"/>
      <c r="N32" s="748"/>
      <c r="O32" s="748"/>
      <c r="P32" s="748"/>
      <c r="Q32" s="96" t="e">
        <f>J32/F32</f>
        <v>#DIV/0!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Production2!S7</f>
        <v>0</v>
      </c>
      <c r="G33" s="75">
        <f>F33+'4'!G33</f>
        <v>23</v>
      </c>
      <c r="H33" s="75">
        <f>F33+'4'!H33</f>
        <v>23</v>
      </c>
      <c r="I33" s="77">
        <f>Production2!T7</f>
        <v>17.509999999999991</v>
      </c>
      <c r="J33" s="77">
        <f>Production2!U7</f>
        <v>0</v>
      </c>
      <c r="K33" s="74">
        <f>J33+'4'!K33</f>
        <v>254</v>
      </c>
      <c r="L33" s="74">
        <f>J33+'4'!L33</f>
        <v>254</v>
      </c>
      <c r="M33" s="77">
        <f>Production2!V7</f>
        <v>0</v>
      </c>
      <c r="N33" s="74">
        <f>M33+'4'!N33</f>
        <v>252</v>
      </c>
      <c r="O33" s="74">
        <f>M33+'4'!O33</f>
        <v>252</v>
      </c>
      <c r="P33" s="74">
        <f t="shared" ref="P33" si="7">I33+J33-M33</f>
        <v>17.509999999999991</v>
      </c>
      <c r="Q33" s="96" t="e">
        <f t="shared" si="6"/>
        <v>#DIV/0!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Production2!Y7</f>
        <v>0</v>
      </c>
      <c r="G34" s="75">
        <f>F34+'4'!G34</f>
        <v>22.85</v>
      </c>
      <c r="H34" s="75">
        <f>F34+'4'!H34</f>
        <v>22.85</v>
      </c>
      <c r="I34" s="77">
        <f>Clinker!EI7</f>
        <v>4581.4900937799493</v>
      </c>
      <c r="J34" s="77">
        <f>Clinker!EJ7</f>
        <v>0</v>
      </c>
      <c r="K34" s="74">
        <f>J34+'4'!K34</f>
        <v>1300</v>
      </c>
      <c r="L34" s="74">
        <f>J34+'4'!L34</f>
        <v>1300</v>
      </c>
      <c r="M34" s="77">
        <f>Clinker!EK7</f>
        <v>217.50000257580018</v>
      </c>
      <c r="N34" s="74">
        <f>M34+'4'!N34</f>
        <v>217.55000842258096</v>
      </c>
      <c r="O34" s="74">
        <f>M34+'4'!O34</f>
        <v>217.55000842258096</v>
      </c>
      <c r="P34" s="74">
        <f>I34+J34-M34-I20</f>
        <v>4363.9900912041494</v>
      </c>
      <c r="Q34" s="96" t="e">
        <f t="shared" si="6"/>
        <v>#DIV/0!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Production2!AE7</f>
        <v>6</v>
      </c>
      <c r="G35" s="75">
        <f>F35+'4'!G35</f>
        <v>6</v>
      </c>
      <c r="H35" s="75">
        <f>F35+'4'!H35</f>
        <v>6</v>
      </c>
      <c r="I35" s="77">
        <f>Production2!BJ7</f>
        <v>170.29999999999995</v>
      </c>
      <c r="J35" s="77">
        <f>Production2!AF7</f>
        <v>384</v>
      </c>
      <c r="K35" s="74">
        <f>J35+'4'!K35</f>
        <v>384</v>
      </c>
      <c r="L35" s="74">
        <f>J35+'4'!L35</f>
        <v>384</v>
      </c>
      <c r="M35" s="77">
        <f>Production2!BL7</f>
        <v>272</v>
      </c>
      <c r="N35" s="74">
        <f>M35+'4'!N35</f>
        <v>514</v>
      </c>
      <c r="O35" s="74">
        <f>M35+'4'!O35</f>
        <v>514</v>
      </c>
      <c r="P35" s="74">
        <f>I35+J35+J41-M35-F59</f>
        <v>282.29999999999995</v>
      </c>
      <c r="Q35" s="96">
        <f t="shared" si="6"/>
        <v>64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Production2!AB7</f>
        <v>7.42</v>
      </c>
      <c r="G36" s="75">
        <f>F36+'4'!G36</f>
        <v>75.19</v>
      </c>
      <c r="H36" s="75">
        <f>F36+'4'!H36</f>
        <v>75.19</v>
      </c>
      <c r="I36" s="77">
        <f>Production2!BF7</f>
        <v>2300.9279999999799</v>
      </c>
      <c r="J36" s="77">
        <f>Production2!AC7</f>
        <v>490</v>
      </c>
      <c r="K36" s="74">
        <f>J36+'4'!K36</f>
        <v>4596</v>
      </c>
      <c r="L36" s="74">
        <f>J36+'4'!L36</f>
        <v>4596</v>
      </c>
      <c r="M36" s="77">
        <f>Production2!BH7</f>
        <v>1686</v>
      </c>
      <c r="N36" s="74">
        <f>M36+'4'!N36</f>
        <v>9142.6299999999992</v>
      </c>
      <c r="O36" s="74">
        <f>M36+'4'!O36</f>
        <v>9142.6299999999992</v>
      </c>
      <c r="P36" s="74">
        <f>I36+J36+J42-M36-F57</f>
        <v>2157.9279999999799</v>
      </c>
      <c r="Q36" s="96">
        <f t="shared" si="6"/>
        <v>66.037735849056602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Production2!AH7</f>
        <v>0</v>
      </c>
      <c r="G37" s="75">
        <f>F37+'4'!G37</f>
        <v>0</v>
      </c>
      <c r="H37" s="75">
        <f>F37+'4'!H37</f>
        <v>0</v>
      </c>
      <c r="I37" s="77">
        <f>Production2!BN7</f>
        <v>1.9400000000008499</v>
      </c>
      <c r="J37" s="77">
        <f>Production2!AI7</f>
        <v>0</v>
      </c>
      <c r="K37" s="74">
        <f>J37+'4'!K37</f>
        <v>0</v>
      </c>
      <c r="L37" s="74">
        <f>J37+'4'!L37</f>
        <v>0</v>
      </c>
      <c r="M37" s="77">
        <f>Production2!BP7</f>
        <v>0</v>
      </c>
      <c r="N37" s="74">
        <f>M37+'4'!N37</f>
        <v>0</v>
      </c>
      <c r="O37" s="74">
        <f>M37+'4'!O37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Production2!AK7</f>
        <v>0</v>
      </c>
      <c r="G38" s="75">
        <f>F38+'4'!G38</f>
        <v>0</v>
      </c>
      <c r="H38" s="75">
        <f>F38+'4'!H38</f>
        <v>0</v>
      </c>
      <c r="I38" s="195">
        <f>Production2!BR7</f>
        <v>92.300000000000011</v>
      </c>
      <c r="J38" s="195">
        <f>Production2!AL9</f>
        <v>0</v>
      </c>
      <c r="K38" s="74">
        <f>J38+'4'!K38</f>
        <v>0</v>
      </c>
      <c r="L38" s="74">
        <f>J38+'4'!L38</f>
        <v>0</v>
      </c>
      <c r="M38" s="195">
        <f>Production2!BT7</f>
        <v>90</v>
      </c>
      <c r="N38" s="74">
        <f>M38+'4'!N38</f>
        <v>486</v>
      </c>
      <c r="O38" s="74">
        <f>M38+'4'!O38</f>
        <v>486</v>
      </c>
      <c r="P38" s="74">
        <f>I38+J38+J44-M38-F60</f>
        <v>167.3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Production2!AN7</f>
        <v>9</v>
      </c>
      <c r="G39" s="75">
        <f>F39+'4'!G39</f>
        <v>24</v>
      </c>
      <c r="H39" s="75">
        <f>F39+'4'!H39</f>
        <v>24</v>
      </c>
      <c r="I39" s="195">
        <f>Production2!BV7</f>
        <v>214.18999999999997</v>
      </c>
      <c r="J39" s="440">
        <f>Production2!AO7</f>
        <v>566</v>
      </c>
      <c r="K39" s="74">
        <f>J39+'4'!K39</f>
        <v>1520</v>
      </c>
      <c r="L39" s="74">
        <f>J39+'4'!L39</f>
        <v>1520</v>
      </c>
      <c r="M39" s="77">
        <f>Production2!BX7</f>
        <v>394.58</v>
      </c>
      <c r="N39" s="74">
        <f>M39+'4'!N39</f>
        <v>1508.1</v>
      </c>
      <c r="O39" s="74">
        <f>M39+'4'!O39</f>
        <v>1508.1</v>
      </c>
      <c r="P39" s="74">
        <f>I39+J39+J45-M39</f>
        <v>637.61000000000013</v>
      </c>
      <c r="Q39" s="96">
        <f t="shared" si="6"/>
        <v>62.888888888888886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22.42</v>
      </c>
      <c r="G40" s="132">
        <f t="shared" ref="G40:H40" si="8">G35+G36+G37+G38+G39</f>
        <v>105.19</v>
      </c>
      <c r="H40" s="132">
        <f t="shared" si="8"/>
        <v>105.19</v>
      </c>
      <c r="I40" s="122">
        <f>I35+I36+I37+I38+I39</f>
        <v>2779.6579999999813</v>
      </c>
      <c r="J40" s="122">
        <f>J35+J36+J37+J38+J39</f>
        <v>1440</v>
      </c>
      <c r="K40" s="122">
        <f>K35+K36+K37+K38+K39</f>
        <v>6500</v>
      </c>
      <c r="L40" s="122">
        <f t="shared" ref="L40:O40" si="9">L35+L36+L37+L38+L39</f>
        <v>6500</v>
      </c>
      <c r="M40" s="122">
        <f t="shared" si="9"/>
        <v>2442.58</v>
      </c>
      <c r="N40" s="122">
        <f t="shared" si="9"/>
        <v>11650.73</v>
      </c>
      <c r="O40" s="122">
        <f t="shared" si="9"/>
        <v>11650.73</v>
      </c>
      <c r="P40" s="122">
        <f>P35+P36+P37+P38+P39</f>
        <v>3247.0779999999813</v>
      </c>
      <c r="Q40" s="123">
        <f t="shared" si="6"/>
        <v>64.228367528991967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Production2!AT7</f>
        <v>0</v>
      </c>
      <c r="G41" s="75">
        <f>F41+'4'!G41</f>
        <v>3</v>
      </c>
      <c r="H41" s="75">
        <f>F41+'4'!H41</f>
        <v>3</v>
      </c>
      <c r="I41" s="764"/>
      <c r="J41" s="77">
        <f>Production2!AU7</f>
        <v>0</v>
      </c>
      <c r="K41" s="74">
        <f>J41+'4'!K41</f>
        <v>180</v>
      </c>
      <c r="L41" s="74">
        <f>J41+'4'!L41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Production2!AQ7</f>
        <v>17</v>
      </c>
      <c r="G42" s="75">
        <f>F42+'4'!G42</f>
        <v>93.62</v>
      </c>
      <c r="H42" s="75">
        <f>F42+'4'!H42</f>
        <v>93.62</v>
      </c>
      <c r="I42" s="765"/>
      <c r="J42" s="77">
        <f>Production2!AR7</f>
        <v>1053</v>
      </c>
      <c r="K42" s="74">
        <f>J42+'4'!K42</f>
        <v>5426</v>
      </c>
      <c r="L42" s="74">
        <f>J42+'4'!L42</f>
        <v>5426</v>
      </c>
      <c r="M42" s="769"/>
      <c r="N42" s="770"/>
      <c r="O42" s="770"/>
      <c r="P42" s="771"/>
      <c r="Q42" s="96">
        <f t="shared" si="6"/>
        <v>61.941176470588232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Production2!AW7</f>
        <v>0</v>
      </c>
      <c r="G43" s="75">
        <f>F43+'4'!G43</f>
        <v>0</v>
      </c>
      <c r="H43" s="75">
        <f>F43+'4'!H43</f>
        <v>0</v>
      </c>
      <c r="I43" s="765"/>
      <c r="J43" s="77">
        <f>Production2!AX7</f>
        <v>0</v>
      </c>
      <c r="K43" s="74">
        <f>J43+'4'!K43</f>
        <v>0</v>
      </c>
      <c r="L43" s="74">
        <f>J43+'4'!L43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Production2!AZ7</f>
        <v>3</v>
      </c>
      <c r="G44" s="75">
        <f>F44+'4'!G44</f>
        <v>8</v>
      </c>
      <c r="H44" s="75">
        <f>F44+'4'!H44</f>
        <v>8</v>
      </c>
      <c r="I44" s="748"/>
      <c r="J44" s="195">
        <f>Production2!BA7</f>
        <v>165</v>
      </c>
      <c r="K44" s="74">
        <f>J44+'4'!K44</f>
        <v>440</v>
      </c>
      <c r="L44" s="74">
        <f>J44+'4'!L44</f>
        <v>440</v>
      </c>
      <c r="M44" s="769"/>
      <c r="N44" s="770"/>
      <c r="O44" s="770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Production2!BC7</f>
        <v>4</v>
      </c>
      <c r="G45" s="75">
        <f>F45+'4'!G45</f>
        <v>4</v>
      </c>
      <c r="H45" s="75">
        <f>F45+'4'!H45</f>
        <v>4</v>
      </c>
      <c r="I45" s="431"/>
      <c r="J45" s="195">
        <f>Production2!BD7</f>
        <v>252</v>
      </c>
      <c r="K45" s="74">
        <f>J45+'4'!K45</f>
        <v>252</v>
      </c>
      <c r="L45" s="74">
        <f>J45+'4'!L45</f>
        <v>252</v>
      </c>
      <c r="M45" s="772"/>
      <c r="N45" s="773"/>
      <c r="O45" s="773"/>
      <c r="P45" s="774"/>
      <c r="Q45" s="96">
        <f t="shared" si="6"/>
        <v>63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108.62</v>
      </c>
      <c r="H46" s="132">
        <f t="shared" si="10"/>
        <v>108.62</v>
      </c>
      <c r="I46" s="132">
        <f t="shared" ref="I46" si="11">I41+I42+I43+I44</f>
        <v>0</v>
      </c>
      <c r="J46" s="122">
        <f>J41+J42+J43+J44+J45</f>
        <v>1470</v>
      </c>
      <c r="K46" s="439">
        <f t="shared" ref="K46:L46" si="12">K41+K42+K43+K44+K45</f>
        <v>6298</v>
      </c>
      <c r="L46" s="122">
        <f t="shared" si="12"/>
        <v>6298</v>
      </c>
      <c r="M46" s="132"/>
      <c r="N46" s="132"/>
      <c r="O46" s="132"/>
      <c r="P46" s="132"/>
      <c r="Q46" s="123">
        <f t="shared" si="6"/>
        <v>61.25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7" t="s">
        <v>271</v>
      </c>
      <c r="C48" s="818"/>
      <c r="D48" s="818"/>
      <c r="E48" s="818"/>
      <c r="F48" s="818"/>
      <c r="G48" s="818"/>
      <c r="H48" s="818"/>
      <c r="I48" s="818"/>
      <c r="J48" s="818"/>
      <c r="K48" s="818"/>
      <c r="L48" s="818"/>
      <c r="M48" s="818"/>
      <c r="N48" s="819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812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1.0731260687500843</v>
      </c>
      <c r="F50" s="99" t="e">
        <f>F53/(J31+J32)</f>
        <v>#DIV/0!</v>
      </c>
      <c r="G50" s="99">
        <v>0</v>
      </c>
      <c r="H50" s="99" t="e">
        <f>H53/J34</f>
        <v>#DIV/0!</v>
      </c>
      <c r="I50" s="99" t="e">
        <f>I53/J33</f>
        <v>#DIV/0!</v>
      </c>
      <c r="J50" s="99"/>
      <c r="K50" s="99"/>
      <c r="L50" s="99"/>
      <c r="M50" s="100"/>
      <c r="N50" s="101"/>
      <c r="O50" s="749" t="s">
        <v>277</v>
      </c>
      <c r="P50" s="749"/>
      <c r="Q50" s="93" t="e">
        <f>(M33/J34)*100</f>
        <v>#DIV/0!</v>
      </c>
    </row>
    <row r="51" spans="2:19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 t="e">
        <f>F50*1.55</f>
        <v>#DIV/0!</v>
      </c>
      <c r="G51" s="102">
        <f>G50*1.55</f>
        <v>0</v>
      </c>
      <c r="H51" s="102" t="e">
        <f>H50</f>
        <v>#DIV/0!</v>
      </c>
      <c r="I51" s="102" t="e">
        <f>I50*(Q50/100)</f>
        <v>#DIV/0!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0</v>
      </c>
    </row>
    <row r="52" spans="2:19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 t="e">
        <f>F51*M18/100</f>
        <v>#DIV/0!</v>
      </c>
      <c r="G52" s="102">
        <f>G51*M18/100</f>
        <v>0</v>
      </c>
      <c r="H52" s="102" t="e">
        <f>H51*M18/100</f>
        <v>#DIV/0!</v>
      </c>
      <c r="I52" s="102" t="e">
        <f>I51*M18/100</f>
        <v>#DIV/0!</v>
      </c>
      <c r="J52" s="99">
        <f>J53/(J40+J46)</f>
        <v>38.272852233676979</v>
      </c>
      <c r="K52" s="99">
        <f>K53/(J46+J40)</f>
        <v>0.42714776632302404</v>
      </c>
      <c r="L52" s="99">
        <f>L53/(M40)</f>
        <v>2.8093245666467426</v>
      </c>
      <c r="M52" s="96">
        <f>M53/(J46+J40)</f>
        <v>1.7838487972508592</v>
      </c>
      <c r="N52" s="310" t="e">
        <f>SUM(E52:M52)</f>
        <v>#DIV/0!</v>
      </c>
      <c r="O52" s="668" t="s">
        <v>281</v>
      </c>
      <c r="P52" s="668"/>
      <c r="Q52" s="104" t="e">
        <f>Q51*Q50/100</f>
        <v>#DIV/0!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unit'!B7</f>
        <v>1594</v>
      </c>
      <c r="F53" s="118">
        <f>'Daily unit'!C7</f>
        <v>2819</v>
      </c>
      <c r="G53" s="118">
        <f>'Daily unit'!D7</f>
        <v>0</v>
      </c>
      <c r="H53" s="118">
        <f>'Daily unit'!E7</f>
        <v>8644</v>
      </c>
      <c r="I53" s="118">
        <f>'Daily unit'!F7</f>
        <v>5321</v>
      </c>
      <c r="J53" s="118">
        <f>'Daily unit'!G7</f>
        <v>111374</v>
      </c>
      <c r="K53" s="118">
        <f>'Daily unit'!H7</f>
        <v>1243</v>
      </c>
      <c r="L53" s="118">
        <f>'Daily unit'!I7</f>
        <v>6862</v>
      </c>
      <c r="M53" s="119">
        <f>'Daily unit'!J7</f>
        <v>5191</v>
      </c>
      <c r="N53" s="321">
        <f>SUM(E53:M53)</f>
        <v>143048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820" t="s">
        <v>285</v>
      </c>
      <c r="D56" s="820"/>
      <c r="E56" s="739"/>
      <c r="F56" s="150" t="s">
        <v>286</v>
      </c>
      <c r="G56" s="150" t="s">
        <v>26</v>
      </c>
      <c r="H56" s="183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2">
        <v>1</v>
      </c>
      <c r="C57" s="688" t="s">
        <v>287</v>
      </c>
      <c r="D57" s="688"/>
      <c r="E57" s="211">
        <v>42.5</v>
      </c>
      <c r="F57" s="53">
        <f>'Internal use cement'!F7</f>
        <v>0</v>
      </c>
      <c r="G57" s="53">
        <f>F57+'4'!G57</f>
        <v>0</v>
      </c>
      <c r="H57" s="182">
        <f>F57+'4'!H57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8"/>
      <c r="C58" s="688"/>
      <c r="D58" s="688"/>
      <c r="E58" s="211" t="s">
        <v>197</v>
      </c>
      <c r="F58" s="53">
        <f>'Internal use cement'!Q7</f>
        <v>0</v>
      </c>
      <c r="G58" s="53">
        <f>F58+'4'!G58</f>
        <v>0</v>
      </c>
      <c r="H58" s="182">
        <f>F58+'4'!H58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8"/>
      <c r="C59" s="688"/>
      <c r="D59" s="688"/>
      <c r="E59" s="211">
        <v>32.5</v>
      </c>
      <c r="F59" s="53">
        <f>'Internal use cement'!AB7</f>
        <v>0</v>
      </c>
      <c r="G59" s="53">
        <f>F59+'4'!G59</f>
        <v>0</v>
      </c>
      <c r="H59" s="182">
        <f>F59+'4'!H59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35"/>
      <c r="C60" s="821"/>
      <c r="D60" s="821"/>
      <c r="E60" s="213" t="s">
        <v>177</v>
      </c>
      <c r="F60" s="113">
        <f>'Internal use cement'!AJ7</f>
        <v>0</v>
      </c>
      <c r="G60" s="113">
        <f>F60+'4'!G60</f>
        <v>0</v>
      </c>
      <c r="H60" s="198">
        <f>F60+'4'!H60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B54:Q54"/>
    <mergeCell ref="B47:Q47"/>
    <mergeCell ref="C49:D49"/>
    <mergeCell ref="O49:P49"/>
    <mergeCell ref="C50:D50"/>
    <mergeCell ref="O50:P50"/>
    <mergeCell ref="O51:P51"/>
    <mergeCell ref="C52:D52"/>
    <mergeCell ref="O52:P52"/>
    <mergeCell ref="C53:D53"/>
    <mergeCell ref="C51:D51"/>
    <mergeCell ref="B55:H55"/>
    <mergeCell ref="I55:Q60"/>
    <mergeCell ref="C56:E56"/>
    <mergeCell ref="C57:D60"/>
    <mergeCell ref="B57:B60"/>
    <mergeCell ref="C30:D30"/>
    <mergeCell ref="M18:M19"/>
    <mergeCell ref="C21:D21"/>
    <mergeCell ref="C31:D31"/>
    <mergeCell ref="C33:D33"/>
    <mergeCell ref="M23:N24"/>
    <mergeCell ref="C32:D32"/>
    <mergeCell ref="I31:I32"/>
    <mergeCell ref="M31:M32"/>
    <mergeCell ref="N31:N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8:Q8"/>
    <mergeCell ref="C11:D11"/>
    <mergeCell ref="C12:D12"/>
    <mergeCell ref="C13:D13"/>
    <mergeCell ref="P13:Q13"/>
    <mergeCell ref="O9:O16"/>
    <mergeCell ref="C10:D10"/>
    <mergeCell ref="C9:D9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P23:Q25"/>
    <mergeCell ref="C25:D25"/>
    <mergeCell ref="M25:N25"/>
    <mergeCell ref="O31:O32"/>
    <mergeCell ref="P31:P32"/>
    <mergeCell ref="O48:Q48"/>
    <mergeCell ref="B48:N48"/>
    <mergeCell ref="B41:B46"/>
    <mergeCell ref="C41:C46"/>
    <mergeCell ref="I41:I44"/>
    <mergeCell ref="B35:B40"/>
    <mergeCell ref="C35:C40"/>
    <mergeCell ref="C34:D34"/>
    <mergeCell ref="M41:P45"/>
  </mergeCells>
  <pageMargins left="0.2" right="0.2" top="0.75" bottom="0.75" header="0.3" footer="0.3"/>
  <pageSetup paperSize="9" scale="5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30" sqref="J30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317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776" t="s">
        <v>244</v>
      </c>
      <c r="D9" s="777"/>
      <c r="E9" s="74">
        <f>'5'!L9</f>
        <v>24214.301701523411</v>
      </c>
      <c r="F9" s="74">
        <f>Production2!D8</f>
        <v>420.1</v>
      </c>
      <c r="G9" s="74">
        <f>F9+'5'!G9</f>
        <v>5520.0800000000008</v>
      </c>
      <c r="H9" s="74">
        <f>F9+'5'!H9</f>
        <v>5520.0800000000008</v>
      </c>
      <c r="I9" s="74">
        <f>Production2!E8</f>
        <v>2471</v>
      </c>
      <c r="J9" s="74">
        <f>I9+'5'!J9</f>
        <v>4096</v>
      </c>
      <c r="K9" s="74">
        <f>I9+'5'!K9</f>
        <v>4096</v>
      </c>
      <c r="L9" s="74">
        <f>E9+F9-I9-I21</f>
        <v>21771.721701523409</v>
      </c>
      <c r="M9" s="75">
        <f>I9</f>
        <v>2471</v>
      </c>
      <c r="N9" s="75">
        <f>(I9/I13)*100</f>
        <v>96.939976461357389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(2)'!L8</f>
        <v>124.03999999999975</v>
      </c>
      <c r="F10" s="77">
        <f>'Mines (2)'!M8</f>
        <v>0</v>
      </c>
      <c r="G10" s="74">
        <f>F10+'5'!G10</f>
        <v>0</v>
      </c>
      <c r="H10" s="74">
        <f>F10+'5'!H10</f>
        <v>0</v>
      </c>
      <c r="I10" s="77">
        <f>'Mines (2)'!N8</f>
        <v>10</v>
      </c>
      <c r="J10" s="74">
        <f>I10+'5'!J10</f>
        <v>10</v>
      </c>
      <c r="K10" s="74">
        <f>I10+'5'!K10</f>
        <v>10</v>
      </c>
      <c r="L10" s="77">
        <f t="shared" ref="L10:L13" si="0">E10+F10-I10</f>
        <v>114.03999999999975</v>
      </c>
      <c r="M10" s="75">
        <f t="shared" ref="M10:M12" si="1">I10</f>
        <v>10</v>
      </c>
      <c r="N10" s="75">
        <f>(I10/I13)*100</f>
        <v>0.39231071008238522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Clinker!C8</f>
        <v>5332.6399999999994</v>
      </c>
      <c r="F11" s="77">
        <f>Clinker!D8</f>
        <v>0</v>
      </c>
      <c r="G11" s="74">
        <f>F11+'5'!G11</f>
        <v>0</v>
      </c>
      <c r="H11" s="74">
        <f>F11+'5'!H11</f>
        <v>0</v>
      </c>
      <c r="I11" s="77">
        <f>Clinker!E8</f>
        <v>56</v>
      </c>
      <c r="J11" s="74">
        <f>I11+'5'!J11</f>
        <v>89</v>
      </c>
      <c r="K11" s="74">
        <f>I11+'5'!K11</f>
        <v>89</v>
      </c>
      <c r="L11" s="77">
        <f t="shared" si="0"/>
        <v>5276.6399999999994</v>
      </c>
      <c r="M11" s="75">
        <f t="shared" si="1"/>
        <v>56</v>
      </c>
      <c r="N11" s="75">
        <f>(I11/I13)*100</f>
        <v>2.1969399764613575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(2)'!Q8</f>
        <v>600.28</v>
      </c>
      <c r="F12" s="77">
        <f>'Mines (2)'!R8</f>
        <v>0</v>
      </c>
      <c r="G12" s="74">
        <f>F12+'5'!G12</f>
        <v>0</v>
      </c>
      <c r="H12" s="74">
        <f>F12+'5'!H12</f>
        <v>0</v>
      </c>
      <c r="I12" s="77">
        <f>'Mines (2)'!S8</f>
        <v>12</v>
      </c>
      <c r="J12" s="74">
        <f>I12+'5'!J12</f>
        <v>12</v>
      </c>
      <c r="K12" s="74">
        <f>I12+'5'!K12</f>
        <v>12</v>
      </c>
      <c r="L12" s="77">
        <f t="shared" si="0"/>
        <v>588.28</v>
      </c>
      <c r="M12" s="75">
        <f t="shared" si="1"/>
        <v>12</v>
      </c>
      <c r="N12" s="75">
        <f>(I12/I13)*100</f>
        <v>0.47077285209886233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30271.26170152341</v>
      </c>
      <c r="F13" s="127">
        <f t="shared" si="2"/>
        <v>420.1</v>
      </c>
      <c r="G13" s="127">
        <f t="shared" si="2"/>
        <v>5520.0800000000008</v>
      </c>
      <c r="H13" s="127">
        <f t="shared" si="2"/>
        <v>5520.0800000000008</v>
      </c>
      <c r="I13" s="127">
        <f t="shared" si="2"/>
        <v>2549</v>
      </c>
      <c r="J13" s="127">
        <f t="shared" si="2"/>
        <v>4207</v>
      </c>
      <c r="K13" s="127">
        <f t="shared" si="2"/>
        <v>4207</v>
      </c>
      <c r="L13" s="127">
        <f t="shared" si="0"/>
        <v>28142.361701523409</v>
      </c>
      <c r="M13" s="128">
        <f>SUM(M9:M12)</f>
        <v>2549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Clinker!EA8</f>
        <v>15669.54699999999</v>
      </c>
      <c r="F14" s="77">
        <f>Clinker!EB8</f>
        <v>0</v>
      </c>
      <c r="G14" s="77">
        <f>F14+'5'!G14</f>
        <v>151.5</v>
      </c>
      <c r="H14" s="77">
        <f>F14+'5'!H14</f>
        <v>151.5</v>
      </c>
      <c r="I14" s="77">
        <f>Clinker!EC8</f>
        <v>272.22000000000003</v>
      </c>
      <c r="J14" s="77">
        <f>I14+'5'!J14</f>
        <v>554.44000000000005</v>
      </c>
      <c r="K14" s="77">
        <f>I14+'5'!K14</f>
        <v>554.44000000000005</v>
      </c>
      <c r="L14" s="77">
        <f>E14+F14-I14-Clinker!N8-Clinker!Z8-Clinker!AR8-Clinker!AW8-Clinker!BB8-Clinker!BV8-Clinker!BG8-Clinker!BL8-Clinker!BQ8-Clinker!CU8</f>
        <v>15397.32699999999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Clinker!EE8</f>
        <v>12440.699999999997</v>
      </c>
      <c r="F15" s="77">
        <f>Clinker!EF8</f>
        <v>0</v>
      </c>
      <c r="G15" s="77">
        <f>F15+'5'!G15</f>
        <v>95.050000000000011</v>
      </c>
      <c r="H15" s="77">
        <f>F15+'5'!H15</f>
        <v>95.050000000000011</v>
      </c>
      <c r="I15" s="77">
        <f>Clinker!EG8</f>
        <v>122</v>
      </c>
      <c r="J15" s="77">
        <f>I15+'5'!J15</f>
        <v>596</v>
      </c>
      <c r="K15" s="77">
        <f>I15+'5'!K15</f>
        <v>596</v>
      </c>
      <c r="L15" s="77">
        <f>E15+F15-Clinker!AE8-Clinker!AI8-Clinker!CK8-Clinker!CP8-Clinker!CF8</f>
        <v>12318.699999999997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28110.246999999988</v>
      </c>
      <c r="F16" s="125">
        <f>F14+F15</f>
        <v>0</v>
      </c>
      <c r="G16" s="125">
        <f t="shared" ref="G16:K16" si="3">G14+G15</f>
        <v>246.55</v>
      </c>
      <c r="H16" s="125">
        <f t="shared" si="3"/>
        <v>246.55</v>
      </c>
      <c r="I16" s="125">
        <f>I14+I15</f>
        <v>394.22</v>
      </c>
      <c r="J16" s="125">
        <f>J14+J15</f>
        <v>1150.44</v>
      </c>
      <c r="K16" s="125">
        <f t="shared" si="3"/>
        <v>1150.44</v>
      </c>
      <c r="L16" s="125">
        <f>E16+F16-I16</f>
        <v>27716.026999999987</v>
      </c>
      <c r="M16" s="126"/>
      <c r="N16" s="126"/>
      <c r="O16" s="667"/>
      <c r="P16" s="84"/>
      <c r="Q16" s="131"/>
      <c r="R16" s="83"/>
      <c r="S16" s="83"/>
    </row>
    <row r="17" spans="2:20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20" x14ac:dyDescent="0.25">
      <c r="B18" s="677">
        <v>7</v>
      </c>
      <c r="C18" s="685" t="s">
        <v>249</v>
      </c>
      <c r="D18" s="85" t="s">
        <v>250</v>
      </c>
      <c r="E18" s="74">
        <f>Clinker!EI8</f>
        <v>4363.9900912041494</v>
      </c>
      <c r="F18" s="74">
        <f>Clinker!EJ8</f>
        <v>1380</v>
      </c>
      <c r="G18" s="74">
        <f>F18+'5'!G18</f>
        <v>2680</v>
      </c>
      <c r="H18" s="74">
        <f>F18+'5'!H18</f>
        <v>2680</v>
      </c>
      <c r="I18" s="74">
        <f>Clinker!EK8</f>
        <v>440.27</v>
      </c>
      <c r="J18" s="441">
        <f>I18+'5'!J18</f>
        <v>657.82000842258094</v>
      </c>
      <c r="K18" s="74">
        <f>I18+'5'!K18</f>
        <v>657.82000842258094</v>
      </c>
      <c r="L18" s="74">
        <f>E18+F18-I18-I20</f>
        <v>5303.7200912041499</v>
      </c>
      <c r="M18" s="75">
        <f>((I18+I19)/(J40+J46))*100</f>
        <v>77.866141732283467</v>
      </c>
      <c r="N18" s="687"/>
      <c r="O18" s="689"/>
      <c r="P18" s="691"/>
      <c r="Q18" s="692"/>
      <c r="R18" s="190"/>
      <c r="S18" s="190"/>
    </row>
    <row r="19" spans="2:20" ht="45" x14ac:dyDescent="0.25">
      <c r="B19" s="677"/>
      <c r="C19" s="685"/>
      <c r="D19" s="85" t="s">
        <v>75</v>
      </c>
      <c r="E19" s="74">
        <f>Clinker!EN8</f>
        <v>3053.2490080001371</v>
      </c>
      <c r="F19" s="74">
        <f>Clinker!EO8</f>
        <v>0</v>
      </c>
      <c r="G19" s="74">
        <f>F19+'5'!G19</f>
        <v>3778.3</v>
      </c>
      <c r="H19" s="74">
        <f>F19+'5'!H19</f>
        <v>3778.3</v>
      </c>
      <c r="I19" s="74">
        <f>Clinker!EP8</f>
        <v>1339.75</v>
      </c>
      <c r="J19" s="441">
        <f>I19+'5'!J19</f>
        <v>10914.349999999999</v>
      </c>
      <c r="K19" s="74">
        <f>I19+'5'!K19</f>
        <v>10914.349999999999</v>
      </c>
      <c r="L19" s="74">
        <f>E19+F19-I19</f>
        <v>1713.4990080001371</v>
      </c>
      <c r="M19" s="75"/>
      <c r="N19" s="687"/>
      <c r="O19" s="689"/>
      <c r="P19" s="691"/>
      <c r="Q19" s="692"/>
      <c r="R19" s="20"/>
      <c r="S19" s="190"/>
      <c r="T19" s="176"/>
    </row>
    <row r="20" spans="2:20" ht="30" x14ac:dyDescent="0.25">
      <c r="B20" s="677"/>
      <c r="C20" s="686"/>
      <c r="D20" s="86" t="s">
        <v>251</v>
      </c>
      <c r="E20" s="77"/>
      <c r="F20" s="77">
        <f>Clinker!EM8</f>
        <v>0</v>
      </c>
      <c r="G20" s="74">
        <f>F20+'5'!G20</f>
        <v>0</v>
      </c>
      <c r="H20" s="74">
        <f>F20+'5'!H20</f>
        <v>0</v>
      </c>
      <c r="I20" s="77">
        <f>Clinker!EM8</f>
        <v>0</v>
      </c>
      <c r="J20" s="74">
        <f>I20+'5'!J20</f>
        <v>0</v>
      </c>
      <c r="K20" s="74">
        <f>I20+'5'!K20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20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Cement!Q8</f>
        <v>391.68000000000006</v>
      </c>
      <c r="J21" s="74">
        <f>I21+'5'!J21</f>
        <v>2757.2299956604193</v>
      </c>
      <c r="K21" s="74">
        <f>I21+'5'!K21</f>
        <v>2757.2299956604193</v>
      </c>
      <c r="L21" s="74"/>
      <c r="M21" s="78">
        <f>(I21/(J40+J46))*100</f>
        <v>17.133858267716537</v>
      </c>
      <c r="N21" s="78"/>
      <c r="O21" s="689"/>
      <c r="P21" s="87"/>
      <c r="Q21" s="695"/>
      <c r="R21" s="20"/>
      <c r="S21" s="20"/>
    </row>
    <row r="22" spans="2:20" x14ac:dyDescent="0.25">
      <c r="B22" s="89">
        <v>9</v>
      </c>
      <c r="C22" s="678" t="s">
        <v>252</v>
      </c>
      <c r="D22" s="678"/>
      <c r="E22" s="77">
        <f>Cement!C8</f>
        <v>7545.8200632327789</v>
      </c>
      <c r="F22" s="77">
        <f>Cement!D8</f>
        <v>0</v>
      </c>
      <c r="G22" s="74">
        <f>F22+'5'!G22</f>
        <v>740.74</v>
      </c>
      <c r="H22" s="74">
        <f>F22+'5'!H22</f>
        <v>740.74</v>
      </c>
      <c r="I22" s="77">
        <f>Cement!E8</f>
        <v>114.30000000000001</v>
      </c>
      <c r="J22" s="441">
        <f>I22+'5'!J22</f>
        <v>754.59999591699989</v>
      </c>
      <c r="K22" s="74">
        <f>I22+'5'!K22</f>
        <v>754.59999591699989</v>
      </c>
      <c r="L22" s="74">
        <f t="shared" ref="L22:L24" si="4">E22+F22-I22</f>
        <v>7431.5200632327787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20" x14ac:dyDescent="0.25">
      <c r="B23" s="677">
        <v>10</v>
      </c>
      <c r="C23" s="679" t="s">
        <v>253</v>
      </c>
      <c r="D23" s="76" t="s">
        <v>254</v>
      </c>
      <c r="E23" s="77">
        <f>Cement!G8</f>
        <v>0.23999999999796273</v>
      </c>
      <c r="F23" s="77">
        <f>Cement!H8</f>
        <v>0</v>
      </c>
      <c r="G23" s="74">
        <f>F23+'5'!G23</f>
        <v>0</v>
      </c>
      <c r="H23" s="74">
        <f>F23+'5'!H23</f>
        <v>0</v>
      </c>
      <c r="I23" s="77">
        <f>Cement!I8</f>
        <v>0</v>
      </c>
      <c r="J23" s="74">
        <f>I23+'5'!J23</f>
        <v>0</v>
      </c>
      <c r="K23" s="74">
        <f>I23+'5'!K23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20" x14ac:dyDescent="0.25">
      <c r="B24" s="677"/>
      <c r="C24" s="686"/>
      <c r="D24" s="76" t="s">
        <v>255</v>
      </c>
      <c r="E24" s="77">
        <f>Cement!K8</f>
        <v>0</v>
      </c>
      <c r="F24" s="77">
        <f>Cement!L8</f>
        <v>0</v>
      </c>
      <c r="G24" s="74">
        <f>F24+'5'!G24</f>
        <v>0</v>
      </c>
      <c r="H24" s="74">
        <f>F24+'5'!H24</f>
        <v>0</v>
      </c>
      <c r="I24" s="77">
        <f>Cement!M8</f>
        <v>0</v>
      </c>
      <c r="J24" s="74">
        <f>I24+'5'!J24</f>
        <v>0</v>
      </c>
      <c r="K24" s="74">
        <f>I24+'5'!K24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20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14963.299162437062</v>
      </c>
      <c r="F25" s="122">
        <f t="shared" ref="F25:L25" si="5">F18+F19+F21+F22+F23+F24</f>
        <v>1380</v>
      </c>
      <c r="G25" s="122">
        <f t="shared" si="5"/>
        <v>7199.04</v>
      </c>
      <c r="H25" s="122">
        <f t="shared" si="5"/>
        <v>7199.04</v>
      </c>
      <c r="I25" s="122">
        <f t="shared" si="5"/>
        <v>2286</v>
      </c>
      <c r="J25" s="122">
        <f t="shared" si="5"/>
        <v>15084</v>
      </c>
      <c r="K25" s="122">
        <f t="shared" si="5"/>
        <v>15084</v>
      </c>
      <c r="L25" s="122">
        <f t="shared" si="5"/>
        <v>14448.979162437063</v>
      </c>
      <c r="M25" s="703"/>
      <c r="N25" s="703"/>
      <c r="O25" s="690"/>
      <c r="P25" s="700"/>
      <c r="Q25" s="701"/>
      <c r="R25" s="83"/>
      <c r="S25" s="83"/>
    </row>
    <row r="26" spans="2:20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20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20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20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20" x14ac:dyDescent="0.25">
      <c r="B30" s="91">
        <v>1</v>
      </c>
      <c r="C30" s="751" t="s">
        <v>263</v>
      </c>
      <c r="D30" s="752"/>
      <c r="E30" s="92">
        <v>250</v>
      </c>
      <c r="F30" s="75">
        <f>Production2!C8</f>
        <v>0</v>
      </c>
      <c r="G30" s="75">
        <f>F30+'5'!G30</f>
        <v>18.869999999999997</v>
      </c>
      <c r="H30" s="75">
        <f>F30+'5'!H30</f>
        <v>18.869999999999997</v>
      </c>
      <c r="I30" s="74">
        <f>'Mines (2)'!C8+'Mines (2)'!H8+'Mines (2)'!V8+'Mines (2)'!Z8+'Mines (2)'!AD8</f>
        <v>24214.301701523415</v>
      </c>
      <c r="J30" s="74">
        <f>Production2!D8</f>
        <v>420.1</v>
      </c>
      <c r="K30" s="74">
        <f>J30+'5'!K30</f>
        <v>5520.0800000000008</v>
      </c>
      <c r="L30" s="74">
        <f>J30+'5'!L30</f>
        <v>5520.0800000000008</v>
      </c>
      <c r="M30" s="74">
        <f>I9+I21</f>
        <v>2862.6800000000003</v>
      </c>
      <c r="N30" s="441">
        <f>M30+'5'!N30</f>
        <v>6853.2299956604202</v>
      </c>
      <c r="O30" s="74">
        <f>M30+'5'!O30</f>
        <v>6853.2299956604202</v>
      </c>
      <c r="P30" s="74">
        <f>I30+J30-M30</f>
        <v>21771.721701523413</v>
      </c>
      <c r="Q30" s="93" t="e">
        <f>J30/F30</f>
        <v>#DIV/0!</v>
      </c>
      <c r="R30" s="94"/>
      <c r="S30" s="94"/>
    </row>
    <row r="31" spans="2:20" x14ac:dyDescent="0.25">
      <c r="B31" s="79">
        <v>2</v>
      </c>
      <c r="C31" s="680" t="s">
        <v>292</v>
      </c>
      <c r="D31" s="681"/>
      <c r="E31" s="95">
        <v>120</v>
      </c>
      <c r="F31" s="78">
        <f>Production2!G8</f>
        <v>18.5</v>
      </c>
      <c r="G31" s="75">
        <f>F31+'5'!G31</f>
        <v>31.62</v>
      </c>
      <c r="H31" s="75">
        <f>F31+'5'!H31</f>
        <v>31.62</v>
      </c>
      <c r="I31" s="747">
        <f>Production2!H8</f>
        <v>1471.9200168375201</v>
      </c>
      <c r="J31" s="77">
        <f>Production2!N8</f>
        <v>2294.1</v>
      </c>
      <c r="K31" s="74">
        <f>J31+'5'!K31</f>
        <v>3787.29</v>
      </c>
      <c r="L31" s="74">
        <f>J31+'5'!L31</f>
        <v>3787.29</v>
      </c>
      <c r="M31" s="747">
        <f>Production2!K8</f>
        <v>2139</v>
      </c>
      <c r="N31" s="747">
        <f>M31+'5'!N31</f>
        <v>4154</v>
      </c>
      <c r="O31" s="747">
        <f>M31+'5'!O31</f>
        <v>4154</v>
      </c>
      <c r="P31" s="747">
        <f>I31+J31+J32-M31</f>
        <v>1627.02001683752</v>
      </c>
      <c r="Q31" s="96">
        <f t="shared" ref="Q31:Q46" si="6">J31/F31</f>
        <v>124.0054054054054</v>
      </c>
      <c r="R31" s="94"/>
      <c r="S31" s="94"/>
    </row>
    <row r="32" spans="2:20" x14ac:dyDescent="0.25">
      <c r="B32" s="91">
        <v>3</v>
      </c>
      <c r="C32" s="680" t="s">
        <v>265</v>
      </c>
      <c r="D32" s="681"/>
      <c r="E32" s="95">
        <v>20</v>
      </c>
      <c r="F32" s="78">
        <f>Production2!P8</f>
        <v>0</v>
      </c>
      <c r="G32" s="75">
        <f>F32+'5'!G32</f>
        <v>0</v>
      </c>
      <c r="H32" s="75">
        <f>F32+'5'!H32</f>
        <v>0</v>
      </c>
      <c r="I32" s="748"/>
      <c r="J32" s="77">
        <f>Production2!Q8</f>
        <v>0</v>
      </c>
      <c r="K32" s="74">
        <f>J32+'5'!K32</f>
        <v>0</v>
      </c>
      <c r="L32" s="74">
        <f>J32+'5'!L32</f>
        <v>0</v>
      </c>
      <c r="M32" s="748"/>
      <c r="N32" s="748"/>
      <c r="O32" s="748"/>
      <c r="P32" s="748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Production2!S8</f>
        <v>17.86</v>
      </c>
      <c r="G33" s="75">
        <f>F33+'5'!G33</f>
        <v>40.86</v>
      </c>
      <c r="H33" s="75">
        <f>F33+'5'!H33</f>
        <v>40.86</v>
      </c>
      <c r="I33" s="77">
        <f>Production2!T8</f>
        <v>17.509999999999991</v>
      </c>
      <c r="J33" s="77">
        <f>Production2!U8</f>
        <v>245</v>
      </c>
      <c r="K33" s="74">
        <f>J33+'5'!K33</f>
        <v>499</v>
      </c>
      <c r="L33" s="74">
        <f>J33+'5'!L33</f>
        <v>499</v>
      </c>
      <c r="M33" s="77">
        <f>Production2!V8</f>
        <v>224</v>
      </c>
      <c r="N33" s="74">
        <f>M33+'5'!N33</f>
        <v>476</v>
      </c>
      <c r="O33" s="74">
        <f>M33+'5'!O33</f>
        <v>476</v>
      </c>
      <c r="P33" s="74">
        <f t="shared" ref="P33" si="7">I33+J33-M33</f>
        <v>38.509999999999991</v>
      </c>
      <c r="Q33" s="96">
        <f t="shared" si="6"/>
        <v>13.717805151175812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Production2!Y8</f>
        <v>22.83</v>
      </c>
      <c r="G34" s="75">
        <f>F34+'5'!G34</f>
        <v>45.68</v>
      </c>
      <c r="H34" s="75">
        <f>F34+'5'!H34</f>
        <v>45.68</v>
      </c>
      <c r="I34" s="77">
        <f>Clinker!EI8</f>
        <v>4363.9900912041494</v>
      </c>
      <c r="J34" s="77">
        <f>Clinker!EJ8</f>
        <v>1380</v>
      </c>
      <c r="K34" s="74">
        <f>J34+'5'!K34</f>
        <v>2680</v>
      </c>
      <c r="L34" s="74">
        <f>J34+'5'!L34</f>
        <v>2680</v>
      </c>
      <c r="M34" s="77">
        <f>Clinker!EK8</f>
        <v>440.27</v>
      </c>
      <c r="N34" s="74">
        <f>M34+'5'!N34</f>
        <v>657.82000842258094</v>
      </c>
      <c r="O34" s="74">
        <f>M34+'5'!O34</f>
        <v>657.82000842258094</v>
      </c>
      <c r="P34" s="74">
        <f>I34+J34-M34-I20</f>
        <v>5303.7200912041499</v>
      </c>
      <c r="Q34" s="96">
        <f t="shared" si="6"/>
        <v>60.446780551905391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Production2!AE8</f>
        <v>0</v>
      </c>
      <c r="G35" s="75">
        <f>F35+'5'!G35</f>
        <v>6</v>
      </c>
      <c r="H35" s="75">
        <f>F35+'5'!H35</f>
        <v>6</v>
      </c>
      <c r="I35" s="77">
        <f>Production2!BJ8</f>
        <v>282.29999999999995</v>
      </c>
      <c r="J35" s="77">
        <f>Production2!AF8</f>
        <v>0</v>
      </c>
      <c r="K35" s="74">
        <f>J35+'5'!K35</f>
        <v>384</v>
      </c>
      <c r="L35" s="74">
        <f>J35+'5'!L35</f>
        <v>384</v>
      </c>
      <c r="M35" s="77">
        <f>Production2!BL8</f>
        <v>121</v>
      </c>
      <c r="N35" s="74">
        <f>M35+'5'!N35</f>
        <v>635</v>
      </c>
      <c r="O35" s="74">
        <f>M35+'5'!O35</f>
        <v>635</v>
      </c>
      <c r="P35" s="74">
        <f>I35+J35+J41-M35-F59</f>
        <v>161.29999999999995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Production2!AB8</f>
        <v>13.93</v>
      </c>
      <c r="G36" s="75">
        <f>F36+'5'!G36</f>
        <v>89.12</v>
      </c>
      <c r="H36" s="75">
        <f>F36+'5'!H36</f>
        <v>89.12</v>
      </c>
      <c r="I36" s="77">
        <f>Production2!BF8</f>
        <v>2157.9279999999799</v>
      </c>
      <c r="J36" s="77">
        <f>Production2!AC8</f>
        <v>891</v>
      </c>
      <c r="K36" s="74">
        <f>J36+'5'!K36</f>
        <v>5487</v>
      </c>
      <c r="L36" s="74">
        <f>J36+'5'!L36</f>
        <v>5487</v>
      </c>
      <c r="M36" s="77">
        <f>Production2!BH8</f>
        <v>2045.5</v>
      </c>
      <c r="N36" s="74">
        <f>M36+'5'!N36</f>
        <v>11188.13</v>
      </c>
      <c r="O36" s="74">
        <f>M36+'5'!O36</f>
        <v>11188.13</v>
      </c>
      <c r="P36" s="74">
        <f>I36+J36+J42-M36-F57</f>
        <v>2288.4279999999799</v>
      </c>
      <c r="Q36" s="96">
        <f t="shared" si="6"/>
        <v>63.962670495333811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Production2!AH8</f>
        <v>0</v>
      </c>
      <c r="G37" s="75">
        <f>F37+'5'!G37</f>
        <v>0</v>
      </c>
      <c r="H37" s="75">
        <f>F37+'5'!H37</f>
        <v>0</v>
      </c>
      <c r="I37" s="77">
        <f>Production2!BN8</f>
        <v>1.9400000000008499</v>
      </c>
      <c r="J37" s="77">
        <f>Production2!AI8</f>
        <v>0</v>
      </c>
      <c r="K37" s="74">
        <f>J37+'5'!K37</f>
        <v>0</v>
      </c>
      <c r="L37" s="74">
        <f>J37+'5'!L37</f>
        <v>0</v>
      </c>
      <c r="M37" s="77">
        <f>Production2!BP8</f>
        <v>0</v>
      </c>
      <c r="N37" s="74">
        <f>M37+'5'!N37</f>
        <v>0</v>
      </c>
      <c r="O37" s="74">
        <f>M37+'5'!O37</f>
        <v>0</v>
      </c>
      <c r="P37" s="74">
        <f>I37+J37+J43-M37-F58</f>
        <v>1.9400000000008499</v>
      </c>
      <c r="Q37" s="96" t="e">
        <f>J37/F37</f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Production2!AK8</f>
        <v>0</v>
      </c>
      <c r="G38" s="75">
        <f>F38+'5'!G38</f>
        <v>0</v>
      </c>
      <c r="H38" s="75">
        <f>F38+'5'!H38</f>
        <v>0</v>
      </c>
      <c r="I38" s="195">
        <f>Production2!BR8</f>
        <v>167.3</v>
      </c>
      <c r="J38" s="195">
        <f>Production2!AL8</f>
        <v>0</v>
      </c>
      <c r="K38" s="74">
        <f>J38+'5'!K38</f>
        <v>0</v>
      </c>
      <c r="L38" s="74">
        <f>J38+'5'!L38</f>
        <v>0</v>
      </c>
      <c r="M38" s="195">
        <f>Production2!BT8</f>
        <v>121</v>
      </c>
      <c r="N38" s="74">
        <f>M38+'5'!N38</f>
        <v>607</v>
      </c>
      <c r="O38" s="74">
        <f>M38+'5'!O38</f>
        <v>607</v>
      </c>
      <c r="P38" s="74">
        <f>I38+J38+J44-M38-F60</f>
        <v>156.30000000000001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Production2!AN8</f>
        <v>0</v>
      </c>
      <c r="G39" s="75">
        <f>F39+'5'!G39</f>
        <v>24</v>
      </c>
      <c r="H39" s="75">
        <f>F39+'5'!H39</f>
        <v>24</v>
      </c>
      <c r="I39" s="195">
        <f>Production2!BV8</f>
        <v>637.61000000000013</v>
      </c>
      <c r="J39" s="195">
        <f>Production2!AO8</f>
        <v>0</v>
      </c>
      <c r="K39" s="74">
        <f>J39+'5'!K39</f>
        <v>1520</v>
      </c>
      <c r="L39" s="74">
        <f>J39+'5'!L39</f>
        <v>1520</v>
      </c>
      <c r="M39" s="77">
        <f>Production2!BX8</f>
        <v>150.72</v>
      </c>
      <c r="N39" s="74">
        <f>M39+'5'!N39</f>
        <v>1658.82</v>
      </c>
      <c r="O39" s="74">
        <f>M39+'5'!O39</f>
        <v>1658.82</v>
      </c>
      <c r="P39" s="74">
        <f>I39+J39+J45-M39</f>
        <v>486.8900000000001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13.93</v>
      </c>
      <c r="G40" s="132">
        <f t="shared" ref="G40:H40" si="8">G35+G36+G37+G38+G39</f>
        <v>119.12</v>
      </c>
      <c r="H40" s="132">
        <f t="shared" si="8"/>
        <v>119.12</v>
      </c>
      <c r="I40" s="122">
        <f>I35+I36+I37+I38+I39</f>
        <v>3247.0779999999813</v>
      </c>
      <c r="J40" s="122">
        <f>J35+J36+J37+J38+J39</f>
        <v>891</v>
      </c>
      <c r="K40" s="122">
        <f t="shared" ref="K40:P40" si="9">K35+K36+K37+K38+K39</f>
        <v>7391</v>
      </c>
      <c r="L40" s="122">
        <f t="shared" si="9"/>
        <v>7391</v>
      </c>
      <c r="M40" s="122">
        <f t="shared" si="9"/>
        <v>2438.2199999999998</v>
      </c>
      <c r="N40" s="122">
        <f t="shared" si="9"/>
        <v>14088.949999999999</v>
      </c>
      <c r="O40" s="122">
        <f t="shared" si="9"/>
        <v>14088.949999999999</v>
      </c>
      <c r="P40" s="122">
        <f t="shared" si="9"/>
        <v>3094.8579999999811</v>
      </c>
      <c r="Q40" s="123">
        <f>J40/F40</f>
        <v>63.962670495333811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Production2!AT8</f>
        <v>0</v>
      </c>
      <c r="G41" s="75">
        <f>F41+'5'!G41</f>
        <v>3</v>
      </c>
      <c r="H41" s="75">
        <f>F41+'5'!H41</f>
        <v>3</v>
      </c>
      <c r="I41" s="764"/>
      <c r="J41" s="77">
        <f>Production2!AU8</f>
        <v>0</v>
      </c>
      <c r="K41" s="74">
        <f>J41+'5'!K41</f>
        <v>180</v>
      </c>
      <c r="L41" s="74">
        <f>J41+'5'!L41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Production2!AQ8</f>
        <v>21.35</v>
      </c>
      <c r="G42" s="75">
        <f>F42+'5'!G42</f>
        <v>114.97</v>
      </c>
      <c r="H42" s="75">
        <f>F42+'5'!H42</f>
        <v>114.97</v>
      </c>
      <c r="I42" s="765"/>
      <c r="J42" s="77">
        <f>Production2!AR8</f>
        <v>1285</v>
      </c>
      <c r="K42" s="74">
        <f>J42+'5'!K42</f>
        <v>6711</v>
      </c>
      <c r="L42" s="74">
        <f>J42+'5'!L42</f>
        <v>6711</v>
      </c>
      <c r="M42" s="769"/>
      <c r="N42" s="770"/>
      <c r="O42" s="770"/>
      <c r="P42" s="771"/>
      <c r="Q42" s="96">
        <f t="shared" si="6"/>
        <v>60.187353629976577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Production2!AW8</f>
        <v>0</v>
      </c>
      <c r="G43" s="75">
        <f>F43+'5'!G43</f>
        <v>0</v>
      </c>
      <c r="H43" s="75">
        <f>F43+'5'!H43</f>
        <v>0</v>
      </c>
      <c r="I43" s="765"/>
      <c r="J43" s="77">
        <f>Production2!AX8</f>
        <v>0</v>
      </c>
      <c r="K43" s="74">
        <f>J43+'5'!K43</f>
        <v>0</v>
      </c>
      <c r="L43" s="74">
        <f>J43+'5'!L43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Production2!AZ8</f>
        <v>2</v>
      </c>
      <c r="G44" s="75">
        <f>F44+'5'!G44</f>
        <v>10</v>
      </c>
      <c r="H44" s="75">
        <f>F44+'5'!H44</f>
        <v>10</v>
      </c>
      <c r="I44" s="748"/>
      <c r="J44" s="195">
        <f>Production2!BA8</f>
        <v>110</v>
      </c>
      <c r="K44" s="74">
        <f>J44+'5'!K44</f>
        <v>550</v>
      </c>
      <c r="L44" s="74">
        <f>J44+'5'!L44</f>
        <v>550</v>
      </c>
      <c r="M44" s="769"/>
      <c r="N44" s="770"/>
      <c r="O44" s="770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Production2!BC8</f>
        <v>0</v>
      </c>
      <c r="G45" s="75">
        <f>F45+'5'!G45</f>
        <v>4</v>
      </c>
      <c r="H45" s="75">
        <f>F45+'5'!H45</f>
        <v>4</v>
      </c>
      <c r="I45" s="431"/>
      <c r="J45" s="195">
        <f>Production2!BD8</f>
        <v>0</v>
      </c>
      <c r="K45" s="74">
        <f>J45+'5'!K45</f>
        <v>252</v>
      </c>
      <c r="L45" s="74">
        <f>J45+'5'!L45</f>
        <v>252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23.35</v>
      </c>
      <c r="G46" s="132">
        <f t="shared" ref="G46" si="10">G41+G42+G43+G44+G45</f>
        <v>131.97</v>
      </c>
      <c r="H46" s="132">
        <f>H41+H42+H43+H44+H45</f>
        <v>131.97</v>
      </c>
      <c r="I46" s="132">
        <f>I41+I42+I43+I44+I45</f>
        <v>0</v>
      </c>
      <c r="J46" s="132">
        <f>J41+J42+J43+J44+J45</f>
        <v>1395</v>
      </c>
      <c r="K46" s="132">
        <f>K41+K42+K43+K44+K45</f>
        <v>7693</v>
      </c>
      <c r="L46" s="132">
        <f t="shared" ref="L46" si="11">L41+L42+L43+L44+L45</f>
        <v>7693</v>
      </c>
      <c r="M46" s="132"/>
      <c r="N46" s="132"/>
      <c r="O46" s="132"/>
      <c r="P46" s="132"/>
      <c r="Q46" s="123">
        <f t="shared" si="6"/>
        <v>59.743040685224834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3.5015472506546059</v>
      </c>
      <c r="F50" s="99">
        <f>F53/(J31+J32)</f>
        <v>17.139183121921452</v>
      </c>
      <c r="G50" s="99" t="e">
        <f>G53/J32</f>
        <v>#DIV/0!</v>
      </c>
      <c r="H50" s="99">
        <f>H53/J34</f>
        <v>27.621739130434783</v>
      </c>
      <c r="I50" s="99">
        <f>I53/J33</f>
        <v>49.783673469387757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16.231884057971012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6.269799461135892</v>
      </c>
      <c r="F51" s="102">
        <f>F50*1.55</f>
        <v>26.56573383897825</v>
      </c>
      <c r="G51" s="102" t="e">
        <f>G50*1.55</f>
        <v>#DIV/0!</v>
      </c>
      <c r="H51" s="102">
        <f>H50</f>
        <v>27.621739130434783</v>
      </c>
      <c r="I51" s="102">
        <f>I50*(Q50/100)</f>
        <v>8.080828157349897</v>
      </c>
      <c r="J51" s="102"/>
      <c r="K51" s="102"/>
      <c r="L51" s="102"/>
      <c r="M51" s="96"/>
      <c r="N51" s="103"/>
      <c r="O51" s="668" t="s">
        <v>279</v>
      </c>
      <c r="P51" s="668"/>
      <c r="Q51" s="104">
        <v>5384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4.882050934738019</v>
      </c>
      <c r="F52" s="102">
        <f>F51*M18/100</f>
        <v>20.685711963279996</v>
      </c>
      <c r="G52" s="102" t="e">
        <f>G51*M18/100</f>
        <v>#DIV/0!</v>
      </c>
      <c r="H52" s="102">
        <f>H51*M18/100</f>
        <v>21.507982540225949</v>
      </c>
      <c r="I52" s="102">
        <f>I51*M18/100</f>
        <v>6.2922291061443412</v>
      </c>
      <c r="J52" s="99">
        <f>J53/(J40+J46)</f>
        <v>40.599300087489063</v>
      </c>
      <c r="K52" s="99">
        <f>K53/(J46+J40)</f>
        <v>0.74103237095363084</v>
      </c>
      <c r="L52" s="99">
        <f>L53/(M40)</f>
        <v>2.9402596976482847</v>
      </c>
      <c r="M52" s="96">
        <f>M53/(J46+J40)</f>
        <v>2.0909886264216975</v>
      </c>
      <c r="N52" s="310" t="e">
        <f>SUM(E52:M52)</f>
        <v>#DIV/0!</v>
      </c>
      <c r="O52" s="668" t="s">
        <v>281</v>
      </c>
      <c r="P52" s="668"/>
      <c r="Q52" s="104">
        <f>Q51*Q50/100</f>
        <v>873.9246376811592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unit'!B8</f>
        <v>1471</v>
      </c>
      <c r="F53" s="118">
        <f>'Daily unit'!C8</f>
        <v>39319</v>
      </c>
      <c r="G53" s="118">
        <v>0</v>
      </c>
      <c r="H53" s="118">
        <f>'Daily unit'!E8</f>
        <v>38118</v>
      </c>
      <c r="I53" s="118">
        <f>'Daily unit'!F8</f>
        <v>12197</v>
      </c>
      <c r="J53" s="118">
        <f>'Daily unit'!G8</f>
        <v>92810</v>
      </c>
      <c r="K53" s="118">
        <f>'Daily unit'!H8</f>
        <v>1694</v>
      </c>
      <c r="L53" s="118">
        <f>'Daily unit'!I8</f>
        <v>7169</v>
      </c>
      <c r="M53" s="119">
        <f>'Daily unit'!J8</f>
        <v>4780</v>
      </c>
      <c r="N53" s="321">
        <f>SUM(E53:M53)</f>
        <v>197558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14" t="s">
        <v>231</v>
      </c>
      <c r="C56" s="820" t="s">
        <v>285</v>
      </c>
      <c r="D56" s="820"/>
      <c r="E56" s="820"/>
      <c r="F56" s="215" t="s">
        <v>286</v>
      </c>
      <c r="G56" s="215" t="s">
        <v>26</v>
      </c>
      <c r="H56" s="216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5">
        <v>1</v>
      </c>
      <c r="C57" s="824" t="s">
        <v>287</v>
      </c>
      <c r="D57" s="824"/>
      <c r="E57" s="217">
        <v>42.5</v>
      </c>
      <c r="F57" s="218">
        <f>'Internal use cement'!F8</f>
        <v>0</v>
      </c>
      <c r="G57" s="218">
        <f>F57+'5'!G57</f>
        <v>0</v>
      </c>
      <c r="H57" s="219">
        <f>F57+'5'!H57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26"/>
      <c r="C58" s="758"/>
      <c r="D58" s="758"/>
      <c r="E58" s="80" t="s">
        <v>197</v>
      </c>
      <c r="F58" s="53">
        <f>'Internal use cement'!Q8</f>
        <v>0</v>
      </c>
      <c r="G58" s="53">
        <f>F58+'5'!G58</f>
        <v>0</v>
      </c>
      <c r="H58" s="104">
        <f>F58+'5'!H58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26"/>
      <c r="C59" s="758"/>
      <c r="D59" s="758"/>
      <c r="E59" s="80">
        <v>32.5</v>
      </c>
      <c r="F59" s="53">
        <f>'Internal use cement'!AB8</f>
        <v>0</v>
      </c>
      <c r="G59" s="53">
        <f>F59+'5'!G59</f>
        <v>0</v>
      </c>
      <c r="H59" s="104">
        <f>F59+'5'!H59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27"/>
      <c r="C60" s="759"/>
      <c r="D60" s="759"/>
      <c r="E60" s="213" t="s">
        <v>177</v>
      </c>
      <c r="F60" s="113">
        <f>'Internal use cement'!AJ8</f>
        <v>0</v>
      </c>
      <c r="G60" s="113">
        <f>F60+'5'!G60</f>
        <v>0</v>
      </c>
      <c r="H60" s="114">
        <f>F60+'5'!H60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4">
    <mergeCell ref="C57:D60"/>
    <mergeCell ref="B57:B60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M25:N25"/>
    <mergeCell ref="B14:B16"/>
    <mergeCell ref="Q28:Q29"/>
    <mergeCell ref="P23:Q25"/>
    <mergeCell ref="C53:D53"/>
    <mergeCell ref="C34:D34"/>
    <mergeCell ref="C51:D51"/>
    <mergeCell ref="B48:N4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28:P29"/>
    <mergeCell ref="C25:D25"/>
    <mergeCell ref="F28:H28"/>
    <mergeCell ref="I28:I29"/>
    <mergeCell ref="J28:L28"/>
    <mergeCell ref="M28:O28"/>
    <mergeCell ref="P6:P7"/>
    <mergeCell ref="Q6:Q7"/>
    <mergeCell ref="C21:D21"/>
    <mergeCell ref="O51:P51"/>
    <mergeCell ref="C49:D49"/>
    <mergeCell ref="O49:P49"/>
    <mergeCell ref="C50:D50"/>
    <mergeCell ref="O50:P50"/>
    <mergeCell ref="C32:D32"/>
    <mergeCell ref="I31:I32"/>
    <mergeCell ref="M31:M32"/>
    <mergeCell ref="N31:N32"/>
    <mergeCell ref="O31:O32"/>
    <mergeCell ref="P31:P32"/>
    <mergeCell ref="O48:Q48"/>
    <mergeCell ref="M41:P45"/>
    <mergeCell ref="B2:Q2"/>
    <mergeCell ref="B3:Q3"/>
    <mergeCell ref="C30:D30"/>
    <mergeCell ref="C31:D31"/>
    <mergeCell ref="C33:D33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I55:Q60"/>
    <mergeCell ref="B35:B40"/>
    <mergeCell ref="C35:C40"/>
    <mergeCell ref="B26:Q26"/>
    <mergeCell ref="B27:Q27"/>
    <mergeCell ref="B28:B29"/>
    <mergeCell ref="C28:D29"/>
    <mergeCell ref="B55:H55"/>
    <mergeCell ref="C56:E56"/>
    <mergeCell ref="B41:B46"/>
    <mergeCell ref="C41:C46"/>
    <mergeCell ref="I41:I44"/>
    <mergeCell ref="B54:Q54"/>
    <mergeCell ref="B47:Q47"/>
    <mergeCell ref="C52:D52"/>
    <mergeCell ref="O52:P52"/>
  </mergeCells>
  <pageMargins left="0.2" right="0.2" top="0.75" bottom="0.75" header="0.3" footer="0.3"/>
  <pageSetup paperSize="9" scale="5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9" sqref="U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320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 t="s">
        <v>288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3" t="s">
        <v>244</v>
      </c>
      <c r="D9" s="73" t="s">
        <v>29</v>
      </c>
      <c r="E9" s="74">
        <f>'6'!L9</f>
        <v>21771.721701523409</v>
      </c>
      <c r="F9" s="74">
        <f>Production2!D9</f>
        <v>3283.62</v>
      </c>
      <c r="G9" s="74">
        <f>F9+'6'!G9</f>
        <v>8803.7000000000007</v>
      </c>
      <c r="H9" s="74">
        <f>F9+'6'!H9</f>
        <v>8803.7000000000007</v>
      </c>
      <c r="I9" s="74">
        <f>Production2!E9</f>
        <v>3314</v>
      </c>
      <c r="J9" s="74">
        <f>I9+'6'!J9</f>
        <v>7410</v>
      </c>
      <c r="K9" s="74">
        <f>I9+'6'!K9</f>
        <v>7410</v>
      </c>
      <c r="L9" s="74">
        <f>E9+F9-I9-I21</f>
        <v>21336.391701523407</v>
      </c>
      <c r="M9" s="75">
        <f>I9</f>
        <v>3314</v>
      </c>
      <c r="N9" s="75">
        <f>(I9/I13)*100</f>
        <v>97.585394581861024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(2)'!L9</f>
        <v>114.03999999999975</v>
      </c>
      <c r="F10" s="77">
        <f>'Mines (2)'!M9</f>
        <v>0</v>
      </c>
      <c r="G10" s="74">
        <f>F10+'6'!G10</f>
        <v>0</v>
      </c>
      <c r="H10" s="74">
        <f>F10+'6'!H10</f>
        <v>0</v>
      </c>
      <c r="I10" s="77">
        <f>'Mines (2)'!N9</f>
        <v>14</v>
      </c>
      <c r="J10" s="74">
        <f>I10+'6'!J10</f>
        <v>24</v>
      </c>
      <c r="K10" s="74">
        <f>I10+'6'!K10</f>
        <v>24</v>
      </c>
      <c r="L10" s="77">
        <f t="shared" ref="L10:L13" si="0">E10+F10-I10</f>
        <v>100.03999999999975</v>
      </c>
      <c r="M10" s="75">
        <f t="shared" ref="M10:M12" si="1">I10</f>
        <v>14</v>
      </c>
      <c r="N10" s="75">
        <f>(I10/I13)*100</f>
        <v>0.4122497055359246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Clinker!C9</f>
        <v>5276.6399999999994</v>
      </c>
      <c r="F11" s="77">
        <f>Clinker!D9</f>
        <v>0</v>
      </c>
      <c r="G11" s="74">
        <f>F11+'6'!G11</f>
        <v>0</v>
      </c>
      <c r="H11" s="74">
        <f>F11+'6'!H11</f>
        <v>0</v>
      </c>
      <c r="I11" s="77">
        <f>Clinker!E9</f>
        <v>68</v>
      </c>
      <c r="J11" s="74">
        <f>I11+'6'!J11</f>
        <v>157</v>
      </c>
      <c r="K11" s="74">
        <f>I11+'6'!K11</f>
        <v>157</v>
      </c>
      <c r="L11" s="77">
        <f t="shared" si="0"/>
        <v>5208.6399999999994</v>
      </c>
      <c r="M11" s="75">
        <f t="shared" si="1"/>
        <v>68</v>
      </c>
      <c r="N11" s="75">
        <f>(I11/I13)*100</f>
        <v>2.0023557126030624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(2)'!Q9</f>
        <v>588.28</v>
      </c>
      <c r="F12" s="77">
        <f>'Mines (2)'!R9</f>
        <v>0</v>
      </c>
      <c r="G12" s="74">
        <f>F12+'6'!G12</f>
        <v>0</v>
      </c>
      <c r="H12" s="74">
        <f>F12+'6'!H12</f>
        <v>0</v>
      </c>
      <c r="I12" s="77">
        <f>'Mines (2)'!S9</f>
        <v>0</v>
      </c>
      <c r="J12" s="74">
        <f>I12+'6'!J12</f>
        <v>12</v>
      </c>
      <c r="K12" s="74">
        <f>I12+'6'!K12</f>
        <v>12</v>
      </c>
      <c r="L12" s="77">
        <f t="shared" si="0"/>
        <v>588.28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27750.681701523408</v>
      </c>
      <c r="F13" s="127">
        <f t="shared" si="2"/>
        <v>3283.62</v>
      </c>
      <c r="G13" s="127">
        <f t="shared" si="2"/>
        <v>8803.7000000000007</v>
      </c>
      <c r="H13" s="127">
        <f t="shared" si="2"/>
        <v>8803.7000000000007</v>
      </c>
      <c r="I13" s="127">
        <f t="shared" si="2"/>
        <v>3396</v>
      </c>
      <c r="J13" s="127">
        <f t="shared" si="2"/>
        <v>7603</v>
      </c>
      <c r="K13" s="127">
        <f t="shared" si="2"/>
        <v>7603</v>
      </c>
      <c r="L13" s="127">
        <f t="shared" si="0"/>
        <v>27638.301701523407</v>
      </c>
      <c r="M13" s="128">
        <f>SUM(M9:M12)</f>
        <v>3396</v>
      </c>
      <c r="N13" s="128">
        <f>SUM(N9:N12)</f>
        <v>100.00000000000001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Clinker!EA9</f>
        <v>15397.32699999999</v>
      </c>
      <c r="F14" s="77">
        <f>Clinker!EB9</f>
        <v>0</v>
      </c>
      <c r="G14" s="77">
        <f>F14+'6'!G14</f>
        <v>151.5</v>
      </c>
      <c r="H14" s="77">
        <f>F14+'6'!H14</f>
        <v>151.5</v>
      </c>
      <c r="I14" s="77">
        <f>Clinker!EC9</f>
        <v>302.22000000000003</v>
      </c>
      <c r="J14" s="77">
        <f>I14+'6'!J14</f>
        <v>856.66000000000008</v>
      </c>
      <c r="K14" s="77">
        <f>I14+'6'!K14</f>
        <v>856.66000000000008</v>
      </c>
      <c r="L14" s="77">
        <f>E14+F14-I14-Clinker!N9-Clinker!Z9-Clinker!AR9-Clinker!AW9-Clinker!BB9-Clinker!BV9-Clinker!BG9-Clinker!BL9-Clinker!BQ9-Clinker!CU9</f>
        <v>15095.106999999991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Clinker!EE9</f>
        <v>12318.699999999997</v>
      </c>
      <c r="F15" s="77">
        <f>Clinker!EF9</f>
        <v>0</v>
      </c>
      <c r="G15" s="77">
        <f>F15+'6'!G15</f>
        <v>95.050000000000011</v>
      </c>
      <c r="H15" s="77">
        <f>F15+'6'!H15</f>
        <v>95.050000000000011</v>
      </c>
      <c r="I15" s="77">
        <f>Clinker!EG9</f>
        <v>142</v>
      </c>
      <c r="J15" s="77">
        <f>I15+'6'!J15</f>
        <v>738</v>
      </c>
      <c r="K15" s="77">
        <f>I15+'6'!K15</f>
        <v>738</v>
      </c>
      <c r="L15" s="77">
        <f>E15+F15-Clinker!AE9-Clinker!AI9-Clinker!CK9-Clinker!CP9-Clinker!CF9</f>
        <v>12176.699999999997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27716.026999999987</v>
      </c>
      <c r="F16" s="125">
        <f>F14+F15</f>
        <v>0</v>
      </c>
      <c r="G16" s="125">
        <f t="shared" ref="G16:K16" si="3">G14+G15</f>
        <v>246.55</v>
      </c>
      <c r="H16" s="125">
        <f t="shared" si="3"/>
        <v>246.55</v>
      </c>
      <c r="I16" s="125">
        <f>I14+I15</f>
        <v>444.22</v>
      </c>
      <c r="J16" s="125">
        <f>J14+J15</f>
        <v>1594.66</v>
      </c>
      <c r="K16" s="125">
        <f t="shared" si="3"/>
        <v>1594.66</v>
      </c>
      <c r="L16" s="125">
        <f>E16+F16-I16</f>
        <v>27271.806999999986</v>
      </c>
      <c r="M16" s="126"/>
      <c r="N16" s="126"/>
      <c r="O16" s="667"/>
      <c r="P16" s="84"/>
      <c r="Q16" s="131"/>
      <c r="R16" s="83"/>
      <c r="S16" s="83"/>
    </row>
    <row r="17" spans="2:20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20" x14ac:dyDescent="0.25">
      <c r="B18" s="677">
        <v>7</v>
      </c>
      <c r="C18" s="685" t="s">
        <v>249</v>
      </c>
      <c r="D18" s="85" t="s">
        <v>250</v>
      </c>
      <c r="E18" s="74">
        <f>Clinker!EI9</f>
        <v>5303.7200912041499</v>
      </c>
      <c r="F18" s="74">
        <f>Clinker!EJ9</f>
        <v>1890</v>
      </c>
      <c r="G18" s="74">
        <f>F18+'6'!G18</f>
        <v>4570</v>
      </c>
      <c r="H18" s="74">
        <f>F18+'6'!H18</f>
        <v>4570</v>
      </c>
      <c r="I18" s="74">
        <f>Clinker!EK9</f>
        <v>1727.8000000000011</v>
      </c>
      <c r="J18" s="74">
        <f>I18+'6'!J18</f>
        <v>2385.620008422582</v>
      </c>
      <c r="K18" s="74">
        <f>I18+'6'!K18</f>
        <v>2385.620008422582</v>
      </c>
      <c r="L18" s="74">
        <f>E18+F18-I18-I20</f>
        <v>5465.9200912041488</v>
      </c>
      <c r="M18" s="75">
        <f>((I18+I19)/I25)*100</f>
        <v>77.731343283582135</v>
      </c>
      <c r="N18" s="687"/>
      <c r="O18" s="689"/>
      <c r="P18" s="691"/>
      <c r="Q18" s="692"/>
      <c r="R18" s="190"/>
      <c r="S18" s="190"/>
    </row>
    <row r="19" spans="2:20" ht="45" x14ac:dyDescent="0.25">
      <c r="B19" s="677"/>
      <c r="C19" s="685"/>
      <c r="D19" s="85" t="s">
        <v>75</v>
      </c>
      <c r="E19" s="74">
        <f>Clinker!EN9</f>
        <v>1713.4990080001371</v>
      </c>
      <c r="F19" s="74">
        <f>Clinker!EO9</f>
        <v>0</v>
      </c>
      <c r="G19" s="74">
        <f>F19+'6'!G19</f>
        <v>3778.3</v>
      </c>
      <c r="H19" s="74">
        <f>F19+'6'!H19</f>
        <v>3778.3</v>
      </c>
      <c r="I19" s="74">
        <f>Clinker!EP9</f>
        <v>95</v>
      </c>
      <c r="J19" s="74">
        <f>I19+'6'!J19</f>
        <v>11009.349999999999</v>
      </c>
      <c r="K19" s="74">
        <f>I19+'6'!K19</f>
        <v>11009.349999999999</v>
      </c>
      <c r="L19" s="74">
        <f>E19+F19-I19</f>
        <v>1618.4990080001371</v>
      </c>
      <c r="M19" s="75"/>
      <c r="N19" s="687"/>
      <c r="O19" s="689"/>
      <c r="P19" s="691"/>
      <c r="Q19" s="692"/>
      <c r="R19" s="20"/>
      <c r="S19" s="20"/>
      <c r="T19" s="176"/>
    </row>
    <row r="20" spans="2:20" ht="30" x14ac:dyDescent="0.25">
      <c r="B20" s="677"/>
      <c r="C20" s="686"/>
      <c r="D20" s="86" t="s">
        <v>251</v>
      </c>
      <c r="E20" s="77"/>
      <c r="F20" s="77">
        <f>Clinker!EM9</f>
        <v>0</v>
      </c>
      <c r="G20" s="74">
        <f>F20+'6'!G20</f>
        <v>0</v>
      </c>
      <c r="H20" s="74">
        <f>F20+'6'!H20</f>
        <v>0</v>
      </c>
      <c r="I20" s="77">
        <f>Clinker!EM9</f>
        <v>0</v>
      </c>
      <c r="J20" s="74">
        <f>I20+'6'!J20</f>
        <v>0</v>
      </c>
      <c r="K20" s="74">
        <f>I20+'6'!K20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20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Cement!Q9</f>
        <v>404.94999999999902</v>
      </c>
      <c r="J21" s="74">
        <f>I21+'6'!J21</f>
        <v>3162.1799956604182</v>
      </c>
      <c r="K21" s="74">
        <f>I21+'6'!K21</f>
        <v>3162.1799956604182</v>
      </c>
      <c r="L21" s="74"/>
      <c r="M21" s="78">
        <f>(I21/(J40+J46))*100</f>
        <v>17.268656716417869</v>
      </c>
      <c r="N21" s="78"/>
      <c r="O21" s="689"/>
      <c r="P21" s="87"/>
      <c r="Q21" s="695"/>
      <c r="R21" s="20"/>
      <c r="S21" s="20"/>
    </row>
    <row r="22" spans="2:20" x14ac:dyDescent="0.25">
      <c r="B22" s="89">
        <v>9</v>
      </c>
      <c r="C22" s="678" t="s">
        <v>252</v>
      </c>
      <c r="D22" s="678"/>
      <c r="E22" s="77">
        <f>Cement!C9</f>
        <v>7431.5200632327787</v>
      </c>
      <c r="F22" s="77">
        <f>Cement!D9</f>
        <v>0</v>
      </c>
      <c r="G22" s="74">
        <f>F22+'6'!G22</f>
        <v>740.74</v>
      </c>
      <c r="H22" s="74">
        <f>F22+'6'!H22</f>
        <v>740.74</v>
      </c>
      <c r="I22" s="77">
        <f>Cement!E9</f>
        <v>117.25</v>
      </c>
      <c r="J22" s="74">
        <f>I22+'6'!J22</f>
        <v>871.84999591699989</v>
      </c>
      <c r="K22" s="74">
        <f>I22+'6'!K22</f>
        <v>871.84999591699989</v>
      </c>
      <c r="L22" s="74">
        <f t="shared" ref="L22:L24" si="4">E22+F22-I22</f>
        <v>7314.2700632327787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20" x14ac:dyDescent="0.25">
      <c r="B23" s="677">
        <v>10</v>
      </c>
      <c r="C23" s="679" t="s">
        <v>253</v>
      </c>
      <c r="D23" s="76" t="s">
        <v>254</v>
      </c>
      <c r="E23" s="77">
        <f>Cement!G9</f>
        <v>0.23999999999796273</v>
      </c>
      <c r="F23" s="77">
        <f>Cement!H9</f>
        <v>0</v>
      </c>
      <c r="G23" s="74">
        <f>F23+'6'!G23</f>
        <v>0</v>
      </c>
      <c r="H23" s="74">
        <f>F23+'6'!H23</f>
        <v>0</v>
      </c>
      <c r="I23" s="77">
        <f>Cement!I9</f>
        <v>0</v>
      </c>
      <c r="J23" s="74">
        <f>I23+'6'!J23</f>
        <v>0</v>
      </c>
      <c r="K23" s="74">
        <f>I23+'6'!K23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20" x14ac:dyDescent="0.25">
      <c r="B24" s="677"/>
      <c r="C24" s="686"/>
      <c r="D24" s="76" t="s">
        <v>255</v>
      </c>
      <c r="E24" s="77">
        <f>Cement!K9</f>
        <v>0</v>
      </c>
      <c r="F24" s="77">
        <f>Cement!L9</f>
        <v>0</v>
      </c>
      <c r="G24" s="74">
        <f>F24+'6'!G24</f>
        <v>0</v>
      </c>
      <c r="H24" s="74">
        <f>F24+'6'!H24</f>
        <v>0</v>
      </c>
      <c r="I24" s="77">
        <f>Cement!M9</f>
        <v>0</v>
      </c>
      <c r="J24" s="74">
        <f>I24+'6'!J24</f>
        <v>0</v>
      </c>
      <c r="K24" s="74">
        <f>I24+'6'!K24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20" ht="14.45" customHeight="1" thickBot="1" x14ac:dyDescent="0.3">
      <c r="B25" s="90" t="s">
        <v>243</v>
      </c>
      <c r="C25" s="702" t="s">
        <v>256</v>
      </c>
      <c r="D25" s="702"/>
      <c r="E25" s="122">
        <f>E18+E19++E21+E22+E23+E24</f>
        <v>14448.979162437063</v>
      </c>
      <c r="F25" s="122">
        <f t="shared" ref="F25:L25" si="5">F18+F19++F21+F22+F23+F24</f>
        <v>1890</v>
      </c>
      <c r="G25" s="122">
        <f t="shared" si="5"/>
        <v>9089.0399999999991</v>
      </c>
      <c r="H25" s="122">
        <f t="shared" si="5"/>
        <v>9089.0399999999991</v>
      </c>
      <c r="I25" s="122">
        <f>I18+I19++I21+I22+I23+I24</f>
        <v>2345</v>
      </c>
      <c r="J25" s="122">
        <f t="shared" si="5"/>
        <v>17429</v>
      </c>
      <c r="K25" s="122">
        <f t="shared" si="5"/>
        <v>17429</v>
      </c>
      <c r="L25" s="122">
        <f t="shared" si="5"/>
        <v>14398.929162437063</v>
      </c>
      <c r="M25" s="703"/>
      <c r="N25" s="703"/>
      <c r="O25" s="690"/>
      <c r="P25" s="700"/>
      <c r="Q25" s="701"/>
      <c r="R25" s="83"/>
      <c r="S25" s="83"/>
    </row>
    <row r="26" spans="2:20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20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20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20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20" x14ac:dyDescent="0.25">
      <c r="B30" s="91">
        <v>1</v>
      </c>
      <c r="C30" s="751" t="s">
        <v>263</v>
      </c>
      <c r="D30" s="752"/>
      <c r="E30" s="92">
        <v>250</v>
      </c>
      <c r="F30" s="75">
        <f>Production2!C9</f>
        <v>15.03</v>
      </c>
      <c r="G30" s="75">
        <f>F30+'6'!G30</f>
        <v>33.9</v>
      </c>
      <c r="H30" s="75">
        <f>F30+'6'!H30</f>
        <v>33.9</v>
      </c>
      <c r="I30" s="74">
        <f>'Mines (2)'!C9+'Mines (2)'!H9+'Mines (2)'!V9+'Mines (2)'!Z9+'Mines (2)'!AD9</f>
        <v>21771.721701523413</v>
      </c>
      <c r="J30" s="74">
        <f>Production2!D9</f>
        <v>3283.62</v>
      </c>
      <c r="K30" s="74">
        <f>J30+'6'!K30</f>
        <v>8803.7000000000007</v>
      </c>
      <c r="L30" s="74">
        <f>J30+'6'!L30</f>
        <v>8803.7000000000007</v>
      </c>
      <c r="M30" s="74">
        <f>I9+I21</f>
        <v>3718.9499999999989</v>
      </c>
      <c r="N30" s="74">
        <f>M30+'6'!N30</f>
        <v>10572.179995660419</v>
      </c>
      <c r="O30" s="74">
        <f>M30+'6'!O30</f>
        <v>10572.179995660419</v>
      </c>
      <c r="P30" s="74">
        <f>I30+J30-M30</f>
        <v>21336.391701523411</v>
      </c>
      <c r="Q30" s="93">
        <f>J30/F30</f>
        <v>218.47105788423153</v>
      </c>
      <c r="R30" s="94"/>
      <c r="S30" s="94"/>
    </row>
    <row r="31" spans="2:20" x14ac:dyDescent="0.25">
      <c r="B31" s="79">
        <v>2</v>
      </c>
      <c r="C31" s="680" t="s">
        <v>264</v>
      </c>
      <c r="D31" s="681"/>
      <c r="E31" s="95">
        <v>120</v>
      </c>
      <c r="F31" s="78">
        <f>Production2!G9</f>
        <v>22.1</v>
      </c>
      <c r="G31" s="75">
        <f>F31+'6'!G31</f>
        <v>53.72</v>
      </c>
      <c r="H31" s="75">
        <f>F31+'6'!H31</f>
        <v>53.72</v>
      </c>
      <c r="I31" s="747">
        <f>Production2!H9</f>
        <v>1627.02001683752</v>
      </c>
      <c r="J31" s="78">
        <f>Production2!N9</f>
        <v>2838</v>
      </c>
      <c r="K31" s="74">
        <f>J31+'6'!K31</f>
        <v>6625.29</v>
      </c>
      <c r="L31" s="74">
        <f>J31+'6'!L31</f>
        <v>6625.29</v>
      </c>
      <c r="M31" s="747">
        <f>Production2!K9</f>
        <v>2929.5</v>
      </c>
      <c r="N31" s="747">
        <f>M31+'6'!N31</f>
        <v>7083.5</v>
      </c>
      <c r="O31" s="747">
        <f>M31+'6'!O31</f>
        <v>7083.5</v>
      </c>
      <c r="P31" s="747">
        <f>I31+J31+J32-M31</f>
        <v>1753.9200168375191</v>
      </c>
      <c r="Q31" s="96">
        <f t="shared" ref="Q31:Q46" si="6">J31/F31</f>
        <v>128.41628959276017</v>
      </c>
      <c r="R31" s="94"/>
      <c r="S31" s="94"/>
    </row>
    <row r="32" spans="2:20" x14ac:dyDescent="0.25">
      <c r="B32" s="91">
        <v>3</v>
      </c>
      <c r="C32" s="680" t="s">
        <v>265</v>
      </c>
      <c r="D32" s="681"/>
      <c r="E32" s="95">
        <v>20</v>
      </c>
      <c r="F32" s="78">
        <f>Production2!P9</f>
        <v>23.67</v>
      </c>
      <c r="G32" s="75">
        <f>F32+'6'!G32</f>
        <v>23.67</v>
      </c>
      <c r="H32" s="75">
        <f>F32+'6'!H32</f>
        <v>23.67</v>
      </c>
      <c r="I32" s="748"/>
      <c r="J32" s="77">
        <f>Production2!Q9</f>
        <v>218.4</v>
      </c>
      <c r="K32" s="74">
        <f>J32+'6'!K32</f>
        <v>218.4</v>
      </c>
      <c r="L32" s="74">
        <f>J32+'6'!L32</f>
        <v>218.4</v>
      </c>
      <c r="M32" s="748"/>
      <c r="N32" s="748"/>
      <c r="O32" s="748"/>
      <c r="P32" s="748"/>
      <c r="Q32" s="96">
        <f>J32/F32</f>
        <v>9.2268694550063373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Production2!S9</f>
        <v>19</v>
      </c>
      <c r="G33" s="75">
        <f>F33+'6'!G33</f>
        <v>59.86</v>
      </c>
      <c r="H33" s="75">
        <f>F33+'6'!H33</f>
        <v>59.86</v>
      </c>
      <c r="I33" s="77">
        <f>Production2!T9</f>
        <v>38.509999999999991</v>
      </c>
      <c r="J33" s="77">
        <f>Production2!U9</f>
        <v>272</v>
      </c>
      <c r="K33" s="74">
        <f>J33+'6'!K33</f>
        <v>771</v>
      </c>
      <c r="L33" s="74">
        <f>J33+'6'!L33</f>
        <v>771</v>
      </c>
      <c r="M33" s="77">
        <f>Production2!V9</f>
        <v>286</v>
      </c>
      <c r="N33" s="74">
        <f>M33+'6'!N33</f>
        <v>762</v>
      </c>
      <c r="O33" s="74">
        <f>M33+'6'!O33</f>
        <v>762</v>
      </c>
      <c r="P33" s="74">
        <f t="shared" ref="P33" si="7">I33+J33-M33</f>
        <v>24.509999999999991</v>
      </c>
      <c r="Q33" s="96">
        <f t="shared" si="6"/>
        <v>14.315789473684211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Production2!Y9</f>
        <v>24</v>
      </c>
      <c r="G34" s="75">
        <f>F34+'6'!G34</f>
        <v>69.680000000000007</v>
      </c>
      <c r="H34" s="75">
        <f>F34+'6'!H34</f>
        <v>69.680000000000007</v>
      </c>
      <c r="I34" s="77">
        <f>Clinker!EI9</f>
        <v>5303.7200912041499</v>
      </c>
      <c r="J34" s="77">
        <f>Clinker!EJ9</f>
        <v>1890</v>
      </c>
      <c r="K34" s="74">
        <f>J34+'6'!K34</f>
        <v>4570</v>
      </c>
      <c r="L34" s="74">
        <f>J34+'6'!L34</f>
        <v>4570</v>
      </c>
      <c r="M34" s="77">
        <f>Clinker!EK9</f>
        <v>1727.8000000000011</v>
      </c>
      <c r="N34" s="74">
        <f>M34+'6'!N34</f>
        <v>2385.620008422582</v>
      </c>
      <c r="O34" s="74">
        <f>M34+'6'!O34</f>
        <v>2385.620008422582</v>
      </c>
      <c r="P34" s="74">
        <f>I34+J34-M34-I20</f>
        <v>5465.9200912041488</v>
      </c>
      <c r="Q34" s="96">
        <f t="shared" si="6"/>
        <v>78.75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Production2!AE9</f>
        <v>0</v>
      </c>
      <c r="G35" s="75">
        <f>F35+'6'!G35</f>
        <v>6</v>
      </c>
      <c r="H35" s="75">
        <f>F35+'6'!H35</f>
        <v>6</v>
      </c>
      <c r="I35" s="77">
        <f>Production2!BJ9</f>
        <v>161.29999999999995</v>
      </c>
      <c r="J35" s="77">
        <f>Production2!AF9</f>
        <v>0</v>
      </c>
      <c r="K35" s="74">
        <f>J35+'6'!K35</f>
        <v>384</v>
      </c>
      <c r="L35" s="74">
        <f>J35+'6'!L35</f>
        <v>384</v>
      </c>
      <c r="M35" s="77">
        <f>Production2!BL9</f>
        <v>30</v>
      </c>
      <c r="N35" s="74">
        <f>M35+'6'!N35</f>
        <v>665</v>
      </c>
      <c r="O35" s="74">
        <f>M35+'6'!O35</f>
        <v>665</v>
      </c>
      <c r="P35" s="74">
        <f>I35+J35+J41-M35-F59</f>
        <v>131.29999999999995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Production2!AB9</f>
        <v>15.62</v>
      </c>
      <c r="G36" s="75">
        <f>F36+'6'!G36</f>
        <v>104.74000000000001</v>
      </c>
      <c r="H36" s="75">
        <f>F36+'6'!H36</f>
        <v>104.74000000000001</v>
      </c>
      <c r="I36" s="77">
        <f>Production2!BF9</f>
        <v>2288.4279999999799</v>
      </c>
      <c r="J36" s="77">
        <f>Production2!AC9</f>
        <v>950</v>
      </c>
      <c r="K36" s="74">
        <f>J36+'6'!K36</f>
        <v>6437</v>
      </c>
      <c r="L36" s="74">
        <f>J36+'6'!L36</f>
        <v>6437</v>
      </c>
      <c r="M36" s="77">
        <f>Production2!BH9</f>
        <v>1646.5</v>
      </c>
      <c r="N36" s="74">
        <f>M36+'6'!N36</f>
        <v>12834.63</v>
      </c>
      <c r="O36" s="74">
        <f>M36+'6'!O36</f>
        <v>12834.63</v>
      </c>
      <c r="P36" s="74">
        <f>I36+J36+J42-M36-F57</f>
        <v>2591.9279999999799</v>
      </c>
      <c r="Q36" s="96">
        <f t="shared" si="6"/>
        <v>60.819462227912936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Production2!AH9</f>
        <v>0</v>
      </c>
      <c r="G37" s="75">
        <f>F37+'6'!G37</f>
        <v>0</v>
      </c>
      <c r="H37" s="75">
        <f>F37+'6'!H37</f>
        <v>0</v>
      </c>
      <c r="I37" s="77">
        <f>Production2!BN9</f>
        <v>1.9400000000008499</v>
      </c>
      <c r="J37" s="77">
        <f>Production2!AI9</f>
        <v>0</v>
      </c>
      <c r="K37" s="74">
        <f>J37+'6'!K37</f>
        <v>0</v>
      </c>
      <c r="L37" s="74">
        <f>J37+'6'!L37</f>
        <v>0</v>
      </c>
      <c r="M37" s="77">
        <f>Production2!BP9</f>
        <v>0</v>
      </c>
      <c r="N37" s="74">
        <f>M37+'6'!N37</f>
        <v>0</v>
      </c>
      <c r="O37" s="74">
        <f>M37+'6'!O37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Production2!AK9</f>
        <v>0</v>
      </c>
      <c r="G38" s="75">
        <f>F38+'6'!G38</f>
        <v>0</v>
      </c>
      <c r="H38" s="75">
        <f>F38+'6'!H38</f>
        <v>0</v>
      </c>
      <c r="I38" s="195">
        <f>Production2!BR9</f>
        <v>156.30000000000001</v>
      </c>
      <c r="J38" s="195">
        <f>Production2!AL9</f>
        <v>0</v>
      </c>
      <c r="K38" s="74">
        <f>J38+'6'!K38</f>
        <v>0</v>
      </c>
      <c r="L38" s="74">
        <f>J38+'6'!L38</f>
        <v>0</v>
      </c>
      <c r="M38" s="195">
        <f>Production2!BT9</f>
        <v>92</v>
      </c>
      <c r="N38" s="74">
        <f>M38+'6'!N38</f>
        <v>699</v>
      </c>
      <c r="O38" s="74">
        <f>M38+'6'!O38</f>
        <v>699</v>
      </c>
      <c r="P38" s="74">
        <f>I38+J38+J44-M38-F60</f>
        <v>214.3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Production2!AN9</f>
        <v>0</v>
      </c>
      <c r="G39" s="75">
        <f>F39+'5'!G39</f>
        <v>24</v>
      </c>
      <c r="H39" s="75">
        <f>F39+'5'!H39</f>
        <v>24</v>
      </c>
      <c r="I39" s="195">
        <f>Production2!BV9</f>
        <v>486.8900000000001</v>
      </c>
      <c r="J39" s="195">
        <f>Production2!AO9</f>
        <v>0</v>
      </c>
      <c r="K39" s="74">
        <f>J39+'5'!K39</f>
        <v>1520</v>
      </c>
      <c r="L39" s="74">
        <f>J39+'5'!L39</f>
        <v>1520</v>
      </c>
      <c r="M39" s="77">
        <f>Production2!BX9</f>
        <v>211.76</v>
      </c>
      <c r="N39" s="443">
        <f>M39+'6'!N39</f>
        <v>1870.58</v>
      </c>
      <c r="O39" s="443">
        <f>M39+'6'!O39</f>
        <v>1870.58</v>
      </c>
      <c r="P39" s="74">
        <f>I39+J39+J45-M39</f>
        <v>520.13000000000011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</f>
        <v>15.62</v>
      </c>
      <c r="G40" s="132">
        <f t="shared" ref="G40:H40" si="8">G35+G36+G37+G38</f>
        <v>110.74000000000001</v>
      </c>
      <c r="H40" s="132">
        <f t="shared" si="8"/>
        <v>110.74000000000001</v>
      </c>
      <c r="I40" s="122">
        <f>I35+I36+I37+I38+I39</f>
        <v>3094.8579999999811</v>
      </c>
      <c r="J40" s="122">
        <f t="shared" ref="J40:O40" si="9">J35+J36+J37+J38+J39</f>
        <v>950</v>
      </c>
      <c r="K40" s="122">
        <f t="shared" si="9"/>
        <v>8341</v>
      </c>
      <c r="L40" s="122">
        <f t="shared" si="9"/>
        <v>8341</v>
      </c>
      <c r="M40" s="122">
        <f t="shared" si="9"/>
        <v>1980.26</v>
      </c>
      <c r="N40" s="122">
        <f>N35+N36+N37+N38+N39</f>
        <v>16069.21</v>
      </c>
      <c r="O40" s="122">
        <f t="shared" si="9"/>
        <v>16069.21</v>
      </c>
      <c r="P40" s="122">
        <f>P35+P36+P37+P38+P39</f>
        <v>3459.5979999999813</v>
      </c>
      <c r="Q40" s="123">
        <f t="shared" si="6"/>
        <v>60.819462227912936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Production2!AT9</f>
        <v>0</v>
      </c>
      <c r="G41" s="75">
        <f>F41+'6'!G41</f>
        <v>3</v>
      </c>
      <c r="H41" s="75">
        <f>F41+'6'!H41</f>
        <v>3</v>
      </c>
      <c r="I41" s="764"/>
      <c r="J41" s="77">
        <f>Production2!AU9</f>
        <v>0</v>
      </c>
      <c r="K41" s="74">
        <f>J41+'6'!K41</f>
        <v>180</v>
      </c>
      <c r="L41" s="74">
        <f>J41+'6'!L41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Production2!AQ9</f>
        <v>16.8</v>
      </c>
      <c r="G42" s="75">
        <f>F42+'6'!G42</f>
        <v>131.77000000000001</v>
      </c>
      <c r="H42" s="75">
        <f>F42+'6'!H42</f>
        <v>131.77000000000001</v>
      </c>
      <c r="I42" s="765"/>
      <c r="J42" s="77">
        <f>Production2!AR9</f>
        <v>1000</v>
      </c>
      <c r="K42" s="74">
        <f>J42+'6'!K42</f>
        <v>7711</v>
      </c>
      <c r="L42" s="74">
        <f>J42+'6'!L42</f>
        <v>7711</v>
      </c>
      <c r="M42" s="769"/>
      <c r="N42" s="770"/>
      <c r="O42" s="770"/>
      <c r="P42" s="771"/>
      <c r="Q42" s="96">
        <f t="shared" si="6"/>
        <v>59.523809523809518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Production2!AW9</f>
        <v>0</v>
      </c>
      <c r="G43" s="75">
        <f>F43+'6'!G43</f>
        <v>0</v>
      </c>
      <c r="H43" s="75">
        <f>F43+'6'!H43</f>
        <v>0</v>
      </c>
      <c r="I43" s="765"/>
      <c r="J43" s="77">
        <f>Production2!AX9</f>
        <v>0</v>
      </c>
      <c r="K43" s="74">
        <f>J43+'6'!K43</f>
        <v>0</v>
      </c>
      <c r="L43" s="74">
        <f>J43+'6'!L43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Production2!AZ9</f>
        <v>2.58</v>
      </c>
      <c r="G44" s="75">
        <f>F44+'6'!G44</f>
        <v>12.58</v>
      </c>
      <c r="H44" s="75">
        <f>F44+'6'!H44</f>
        <v>12.58</v>
      </c>
      <c r="I44" s="748"/>
      <c r="J44" s="195">
        <f>Production2!BA9</f>
        <v>150</v>
      </c>
      <c r="K44" s="74">
        <f>J44+'6'!K44</f>
        <v>700</v>
      </c>
      <c r="L44" s="74">
        <f>J44+'6'!L44</f>
        <v>700</v>
      </c>
      <c r="M44" s="769"/>
      <c r="N44" s="770"/>
      <c r="O44" s="770"/>
      <c r="P44" s="771"/>
      <c r="Q44" s="96">
        <f t="shared" si="6"/>
        <v>58.139534883720927</v>
      </c>
      <c r="R44" s="94"/>
      <c r="S44" s="94"/>
    </row>
    <row r="45" spans="2:19" x14ac:dyDescent="0.25">
      <c r="B45" s="754"/>
      <c r="C45" s="685"/>
      <c r="D45" s="80" t="s">
        <v>306</v>
      </c>
      <c r="E45" s="97"/>
      <c r="F45" s="84">
        <f>Production2!BC9</f>
        <v>4</v>
      </c>
      <c r="G45" s="75">
        <f>F45+'5'!G45</f>
        <v>8</v>
      </c>
      <c r="H45" s="75">
        <f>F45+'5'!H45</f>
        <v>8</v>
      </c>
      <c r="I45" s="431"/>
      <c r="J45" s="195">
        <f>Production2!BD9</f>
        <v>245</v>
      </c>
      <c r="K45" s="74">
        <f>J45+'5'!K45</f>
        <v>497</v>
      </c>
      <c r="L45" s="74">
        <f>J45+'5'!L45</f>
        <v>497</v>
      </c>
      <c r="M45" s="772"/>
      <c r="N45" s="773"/>
      <c r="O45" s="773"/>
      <c r="P45" s="774"/>
      <c r="Q45" s="96">
        <f t="shared" si="6"/>
        <v>61.25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23.380000000000003</v>
      </c>
      <c r="G46" s="132">
        <f t="shared" ref="G46:H46" si="10">G41+G42+G43+G44+G45</f>
        <v>155.35000000000002</v>
      </c>
      <c r="H46" s="132">
        <f t="shared" si="10"/>
        <v>155.35000000000002</v>
      </c>
      <c r="I46" s="132">
        <f t="shared" ref="I46" si="11">I41+I42+I43+I44</f>
        <v>0</v>
      </c>
      <c r="J46" s="132">
        <f>J41+J42+J43+J44+J45</f>
        <v>1395</v>
      </c>
      <c r="K46" s="132">
        <f>K41+K42+K43+K44+K45</f>
        <v>9088</v>
      </c>
      <c r="L46" s="132">
        <f>L41+L42+L43+L44+L45</f>
        <v>9088</v>
      </c>
      <c r="M46" s="132"/>
      <c r="N46" s="132"/>
      <c r="O46" s="132"/>
      <c r="P46" s="132"/>
      <c r="Q46" s="123">
        <f t="shared" si="6"/>
        <v>59.666381522668942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0.71171451020520038</v>
      </c>
      <c r="F50" s="99">
        <f>F53/(J31+J32)</f>
        <v>18.828360162282422</v>
      </c>
      <c r="G50" s="99">
        <f>G53/J32</f>
        <v>0</v>
      </c>
      <c r="H50" s="99">
        <f>H53/J34</f>
        <v>31.576719576719576</v>
      </c>
      <c r="I50" s="99">
        <f>I53/J33</f>
        <v>55.797794117647058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15.132275132275133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1.2479480882645682</v>
      </c>
      <c r="F51" s="102">
        <f>F50*1.55</f>
        <v>29.183958251537756</v>
      </c>
      <c r="G51" s="102">
        <f>G50*1.55</f>
        <v>0</v>
      </c>
      <c r="H51" s="102">
        <f>H50</f>
        <v>31.576719576719576</v>
      </c>
      <c r="I51" s="102">
        <f>I50*(Q50/100)</f>
        <v>8.4434757236227824</v>
      </c>
      <c r="J51" s="102"/>
      <c r="K51" s="102"/>
      <c r="L51" s="102"/>
      <c r="M51" s="96"/>
      <c r="N51" s="310">
        <f>SUM(E51:I51)</f>
        <v>70.45210164014469</v>
      </c>
      <c r="O51" s="668" t="s">
        <v>279</v>
      </c>
      <c r="P51" s="668"/>
      <c r="Q51" s="104">
        <v>5473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0.97004681248983204</v>
      </c>
      <c r="F52" s="102">
        <f>F51*M18/100</f>
        <v>22.685082772240108</v>
      </c>
      <c r="G52" s="102">
        <f>G51*M18/100</f>
        <v>0</v>
      </c>
      <c r="H52" s="102">
        <f>H51*M18/100</f>
        <v>24.545008291873977</v>
      </c>
      <c r="I52" s="102">
        <f>I51*M18/100</f>
        <v>6.5632270997951458</v>
      </c>
      <c r="J52" s="99">
        <f>J53/(J40+J46)</f>
        <v>41.768017057569296</v>
      </c>
      <c r="K52" s="99">
        <f>K53/(J46+J40)</f>
        <v>0.897228144989339</v>
      </c>
      <c r="L52" s="99">
        <f>L53/(M40)</f>
        <v>3.170795754092897</v>
      </c>
      <c r="M52" s="96">
        <f>M53/(J46+J40)</f>
        <v>2.2191897654584221</v>
      </c>
      <c r="N52" s="310">
        <f>SUM(E52:M52)</f>
        <v>102.81859569850901</v>
      </c>
      <c r="O52" s="668" t="s">
        <v>281</v>
      </c>
      <c r="P52" s="668"/>
      <c r="Q52" s="104">
        <f>Q51*Q50/100</f>
        <v>828.18941798941796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unit'!B9</f>
        <v>2337</v>
      </c>
      <c r="F53" s="118">
        <f>'Daily unit'!C9</f>
        <v>57547</v>
      </c>
      <c r="G53" s="118">
        <v>0</v>
      </c>
      <c r="H53" s="118">
        <f>'Daily unit'!E9</f>
        <v>59680</v>
      </c>
      <c r="I53" s="118">
        <f>'Daily unit'!F9</f>
        <v>15177</v>
      </c>
      <c r="J53" s="118">
        <f>'Daily unit'!G9</f>
        <v>97946</v>
      </c>
      <c r="K53" s="118">
        <f>'Daily unit'!H9</f>
        <v>2104</v>
      </c>
      <c r="L53" s="118">
        <f>'Daily unit'!I9</f>
        <v>6279</v>
      </c>
      <c r="M53" s="119">
        <f>'Daily unit'!J9</f>
        <v>5204</v>
      </c>
      <c r="N53" s="321">
        <f>SUM(E53:M53)</f>
        <v>246274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83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2">
        <v>1</v>
      </c>
      <c r="C57" s="828" t="s">
        <v>287</v>
      </c>
      <c r="D57" s="828"/>
      <c r="E57" s="80">
        <v>42.5</v>
      </c>
      <c r="F57" s="53">
        <f>'Internal use cement'!F9</f>
        <v>0</v>
      </c>
      <c r="G57" s="53">
        <f>F57+'6'!G57</f>
        <v>0</v>
      </c>
      <c r="H57" s="182">
        <f>F57+'6'!H57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8"/>
      <c r="C58" s="809"/>
      <c r="D58" s="809"/>
      <c r="E58" s="80" t="s">
        <v>197</v>
      </c>
      <c r="F58" s="53">
        <f>'Internal use cement'!Q9</f>
        <v>0</v>
      </c>
      <c r="G58" s="53">
        <f>F58+'6'!G58</f>
        <v>0</v>
      </c>
      <c r="H58" s="182">
        <f>F58+'6'!H58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8"/>
      <c r="C59" s="809"/>
      <c r="D59" s="809"/>
      <c r="E59" s="80">
        <v>32.5</v>
      </c>
      <c r="F59" s="53">
        <f>'Internal use cement'!AB9</f>
        <v>0</v>
      </c>
      <c r="G59" s="53">
        <f>F59+'6'!G59</f>
        <v>0</v>
      </c>
      <c r="H59" s="182">
        <f>F59+'6'!H59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35"/>
      <c r="C60" s="736"/>
      <c r="D60" s="736"/>
      <c r="E60" s="112" t="s">
        <v>177</v>
      </c>
      <c r="F60" s="113">
        <f>'Internal use cement'!AJ9</f>
        <v>0</v>
      </c>
      <c r="G60" s="113">
        <f>F60+'6'!G60</f>
        <v>0</v>
      </c>
      <c r="H60" s="198">
        <f>F60+'6'!H60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3">
    <mergeCell ref="P6:P7"/>
    <mergeCell ref="Q6:Q7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F28:H28"/>
    <mergeCell ref="I28:I29"/>
    <mergeCell ref="M25:N25"/>
    <mergeCell ref="C8:Q8"/>
    <mergeCell ref="C11:D11"/>
    <mergeCell ref="C12:D12"/>
    <mergeCell ref="C13:D13"/>
    <mergeCell ref="P13:Q13"/>
    <mergeCell ref="C21:D21"/>
    <mergeCell ref="O9:O16"/>
    <mergeCell ref="C10:D10"/>
    <mergeCell ref="N18:N20"/>
    <mergeCell ref="B23:B24"/>
    <mergeCell ref="C23:C24"/>
    <mergeCell ref="M23:N24"/>
    <mergeCell ref="P23:Q25"/>
    <mergeCell ref="C25:D25"/>
    <mergeCell ref="O18:O25"/>
    <mergeCell ref="P18:Q20"/>
    <mergeCell ref="Q21:Q22"/>
    <mergeCell ref="C22:D22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55:H55"/>
    <mergeCell ref="C56:E56"/>
    <mergeCell ref="C57:D60"/>
    <mergeCell ref="B57:B60"/>
    <mergeCell ref="I55:Q60"/>
    <mergeCell ref="B2:Q2"/>
    <mergeCell ref="B3:Q3"/>
    <mergeCell ref="C30:D30"/>
    <mergeCell ref="C31:D31"/>
    <mergeCell ref="C33:D33"/>
    <mergeCell ref="B26:Q26"/>
    <mergeCell ref="B27:Q27"/>
    <mergeCell ref="B28:B29"/>
    <mergeCell ref="C28:D29"/>
    <mergeCell ref="J28:L28"/>
    <mergeCell ref="M28:O28"/>
    <mergeCell ref="P28:P29"/>
    <mergeCell ref="Q28:Q29"/>
    <mergeCell ref="C17:Q17"/>
    <mergeCell ref="B18:B20"/>
    <mergeCell ref="C18:C20"/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I41:I44"/>
    <mergeCell ref="C34:D34"/>
    <mergeCell ref="B35:B40"/>
    <mergeCell ref="C35:C40"/>
    <mergeCell ref="M41:P45"/>
  </mergeCells>
  <pageMargins left="0" right="0" top="0.75" bottom="0.75" header="0.3" footer="0.3"/>
  <pageSetup paperSize="9" scale="5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6" sqref="S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321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'7'!L9</f>
        <v>21336.391701523407</v>
      </c>
      <c r="F9" s="74">
        <f>Production2!D10</f>
        <v>2999.7999999999997</v>
      </c>
      <c r="G9" s="74">
        <f>F9+'7'!G9</f>
        <v>11803.5</v>
      </c>
      <c r="H9" s="74">
        <f>F9+'7'!H9</f>
        <v>11803.5</v>
      </c>
      <c r="I9" s="74">
        <f>Production2!E10</f>
        <v>3312</v>
      </c>
      <c r="J9" s="74">
        <f>I9+'7'!J9</f>
        <v>10722</v>
      </c>
      <c r="K9" s="74">
        <f>I9+'7'!K9</f>
        <v>10722</v>
      </c>
      <c r="L9" s="74">
        <f>E9+F9-I9-I21</f>
        <v>20745.191701523407</v>
      </c>
      <c r="M9" s="75">
        <f>I9</f>
        <v>3312</v>
      </c>
      <c r="N9" s="75">
        <f>(I9/I13)*100</f>
        <v>98.075214687592535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(2)'!L10</f>
        <v>100.03999999999975</v>
      </c>
      <c r="F10" s="77">
        <f>'Mines (2)'!M10</f>
        <v>0</v>
      </c>
      <c r="G10" s="74">
        <f>F10+'7'!G10</f>
        <v>0</v>
      </c>
      <c r="H10" s="74">
        <f>F10+'7'!H10</f>
        <v>0</v>
      </c>
      <c r="I10" s="77">
        <f>'Mines (2)'!N10</f>
        <v>0</v>
      </c>
      <c r="J10" s="74">
        <f>I10+'7'!J10</f>
        <v>24</v>
      </c>
      <c r="K10" s="74">
        <f>I10+'7'!K10</f>
        <v>24</v>
      </c>
      <c r="L10" s="77">
        <f t="shared" ref="L10:L16" si="0">E10+F10-I10</f>
        <v>100.03999999999975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Clinker!C10</f>
        <v>5208.6399999999994</v>
      </c>
      <c r="F11" s="77">
        <f>Clinker!D10</f>
        <v>0</v>
      </c>
      <c r="G11" s="74">
        <f>F11+'7'!G11</f>
        <v>0</v>
      </c>
      <c r="H11" s="74">
        <f>F11+'7'!H11</f>
        <v>0</v>
      </c>
      <c r="I11" s="77">
        <f>Clinker!E10</f>
        <v>51</v>
      </c>
      <c r="J11" s="74">
        <f>I11+'7'!J11</f>
        <v>208</v>
      </c>
      <c r="K11" s="74">
        <f>I11+'7'!K11</f>
        <v>208</v>
      </c>
      <c r="L11" s="77">
        <f t="shared" si="0"/>
        <v>5157.6399999999994</v>
      </c>
      <c r="M11" s="75">
        <f t="shared" si="1"/>
        <v>51</v>
      </c>
      <c r="N11" s="75">
        <f>(I11/I13)*100</f>
        <v>1.5102161681966242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(2)'!Q10</f>
        <v>588.28</v>
      </c>
      <c r="F12" s="77">
        <f>'Mines (2)'!R10</f>
        <v>0</v>
      </c>
      <c r="G12" s="74">
        <f>F12+'7'!G12</f>
        <v>0</v>
      </c>
      <c r="H12" s="74">
        <f>F12+'7'!H12</f>
        <v>0</v>
      </c>
      <c r="I12" s="77">
        <f>'Mines (2)'!S10</f>
        <v>14</v>
      </c>
      <c r="J12" s="74">
        <f>I12+'7'!J12</f>
        <v>26</v>
      </c>
      <c r="K12" s="74">
        <f>I12+'7'!K12</f>
        <v>26</v>
      </c>
      <c r="L12" s="77">
        <f t="shared" si="0"/>
        <v>574.28</v>
      </c>
      <c r="M12" s="75">
        <f t="shared" si="1"/>
        <v>14</v>
      </c>
      <c r="N12" s="75">
        <f>(I12/I13)*100</f>
        <v>0.41456914421083801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27233.351701523407</v>
      </c>
      <c r="F13" s="127">
        <f t="shared" si="2"/>
        <v>2999.7999999999997</v>
      </c>
      <c r="G13" s="127">
        <f t="shared" si="2"/>
        <v>11803.5</v>
      </c>
      <c r="H13" s="127">
        <f t="shared" si="2"/>
        <v>11803.5</v>
      </c>
      <c r="I13" s="127">
        <f t="shared" si="2"/>
        <v>3377</v>
      </c>
      <c r="J13" s="127">
        <f t="shared" si="2"/>
        <v>10980</v>
      </c>
      <c r="K13" s="127">
        <f t="shared" si="2"/>
        <v>10980</v>
      </c>
      <c r="L13" s="127">
        <f t="shared" si="0"/>
        <v>26856.151701523406</v>
      </c>
      <c r="M13" s="128">
        <f>SUM(M9:M12)</f>
        <v>3377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Clinker!EA10</f>
        <v>15095.106999999989</v>
      </c>
      <c r="F14" s="77">
        <f>Clinker!EB10</f>
        <v>0</v>
      </c>
      <c r="G14" s="77">
        <f>F14+'7'!G14</f>
        <v>151.5</v>
      </c>
      <c r="H14" s="77">
        <f>F14+'7'!H14</f>
        <v>151.5</v>
      </c>
      <c r="I14" s="77">
        <f>Clinker!EC10</f>
        <v>330</v>
      </c>
      <c r="J14" s="77">
        <f>I14+'7'!J14</f>
        <v>1186.6600000000001</v>
      </c>
      <c r="K14" s="77">
        <f>I14+'7'!K14</f>
        <v>1186.6600000000001</v>
      </c>
      <c r="L14" s="77">
        <f>E14+F14-I14-Clinker!N10-Clinker!Z10-Clinker!AR10-Clinker!AW10-Clinker!BB10-Clinker!BV10-Clinker!BG10-Clinker!BL10-Clinker!BQ10-Clinker!CU10</f>
        <v>14765.106999999989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Clinker!EE10</f>
        <v>12176.699999999997</v>
      </c>
      <c r="F15" s="77">
        <f>Clinker!EF10</f>
        <v>30</v>
      </c>
      <c r="G15" s="77">
        <f>F15+'7'!G15</f>
        <v>125.05000000000001</v>
      </c>
      <c r="H15" s="77">
        <f>F15+'7'!H15</f>
        <v>125.05000000000001</v>
      </c>
      <c r="I15" s="77">
        <f>Clinker!EG10</f>
        <v>149</v>
      </c>
      <c r="J15" s="77">
        <f>I15+'7'!J15</f>
        <v>887</v>
      </c>
      <c r="K15" s="77">
        <f>I15+'7'!K15</f>
        <v>887</v>
      </c>
      <c r="L15" s="77">
        <f>E15+F15-Clinker!AE10-Clinker!AI10-Clinker!CK10-Clinker!CP10-Clinker!CF10</f>
        <v>12057.699999999997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27271.806999999986</v>
      </c>
      <c r="F16" s="125">
        <f>F14+F15</f>
        <v>30</v>
      </c>
      <c r="G16" s="125">
        <f t="shared" ref="G16:K16" si="3">G14+G15</f>
        <v>276.55</v>
      </c>
      <c r="H16" s="125">
        <f t="shared" si="3"/>
        <v>276.55</v>
      </c>
      <c r="I16" s="125">
        <f>I14+I15</f>
        <v>479</v>
      </c>
      <c r="J16" s="125">
        <f>J14+J15</f>
        <v>2073.66</v>
      </c>
      <c r="K16" s="125">
        <f t="shared" si="3"/>
        <v>2073.66</v>
      </c>
      <c r="L16" s="125">
        <f t="shared" si="0"/>
        <v>26822.806999999986</v>
      </c>
      <c r="M16" s="126"/>
      <c r="N16" s="126"/>
      <c r="O16" s="667"/>
      <c r="P16" s="84"/>
      <c r="Q16" s="131"/>
      <c r="R16" s="246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428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Clinker!EI10</f>
        <v>5465.9200912041488</v>
      </c>
      <c r="F18" s="74">
        <f>Clinker!EJ10</f>
        <v>2005</v>
      </c>
      <c r="G18" s="74">
        <f>F18+'7'!G18</f>
        <v>6575</v>
      </c>
      <c r="H18" s="74">
        <f>F18+'7'!H18</f>
        <v>6575</v>
      </c>
      <c r="I18" s="74">
        <f>Clinker!EK10</f>
        <v>135.95000000000005</v>
      </c>
      <c r="J18" s="74">
        <f>I18+'7'!J18</f>
        <v>2521.5700084225819</v>
      </c>
      <c r="K18" s="74">
        <f>I18+'7'!K18</f>
        <v>2521.5700084225819</v>
      </c>
      <c r="L18" s="99">
        <f>E18+F18-I18-I20</f>
        <v>7334.970091204149</v>
      </c>
      <c r="M18" s="704">
        <f>((I18+I19)/(J40+J46))*100</f>
        <v>77.229299363057322</v>
      </c>
      <c r="N18" s="687"/>
      <c r="O18" s="689"/>
      <c r="P18" s="691"/>
      <c r="Q18" s="692"/>
      <c r="R18" s="190"/>
      <c r="S18" s="20"/>
    </row>
    <row r="19" spans="2:19" ht="45" x14ac:dyDescent="0.25">
      <c r="B19" s="677"/>
      <c r="C19" s="685"/>
      <c r="D19" s="85" t="s">
        <v>75</v>
      </c>
      <c r="E19" s="74">
        <f>Clinker!EN10</f>
        <v>1618.4990080001371</v>
      </c>
      <c r="F19" s="74">
        <f>Clinker!EO10</f>
        <v>1486.03</v>
      </c>
      <c r="G19" s="74">
        <f>F19+'7'!G19</f>
        <v>5264.33</v>
      </c>
      <c r="H19" s="452">
        <f>F19+'7'!H19</f>
        <v>5264.33</v>
      </c>
      <c r="I19" s="74">
        <f>Clinker!EP10</f>
        <v>1076.55</v>
      </c>
      <c r="J19" s="74">
        <f>I19+'7'!J19</f>
        <v>12085.899999999998</v>
      </c>
      <c r="K19" s="74">
        <f>I19+'7'!K19</f>
        <v>12085.899999999998</v>
      </c>
      <c r="L19" s="74">
        <f>E19+F19-I19</f>
        <v>2027.9790080001369</v>
      </c>
      <c r="M19" s="705"/>
      <c r="N19" s="687"/>
      <c r="O19" s="689"/>
      <c r="P19" s="691"/>
      <c r="Q19" s="692"/>
      <c r="R19" s="19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Clinker!EM10</f>
        <v>0</v>
      </c>
      <c r="G20" s="74">
        <f>F20+'7'!G20</f>
        <v>0</v>
      </c>
      <c r="H20" s="74">
        <f>F20+'7'!H20</f>
        <v>0</v>
      </c>
      <c r="I20" s="77">
        <f>Clinker!EM10</f>
        <v>0</v>
      </c>
      <c r="J20" s="74">
        <f>I20+'7'!J20</f>
        <v>0</v>
      </c>
      <c r="K20" s="74">
        <f>I20+'7'!K20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Cement!Q10</f>
        <v>279</v>
      </c>
      <c r="J21" s="74">
        <f>I21+'7'!J21</f>
        <v>3441.1799956604182</v>
      </c>
      <c r="K21" s="74">
        <f>I21+'7'!K21</f>
        <v>3441.1799956604182</v>
      </c>
      <c r="L21" s="74"/>
      <c r="M21" s="78">
        <f>(I21/(J40+J46))*100</f>
        <v>17.770700636942674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Cement!C10</f>
        <v>7314.2700632327787</v>
      </c>
      <c r="F22" s="77">
        <f>Cement!D10</f>
        <v>377.2</v>
      </c>
      <c r="G22" s="74">
        <f>F22+'7'!G22</f>
        <v>1117.94</v>
      </c>
      <c r="H22" s="452">
        <f>F22+'7'!H22</f>
        <v>1117.94</v>
      </c>
      <c r="I22" s="77">
        <f>Cement!E10</f>
        <v>78.5</v>
      </c>
      <c r="J22" s="74">
        <f>I22+'7'!J22</f>
        <v>950.34999591699989</v>
      </c>
      <c r="K22" s="74">
        <f>I22+'7'!K22</f>
        <v>950.34999591699989</v>
      </c>
      <c r="L22" s="74">
        <f t="shared" ref="L22:L24" si="4">E22+F22-I22</f>
        <v>7612.9700632327786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Cement!G10</f>
        <v>0.23999999999796273</v>
      </c>
      <c r="F23" s="77">
        <f>Cement!H10</f>
        <v>0</v>
      </c>
      <c r="G23" s="74">
        <f>F23+'7'!G23</f>
        <v>0</v>
      </c>
      <c r="H23" s="74">
        <f>F23+'7'!H23</f>
        <v>0</v>
      </c>
      <c r="I23" s="77">
        <f>Cement!I10</f>
        <v>0</v>
      </c>
      <c r="J23" s="74">
        <f>I23+'7'!J23</f>
        <v>0</v>
      </c>
      <c r="K23" s="74">
        <f>I23+'7'!K23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Cement!K10</f>
        <v>0</v>
      </c>
      <c r="F24" s="77">
        <f>Cement!L10</f>
        <v>0</v>
      </c>
      <c r="G24" s="74">
        <f>F24+'7'!G24</f>
        <v>0</v>
      </c>
      <c r="H24" s="74">
        <f>F24+'7'!H24</f>
        <v>0</v>
      </c>
      <c r="I24" s="77">
        <f>Cement!M10</f>
        <v>0</v>
      </c>
      <c r="J24" s="74">
        <f>I24+'7'!J24</f>
        <v>0</v>
      </c>
      <c r="K24" s="74">
        <f>I24+'7'!K24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14398.929162437063</v>
      </c>
      <c r="F25" s="122">
        <f t="shared" ref="F25:L25" si="5">F18+F19+F21+F22+F23+F24</f>
        <v>3868.2299999999996</v>
      </c>
      <c r="G25" s="122">
        <f t="shared" si="5"/>
        <v>12957.27</v>
      </c>
      <c r="H25" s="122">
        <f t="shared" si="5"/>
        <v>12957.27</v>
      </c>
      <c r="I25" s="122">
        <f>I18+I19+I21+I22+I23+I24</f>
        <v>1570</v>
      </c>
      <c r="J25" s="122">
        <f t="shared" si="5"/>
        <v>18999</v>
      </c>
      <c r="K25" s="122">
        <f t="shared" si="5"/>
        <v>18999</v>
      </c>
      <c r="L25" s="122">
        <f t="shared" si="5"/>
        <v>16976.159162437063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Production2!C10</f>
        <v>14.23</v>
      </c>
      <c r="G30" s="75">
        <f>F30+'7'!G30</f>
        <v>48.129999999999995</v>
      </c>
      <c r="H30" s="75">
        <f>F30+'7'!H30</f>
        <v>48.129999999999995</v>
      </c>
      <c r="I30" s="74">
        <f>'Mines (2)'!C10+'Mines (2)'!H10+'Mines (2)'!V10+'Mines (2)'!Z10+'Mines (2)'!AD10</f>
        <v>21336.391701523415</v>
      </c>
      <c r="J30" s="74">
        <f>Production2!D10</f>
        <v>2999.7999999999997</v>
      </c>
      <c r="K30" s="74">
        <f>J30+'7'!K30</f>
        <v>11803.5</v>
      </c>
      <c r="L30" s="74">
        <f>J30+'7'!L30</f>
        <v>11803.5</v>
      </c>
      <c r="M30" s="74">
        <f>I9+I21</f>
        <v>3591</v>
      </c>
      <c r="N30" s="74">
        <f>M30+'7'!N30</f>
        <v>14163.179995660419</v>
      </c>
      <c r="O30" s="74">
        <f>M30+'7'!O30</f>
        <v>14163.179995660419</v>
      </c>
      <c r="P30" s="74">
        <f>I30+J30-M30</f>
        <v>20745.191701523414</v>
      </c>
      <c r="Q30" s="93">
        <f>J30/F30</f>
        <v>210.80815179198873</v>
      </c>
      <c r="R30" s="94"/>
      <c r="S30" s="94"/>
    </row>
    <row r="31" spans="2:19" x14ac:dyDescent="0.25">
      <c r="B31" s="79">
        <v>2</v>
      </c>
      <c r="C31" s="680" t="s">
        <v>264</v>
      </c>
      <c r="D31" s="681"/>
      <c r="E31" s="95">
        <v>120</v>
      </c>
      <c r="F31" s="78">
        <f>Production2!G10</f>
        <v>21.9</v>
      </c>
      <c r="G31" s="75">
        <f>F31+'7'!G31</f>
        <v>75.62</v>
      </c>
      <c r="H31" s="75">
        <f>F31+'7'!H31</f>
        <v>75.62</v>
      </c>
      <c r="I31" s="747">
        <f>Production2!H10</f>
        <v>1753.9200168375191</v>
      </c>
      <c r="J31" s="78">
        <f>Production2!N10</f>
        <v>2860</v>
      </c>
      <c r="K31" s="74">
        <f>J31+'7'!K31</f>
        <v>9485.2900000000009</v>
      </c>
      <c r="L31" s="74">
        <f>J31+'7'!L31</f>
        <v>9485.2900000000009</v>
      </c>
      <c r="M31" s="747">
        <f>Production2!K10</f>
        <v>3107.75</v>
      </c>
      <c r="N31" s="747">
        <f>M31+'7'!N31</f>
        <v>10191.25</v>
      </c>
      <c r="O31" s="747">
        <f>M31+'7'!O31</f>
        <v>10191.25</v>
      </c>
      <c r="P31" s="747">
        <f>I31+J31+J32-M31</f>
        <v>1687.0000168375191</v>
      </c>
      <c r="Q31" s="96">
        <f t="shared" ref="Q31:Q46" si="6">J31/F31</f>
        <v>130.59360730593608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Production2!P10</f>
        <v>18.55</v>
      </c>
      <c r="G32" s="75">
        <f>F32+'7'!G32</f>
        <v>42.22</v>
      </c>
      <c r="H32" s="75">
        <f>F32+'7'!H32</f>
        <v>42.22</v>
      </c>
      <c r="I32" s="748"/>
      <c r="J32" s="78">
        <f>Production2!Q10</f>
        <v>180.83</v>
      </c>
      <c r="K32" s="74">
        <f>J32+'7'!K32</f>
        <v>399.23</v>
      </c>
      <c r="L32" s="74">
        <f>J32+'7'!L32</f>
        <v>399.23</v>
      </c>
      <c r="M32" s="748"/>
      <c r="N32" s="748"/>
      <c r="O32" s="748"/>
      <c r="P32" s="748"/>
      <c r="Q32" s="96">
        <f>J32/F32</f>
        <v>9.7482479784366571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Production2!S10</f>
        <v>20.5</v>
      </c>
      <c r="G33" s="75">
        <f>F33+'7'!G33</f>
        <v>80.36</v>
      </c>
      <c r="H33" s="75">
        <f>F33+'7'!H33</f>
        <v>80.36</v>
      </c>
      <c r="I33" s="77">
        <f>Production2!T10</f>
        <v>24.509999999999991</v>
      </c>
      <c r="J33" s="77">
        <f>Production2!U10</f>
        <v>297</v>
      </c>
      <c r="K33" s="74">
        <f>J33+'7'!K33</f>
        <v>1068</v>
      </c>
      <c r="L33" s="74">
        <f>J33+'7'!L33</f>
        <v>1068</v>
      </c>
      <c r="M33" s="77">
        <f>Production2!V10</f>
        <v>295</v>
      </c>
      <c r="N33" s="74">
        <f>M33+'7'!N33</f>
        <v>1057</v>
      </c>
      <c r="O33" s="74">
        <f>M33+'7'!O33</f>
        <v>1057</v>
      </c>
      <c r="P33" s="74">
        <f t="shared" ref="P33" si="7">I33+J33-M33</f>
        <v>26.509999999999991</v>
      </c>
      <c r="Q33" s="96">
        <f t="shared" si="6"/>
        <v>14.487804878048781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Production2!Y10</f>
        <v>24</v>
      </c>
      <c r="G34" s="75">
        <f>F34+'7'!G34</f>
        <v>93.68</v>
      </c>
      <c r="H34" s="75">
        <f>F34+'7'!H34</f>
        <v>93.68</v>
      </c>
      <c r="I34" s="77">
        <f>Clinker!EI10</f>
        <v>5465.9200912041488</v>
      </c>
      <c r="J34" s="77">
        <f>Clinker!EJ10</f>
        <v>2005</v>
      </c>
      <c r="K34" s="74">
        <f>J34+'7'!K34</f>
        <v>6575</v>
      </c>
      <c r="L34" s="74">
        <f>J34+'7'!L34</f>
        <v>6575</v>
      </c>
      <c r="M34" s="77">
        <f>Clinker!EK10</f>
        <v>135.95000000000005</v>
      </c>
      <c r="N34" s="74">
        <f>M34+'7'!N34</f>
        <v>2521.5700084225819</v>
      </c>
      <c r="O34" s="74">
        <f>M34+'7'!O34</f>
        <v>2521.5700084225819</v>
      </c>
      <c r="P34" s="74">
        <f>I34+J34-M34-I20</f>
        <v>7334.970091204149</v>
      </c>
      <c r="Q34" s="96">
        <f t="shared" si="6"/>
        <v>83.541666666666671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Production2!AE10</f>
        <v>0</v>
      </c>
      <c r="G35" s="75">
        <f>F35+'7'!G35</f>
        <v>6</v>
      </c>
      <c r="H35" s="75">
        <f>F35+'7'!H35</f>
        <v>6</v>
      </c>
      <c r="I35" s="77">
        <f>Production2!BJ10</f>
        <v>131.29999999999995</v>
      </c>
      <c r="J35" s="77">
        <f>Production2!AF10</f>
        <v>0</v>
      </c>
      <c r="K35" s="74">
        <f>J35+'7'!K35</f>
        <v>384</v>
      </c>
      <c r="L35" s="74">
        <f>J35+'7'!L35</f>
        <v>384</v>
      </c>
      <c r="M35" s="77">
        <f>Production2!BL10</f>
        <v>12.5</v>
      </c>
      <c r="N35" s="74">
        <f>M35+'7'!N35</f>
        <v>677.5</v>
      </c>
      <c r="O35" s="74">
        <f>M35+'7'!O35</f>
        <v>677.5</v>
      </c>
      <c r="P35" s="74">
        <f>I35+J35+J41-M35-F59</f>
        <v>118.79999999999995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Production2!AB10</f>
        <v>11.9</v>
      </c>
      <c r="G36" s="75">
        <f>F36+'7'!G36</f>
        <v>116.64000000000001</v>
      </c>
      <c r="H36" s="75">
        <f>F36+'7'!H36</f>
        <v>116.64000000000001</v>
      </c>
      <c r="I36" s="77">
        <f>Production2!BF10</f>
        <v>2591.9279999999799</v>
      </c>
      <c r="J36" s="77">
        <f>Production2!AC10</f>
        <v>690</v>
      </c>
      <c r="K36" s="74">
        <f>J36+'7'!K36</f>
        <v>7127</v>
      </c>
      <c r="L36" s="74">
        <f>J36+'7'!L36</f>
        <v>7127</v>
      </c>
      <c r="M36" s="77">
        <f>Production2!BH10</f>
        <v>1045.5</v>
      </c>
      <c r="N36" s="74">
        <f>M36+'7'!N36</f>
        <v>13880.13</v>
      </c>
      <c r="O36" s="74">
        <f>M36+'7'!O36</f>
        <v>13880.13</v>
      </c>
      <c r="P36" s="74">
        <f>I36+J36+J42-M36-F57</f>
        <v>2796.4279999999799</v>
      </c>
      <c r="Q36" s="96">
        <f t="shared" si="6"/>
        <v>57.983193277310924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Production2!AH10</f>
        <v>0</v>
      </c>
      <c r="G37" s="75">
        <f>F37+'7'!G37</f>
        <v>0</v>
      </c>
      <c r="H37" s="75">
        <f>F37+'7'!H37</f>
        <v>0</v>
      </c>
      <c r="I37" s="77">
        <f>Production2!BN10</f>
        <v>1.9400000000008499</v>
      </c>
      <c r="J37" s="77">
        <f>Production2!AI10</f>
        <v>0</v>
      </c>
      <c r="K37" s="74">
        <f>J37+'7'!K37</f>
        <v>0</v>
      </c>
      <c r="L37" s="74">
        <f>J37+'7'!L37</f>
        <v>0</v>
      </c>
      <c r="M37" s="77">
        <f>Production2!BP10</f>
        <v>0</v>
      </c>
      <c r="N37" s="74">
        <f>M37+'7'!N37</f>
        <v>0</v>
      </c>
      <c r="O37" s="74">
        <f>M37+'7'!O37</f>
        <v>0</v>
      </c>
      <c r="P37" s="74">
        <f>I37+J37+J43-M37-F58</f>
        <v>1.9400000000008499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Production2!AK10</f>
        <v>0</v>
      </c>
      <c r="G38" s="75">
        <f>F38+'7'!G38</f>
        <v>0</v>
      </c>
      <c r="H38" s="75">
        <f>F38+'7'!H38</f>
        <v>0</v>
      </c>
      <c r="I38" s="195">
        <f>Production2!BR10</f>
        <v>214.3</v>
      </c>
      <c r="J38" s="195">
        <f>Production2!AL10</f>
        <v>0</v>
      </c>
      <c r="K38" s="74">
        <f>J38+'7'!K38</f>
        <v>0</v>
      </c>
      <c r="L38" s="74">
        <f>J38+'7'!L38</f>
        <v>0</v>
      </c>
      <c r="M38" s="195">
        <f>Production2!BT10</f>
        <v>92</v>
      </c>
      <c r="N38" s="74">
        <f>M38+'7'!N38</f>
        <v>791</v>
      </c>
      <c r="O38" s="74">
        <f>M38+'7'!O38</f>
        <v>791</v>
      </c>
      <c r="P38" s="74">
        <f>I38+J38+J44-M38-F60</f>
        <v>242.3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44" t="s">
        <v>306</v>
      </c>
      <c r="E39" s="451"/>
      <c r="F39" s="446">
        <f>Production2!AN10</f>
        <v>3.35</v>
      </c>
      <c r="G39" s="447">
        <f>F39+'7'!G39</f>
        <v>27.35</v>
      </c>
      <c r="H39" s="447">
        <f>F39+'7'!H39</f>
        <v>27.35</v>
      </c>
      <c r="I39" s="448">
        <f>Production2!BV10</f>
        <v>520.13000000000011</v>
      </c>
      <c r="J39" s="448">
        <f>Production2!AO10</f>
        <v>200</v>
      </c>
      <c r="K39" s="449">
        <f>J39+'7'!K39</f>
        <v>1720</v>
      </c>
      <c r="L39" s="449">
        <f>J39+'7'!L39</f>
        <v>1720</v>
      </c>
      <c r="M39" s="77">
        <f>Production2!BX10</f>
        <v>211.92</v>
      </c>
      <c r="N39" s="449">
        <f>M39+'7'!N39</f>
        <v>2082.5</v>
      </c>
      <c r="O39" s="449">
        <f>M39+'7'!O39</f>
        <v>2082.5</v>
      </c>
      <c r="P39" s="449">
        <f>I39+J39+J45-M39</f>
        <v>508.21000000000015</v>
      </c>
      <c r="Q39" s="96">
        <f t="shared" si="6"/>
        <v>59.701492537313435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15.25</v>
      </c>
      <c r="G40" s="132">
        <f t="shared" ref="G40:H40" si="8">G35+G36+G37+G38+G39</f>
        <v>149.99</v>
      </c>
      <c r="H40" s="132">
        <f t="shared" si="8"/>
        <v>149.99</v>
      </c>
      <c r="I40" s="122">
        <f>I35+I36+I37+I38+I39</f>
        <v>3459.5979999999813</v>
      </c>
      <c r="J40" s="445">
        <f t="shared" ref="J40:P40" si="9">J35+J36+J37+J38+J39</f>
        <v>890</v>
      </c>
      <c r="K40" s="445">
        <f t="shared" si="9"/>
        <v>9231</v>
      </c>
      <c r="L40" s="445">
        <f t="shared" si="9"/>
        <v>9231</v>
      </c>
      <c r="M40" s="445">
        <f t="shared" si="9"/>
        <v>1361.92</v>
      </c>
      <c r="N40" s="445">
        <f t="shared" si="9"/>
        <v>17431.129999999997</v>
      </c>
      <c r="O40" s="445">
        <f t="shared" si="9"/>
        <v>17431.129999999997</v>
      </c>
      <c r="P40" s="445">
        <f t="shared" si="9"/>
        <v>3667.6779999999812</v>
      </c>
      <c r="Q40" s="123">
        <f t="shared" si="6"/>
        <v>58.360655737704917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Production2!AT10</f>
        <v>0</v>
      </c>
      <c r="G41" s="75">
        <f>F41+'7'!G41</f>
        <v>3</v>
      </c>
      <c r="H41" s="75">
        <f>F41+'7'!H41</f>
        <v>3</v>
      </c>
      <c r="I41" s="764"/>
      <c r="J41" s="77">
        <f>Production2!AU10</f>
        <v>0</v>
      </c>
      <c r="K41" s="74">
        <f>J41+'7'!K41</f>
        <v>180</v>
      </c>
      <c r="L41" s="74">
        <f>J41+'7'!L41</f>
        <v>180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Production2!AQ10</f>
        <v>9.73</v>
      </c>
      <c r="G42" s="75">
        <f>F42+'7'!G42</f>
        <v>141.5</v>
      </c>
      <c r="H42" s="75">
        <f>F42+'7'!H42</f>
        <v>141.5</v>
      </c>
      <c r="I42" s="765"/>
      <c r="J42" s="77">
        <f>Production2!AR10</f>
        <v>560</v>
      </c>
      <c r="K42" s="74">
        <f>J42+'7'!K42</f>
        <v>8271</v>
      </c>
      <c r="L42" s="74">
        <f>J42+'7'!L42</f>
        <v>8271</v>
      </c>
      <c r="M42" s="769"/>
      <c r="N42" s="829"/>
      <c r="O42" s="829"/>
      <c r="P42" s="771"/>
      <c r="Q42" s="96">
        <f>J42/F42</f>
        <v>57.553956834532372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Production2!AW10</f>
        <v>0</v>
      </c>
      <c r="G43" s="75">
        <f>F43+'7'!G43</f>
        <v>0</v>
      </c>
      <c r="H43" s="75">
        <f>F43+'7'!H43</f>
        <v>0</v>
      </c>
      <c r="I43" s="765"/>
      <c r="J43" s="77">
        <f>Production2!AX10</f>
        <v>0</v>
      </c>
      <c r="K43" s="74">
        <f>J43+'7'!K43</f>
        <v>0</v>
      </c>
      <c r="L43" s="74">
        <f>J43+'7'!L43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Production2!AZ10</f>
        <v>2.2000000000000002</v>
      </c>
      <c r="G44" s="75">
        <f>F44+'7'!G44</f>
        <v>14.780000000000001</v>
      </c>
      <c r="H44" s="75">
        <f>F44+'7'!H44</f>
        <v>14.780000000000001</v>
      </c>
      <c r="I44" s="748"/>
      <c r="J44" s="195">
        <f>Production2!BA10</f>
        <v>120</v>
      </c>
      <c r="K44" s="74">
        <f>J44+'7'!K44</f>
        <v>820</v>
      </c>
      <c r="L44" s="74">
        <f>J44+'7'!L44</f>
        <v>820</v>
      </c>
      <c r="M44" s="769"/>
      <c r="N44" s="829"/>
      <c r="O44" s="829"/>
      <c r="P44" s="771"/>
      <c r="Q44" s="96">
        <f t="shared" si="6"/>
        <v>54.54545454545454</v>
      </c>
      <c r="R44" s="94"/>
      <c r="S44" s="94"/>
    </row>
    <row r="45" spans="2:19" x14ac:dyDescent="0.25">
      <c r="B45" s="754"/>
      <c r="C45" s="685"/>
      <c r="D45" s="444" t="s">
        <v>306</v>
      </c>
      <c r="E45" s="451"/>
      <c r="F45" s="446">
        <f>Production2!BC10</f>
        <v>0</v>
      </c>
      <c r="G45" s="447">
        <f>F45+'7'!G45</f>
        <v>8</v>
      </c>
      <c r="H45" s="447">
        <f>F45+'7'!H45</f>
        <v>8</v>
      </c>
      <c r="I45" s="450"/>
      <c r="J45" s="448">
        <f>Production2!BD10</f>
        <v>0</v>
      </c>
      <c r="K45" s="449">
        <f>J45+'7'!K45</f>
        <v>497</v>
      </c>
      <c r="L45" s="449">
        <f>J45+'7'!L45</f>
        <v>497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11.93</v>
      </c>
      <c r="G46" s="132">
        <f t="shared" ref="G46:H46" si="10">G41+G42+G43+G44+G45</f>
        <v>167.28</v>
      </c>
      <c r="H46" s="132">
        <f t="shared" si="10"/>
        <v>167.28</v>
      </c>
      <c r="I46" s="122">
        <f t="shared" ref="I46" si="11">I41+I42+I43+I44</f>
        <v>0</v>
      </c>
      <c r="J46" s="122">
        <f>J41+J42+J43+J44+J45</f>
        <v>680</v>
      </c>
      <c r="K46" s="445">
        <f t="shared" ref="K46:L46" si="12">K41+K42+K43+K44+K45</f>
        <v>9768</v>
      </c>
      <c r="L46" s="445">
        <f t="shared" si="12"/>
        <v>9768</v>
      </c>
      <c r="M46" s="445"/>
      <c r="N46" s="445"/>
      <c r="O46" s="445"/>
      <c r="P46" s="445"/>
      <c r="Q46" s="123">
        <f t="shared" si="6"/>
        <v>56.99916177703269</v>
      </c>
      <c r="R46" s="94"/>
      <c r="S46" s="94"/>
    </row>
    <row r="47" spans="2:19" ht="15.75" thickBot="1" x14ac:dyDescent="0.3">
      <c r="B47" s="830"/>
      <c r="C47" s="831"/>
      <c r="D47" s="831"/>
      <c r="E47" s="831"/>
      <c r="F47" s="831"/>
      <c r="G47" s="831"/>
      <c r="H47" s="831"/>
      <c r="I47" s="831"/>
      <c r="J47" s="831"/>
      <c r="K47" s="831"/>
      <c r="L47" s="831"/>
      <c r="M47" s="831"/>
      <c r="N47" s="831"/>
      <c r="O47" s="831"/>
      <c r="P47" s="831"/>
      <c r="Q47" s="832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0.84238949263284224</v>
      </c>
      <c r="F50" s="99">
        <f>F53/(J31+J32)</f>
        <v>21.605943114215528</v>
      </c>
      <c r="G50" s="99">
        <f>G53/J32</f>
        <v>0</v>
      </c>
      <c r="H50" s="99">
        <f>H53/J34</f>
        <v>29.967581047381547</v>
      </c>
      <c r="I50" s="99">
        <f>I53/J33</f>
        <v>52.535353535353536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14.713216957605985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1.3915182042892638</v>
      </c>
      <c r="F51" s="102">
        <f>F50*1.55</f>
        <v>33.489211827034069</v>
      </c>
      <c r="G51" s="102">
        <f>G50*1.55</f>
        <v>0</v>
      </c>
      <c r="H51" s="102">
        <f>H50</f>
        <v>29.967581047381547</v>
      </c>
      <c r="I51" s="102">
        <f>I50*(Q50/100)</f>
        <v>7.7296405451018915</v>
      </c>
      <c r="J51" s="102"/>
      <c r="K51" s="102"/>
      <c r="L51" s="102"/>
      <c r="M51" s="96"/>
      <c r="N51" s="310">
        <f>SUM(E51:I51)</f>
        <v>72.577951623806769</v>
      </c>
      <c r="O51" s="668" t="s">
        <v>279</v>
      </c>
      <c r="P51" s="668"/>
      <c r="Q51" s="104">
        <v>5351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1.0746597596819951</v>
      </c>
      <c r="F52" s="102">
        <f>F51*M18/100</f>
        <v>25.863483656228542</v>
      </c>
      <c r="G52" s="102">
        <f>G51*M18/100</f>
        <v>0</v>
      </c>
      <c r="H52" s="102">
        <f>H51*M18/100</f>
        <v>23.143752878949122</v>
      </c>
      <c r="I52" s="102">
        <f>I51*M18/100</f>
        <v>5.9695472362649955</v>
      </c>
      <c r="J52" s="99">
        <f>J53/(J40+J46)</f>
        <v>42.972611464968153</v>
      </c>
      <c r="K52" s="99">
        <f>K53/(J46+J40)</f>
        <v>1.2267515923566878</v>
      </c>
      <c r="L52" s="99">
        <f>L53/(M40)</f>
        <v>5.2213052161654137</v>
      </c>
      <c r="M52" s="96">
        <f>M53/(J46+J40)</f>
        <v>2.5923566878980893</v>
      </c>
      <c r="N52" s="310">
        <f>SUM(E52:M52)</f>
        <v>108.06446849251302</v>
      </c>
      <c r="O52" s="668" t="s">
        <v>281</v>
      </c>
      <c r="P52" s="668"/>
      <c r="Q52" s="104">
        <f>Q51*Q50/100</f>
        <v>787.30423940149626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unit'!B10</f>
        <v>2527</v>
      </c>
      <c r="F53" s="118">
        <f>'Daily unit'!C10</f>
        <v>65700</v>
      </c>
      <c r="G53" s="118">
        <f>'Daily unit'!D10</f>
        <v>0</v>
      </c>
      <c r="H53" s="118">
        <f>'Daily unit'!E10</f>
        <v>60085</v>
      </c>
      <c r="I53" s="118">
        <f>'Daily unit'!F10</f>
        <v>15603</v>
      </c>
      <c r="J53" s="118">
        <f>'Daily unit'!G10</f>
        <v>67467</v>
      </c>
      <c r="K53" s="118">
        <f>'Daily unit'!H10</f>
        <v>1926</v>
      </c>
      <c r="L53" s="118">
        <f>'Daily unit'!I10</f>
        <v>7111</v>
      </c>
      <c r="M53" s="119">
        <f>'Daily unit'!J10</f>
        <v>4070</v>
      </c>
      <c r="N53" s="321">
        <f>SUM(E53:M53)</f>
        <v>224489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83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05">
        <v>1</v>
      </c>
      <c r="C57" s="783" t="s">
        <v>287</v>
      </c>
      <c r="D57" s="784"/>
      <c r="E57" s="80">
        <v>42.5</v>
      </c>
      <c r="F57" s="53">
        <f>'Internal use cement'!F10</f>
        <v>0</v>
      </c>
      <c r="G57" s="53">
        <f>F57+'7'!G57</f>
        <v>0</v>
      </c>
      <c r="H57" s="182">
        <f>F57+'7'!H57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6"/>
      <c r="C58" s="785"/>
      <c r="D58" s="786"/>
      <c r="E58" s="80" t="s">
        <v>197</v>
      </c>
      <c r="F58" s="53">
        <f>'Internal use cement'!Q10</f>
        <v>0</v>
      </c>
      <c r="G58" s="53">
        <f>F58+'7'!G58</f>
        <v>0</v>
      </c>
      <c r="H58" s="182">
        <f>F58+'7'!H58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6"/>
      <c r="C59" s="785"/>
      <c r="D59" s="786"/>
      <c r="E59" s="80">
        <v>32.5</v>
      </c>
      <c r="F59" s="53">
        <f>'Internal use cement'!AB10</f>
        <v>0</v>
      </c>
      <c r="G59" s="53">
        <f>F59+'7'!G59</f>
        <v>0</v>
      </c>
      <c r="H59" s="221">
        <f>F59+'7'!H59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07"/>
      <c r="C60" s="787"/>
      <c r="D60" s="788"/>
      <c r="E60" s="112" t="s">
        <v>177</v>
      </c>
      <c r="F60" s="113">
        <f>'Internal use cement'!AJ10</f>
        <v>0</v>
      </c>
      <c r="G60" s="220">
        <f>F60+'7'!G60</f>
        <v>0</v>
      </c>
      <c r="H60" s="198">
        <f>F60+'7'!H60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C30:D30"/>
    <mergeCell ref="C31:D31"/>
    <mergeCell ref="C33:D33"/>
    <mergeCell ref="C34:D34"/>
    <mergeCell ref="C17:Q17"/>
    <mergeCell ref="C18:C20"/>
    <mergeCell ref="N18:N20"/>
    <mergeCell ref="O18:O25"/>
    <mergeCell ref="P18:Q20"/>
    <mergeCell ref="B26:Q26"/>
    <mergeCell ref="B27:Q27"/>
    <mergeCell ref="B28:B29"/>
    <mergeCell ref="C28:D29"/>
    <mergeCell ref="F28:H28"/>
    <mergeCell ref="I28:I29"/>
    <mergeCell ref="J28:L28"/>
    <mergeCell ref="I55:Q60"/>
    <mergeCell ref="C56:E56"/>
    <mergeCell ref="B54:Q54"/>
    <mergeCell ref="B47:Q47"/>
    <mergeCell ref="C49:D49"/>
    <mergeCell ref="C52:D52"/>
    <mergeCell ref="O52:P52"/>
    <mergeCell ref="C53:D53"/>
    <mergeCell ref="O49:P49"/>
    <mergeCell ref="C50:D50"/>
    <mergeCell ref="O50:P50"/>
    <mergeCell ref="C51:D51"/>
    <mergeCell ref="C57:D60"/>
    <mergeCell ref="O51:P51"/>
    <mergeCell ref="B57:B60"/>
    <mergeCell ref="B55:H55"/>
    <mergeCell ref="M28:O28"/>
    <mergeCell ref="P28:P29"/>
    <mergeCell ref="Q28:Q29"/>
    <mergeCell ref="Q21:Q22"/>
    <mergeCell ref="C22:D22"/>
    <mergeCell ref="M18:M19"/>
    <mergeCell ref="B23:B24"/>
    <mergeCell ref="C23:C24"/>
    <mergeCell ref="M23:N24"/>
    <mergeCell ref="P23:Q25"/>
    <mergeCell ref="C25:D25"/>
    <mergeCell ref="M25:N25"/>
    <mergeCell ref="C21:D21"/>
    <mergeCell ref="B18:B20"/>
    <mergeCell ref="C11:D11"/>
    <mergeCell ref="C12:D12"/>
    <mergeCell ref="P6:P7"/>
    <mergeCell ref="Q6:Q7"/>
    <mergeCell ref="C13:D13"/>
    <mergeCell ref="P13:Q13"/>
    <mergeCell ref="O9:O16"/>
    <mergeCell ref="C10:D10"/>
    <mergeCell ref="C9:D9"/>
    <mergeCell ref="B14:B16"/>
    <mergeCell ref="C14:C16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M31:M32"/>
    <mergeCell ref="N31:N32"/>
    <mergeCell ref="O31:O32"/>
    <mergeCell ref="P31:P32"/>
    <mergeCell ref="B48:N48"/>
    <mergeCell ref="O48:Q48"/>
    <mergeCell ref="B35:B40"/>
    <mergeCell ref="C35:C40"/>
    <mergeCell ref="I41:I44"/>
    <mergeCell ref="C32:D32"/>
    <mergeCell ref="I31:I32"/>
    <mergeCell ref="B41:B46"/>
    <mergeCell ref="C41:C46"/>
    <mergeCell ref="M41:P45"/>
  </mergeCells>
  <pageMargins left="0" right="0" top="0.75" bottom="0.75" header="0.3" footer="0.3"/>
  <pageSetup paperSize="9" scale="5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7" sqref="S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322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 t="s">
        <v>293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3" t="s">
        <v>244</v>
      </c>
      <c r="D9" s="73" t="s">
        <v>29</v>
      </c>
      <c r="E9" s="74">
        <f>'8'!L9</f>
        <v>20745.191701523407</v>
      </c>
      <c r="F9" s="74">
        <f>Production2!D11</f>
        <v>3157.38</v>
      </c>
      <c r="G9" s="74">
        <f>F9+'8'!G9</f>
        <v>14960.880000000001</v>
      </c>
      <c r="H9" s="74">
        <f>F9+'8'!H9</f>
        <v>14960.880000000001</v>
      </c>
      <c r="I9" s="74">
        <f>Production2!E11</f>
        <v>2743</v>
      </c>
      <c r="J9" s="74">
        <f>I9+'8'!J9</f>
        <v>13465</v>
      </c>
      <c r="K9" s="74">
        <f>I9+'8'!K9</f>
        <v>13465</v>
      </c>
      <c r="L9" s="74">
        <f>E9+F9-I9-I21</f>
        <v>20879.321702138008</v>
      </c>
      <c r="M9" s="75">
        <f>I9</f>
        <v>2743</v>
      </c>
      <c r="N9" s="75">
        <f>(I9/I13)*100</f>
        <v>97.68518518518519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(2)'!L11</f>
        <v>100.03999999999975</v>
      </c>
      <c r="F10" s="77">
        <f>'Mines (2)'!M11</f>
        <v>0</v>
      </c>
      <c r="G10" s="74">
        <f>F10+'8'!G10</f>
        <v>0</v>
      </c>
      <c r="H10" s="74">
        <f>F10+'8'!H10</f>
        <v>0</v>
      </c>
      <c r="I10" s="77">
        <f>'Mines (2)'!N11</f>
        <v>0</v>
      </c>
      <c r="J10" s="74">
        <f>I10+'8'!J10</f>
        <v>24</v>
      </c>
      <c r="K10" s="74">
        <f>I10+'8'!K10</f>
        <v>24</v>
      </c>
      <c r="L10" s="77">
        <f t="shared" ref="L10:L16" si="0">E10+F10-I10</f>
        <v>100.03999999999975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Clinker!C11</f>
        <v>5157.6399999999994</v>
      </c>
      <c r="F11" s="77">
        <f>Clinker!D11</f>
        <v>0</v>
      </c>
      <c r="G11" s="74">
        <f>F11+'8'!G11</f>
        <v>0</v>
      </c>
      <c r="H11" s="74">
        <f>F11+'8'!H11</f>
        <v>0</v>
      </c>
      <c r="I11" s="77">
        <f>Clinker!E11</f>
        <v>56</v>
      </c>
      <c r="J11" s="74">
        <f>I11+'8'!J11</f>
        <v>264</v>
      </c>
      <c r="K11" s="74">
        <f>I11+'8'!K11</f>
        <v>264</v>
      </c>
      <c r="L11" s="77">
        <f t="shared" si="0"/>
        <v>5101.6399999999994</v>
      </c>
      <c r="M11" s="75">
        <f t="shared" si="1"/>
        <v>56</v>
      </c>
      <c r="N11" s="75">
        <f>(I11/I13)*100</f>
        <v>1.9943019943019942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(2)'!Q11</f>
        <v>574.28</v>
      </c>
      <c r="F12" s="77">
        <f>'Mines (2)'!R11</f>
        <v>0</v>
      </c>
      <c r="G12" s="74">
        <f>F12+'8'!G12</f>
        <v>0</v>
      </c>
      <c r="H12" s="74">
        <f>F12+'8'!H12</f>
        <v>0</v>
      </c>
      <c r="I12" s="77">
        <f>'Mines (2)'!S11</f>
        <v>9</v>
      </c>
      <c r="J12" s="74">
        <f>I12+'8'!J12</f>
        <v>35</v>
      </c>
      <c r="K12" s="74">
        <f>I12+'8'!K12</f>
        <v>35</v>
      </c>
      <c r="L12" s="77">
        <f t="shared" si="0"/>
        <v>565.28</v>
      </c>
      <c r="M12" s="75">
        <f t="shared" si="1"/>
        <v>9</v>
      </c>
      <c r="N12" s="75">
        <f>(I12/I13)*100</f>
        <v>0.32051282051282048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26577.151701523406</v>
      </c>
      <c r="F13" s="127">
        <f t="shared" si="2"/>
        <v>3157.38</v>
      </c>
      <c r="G13" s="127">
        <f t="shared" si="2"/>
        <v>14960.880000000001</v>
      </c>
      <c r="H13" s="127">
        <f t="shared" si="2"/>
        <v>14960.880000000001</v>
      </c>
      <c r="I13" s="127">
        <f t="shared" si="2"/>
        <v>2808</v>
      </c>
      <c r="J13" s="127">
        <f t="shared" si="2"/>
        <v>13788</v>
      </c>
      <c r="K13" s="127">
        <f t="shared" si="2"/>
        <v>13788</v>
      </c>
      <c r="L13" s="127">
        <f t="shared" si="0"/>
        <v>26926.531701523407</v>
      </c>
      <c r="M13" s="128">
        <f>SUM(M9:M12)</f>
        <v>2808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Clinker!EA11</f>
        <v>14765.106999999989</v>
      </c>
      <c r="F14" s="77">
        <f>Clinker!EB11</f>
        <v>0</v>
      </c>
      <c r="G14" s="77">
        <f>F14+'8'!G14</f>
        <v>151.5</v>
      </c>
      <c r="H14" s="77">
        <f>F14+'8'!H14</f>
        <v>151.5</v>
      </c>
      <c r="I14" s="77">
        <f>Clinker!EC11</f>
        <v>304.44</v>
      </c>
      <c r="J14" s="77">
        <f>I14+'8'!J14</f>
        <v>1491.1000000000001</v>
      </c>
      <c r="K14" s="77">
        <f>I14+'8'!K14</f>
        <v>1491.1000000000001</v>
      </c>
      <c r="L14" s="77">
        <f>E14+F14-I14-Clinker!N11-Clinker!Z11-Clinker!AR11-Clinker!AW11-Clinker!BB11-Clinker!BG11-Clinker!BV11-Clinker!BQ11</f>
        <v>14460.666999999989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Clinker!EE11</f>
        <v>12057.699999999997</v>
      </c>
      <c r="F15" s="77">
        <f>Clinker!EF11</f>
        <v>0</v>
      </c>
      <c r="G15" s="77">
        <f>F15+'8'!G15</f>
        <v>125.05000000000001</v>
      </c>
      <c r="H15" s="77">
        <f>F15+'8'!H15</f>
        <v>125.05000000000001</v>
      </c>
      <c r="I15" s="77">
        <f>Clinker!EG11</f>
        <v>137</v>
      </c>
      <c r="J15" s="77">
        <f>I15+'8'!J15</f>
        <v>1024</v>
      </c>
      <c r="K15" s="77">
        <f>I15+'8'!K15</f>
        <v>1024</v>
      </c>
      <c r="L15" s="77">
        <f>E15+F15-Clinker!AE11-Clinker!AI11-Clinker!CK11-Clinker!CP11-Clinker!CF11</f>
        <v>11920.699999999997</v>
      </c>
      <c r="M15" s="81"/>
      <c r="N15" s="81"/>
      <c r="O15" s="667"/>
      <c r="P15" s="53"/>
      <c r="Q15" s="82"/>
      <c r="R15" s="236"/>
      <c r="S15" s="83"/>
    </row>
    <row r="16" spans="2:21" x14ac:dyDescent="0.25">
      <c r="B16" s="677"/>
      <c r="C16" s="679"/>
      <c r="D16" s="124" t="s">
        <v>152</v>
      </c>
      <c r="E16" s="125">
        <f>E14+E15</f>
        <v>26822.806999999986</v>
      </c>
      <c r="F16" s="125">
        <f>F14+F15</f>
        <v>0</v>
      </c>
      <c r="G16" s="125">
        <f t="shared" ref="G16:K16" si="3">G14+G15</f>
        <v>276.55</v>
      </c>
      <c r="H16" s="125">
        <f t="shared" si="3"/>
        <v>276.55</v>
      </c>
      <c r="I16" s="125">
        <f>I14+I15</f>
        <v>441.44</v>
      </c>
      <c r="J16" s="125">
        <f>J14+J15</f>
        <v>2515.1000000000004</v>
      </c>
      <c r="K16" s="125">
        <f t="shared" si="3"/>
        <v>2515.1000000000004</v>
      </c>
      <c r="L16" s="125">
        <f t="shared" si="0"/>
        <v>26381.366999999987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Clinker!EI11</f>
        <v>7334.970091204149</v>
      </c>
      <c r="F18" s="74">
        <f>Clinker!EJ11</f>
        <v>1790</v>
      </c>
      <c r="G18" s="74">
        <f>F18+'8'!G18</f>
        <v>8365</v>
      </c>
      <c r="H18" s="74">
        <f>F18+'8'!H18</f>
        <v>8365</v>
      </c>
      <c r="I18" s="74">
        <f>Clinker!EK11</f>
        <v>924.55000060459997</v>
      </c>
      <c r="J18" s="74">
        <f>I18+'8'!J18</f>
        <v>3446.1200090271818</v>
      </c>
      <c r="K18" s="74">
        <f>I18+'8'!K18</f>
        <v>3446.1200090271818</v>
      </c>
      <c r="L18" s="74">
        <f>E18+F18-I18-I20</f>
        <v>8200.4200905995476</v>
      </c>
      <c r="M18" s="704">
        <f>((I18+I19)/(J40+J46))*100</f>
        <v>76.991661360141123</v>
      </c>
      <c r="N18" s="687"/>
      <c r="O18" s="689"/>
      <c r="P18" s="691"/>
      <c r="Q18" s="692"/>
      <c r="R18" s="20"/>
      <c r="S18" s="190"/>
    </row>
    <row r="19" spans="2:19" ht="45" x14ac:dyDescent="0.25">
      <c r="B19" s="677"/>
      <c r="C19" s="685"/>
      <c r="D19" s="85" t="s">
        <v>75</v>
      </c>
      <c r="E19" s="74">
        <f>Clinker!EN11</f>
        <v>2027.9790080001369</v>
      </c>
      <c r="F19" s="74">
        <f>Clinker!EO11</f>
        <v>506.38</v>
      </c>
      <c r="G19" s="74">
        <f>F19+'8'!G19</f>
        <v>5770.71</v>
      </c>
      <c r="H19" s="74">
        <f>F19+'8'!H19</f>
        <v>5770.71</v>
      </c>
      <c r="I19" s="74">
        <f>Clinker!EP11</f>
        <v>275.75</v>
      </c>
      <c r="J19" s="74">
        <f>I19+'8'!J19</f>
        <v>12361.649999999998</v>
      </c>
      <c r="K19" s="74">
        <f>I19+'8'!K19</f>
        <v>12361.649999999998</v>
      </c>
      <c r="L19" s="74">
        <f>E19+F19-I19</f>
        <v>2258.6090080001368</v>
      </c>
      <c r="M19" s="70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Clinker!EM11</f>
        <v>0</v>
      </c>
      <c r="G20" s="74">
        <f>F20+'8'!G20</f>
        <v>0</v>
      </c>
      <c r="H20" s="74">
        <f>F20+'8'!H20</f>
        <v>0</v>
      </c>
      <c r="I20" s="77">
        <f>Clinker!EM11</f>
        <v>0</v>
      </c>
      <c r="J20" s="74">
        <f>I20+'8'!J20</f>
        <v>0</v>
      </c>
      <c r="K20" s="74">
        <f>I20+'8'!K20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Cement!Q11</f>
        <v>280.24999938539997</v>
      </c>
      <c r="J21" s="74">
        <f>I21+'8'!J21</f>
        <v>3721.429995045818</v>
      </c>
      <c r="K21" s="74">
        <f>I21+'8'!K21</f>
        <v>3721.429995045818</v>
      </c>
      <c r="L21" s="74"/>
      <c r="M21" s="78">
        <f>(I21/(J40+J46))*100</f>
        <v>17.976266798293778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Cement!C11</f>
        <v>7612.9700632327786</v>
      </c>
      <c r="F22" s="77">
        <f>Cement!D11</f>
        <v>33.119999999999997</v>
      </c>
      <c r="G22" s="74">
        <f>F22+'8'!G22</f>
        <v>1151.06</v>
      </c>
      <c r="H22" s="74">
        <f>F22+'8'!H22</f>
        <v>1151.06</v>
      </c>
      <c r="I22" s="77">
        <f>Cement!E11</f>
        <v>78.450000009999997</v>
      </c>
      <c r="J22" s="74">
        <f>I22+'8'!J22</f>
        <v>1028.7999959269998</v>
      </c>
      <c r="K22" s="74">
        <f>I22+'8'!K22</f>
        <v>1028.7999959269998</v>
      </c>
      <c r="L22" s="74">
        <f t="shared" ref="L22:L24" si="4">E22+F22-I22</f>
        <v>7567.6400632227787</v>
      </c>
      <c r="M22" s="78">
        <f>(I22/(J40+J46))*100</f>
        <v>5.0320718415651058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Cement!G11</f>
        <v>0.23999999999796273</v>
      </c>
      <c r="F23" s="77">
        <f>Cement!H11</f>
        <v>0</v>
      </c>
      <c r="G23" s="74">
        <f>F23+'8'!G23</f>
        <v>0</v>
      </c>
      <c r="H23" s="74">
        <f>F23+'8'!H23</f>
        <v>0</v>
      </c>
      <c r="I23" s="77">
        <f>Cement!I11</f>
        <v>0</v>
      </c>
      <c r="J23" s="74">
        <f>I23+'8'!J23</f>
        <v>0</v>
      </c>
      <c r="K23" s="74">
        <f>I23+'8'!K23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242"/>
    </row>
    <row r="24" spans="2:19" x14ac:dyDescent="0.25">
      <c r="B24" s="677"/>
      <c r="C24" s="686"/>
      <c r="D24" s="76" t="s">
        <v>255</v>
      </c>
      <c r="E24" s="77">
        <f>Cement!K11</f>
        <v>0</v>
      </c>
      <c r="F24" s="77">
        <f>Cement!L11</f>
        <v>0</v>
      </c>
      <c r="G24" s="74">
        <f>F24+'8'!G24</f>
        <v>0</v>
      </c>
      <c r="H24" s="74">
        <f>F24+'8'!H24</f>
        <v>0</v>
      </c>
      <c r="I24" s="77">
        <f>Cement!M11</f>
        <v>0</v>
      </c>
      <c r="J24" s="74">
        <f>I24+'8'!J24</f>
        <v>0</v>
      </c>
      <c r="K24" s="74">
        <f>I24+'8'!K24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16976.159162437063</v>
      </c>
      <c r="F25" s="122">
        <f t="shared" ref="F25:K25" si="5">F18+F19+F21+F22+F23+F24</f>
        <v>2329.5</v>
      </c>
      <c r="G25" s="122">
        <f t="shared" si="5"/>
        <v>15286.769999999999</v>
      </c>
      <c r="H25" s="122">
        <f t="shared" si="5"/>
        <v>15286.769999999999</v>
      </c>
      <c r="I25" s="122">
        <f t="shared" si="5"/>
        <v>1558.9999999999998</v>
      </c>
      <c r="J25" s="122">
        <f t="shared" si="5"/>
        <v>20557.999999999996</v>
      </c>
      <c r="K25" s="122">
        <f t="shared" si="5"/>
        <v>20557.999999999996</v>
      </c>
      <c r="L25" s="122">
        <f>L18+L19+L21+L22+L23+L24</f>
        <v>18026.909161822459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Production2!C11</f>
        <v>19.28</v>
      </c>
      <c r="G30" s="75">
        <f>F30+'8'!G30</f>
        <v>67.41</v>
      </c>
      <c r="H30" s="75">
        <f>F30+'8'!H30</f>
        <v>67.41</v>
      </c>
      <c r="I30" s="74">
        <f>'Mines (2)'!C11+'Mines (2)'!H11+'Mines (2)'!V11+'Mines (2)'!Z11+'Mines (2)'!AD11</f>
        <v>20745.191701523414</v>
      </c>
      <c r="J30" s="74">
        <f>Production2!D11</f>
        <v>3157.38</v>
      </c>
      <c r="K30" s="74">
        <f>J30+'8'!K30</f>
        <v>14960.880000000001</v>
      </c>
      <c r="L30" s="74">
        <f>J30+'8'!L30</f>
        <v>14960.880000000001</v>
      </c>
      <c r="M30" s="74">
        <f>I9+I21</f>
        <v>3023.2499993853999</v>
      </c>
      <c r="N30" s="461">
        <f>M30+'8'!N30</f>
        <v>17186.429995045819</v>
      </c>
      <c r="O30" s="74">
        <f>M30+'8'!O30</f>
        <v>17186.429995045819</v>
      </c>
      <c r="P30" s="74">
        <f>I30+J30-M30</f>
        <v>20879.321702138015</v>
      </c>
      <c r="Q30" s="93">
        <f>J30/F30</f>
        <v>163.76452282157675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Production2!G11</f>
        <v>18.73</v>
      </c>
      <c r="G31" s="75">
        <f>F31+'8'!G31</f>
        <v>94.350000000000009</v>
      </c>
      <c r="H31" s="75">
        <f>F31+'8'!H31</f>
        <v>94.350000000000009</v>
      </c>
      <c r="I31" s="747">
        <f>Production2!H11</f>
        <v>1687.0000168375191</v>
      </c>
      <c r="J31" s="78">
        <f>Production2!N11</f>
        <v>2453</v>
      </c>
      <c r="K31" s="74">
        <f>J31+'8'!K31</f>
        <v>11938.29</v>
      </c>
      <c r="L31" s="74">
        <f>J31+'8'!L31</f>
        <v>11938.29</v>
      </c>
      <c r="M31" s="747">
        <f>Production2!K11</f>
        <v>2774.5</v>
      </c>
      <c r="N31" s="747">
        <f>M31+'8'!N31</f>
        <v>12965.75</v>
      </c>
      <c r="O31" s="747">
        <f>M31+'8'!O31</f>
        <v>12965.75</v>
      </c>
      <c r="P31" s="747">
        <f>I31+J31+J32-M31</f>
        <v>1441.3800168375192</v>
      </c>
      <c r="Q31" s="96">
        <f t="shared" ref="Q31:Q46" si="6">J31/F31</f>
        <v>130.96636412172984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Production2!P11</f>
        <v>8</v>
      </c>
      <c r="G32" s="75">
        <f>F32+'8'!G32</f>
        <v>50.22</v>
      </c>
      <c r="H32" s="75">
        <f>F32+'8'!H32</f>
        <v>50.22</v>
      </c>
      <c r="I32" s="748"/>
      <c r="J32" s="78">
        <f>Production2!Q11</f>
        <v>75.88</v>
      </c>
      <c r="K32" s="74">
        <f>J32+'8'!K32</f>
        <v>475.11</v>
      </c>
      <c r="L32" s="74">
        <f>J32+'8'!L32</f>
        <v>475.11</v>
      </c>
      <c r="M32" s="748"/>
      <c r="N32" s="748"/>
      <c r="O32" s="748"/>
      <c r="P32" s="748"/>
      <c r="Q32" s="96">
        <f>J32/F32</f>
        <v>9.4849999999999994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Production2!S11</f>
        <v>18.84</v>
      </c>
      <c r="G33" s="75">
        <f>F33+'8'!G33</f>
        <v>99.2</v>
      </c>
      <c r="H33" s="75">
        <f>F33+'8'!H33</f>
        <v>99.2</v>
      </c>
      <c r="I33" s="77">
        <f>Production2!T11</f>
        <v>26.509999999999991</v>
      </c>
      <c r="J33" s="77">
        <f>Production2!U11</f>
        <v>274</v>
      </c>
      <c r="K33" s="74">
        <f>J33+'8'!K33</f>
        <v>1342</v>
      </c>
      <c r="L33" s="74">
        <f>J33+'8'!L33</f>
        <v>1342</v>
      </c>
      <c r="M33" s="77">
        <f>Production2!V11</f>
        <v>265</v>
      </c>
      <c r="N33" s="74">
        <f>M33+'8'!N33</f>
        <v>1322</v>
      </c>
      <c r="O33" s="74">
        <f>M33+'8'!O33</f>
        <v>1322</v>
      </c>
      <c r="P33" s="74">
        <f t="shared" ref="P33" si="7">I33+J33-M33</f>
        <v>35.509999999999991</v>
      </c>
      <c r="Q33" s="96">
        <f t="shared" si="6"/>
        <v>14.543524416135881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Production2!Y11</f>
        <v>21.79</v>
      </c>
      <c r="G34" s="75">
        <f>F34+'8'!G34</f>
        <v>115.47</v>
      </c>
      <c r="H34" s="75">
        <f>F34+'8'!H34</f>
        <v>115.47</v>
      </c>
      <c r="I34" s="77">
        <f>Clinker!EI11</f>
        <v>7334.970091204149</v>
      </c>
      <c r="J34" s="77">
        <f>Clinker!EJ11</f>
        <v>1790</v>
      </c>
      <c r="K34" s="74">
        <f>J34+'8'!K34</f>
        <v>8365</v>
      </c>
      <c r="L34" s="74">
        <f>J34+'8'!L34</f>
        <v>8365</v>
      </c>
      <c r="M34" s="77">
        <f>Clinker!EK11</f>
        <v>924.55000060459997</v>
      </c>
      <c r="N34" s="74">
        <f>M34+'8'!N34</f>
        <v>3446.1200090271818</v>
      </c>
      <c r="O34" s="74">
        <f>M34+'8'!O34</f>
        <v>3446.1200090271818</v>
      </c>
      <c r="P34" s="74">
        <f>I34+J34-M34-I20</f>
        <v>8200.4200905995476</v>
      </c>
      <c r="Q34" s="96">
        <f t="shared" si="6"/>
        <v>82.147774208352459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Production2!AE11</f>
        <v>3</v>
      </c>
      <c r="G35" s="75">
        <f>F35+'8'!G35</f>
        <v>9</v>
      </c>
      <c r="H35" s="75">
        <f>F35+'8'!H35</f>
        <v>9</v>
      </c>
      <c r="I35" s="77">
        <f>Production2!BJ11</f>
        <v>118.79999999999995</v>
      </c>
      <c r="J35" s="77">
        <f>Production2!AF11</f>
        <v>190</v>
      </c>
      <c r="K35" s="74">
        <f>J35+'8'!K35</f>
        <v>574</v>
      </c>
      <c r="L35" s="74">
        <f>J35+'8'!L35</f>
        <v>574</v>
      </c>
      <c r="M35" s="77">
        <f>Production2!BL11</f>
        <v>0</v>
      </c>
      <c r="N35" s="74">
        <f>M35+'8'!N35</f>
        <v>677.5</v>
      </c>
      <c r="O35" s="74">
        <f>M35+'8'!O35</f>
        <v>677.5</v>
      </c>
      <c r="P35" s="74">
        <f>I35+J35+J41-M35-F59</f>
        <v>483.79999999999995</v>
      </c>
      <c r="Q35" s="96">
        <f t="shared" si="6"/>
        <v>63.333333333333336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Production2!AB11</f>
        <v>0</v>
      </c>
      <c r="G36" s="75">
        <f>F36+'8'!G36</f>
        <v>116.64000000000001</v>
      </c>
      <c r="H36" s="75">
        <f>F36+'8'!H36</f>
        <v>116.64000000000001</v>
      </c>
      <c r="I36" s="77">
        <f>Production2!BF11</f>
        <v>2796.4279999999799</v>
      </c>
      <c r="J36" s="77">
        <f>Production2!AC11</f>
        <v>0</v>
      </c>
      <c r="K36" s="74">
        <f>J36+'8'!K36</f>
        <v>7127</v>
      </c>
      <c r="L36" s="74">
        <f>J36+'8'!L36</f>
        <v>7127</v>
      </c>
      <c r="M36" s="77">
        <f>Production2!BH11</f>
        <v>754.5</v>
      </c>
      <c r="N36" s="74">
        <f>M36+'8'!N36</f>
        <v>14634.63</v>
      </c>
      <c r="O36" s="74">
        <f>M36+'8'!O36</f>
        <v>14634.63</v>
      </c>
      <c r="P36" s="74">
        <f>I36+J36+J42-M36-F57</f>
        <v>3070.9279999999799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Production2!AH11</f>
        <v>0</v>
      </c>
      <c r="G37" s="75">
        <f>F37+'8'!G37</f>
        <v>0</v>
      </c>
      <c r="H37" s="75">
        <f>F37+'8'!H37</f>
        <v>0</v>
      </c>
      <c r="I37" s="77">
        <f>Production2!BN11</f>
        <v>1.9400000000008499</v>
      </c>
      <c r="J37" s="77">
        <f>Production2!AI11</f>
        <v>0</v>
      </c>
      <c r="K37" s="74">
        <f>J37+'8'!K37</f>
        <v>0</v>
      </c>
      <c r="L37" s="74">
        <f>J37+'8'!L37</f>
        <v>0</v>
      </c>
      <c r="M37" s="77">
        <f>Production2!BP11</f>
        <v>-0.15</v>
      </c>
      <c r="N37" s="74">
        <f>M37+'8'!N37</f>
        <v>-0.15</v>
      </c>
      <c r="O37" s="74">
        <f>M37+'8'!O37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Production2!AK11</f>
        <v>0</v>
      </c>
      <c r="G38" s="456">
        <f>F38+'8'!G38</f>
        <v>0</v>
      </c>
      <c r="H38" s="456">
        <f>F38+'8'!H38</f>
        <v>0</v>
      </c>
      <c r="I38" s="195">
        <f>Production2!BR11</f>
        <v>242.3</v>
      </c>
      <c r="J38" s="195">
        <f>Production2!AL11</f>
        <v>0</v>
      </c>
      <c r="K38" s="458">
        <f>J38+'8'!K38</f>
        <v>0</v>
      </c>
      <c r="L38" s="458">
        <f>J38+'8'!L38</f>
        <v>0</v>
      </c>
      <c r="M38" s="195">
        <f>Production2!BT11</f>
        <v>120</v>
      </c>
      <c r="N38" s="458">
        <f>M38+'8'!N38</f>
        <v>911</v>
      </c>
      <c r="O38" s="458">
        <f>M38+'8'!O38</f>
        <v>911</v>
      </c>
      <c r="P38" s="74">
        <f>I38+J38+J44-M38-F60</f>
        <v>287.3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53" t="s">
        <v>306</v>
      </c>
      <c r="E39" s="460">
        <v>78</v>
      </c>
      <c r="F39" s="455">
        <f>Production2!AN11</f>
        <v>0</v>
      </c>
      <c r="G39" s="456">
        <f>F39+'8'!G39</f>
        <v>27.35</v>
      </c>
      <c r="H39" s="456">
        <f>F39+'8'!H39</f>
        <v>27.35</v>
      </c>
      <c r="I39" s="457">
        <f>Production2!BV11</f>
        <v>508.21000000000015</v>
      </c>
      <c r="J39" s="457">
        <f>Production2!AO11</f>
        <v>0</v>
      </c>
      <c r="K39" s="458">
        <f>J39+'8'!K39</f>
        <v>1720</v>
      </c>
      <c r="L39" s="458">
        <f>J39+'8'!L39</f>
        <v>1720</v>
      </c>
      <c r="M39" s="77">
        <f>Production2!BX11</f>
        <v>152</v>
      </c>
      <c r="N39" s="458">
        <f>M39+'8'!N39</f>
        <v>2234.5</v>
      </c>
      <c r="O39" s="458">
        <f>M39+'8'!O39</f>
        <v>2234.5</v>
      </c>
      <c r="P39" s="458">
        <f>I39+J39+J45-M39</f>
        <v>356.21000000000015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3</v>
      </c>
      <c r="G40" s="132">
        <f t="shared" ref="G40:H40" si="8">G35+G36+G37+G38+G39</f>
        <v>152.99</v>
      </c>
      <c r="H40" s="132">
        <f t="shared" si="8"/>
        <v>152.99</v>
      </c>
      <c r="I40" s="122">
        <f>I35+I36+I37+I38+I39</f>
        <v>3667.6779999999812</v>
      </c>
      <c r="J40" s="454">
        <f t="shared" ref="J40:P40" si="9">J35+J36+J37+J38+J39</f>
        <v>190</v>
      </c>
      <c r="K40" s="454">
        <f t="shared" si="9"/>
        <v>9421</v>
      </c>
      <c r="L40" s="454">
        <f t="shared" si="9"/>
        <v>9421</v>
      </c>
      <c r="M40" s="454">
        <f t="shared" si="9"/>
        <v>1026.3499999999999</v>
      </c>
      <c r="N40" s="454">
        <f t="shared" si="9"/>
        <v>18457.48</v>
      </c>
      <c r="O40" s="454">
        <f t="shared" si="9"/>
        <v>18457.48</v>
      </c>
      <c r="P40" s="454">
        <f t="shared" si="9"/>
        <v>4200.3279999999813</v>
      </c>
      <c r="Q40" s="123">
        <f t="shared" si="6"/>
        <v>63.333333333333336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Production2!AT11</f>
        <v>3</v>
      </c>
      <c r="G41" s="75">
        <f>F41+'8'!G41</f>
        <v>6</v>
      </c>
      <c r="H41" s="75">
        <f>F41+'8'!H41</f>
        <v>6</v>
      </c>
      <c r="I41" s="764"/>
      <c r="J41" s="77">
        <f>Production2!AU11</f>
        <v>175</v>
      </c>
      <c r="K41" s="74">
        <f>J41+'8'!K41</f>
        <v>355</v>
      </c>
      <c r="L41" s="74">
        <f>J41+'8'!L41</f>
        <v>355</v>
      </c>
      <c r="M41" s="766"/>
      <c r="N41" s="767"/>
      <c r="O41" s="767"/>
      <c r="P41" s="768"/>
      <c r="Q41" s="96">
        <f t="shared" si="6"/>
        <v>58.333333333333336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Production2!AQ11</f>
        <v>18</v>
      </c>
      <c r="G42" s="75">
        <f>F42+'8'!G42</f>
        <v>159.5</v>
      </c>
      <c r="H42" s="75">
        <f>F42+'8'!H42</f>
        <v>159.5</v>
      </c>
      <c r="I42" s="765"/>
      <c r="J42" s="77">
        <f>Production2!AR11</f>
        <v>1029</v>
      </c>
      <c r="K42" s="74">
        <f>J42+'8'!K42</f>
        <v>9300</v>
      </c>
      <c r="L42" s="74">
        <f>J42+'8'!L42</f>
        <v>9300</v>
      </c>
      <c r="M42" s="769"/>
      <c r="N42" s="829"/>
      <c r="O42" s="829"/>
      <c r="P42" s="771"/>
      <c r="Q42" s="96">
        <f t="shared" si="6"/>
        <v>57.166666666666664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Production2!AW11</f>
        <v>0</v>
      </c>
      <c r="G43" s="75">
        <f>F43+'8'!G43</f>
        <v>0</v>
      </c>
      <c r="H43" s="75">
        <f>F43+'8'!H43</f>
        <v>0</v>
      </c>
      <c r="I43" s="765"/>
      <c r="J43" s="77">
        <f>Production2!AX11</f>
        <v>0</v>
      </c>
      <c r="K43" s="74">
        <f>J43+'8'!K43</f>
        <v>0</v>
      </c>
      <c r="L43" s="74">
        <f>J43+'8'!L43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Production2!AZ11</f>
        <v>3</v>
      </c>
      <c r="G44" s="456">
        <f>F44+'8'!G44</f>
        <v>17.78</v>
      </c>
      <c r="H44" s="456">
        <f>F44+'8'!H44</f>
        <v>17.78</v>
      </c>
      <c r="I44" s="748"/>
      <c r="J44" s="195">
        <f>Production2!BA11</f>
        <v>165</v>
      </c>
      <c r="K44" s="458">
        <f>J44+'8'!K44</f>
        <v>985</v>
      </c>
      <c r="L44" s="458">
        <f>J44+'8'!L44</f>
        <v>985</v>
      </c>
      <c r="M44" s="769"/>
      <c r="N44" s="829"/>
      <c r="O44" s="829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453" t="s">
        <v>306</v>
      </c>
      <c r="E45" s="460">
        <v>70</v>
      </c>
      <c r="F45" s="455">
        <f>Production2!BC11</f>
        <v>0</v>
      </c>
      <c r="G45" s="456">
        <f>F45+'8'!G45</f>
        <v>8</v>
      </c>
      <c r="H45" s="456">
        <f>F45+'8'!H45</f>
        <v>8</v>
      </c>
      <c r="I45" s="459"/>
      <c r="J45" s="457">
        <f>Production2!BD11</f>
        <v>0</v>
      </c>
      <c r="K45" s="458">
        <f>J45+'8'!K45</f>
        <v>497</v>
      </c>
      <c r="L45" s="458">
        <f>J45+'8'!L45</f>
        <v>497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191.28</v>
      </c>
      <c r="H46" s="132">
        <f t="shared" si="10"/>
        <v>191.28</v>
      </c>
      <c r="I46" s="132"/>
      <c r="J46" s="122">
        <f>J41+J42+J43+J44+J45</f>
        <v>1369</v>
      </c>
      <c r="K46" s="454">
        <f t="shared" ref="K46:L46" si="11">K41+K42+K43+K44+K45</f>
        <v>11137</v>
      </c>
      <c r="L46" s="454">
        <f t="shared" si="11"/>
        <v>11137</v>
      </c>
      <c r="M46" s="454"/>
      <c r="N46" s="454"/>
      <c r="O46" s="454"/>
      <c r="P46" s="454"/>
      <c r="Q46" s="123">
        <f t="shared" si="6"/>
        <v>57.041666666666664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0.84943845846873034</v>
      </c>
      <c r="F50" s="99">
        <f>F53/(J31+J32)</f>
        <v>19.605912498813705</v>
      </c>
      <c r="G50" s="99">
        <f>G53/J32</f>
        <v>0</v>
      </c>
      <c r="H50" s="99">
        <f>H53/J34</f>
        <v>32.358100558659217</v>
      </c>
      <c r="I50" s="99">
        <f>I53/J33</f>
        <v>52.259124087591239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14.804469273743019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1.3016813919439818</v>
      </c>
      <c r="F51" s="102">
        <f>F50*1.55</f>
        <v>30.389164373161243</v>
      </c>
      <c r="G51" s="102">
        <f>G50*1.55</f>
        <v>0</v>
      </c>
      <c r="H51" s="102">
        <f>H50</f>
        <v>32.358100558659217</v>
      </c>
      <c r="I51" s="102">
        <f>I50*(Q50/100)</f>
        <v>7.7366859682746814</v>
      </c>
      <c r="J51" s="102"/>
      <c r="K51" s="102"/>
      <c r="L51" s="102"/>
      <c r="M51" s="96"/>
      <c r="N51" s="310">
        <f>SUM(E51:I51)</f>
        <v>71.785632292039125</v>
      </c>
      <c r="O51" s="668" t="s">
        <v>279</v>
      </c>
      <c r="P51" s="668"/>
      <c r="Q51" s="104">
        <v>5323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1.0021861292734817</v>
      </c>
      <c r="F52" s="102">
        <f>F51*M18/100</f>
        <v>23.397122524360956</v>
      </c>
      <c r="G52" s="102">
        <f>G51*M18/100</f>
        <v>0</v>
      </c>
      <c r="H52" s="102">
        <f>H51*M18/100</f>
        <v>24.913039204696837</v>
      </c>
      <c r="I52" s="102">
        <f>I51*M18/100</f>
        <v>5.9566030611915979</v>
      </c>
      <c r="J52" s="99">
        <f>J53/(J40+J46)</f>
        <v>42.824246311738293</v>
      </c>
      <c r="K52" s="99">
        <f>K53/(J46+J40)</f>
        <v>1.1084028223220013</v>
      </c>
      <c r="L52" s="99">
        <f>L53/(M40)</f>
        <v>5.5361231548691974</v>
      </c>
      <c r="M52" s="96">
        <f>M53/(J46+J40)</f>
        <v>2.8364336112892881</v>
      </c>
      <c r="N52" s="310">
        <f>SUM(E52:M52)</f>
        <v>107.57415681974167</v>
      </c>
      <c r="O52" s="668" t="s">
        <v>281</v>
      </c>
      <c r="P52" s="668"/>
      <c r="Q52" s="104">
        <f>Q51*Q50/100</f>
        <v>788.04189944134089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unit'!B11</f>
        <v>2682</v>
      </c>
      <c r="F53" s="118">
        <f>'Daily unit'!C11</f>
        <v>49581</v>
      </c>
      <c r="G53" s="118">
        <f>'Daily unit'!D11</f>
        <v>0</v>
      </c>
      <c r="H53" s="118">
        <f>'Daily unit'!E11</f>
        <v>57921</v>
      </c>
      <c r="I53" s="118">
        <f>'Daily unit'!F11</f>
        <v>14319</v>
      </c>
      <c r="J53" s="118">
        <f>'Daily unit'!G11</f>
        <v>66763</v>
      </c>
      <c r="K53" s="118">
        <f>'Daily unit'!H11</f>
        <v>1728</v>
      </c>
      <c r="L53" s="118">
        <f>'Daily unit'!I11</f>
        <v>5682</v>
      </c>
      <c r="M53" s="119">
        <f>'Daily unit'!J11</f>
        <v>4422</v>
      </c>
      <c r="N53" s="321">
        <f>SUM(E53:M53)</f>
        <v>203098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2">
        <v>1</v>
      </c>
      <c r="C57" s="828" t="s">
        <v>287</v>
      </c>
      <c r="D57" s="784"/>
      <c r="E57" s="80">
        <v>42.5</v>
      </c>
      <c r="F57" s="53">
        <f>'Internal use cement'!F11</f>
        <v>0</v>
      </c>
      <c r="G57" s="53">
        <f>F57+'8'!G57</f>
        <v>0</v>
      </c>
      <c r="H57" s="104">
        <f>F57+'8'!H57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8"/>
      <c r="C58" s="809"/>
      <c r="D58" s="786"/>
      <c r="E58" s="80" t="s">
        <v>197</v>
      </c>
      <c r="F58" s="53">
        <f>'Internal use cement'!Q11</f>
        <v>0</v>
      </c>
      <c r="G58" s="53">
        <f>F58+'8'!G58</f>
        <v>0</v>
      </c>
      <c r="H58" s="104">
        <f>F58+'8'!H58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8"/>
      <c r="C59" s="809"/>
      <c r="D59" s="786"/>
      <c r="E59" s="80">
        <v>32.5</v>
      </c>
      <c r="F59" s="53">
        <f>'Internal use cement'!AB11</f>
        <v>0</v>
      </c>
      <c r="G59" s="53">
        <f>F59+'8'!G59</f>
        <v>0</v>
      </c>
      <c r="H59" s="104">
        <f>F59+'8'!H59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35"/>
      <c r="C60" s="736"/>
      <c r="D60" s="788"/>
      <c r="E60" s="112" t="s">
        <v>177</v>
      </c>
      <c r="F60" s="113">
        <f>'Internal use cement'!AJ11</f>
        <v>0</v>
      </c>
      <c r="G60" s="220">
        <f>F60+'8'!G60</f>
        <v>0</v>
      </c>
      <c r="H60" s="114">
        <f>F60+'8'!H60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C50:D50"/>
    <mergeCell ref="B47:Q47"/>
    <mergeCell ref="B35:B40"/>
    <mergeCell ref="O48:Q48"/>
    <mergeCell ref="C35:C40"/>
    <mergeCell ref="C49:D49"/>
    <mergeCell ref="B48:N48"/>
    <mergeCell ref="C41:C46"/>
    <mergeCell ref="I41:I44"/>
    <mergeCell ref="B41:B46"/>
    <mergeCell ref="C33:D33"/>
    <mergeCell ref="C34:D34"/>
    <mergeCell ref="M41:P45"/>
    <mergeCell ref="C57:D60"/>
    <mergeCell ref="I55:Q60"/>
    <mergeCell ref="C51:D51"/>
    <mergeCell ref="B55:H55"/>
    <mergeCell ref="C56:E56"/>
    <mergeCell ref="B54:Q54"/>
    <mergeCell ref="B57:B60"/>
    <mergeCell ref="O51:P51"/>
    <mergeCell ref="C53:D53"/>
    <mergeCell ref="O52:P52"/>
    <mergeCell ref="C52:D52"/>
    <mergeCell ref="O49:P49"/>
    <mergeCell ref="O50:P50"/>
    <mergeCell ref="B26:Q26"/>
    <mergeCell ref="B27:Q27"/>
    <mergeCell ref="B28:B29"/>
    <mergeCell ref="C28:D29"/>
    <mergeCell ref="Q28:Q29"/>
    <mergeCell ref="F28:H28"/>
    <mergeCell ref="I28:I29"/>
    <mergeCell ref="J28:L28"/>
    <mergeCell ref="C30:D30"/>
    <mergeCell ref="C31:D31"/>
    <mergeCell ref="M28:O28"/>
    <mergeCell ref="P28:P29"/>
    <mergeCell ref="M31:M32"/>
    <mergeCell ref="N31:N32"/>
    <mergeCell ref="I31:I32"/>
    <mergeCell ref="O31:O32"/>
    <mergeCell ref="P31:P32"/>
    <mergeCell ref="C32:D32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8:Q8"/>
    <mergeCell ref="C11:D11"/>
    <mergeCell ref="C12:D12"/>
    <mergeCell ref="O18:O25"/>
    <mergeCell ref="C13:D13"/>
    <mergeCell ref="P13:Q13"/>
    <mergeCell ref="O9:O16"/>
    <mergeCell ref="C10:D10"/>
    <mergeCell ref="P18:Q20"/>
    <mergeCell ref="Q21:Q22"/>
    <mergeCell ref="B14:B16"/>
    <mergeCell ref="C14:C16"/>
    <mergeCell ref="M25:N25"/>
    <mergeCell ref="C21:D21"/>
    <mergeCell ref="M18:M19"/>
    <mergeCell ref="C17:Q17"/>
    <mergeCell ref="B18:B20"/>
    <mergeCell ref="C18:C20"/>
    <mergeCell ref="N18:N20"/>
    <mergeCell ref="C22:D22"/>
    <mergeCell ref="B23:B24"/>
    <mergeCell ref="C23:C24"/>
    <mergeCell ref="M23:N24"/>
    <mergeCell ref="P23:Q25"/>
    <mergeCell ref="C25:D25"/>
  </mergeCells>
  <pageMargins left="0" right="0" top="0.75" bottom="0.75" header="0.3" footer="0.3"/>
  <pageSetup paperSize="9" scale="5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B2:U154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0" sqref="S10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323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 t="s">
        <v>293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'9'!L9</f>
        <v>20879.321702138008</v>
      </c>
      <c r="F9" s="74">
        <f>Production2!D12</f>
        <v>2760.6</v>
      </c>
      <c r="G9" s="74">
        <f>F9+'9'!G9</f>
        <v>17721.48</v>
      </c>
      <c r="H9" s="74">
        <f>F9+'9'!H9</f>
        <v>17721.48</v>
      </c>
      <c r="I9" s="74">
        <f>Production2!E12</f>
        <v>3150</v>
      </c>
      <c r="J9" s="74">
        <f>I9+'9'!J9</f>
        <v>16615</v>
      </c>
      <c r="K9" s="74">
        <f>I9+'9'!K9</f>
        <v>16615</v>
      </c>
      <c r="L9" s="74">
        <f>E9+F9-I9-I21</f>
        <v>20180.421703122505</v>
      </c>
      <c r="M9" s="75">
        <f>I9</f>
        <v>3150</v>
      </c>
      <c r="N9" s="75">
        <f>(I9/I13)*100</f>
        <v>97.674418604651152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(2)'!L12</f>
        <v>100.03999999999975</v>
      </c>
      <c r="F10" s="77">
        <f>'Mines (2)'!M12</f>
        <v>0</v>
      </c>
      <c r="G10" s="74">
        <f>F10+'9'!G10</f>
        <v>0</v>
      </c>
      <c r="H10" s="74">
        <f>F10+'9'!H10</f>
        <v>0</v>
      </c>
      <c r="I10" s="77">
        <f>'Mines (2)'!N12</f>
        <v>0</v>
      </c>
      <c r="J10" s="74">
        <f>I10+'9'!J10</f>
        <v>24</v>
      </c>
      <c r="K10" s="74">
        <f>I10+'9'!K10</f>
        <v>24</v>
      </c>
      <c r="L10" s="77">
        <f t="shared" ref="L10:L16" si="0">E10+F10-I10</f>
        <v>100.03999999999975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Clinker!C12</f>
        <v>5101.6399999999994</v>
      </c>
      <c r="F11" s="77">
        <f>Clinker!D12</f>
        <v>0</v>
      </c>
      <c r="G11" s="74">
        <f>F11+'9'!G11</f>
        <v>0</v>
      </c>
      <c r="H11" s="74">
        <f>F11+'9'!H11</f>
        <v>0</v>
      </c>
      <c r="I11" s="77">
        <f>Clinker!E12</f>
        <v>64</v>
      </c>
      <c r="J11" s="74">
        <f>I11+'9'!J11</f>
        <v>328</v>
      </c>
      <c r="K11" s="74">
        <f>I11+'9'!K11</f>
        <v>328</v>
      </c>
      <c r="L11" s="77">
        <f t="shared" si="0"/>
        <v>5037.6399999999994</v>
      </c>
      <c r="M11" s="75">
        <f t="shared" si="1"/>
        <v>64</v>
      </c>
      <c r="N11" s="75">
        <f>(I11/I13)*100</f>
        <v>1.9844961240310079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(2)'!Q12</f>
        <v>565.28</v>
      </c>
      <c r="F12" s="77">
        <f>'Mines (2)'!R12</f>
        <v>0</v>
      </c>
      <c r="G12" s="74">
        <f>F12+'9'!G12</f>
        <v>0</v>
      </c>
      <c r="H12" s="74">
        <f>F12+'9'!H12</f>
        <v>0</v>
      </c>
      <c r="I12" s="77">
        <f>'Mines (2)'!S12</f>
        <v>11</v>
      </c>
      <c r="J12" s="74">
        <f>I12+'9'!J12</f>
        <v>46</v>
      </c>
      <c r="K12" s="74">
        <f>I12+'9'!K12</f>
        <v>46</v>
      </c>
      <c r="L12" s="77">
        <f t="shared" si="0"/>
        <v>554.28</v>
      </c>
      <c r="M12" s="75">
        <f t="shared" si="1"/>
        <v>11</v>
      </c>
      <c r="N12" s="75">
        <f>(I12/I13)*100</f>
        <v>0.34108527131782945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26646.281702138007</v>
      </c>
      <c r="F13" s="127">
        <f t="shared" si="2"/>
        <v>2760.6</v>
      </c>
      <c r="G13" s="127">
        <f t="shared" si="2"/>
        <v>17721.48</v>
      </c>
      <c r="H13" s="127">
        <f t="shared" si="2"/>
        <v>17721.48</v>
      </c>
      <c r="I13" s="127">
        <f t="shared" si="2"/>
        <v>3225</v>
      </c>
      <c r="J13" s="127">
        <f t="shared" si="2"/>
        <v>17013</v>
      </c>
      <c r="K13" s="127">
        <f t="shared" si="2"/>
        <v>17013</v>
      </c>
      <c r="L13" s="127">
        <f t="shared" si="0"/>
        <v>26181.881702138005</v>
      </c>
      <c r="M13" s="128">
        <f>SUM(M9:M12)</f>
        <v>3225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Clinker!EA12</f>
        <v>14460.66699999999</v>
      </c>
      <c r="F14" s="77">
        <f>Clinker!EB12</f>
        <v>0</v>
      </c>
      <c r="G14" s="77">
        <f>F14+'9'!G14</f>
        <v>151.5</v>
      </c>
      <c r="H14" s="77">
        <f>F14+'9'!H14</f>
        <v>151.5</v>
      </c>
      <c r="I14" s="77">
        <f>Clinker!EC12</f>
        <v>300</v>
      </c>
      <c r="J14" s="77">
        <f>I14+'9'!J14</f>
        <v>1791.1000000000001</v>
      </c>
      <c r="K14" s="77">
        <f>I14+'9'!K14</f>
        <v>1791.1000000000001</v>
      </c>
      <c r="L14" s="77">
        <f>E14+F14-I14-Clinker!N12-Clinker!Z12-Clinker!AR12-Clinker!AW12-Clinker!BB12-Clinker!BG12-Clinker!BV12-Clinker!BQ12</f>
        <v>14125.66699999999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Clinker!EE12</f>
        <v>11920.699999999997</v>
      </c>
      <c r="F15" s="77">
        <f>Clinker!EF12</f>
        <v>0</v>
      </c>
      <c r="G15" s="77">
        <f>F15+'9'!G15</f>
        <v>125.05000000000001</v>
      </c>
      <c r="H15" s="77">
        <f>F15+'9'!H15</f>
        <v>125.05000000000001</v>
      </c>
      <c r="I15" s="77">
        <f>Clinker!EG12</f>
        <v>143</v>
      </c>
      <c r="J15" s="77">
        <f>I15+'9'!J15</f>
        <v>1167</v>
      </c>
      <c r="K15" s="77">
        <f>I15+'9'!K15</f>
        <v>1167</v>
      </c>
      <c r="L15" s="77">
        <f>E15+F15-Clinker!AE12-Clinker!AI12-Clinker!CK12-Clinker!CP12-Clinker!CF12</f>
        <v>11812.699999999997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26381.366999999987</v>
      </c>
      <c r="F16" s="125">
        <f>F14+F15</f>
        <v>0</v>
      </c>
      <c r="G16" s="125">
        <f t="shared" ref="G16:K16" si="3">G14+G15</f>
        <v>276.55</v>
      </c>
      <c r="H16" s="125">
        <f t="shared" si="3"/>
        <v>276.55</v>
      </c>
      <c r="I16" s="125">
        <f>I14+I15</f>
        <v>443</v>
      </c>
      <c r="J16" s="125">
        <f>J14+J15</f>
        <v>2958.1000000000004</v>
      </c>
      <c r="K16" s="125">
        <f t="shared" si="3"/>
        <v>2958.1000000000004</v>
      </c>
      <c r="L16" s="125">
        <f t="shared" si="0"/>
        <v>25938.366999999987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Clinker!EI12</f>
        <v>8200.4200905995476</v>
      </c>
      <c r="F18" s="74">
        <f>Clinker!EJ12</f>
        <v>1910</v>
      </c>
      <c r="G18" s="74">
        <f>F18+'9'!G18</f>
        <v>10275</v>
      </c>
      <c r="H18" s="74">
        <f>F18+'9'!H18</f>
        <v>10275</v>
      </c>
      <c r="I18" s="74">
        <f>Clinker!EK12</f>
        <v>1105.7500010395001</v>
      </c>
      <c r="J18" s="74">
        <f>I18+'9'!J18</f>
        <v>4551.870010066682</v>
      </c>
      <c r="K18" s="74">
        <f>I18+'9'!K18</f>
        <v>4551.870010066682</v>
      </c>
      <c r="L18" s="74">
        <f>E18+F18-I18-I20</f>
        <v>9004.6700895600479</v>
      </c>
      <c r="M18" s="704">
        <f>((I18+I19)/(J40+J46))*100</f>
        <v>74.211409465738271</v>
      </c>
      <c r="N18" s="687"/>
      <c r="O18" s="689"/>
      <c r="P18" s="691"/>
      <c r="Q18" s="692"/>
      <c r="R18" s="20"/>
      <c r="S18" s="20"/>
    </row>
    <row r="19" spans="2:19" ht="45" x14ac:dyDescent="0.25">
      <c r="B19" s="677"/>
      <c r="C19" s="685"/>
      <c r="D19" s="85" t="s">
        <v>75</v>
      </c>
      <c r="E19" s="74">
        <f>Clinker!EN12</f>
        <v>2258.6090080001368</v>
      </c>
      <c r="F19" s="74">
        <f>Clinker!EO12</f>
        <v>477.99</v>
      </c>
      <c r="G19" s="74">
        <f>F19+'9'!G19</f>
        <v>6248.7</v>
      </c>
      <c r="H19" s="74">
        <f>F19+'9'!H19</f>
        <v>6248.7</v>
      </c>
      <c r="I19" s="74">
        <f>Clinker!EP12</f>
        <v>0</v>
      </c>
      <c r="J19" s="74">
        <f>I19+'9'!J19</f>
        <v>12361.649999999998</v>
      </c>
      <c r="K19" s="74">
        <f>I19+'9'!K19</f>
        <v>12361.649999999998</v>
      </c>
      <c r="L19" s="75">
        <f>E19+F19-I19</f>
        <v>2736.5990080001366</v>
      </c>
      <c r="M19" s="705"/>
      <c r="N19" s="687"/>
      <c r="O19" s="689"/>
      <c r="P19" s="691"/>
      <c r="Q19" s="692"/>
      <c r="R19" s="19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Clinker!EM12</f>
        <v>0</v>
      </c>
      <c r="G20" s="74">
        <f>F20+'9'!G20</f>
        <v>0</v>
      </c>
      <c r="H20" s="74">
        <f>F20+'9'!H20</f>
        <v>0</v>
      </c>
      <c r="I20" s="77">
        <f>Clinker!EM12</f>
        <v>0</v>
      </c>
      <c r="J20" s="74">
        <f>I20+'9'!J20</f>
        <v>0</v>
      </c>
      <c r="K20" s="74">
        <f>I20+'9'!K20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Cement!Q12</f>
        <v>309.49999901550001</v>
      </c>
      <c r="J21" s="74">
        <f>I21+'9'!J21</f>
        <v>4030.9299940613182</v>
      </c>
      <c r="K21" s="74">
        <f>I21+'9'!K21</f>
        <v>4030.9299940613182</v>
      </c>
      <c r="L21" s="74"/>
      <c r="M21" s="78">
        <f>(I21/(J40+J46))*100</f>
        <v>20.771812014463087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Cement!C12</f>
        <v>7567.6400632227787</v>
      </c>
      <c r="F22" s="77">
        <f>Cement!D12</f>
        <v>95.8</v>
      </c>
      <c r="G22" s="74">
        <f>F22+'9'!G22</f>
        <v>1246.8599999999999</v>
      </c>
      <c r="H22" s="74">
        <f>F22+'9'!H22</f>
        <v>1246.8599999999999</v>
      </c>
      <c r="I22" s="77">
        <f>Cement!E12</f>
        <v>74.749999945000013</v>
      </c>
      <c r="J22" s="74">
        <f>I22+'9'!J22</f>
        <v>1103.5499958719997</v>
      </c>
      <c r="K22" s="74">
        <f>I22+'9'!K22</f>
        <v>1103.5499958719997</v>
      </c>
      <c r="L22" s="74">
        <f t="shared" ref="L22" si="4">E22+F22-I22</f>
        <v>7588.6900632777788</v>
      </c>
      <c r="M22" s="78">
        <f>(I22/(J40+J46))*100</f>
        <v>5.0167785197986587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Cement!G12</f>
        <v>0.23999999999796273</v>
      </c>
      <c r="F23" s="77">
        <f>Cement!H12</f>
        <v>0</v>
      </c>
      <c r="G23" s="74">
        <f>F23+'9'!G23</f>
        <v>0</v>
      </c>
      <c r="H23" s="74">
        <f>F23+'9'!H23</f>
        <v>0</v>
      </c>
      <c r="I23" s="77">
        <f>Cement!I12</f>
        <v>0</v>
      </c>
      <c r="J23" s="74">
        <f>I23+'9'!J23</f>
        <v>0</v>
      </c>
      <c r="K23" s="74">
        <f>I23+'9'!K23</f>
        <v>0</v>
      </c>
      <c r="L23" s="74">
        <f t="shared" ref="L23:L24" si="5">E23+F23-I23</f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Cement!K12</f>
        <v>0</v>
      </c>
      <c r="F24" s="77">
        <f>Cement!L12</f>
        <v>0</v>
      </c>
      <c r="G24" s="74">
        <f>F24+'9'!G24</f>
        <v>0</v>
      </c>
      <c r="H24" s="74">
        <f>F24+'9'!H24</f>
        <v>0</v>
      </c>
      <c r="I24" s="77">
        <f>Cement!M12</f>
        <v>0</v>
      </c>
      <c r="J24" s="74">
        <f>I24+'9'!J24</f>
        <v>0</v>
      </c>
      <c r="K24" s="74">
        <f>I24+'9'!K24</f>
        <v>0</v>
      </c>
      <c r="L24" s="74">
        <f t="shared" si="5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18026.909161822459</v>
      </c>
      <c r="F25" s="122">
        <f t="shared" ref="F25:L25" si="6">F18+F19+F21+F22+F23+F24</f>
        <v>2483.79</v>
      </c>
      <c r="G25" s="122">
        <f t="shared" si="6"/>
        <v>17770.560000000001</v>
      </c>
      <c r="H25" s="122">
        <f t="shared" si="6"/>
        <v>17770.560000000001</v>
      </c>
      <c r="I25" s="122">
        <f t="shared" si="6"/>
        <v>1490</v>
      </c>
      <c r="J25" s="122">
        <f t="shared" si="6"/>
        <v>22047.999999999996</v>
      </c>
      <c r="K25" s="122">
        <f t="shared" si="6"/>
        <v>22047.999999999996</v>
      </c>
      <c r="L25" s="122">
        <f t="shared" si="6"/>
        <v>19330.199160837961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Production2!C12</f>
        <v>19.88</v>
      </c>
      <c r="G30" s="75">
        <f>F30+'9'!G30</f>
        <v>87.289999999999992</v>
      </c>
      <c r="H30" s="75">
        <f>F30+'9'!H30</f>
        <v>87.289999999999992</v>
      </c>
      <c r="I30" s="74">
        <f>'Mines (2)'!C12+'Mines (2)'!H12+'Mines (2)'!V12+'Mines (2)'!Z12+'Mines (2)'!AD12</f>
        <v>20879.321702138011</v>
      </c>
      <c r="J30" s="74">
        <f>Production2!D12</f>
        <v>2760.6</v>
      </c>
      <c r="K30" s="74">
        <f>J30+'9'!K30</f>
        <v>17721.48</v>
      </c>
      <c r="L30" s="74">
        <f>J30+'9'!L30</f>
        <v>17721.48</v>
      </c>
      <c r="M30" s="74">
        <f>I9+I21</f>
        <v>3459.4999990155002</v>
      </c>
      <c r="N30" s="74">
        <f>M30+'9'!N30</f>
        <v>20645.92999406132</v>
      </c>
      <c r="O30" s="74">
        <f>M30+'9'!O30</f>
        <v>20645.92999406132</v>
      </c>
      <c r="P30" s="74">
        <f>I30+J30-M30</f>
        <v>20180.421703122509</v>
      </c>
      <c r="Q30" s="93">
        <f>J30/F30</f>
        <v>138.86317907444669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Production2!G12</f>
        <v>20.3</v>
      </c>
      <c r="G31" s="75">
        <f>F31+'9'!G31</f>
        <v>114.65</v>
      </c>
      <c r="H31" s="75">
        <f>F31+'9'!H31</f>
        <v>114.65</v>
      </c>
      <c r="I31" s="747">
        <f>Production2!H12</f>
        <v>1441.3800168375192</v>
      </c>
      <c r="J31" s="78">
        <f>Production2!N12</f>
        <v>2669</v>
      </c>
      <c r="K31" s="74">
        <f>J31+'9'!K31</f>
        <v>14607.29</v>
      </c>
      <c r="L31" s="74">
        <f>J31+'9'!L31</f>
        <v>14607.29</v>
      </c>
      <c r="M31" s="747">
        <f>Production2!K12</f>
        <v>2960.5</v>
      </c>
      <c r="N31" s="747">
        <f>M31+'9'!N31</f>
        <v>15926.25</v>
      </c>
      <c r="O31" s="747">
        <f>M31+'9'!O31</f>
        <v>15926.25</v>
      </c>
      <c r="P31" s="747">
        <f>I31+J31+J32-M31</f>
        <v>1385.3000168375193</v>
      </c>
      <c r="Q31" s="96">
        <f t="shared" ref="Q31:Q46" si="7">J31/F31</f>
        <v>131.47783251231527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Production2!P12</f>
        <v>24</v>
      </c>
      <c r="G32" s="75">
        <f>F32+'9'!G32</f>
        <v>74.22</v>
      </c>
      <c r="H32" s="75">
        <f>F32+'9'!H32</f>
        <v>74.22</v>
      </c>
      <c r="I32" s="748"/>
      <c r="J32" s="78">
        <f>Production2!Q12</f>
        <v>235.42</v>
      </c>
      <c r="K32" s="74">
        <f>J32+'9'!K32</f>
        <v>710.53</v>
      </c>
      <c r="L32" s="74">
        <f>J32+'9'!L32</f>
        <v>710.53</v>
      </c>
      <c r="M32" s="748"/>
      <c r="N32" s="748"/>
      <c r="O32" s="748"/>
      <c r="P32" s="748"/>
      <c r="Q32" s="96">
        <f>J32/F32</f>
        <v>9.8091666666666661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Production2!S12</f>
        <v>17</v>
      </c>
      <c r="G33" s="75">
        <f>F33+'9'!G33</f>
        <v>116.2</v>
      </c>
      <c r="H33" s="75">
        <f>F33+'9'!H33</f>
        <v>116.2</v>
      </c>
      <c r="I33" s="77">
        <f>Production2!T12</f>
        <v>35.509999999999991</v>
      </c>
      <c r="J33" s="77">
        <f>Production2!U12</f>
        <v>270</v>
      </c>
      <c r="K33" s="74">
        <f>J33+'9'!K33</f>
        <v>1612</v>
      </c>
      <c r="L33" s="74">
        <f>J33+'9'!L33</f>
        <v>1612</v>
      </c>
      <c r="M33" s="77">
        <f>Production2!V12</f>
        <v>281</v>
      </c>
      <c r="N33" s="74">
        <f>M33+'9'!N33</f>
        <v>1603</v>
      </c>
      <c r="O33" s="74">
        <f>M33+'9'!O33</f>
        <v>1603</v>
      </c>
      <c r="P33" s="74">
        <f t="shared" ref="P33" si="8">I33+J33-M33</f>
        <v>24.509999999999991</v>
      </c>
      <c r="Q33" s="96">
        <f t="shared" si="7"/>
        <v>15.882352941176471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Production2!Y12</f>
        <v>23.5</v>
      </c>
      <c r="G34" s="75">
        <f>F34+'9'!G34</f>
        <v>138.97</v>
      </c>
      <c r="H34" s="75">
        <f>F34+'9'!H34</f>
        <v>138.97</v>
      </c>
      <c r="I34" s="77">
        <f>Clinker!EI12</f>
        <v>8200.4200905995476</v>
      </c>
      <c r="J34" s="77">
        <f>Clinker!EJ12</f>
        <v>1910</v>
      </c>
      <c r="K34" s="74">
        <f>J34+'9'!K34</f>
        <v>10275</v>
      </c>
      <c r="L34" s="74">
        <f>J34+'9'!L34</f>
        <v>10275</v>
      </c>
      <c r="M34" s="77">
        <f>Clinker!EK12</f>
        <v>1105.7500010395001</v>
      </c>
      <c r="N34" s="74">
        <f>M34+'9'!N34</f>
        <v>4551.870010066682</v>
      </c>
      <c r="O34" s="74">
        <f>M34+'9'!O34</f>
        <v>4551.870010066682</v>
      </c>
      <c r="P34" s="74">
        <f>I34+J34-M34-I20</f>
        <v>9004.6700895600479</v>
      </c>
      <c r="Q34" s="96">
        <f t="shared" si="7"/>
        <v>81.276595744680847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Production2!AE12</f>
        <v>0</v>
      </c>
      <c r="G35" s="75">
        <f>F35+'9'!G35</f>
        <v>9</v>
      </c>
      <c r="H35" s="75">
        <f>F35+'9'!H35</f>
        <v>9</v>
      </c>
      <c r="I35" s="77">
        <f>Production2!BJ12</f>
        <v>483.79999999999995</v>
      </c>
      <c r="J35" s="77">
        <f>Production2!AF12</f>
        <v>0</v>
      </c>
      <c r="K35" s="74">
        <f>J35+'9'!K35</f>
        <v>574</v>
      </c>
      <c r="L35" s="74">
        <f>J35+'9'!L35</f>
        <v>574</v>
      </c>
      <c r="M35" s="77">
        <f>Production2!BL12</f>
        <v>283</v>
      </c>
      <c r="N35" s="74">
        <f>M35+'9'!N35</f>
        <v>960.5</v>
      </c>
      <c r="O35" s="74">
        <f>M35+'9'!O35</f>
        <v>960.5</v>
      </c>
      <c r="P35" s="74">
        <f>I35+J35+J41-M35-F59</f>
        <v>395.79999999999995</v>
      </c>
      <c r="Q35" s="96" t="e">
        <f t="shared" si="7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Production2!AB12</f>
        <v>0</v>
      </c>
      <c r="G36" s="75">
        <f>F36+'9'!G36</f>
        <v>116.64000000000001</v>
      </c>
      <c r="H36" s="75">
        <f>F36+'9'!H36</f>
        <v>116.64000000000001</v>
      </c>
      <c r="I36" s="77">
        <f>Production2!BF12</f>
        <v>3070.9279999999799</v>
      </c>
      <c r="J36" s="77">
        <f>Production2!AC12</f>
        <v>0</v>
      </c>
      <c r="K36" s="74">
        <f>J36+'9'!K36</f>
        <v>7127</v>
      </c>
      <c r="L36" s="74">
        <f>J36+'9'!L36</f>
        <v>7127</v>
      </c>
      <c r="M36" s="77">
        <f>Production2!BH12</f>
        <v>1354.5</v>
      </c>
      <c r="N36" s="74">
        <f>M36+'9'!N36</f>
        <v>15989.13</v>
      </c>
      <c r="O36" s="74">
        <f>M36+'9'!O36</f>
        <v>15989.13</v>
      </c>
      <c r="P36" s="74">
        <f>I36+J36+J42-M36-F57</f>
        <v>2819.4279999999799</v>
      </c>
      <c r="Q36" s="96" t="e">
        <f t="shared" si="7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Production2!AH12</f>
        <v>0</v>
      </c>
      <c r="G37" s="75">
        <f>F37+'9'!G37</f>
        <v>0</v>
      </c>
      <c r="H37" s="75">
        <f>F37+'9'!H37</f>
        <v>0</v>
      </c>
      <c r="I37" s="77">
        <f>Production2!BN12</f>
        <v>2.0900000000008498</v>
      </c>
      <c r="J37" s="77">
        <f>Production2!AI12</f>
        <v>0</v>
      </c>
      <c r="K37" s="74">
        <f>J37+'9'!K37</f>
        <v>0</v>
      </c>
      <c r="L37" s="74">
        <f>J37+'9'!L37</f>
        <v>0</v>
      </c>
      <c r="M37" s="77">
        <f>Production2!BP12</f>
        <v>0</v>
      </c>
      <c r="N37" s="74">
        <f>M37+'9'!N37</f>
        <v>-0.15</v>
      </c>
      <c r="O37" s="74">
        <f>M37+'9'!O37</f>
        <v>-0.15</v>
      </c>
      <c r="P37" s="74">
        <f>I37+J37+J43-M37-F58</f>
        <v>2.0900000000008498</v>
      </c>
      <c r="Q37" s="96" t="e">
        <f t="shared" si="7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Production2!AK12</f>
        <v>0</v>
      </c>
      <c r="G38" s="75">
        <f>F38+'9'!G38</f>
        <v>0</v>
      </c>
      <c r="H38" s="75">
        <f>F38+'9'!H38</f>
        <v>0</v>
      </c>
      <c r="I38" s="195">
        <f>Production2!BR12</f>
        <v>287.3</v>
      </c>
      <c r="J38" s="195">
        <f>Production2!AL12</f>
        <v>0</v>
      </c>
      <c r="K38" s="74">
        <f>J38+'9'!K38</f>
        <v>0</v>
      </c>
      <c r="L38" s="74">
        <f>J38+'9'!L38</f>
        <v>0</v>
      </c>
      <c r="M38" s="195">
        <f>Production2!BT12</f>
        <v>90</v>
      </c>
      <c r="N38" s="74">
        <f>M38+'9'!N38</f>
        <v>1001</v>
      </c>
      <c r="O38" s="74">
        <f>M38+'9'!O38</f>
        <v>1001</v>
      </c>
      <c r="P38" s="74">
        <f>I38+J38+J44-M38-F60</f>
        <v>197.3</v>
      </c>
      <c r="Q38" s="96" t="e">
        <f t="shared" si="7"/>
        <v>#DIV/0!</v>
      </c>
      <c r="R38" s="94"/>
      <c r="S38" s="94"/>
    </row>
    <row r="39" spans="2:19" x14ac:dyDescent="0.25">
      <c r="B39" s="754"/>
      <c r="C39" s="685"/>
      <c r="D39" s="462" t="s">
        <v>306</v>
      </c>
      <c r="E39" s="469">
        <v>78</v>
      </c>
      <c r="F39" s="464">
        <f>Production2!AN12</f>
        <v>0</v>
      </c>
      <c r="G39" s="465">
        <f>F39+'9'!G39</f>
        <v>27.35</v>
      </c>
      <c r="H39" s="465">
        <f>F39+'9'!H39</f>
        <v>27.35</v>
      </c>
      <c r="I39" s="466">
        <f>Production2!BV12</f>
        <v>356.21000000000015</v>
      </c>
      <c r="J39" s="466">
        <f>Production2!AO12</f>
        <v>0</v>
      </c>
      <c r="K39" s="467">
        <f>J39+'9'!K39</f>
        <v>1720</v>
      </c>
      <c r="L39" s="467">
        <f>J39+'9'!L39</f>
        <v>1720</v>
      </c>
      <c r="M39" s="77">
        <f>Production2!BX12</f>
        <v>92.5</v>
      </c>
      <c r="N39" s="467">
        <f>M39+'9'!N39</f>
        <v>2327</v>
      </c>
      <c r="O39" s="467">
        <f>M39+'9'!O39</f>
        <v>2327</v>
      </c>
      <c r="P39" s="467">
        <f>I39+J39+J45-M39</f>
        <v>455.71000000000015</v>
      </c>
      <c r="Q39" s="96" t="e">
        <f t="shared" si="7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9">G35+G36+G37+G38+G39</f>
        <v>152.99</v>
      </c>
      <c r="H40" s="132">
        <f t="shared" si="9"/>
        <v>152.99</v>
      </c>
      <c r="I40" s="122">
        <f>I35+I36+I37+I38+I39</f>
        <v>4200.3279999999813</v>
      </c>
      <c r="J40" s="463">
        <f t="shared" ref="J40:P40" si="10">J35+J36+J37+J38+J39</f>
        <v>0</v>
      </c>
      <c r="K40" s="463">
        <f t="shared" si="10"/>
        <v>9421</v>
      </c>
      <c r="L40" s="463">
        <f t="shared" si="10"/>
        <v>9421</v>
      </c>
      <c r="M40" s="463">
        <f t="shared" si="10"/>
        <v>1820</v>
      </c>
      <c r="N40" s="463">
        <f t="shared" si="10"/>
        <v>20277.479999999996</v>
      </c>
      <c r="O40" s="463">
        <f t="shared" si="10"/>
        <v>20277.479999999996</v>
      </c>
      <c r="P40" s="470">
        <f t="shared" si="10"/>
        <v>3870.3279999999813</v>
      </c>
      <c r="Q40" s="123" t="e">
        <f t="shared" si="7"/>
        <v>#DIV/0!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Production2!AT12</f>
        <v>3</v>
      </c>
      <c r="G41" s="75">
        <f>F41+'9'!G41</f>
        <v>9</v>
      </c>
      <c r="H41" s="75">
        <f>F41+'9'!H41</f>
        <v>9</v>
      </c>
      <c r="I41" s="764"/>
      <c r="J41" s="77">
        <f>Production2!AU12</f>
        <v>195</v>
      </c>
      <c r="K41" s="74">
        <f>J41+'9'!K41</f>
        <v>550</v>
      </c>
      <c r="L41" s="74">
        <f>J41+'9'!L41</f>
        <v>550</v>
      </c>
      <c r="M41" s="766"/>
      <c r="N41" s="767"/>
      <c r="O41" s="767"/>
      <c r="P41" s="768"/>
      <c r="Q41" s="96">
        <f t="shared" si="7"/>
        <v>65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Production2!AQ12</f>
        <v>18</v>
      </c>
      <c r="G42" s="75">
        <f>F42+'9'!G42</f>
        <v>177.5</v>
      </c>
      <c r="H42" s="75">
        <f>F42+'9'!H42</f>
        <v>177.5</v>
      </c>
      <c r="I42" s="765"/>
      <c r="J42" s="77">
        <f>Production2!AR12</f>
        <v>1103</v>
      </c>
      <c r="K42" s="74">
        <f>J42+'9'!K42</f>
        <v>10403</v>
      </c>
      <c r="L42" s="74">
        <f>J42+'9'!L42</f>
        <v>10403</v>
      </c>
      <c r="M42" s="769"/>
      <c r="N42" s="829"/>
      <c r="O42" s="829"/>
      <c r="P42" s="771"/>
      <c r="Q42" s="96">
        <f t="shared" si="7"/>
        <v>61.277777777777779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Production2!AW12</f>
        <v>0</v>
      </c>
      <c r="G43" s="75">
        <f>F43+'9'!G43</f>
        <v>0</v>
      </c>
      <c r="H43" s="75">
        <f>F43+'9'!H43</f>
        <v>0</v>
      </c>
      <c r="I43" s="765"/>
      <c r="J43" s="77">
        <f>Production2!AX12</f>
        <v>0</v>
      </c>
      <c r="K43" s="74">
        <f>J43+'9'!K43</f>
        <v>0</v>
      </c>
      <c r="L43" s="74">
        <f>J43+'9'!L43</f>
        <v>0</v>
      </c>
      <c r="M43" s="769"/>
      <c r="N43" s="829"/>
      <c r="O43" s="829"/>
      <c r="P43" s="771"/>
      <c r="Q43" s="96" t="e">
        <f t="shared" si="7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Production2!AZ12</f>
        <v>0</v>
      </c>
      <c r="G44" s="75">
        <f>F44+'9'!G44</f>
        <v>17.78</v>
      </c>
      <c r="H44" s="75">
        <f>F44+'9'!H44</f>
        <v>17.78</v>
      </c>
      <c r="I44" s="748"/>
      <c r="J44" s="195">
        <f>Production2!BA12</f>
        <v>0</v>
      </c>
      <c r="K44" s="467">
        <f>J44+'9'!K44</f>
        <v>985</v>
      </c>
      <c r="L44" s="467">
        <f>J44+'9'!L44</f>
        <v>985</v>
      </c>
      <c r="M44" s="769"/>
      <c r="N44" s="829"/>
      <c r="O44" s="829"/>
      <c r="P44" s="771"/>
      <c r="Q44" s="96" t="e">
        <f t="shared" si="7"/>
        <v>#DIV/0!</v>
      </c>
      <c r="R44" s="94"/>
      <c r="S44" s="94"/>
    </row>
    <row r="45" spans="2:19" x14ac:dyDescent="0.25">
      <c r="B45" s="754"/>
      <c r="C45" s="685"/>
      <c r="D45" s="462" t="s">
        <v>306</v>
      </c>
      <c r="E45" s="469">
        <v>70</v>
      </c>
      <c r="F45" s="464">
        <f>Production2!BC12</f>
        <v>3</v>
      </c>
      <c r="G45" s="465">
        <f>F45+'9'!G45</f>
        <v>11</v>
      </c>
      <c r="H45" s="465">
        <f>F45+'9'!H45</f>
        <v>11</v>
      </c>
      <c r="I45" s="468"/>
      <c r="J45" s="466">
        <f>Production2!BD12</f>
        <v>192</v>
      </c>
      <c r="K45" s="467">
        <f>J45+'9'!K45</f>
        <v>689</v>
      </c>
      <c r="L45" s="467">
        <f>J45+'9'!L45</f>
        <v>689</v>
      </c>
      <c r="M45" s="772"/>
      <c r="N45" s="773"/>
      <c r="O45" s="773"/>
      <c r="P45" s="774"/>
      <c r="Q45" s="96">
        <f t="shared" si="7"/>
        <v>64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1">G41+G42+G43+G44+G45</f>
        <v>215.28</v>
      </c>
      <c r="H46" s="132">
        <f t="shared" si="11"/>
        <v>215.28</v>
      </c>
      <c r="I46" s="132"/>
      <c r="J46" s="463">
        <f t="shared" ref="J46:L46" si="12">J41+J42+J43+J44+J45</f>
        <v>1490</v>
      </c>
      <c r="K46" s="463">
        <f t="shared" si="12"/>
        <v>12627</v>
      </c>
      <c r="L46" s="463">
        <f t="shared" si="12"/>
        <v>12627</v>
      </c>
      <c r="M46" s="132"/>
      <c r="N46" s="132"/>
      <c r="O46" s="132"/>
      <c r="P46" s="132"/>
      <c r="Q46" s="123">
        <f t="shared" si="7"/>
        <v>62.083333333333336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0.99434905455335798</v>
      </c>
      <c r="F50" s="99">
        <f>F53/(J31+J32)</f>
        <v>20.570372053628606</v>
      </c>
      <c r="G50" s="99">
        <f>G53/J32</f>
        <v>0</v>
      </c>
      <c r="H50" s="99">
        <f>H53/J34</f>
        <v>31.330890052356022</v>
      </c>
      <c r="I50" s="99">
        <f>I53/J33</f>
        <v>57.318518518518516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14.712041884816754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1.6398950376141768</v>
      </c>
      <c r="F51" s="102">
        <f>F50*1.55</f>
        <v>31.884076683124341</v>
      </c>
      <c r="G51" s="102">
        <f>G50*1.55</f>
        <v>0</v>
      </c>
      <c r="H51" s="102">
        <f>H50</f>
        <v>31.330890052356022</v>
      </c>
      <c r="I51" s="102">
        <f>I50*(Q50/100)</f>
        <v>8.4327244522008922</v>
      </c>
      <c r="J51" s="102"/>
      <c r="K51" s="102"/>
      <c r="L51" s="102"/>
      <c r="M51" s="96"/>
      <c r="N51" s="310">
        <f>SUM(E51:I51)</f>
        <v>73.287586225295428</v>
      </c>
      <c r="O51" s="668" t="s">
        <v>279</v>
      </c>
      <c r="P51" s="668"/>
      <c r="Q51" s="104">
        <v>5380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1.2169892211721793</v>
      </c>
      <c r="F52" s="102">
        <f>F51*M18/100</f>
        <v>23.661622701683385</v>
      </c>
      <c r="G52" s="102">
        <f>G51*M18/100</f>
        <v>0</v>
      </c>
      <c r="H52" s="102">
        <f>H51*M18/100</f>
        <v>23.251095106014187</v>
      </c>
      <c r="I52" s="102">
        <f>I51*M18/100</f>
        <v>6.2580436723402384</v>
      </c>
      <c r="J52" s="99">
        <f>J53/(J40+J46)</f>
        <v>37.853020134228188</v>
      </c>
      <c r="K52" s="99">
        <f>K53/(J46+J40)</f>
        <v>1.1624161073825503</v>
      </c>
      <c r="L52" s="99">
        <f>L53/(M40)</f>
        <v>2.6796703296703295</v>
      </c>
      <c r="M52" s="96">
        <f>M53/(J46+J40)</f>
        <v>2.7402684563758388</v>
      </c>
      <c r="N52" s="310">
        <f>SUM(E52:M52)</f>
        <v>98.823125728866913</v>
      </c>
      <c r="O52" s="668" t="s">
        <v>281</v>
      </c>
      <c r="P52" s="668"/>
      <c r="Q52" s="104">
        <f>Q51*Q50/100</f>
        <v>791.50785340314133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unit'!B12</f>
        <v>2745</v>
      </c>
      <c r="F53" s="118">
        <f>'Daily unit'!C12</f>
        <v>59745</v>
      </c>
      <c r="G53" s="118">
        <f>'Daily unit'!D12</f>
        <v>0</v>
      </c>
      <c r="H53" s="118">
        <f>'Daily unit'!E12</f>
        <v>59842</v>
      </c>
      <c r="I53" s="118">
        <f>'Daily unit'!F12</f>
        <v>15476</v>
      </c>
      <c r="J53" s="118">
        <f>'Daily unit'!G12</f>
        <v>56401</v>
      </c>
      <c r="K53" s="118">
        <f>'Daily unit'!H12</f>
        <v>1732</v>
      </c>
      <c r="L53" s="118">
        <f>'Daily unit'!I12</f>
        <v>4877</v>
      </c>
      <c r="M53" s="119">
        <f>'Daily unit'!J12</f>
        <v>4083</v>
      </c>
      <c r="N53" s="321">
        <f>SUM(E53:M53)</f>
        <v>204901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14" t="s">
        <v>231</v>
      </c>
      <c r="C56" s="820" t="s">
        <v>285</v>
      </c>
      <c r="D56" s="820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60">
        <v>1</v>
      </c>
      <c r="C57" s="824" t="s">
        <v>287</v>
      </c>
      <c r="D57" s="833"/>
      <c r="E57" s="211">
        <v>42.5</v>
      </c>
      <c r="F57" s="53">
        <f>'Internal use cement'!F12</f>
        <v>0</v>
      </c>
      <c r="G57" s="53">
        <f>F57+'9'!G57</f>
        <v>0</v>
      </c>
      <c r="H57" s="104">
        <f>F57+'9'!H57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60"/>
      <c r="C58" s="758"/>
      <c r="D58" s="834"/>
      <c r="E58" s="211" t="s">
        <v>197</v>
      </c>
      <c r="F58" s="53">
        <f>'Internal use cement'!Q12</f>
        <v>0</v>
      </c>
      <c r="G58" s="53">
        <f>F58+'9'!G58</f>
        <v>0</v>
      </c>
      <c r="H58" s="104">
        <f>F58+'9'!H58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60"/>
      <c r="C59" s="758"/>
      <c r="D59" s="834"/>
      <c r="E59" s="211">
        <v>32.5</v>
      </c>
      <c r="F59" s="53">
        <f>'Internal use cement'!AB12</f>
        <v>0</v>
      </c>
      <c r="G59" s="53">
        <f>F59+'9'!G59</f>
        <v>0</v>
      </c>
      <c r="H59" s="104">
        <f>F59+'9'!H59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60"/>
      <c r="C60" s="759"/>
      <c r="D60" s="835"/>
      <c r="E60" s="213" t="s">
        <v>177</v>
      </c>
      <c r="F60" s="113">
        <f>'Internal use cement'!AJ12</f>
        <v>0</v>
      </c>
      <c r="G60" s="220">
        <f>F60+'9'!G60</f>
        <v>0</v>
      </c>
      <c r="H60" s="114">
        <f>F60+'9'!H60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C57:D60"/>
    <mergeCell ref="B57:B60"/>
    <mergeCell ref="B55:H55"/>
    <mergeCell ref="C56:E56"/>
    <mergeCell ref="B54:Q54"/>
    <mergeCell ref="I55:Q60"/>
    <mergeCell ref="Q6:Q7"/>
    <mergeCell ref="Q28:Q29"/>
    <mergeCell ref="C52:D52"/>
    <mergeCell ref="O52:P52"/>
    <mergeCell ref="C53:D53"/>
    <mergeCell ref="C30:D30"/>
    <mergeCell ref="C31:D31"/>
    <mergeCell ref="C33:D33"/>
    <mergeCell ref="C34:D34"/>
    <mergeCell ref="B47:Q47"/>
    <mergeCell ref="C49:D49"/>
    <mergeCell ref="O49:P49"/>
    <mergeCell ref="C50:D50"/>
    <mergeCell ref="O50:P50"/>
    <mergeCell ref="C51:D51"/>
    <mergeCell ref="O51:P51"/>
    <mergeCell ref="C21:D21"/>
    <mergeCell ref="M18:M1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C8:Q8"/>
    <mergeCell ref="C11:D11"/>
    <mergeCell ref="C12:D12"/>
    <mergeCell ref="C13:D13"/>
    <mergeCell ref="P13:Q13"/>
    <mergeCell ref="O9:O16"/>
    <mergeCell ref="C10:D10"/>
    <mergeCell ref="C9:D9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I41:I44"/>
    <mergeCell ref="B35:B40"/>
    <mergeCell ref="C35:C40"/>
    <mergeCell ref="M41:P45"/>
  </mergeCells>
  <pageMargins left="0" right="0" top="0.75" bottom="0.75" header="0.3" footer="0.3"/>
  <pageSetup paperSize="9" scale="5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B2:U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3" sqref="T3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52" t="s">
        <v>229</v>
      </c>
      <c r="Q4" s="153" t="s">
        <v>324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3" t="s">
        <v>244</v>
      </c>
      <c r="D9" s="73" t="s">
        <v>29</v>
      </c>
      <c r="E9" s="74">
        <f>'10'!L9</f>
        <v>20180.421703122505</v>
      </c>
      <c r="F9" s="74">
        <f>Production2!D13</f>
        <v>3282.3000000000015</v>
      </c>
      <c r="G9" s="74">
        <f>F9+'10'!G9</f>
        <v>21003.780000000002</v>
      </c>
      <c r="H9" s="74">
        <f>F9+'10'!H9</f>
        <v>21003.780000000002</v>
      </c>
      <c r="I9" s="74">
        <f>Production2!E13</f>
        <v>2807</v>
      </c>
      <c r="J9" s="74">
        <f>I9+'10'!J9</f>
        <v>19422</v>
      </c>
      <c r="K9" s="74">
        <f>I9+'10'!K9</f>
        <v>19422</v>
      </c>
      <c r="L9" s="74">
        <f>E9+F9-I9-I21</f>
        <v>20437.721703916508</v>
      </c>
      <c r="M9" s="75">
        <f>I9</f>
        <v>2807</v>
      </c>
      <c r="N9" s="75">
        <f>(I9/I13)*100</f>
        <v>97.668754349338911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(2)'!L13</f>
        <v>100.03999999999975</v>
      </c>
      <c r="F10" s="77">
        <f>'Mines (2)'!M13</f>
        <v>0</v>
      </c>
      <c r="G10" s="74">
        <f>F10+'10'!G10</f>
        <v>0</v>
      </c>
      <c r="H10" s="74">
        <f>F10+'10'!H10</f>
        <v>0</v>
      </c>
      <c r="I10" s="77">
        <f>'Mines (2)'!N13</f>
        <v>0</v>
      </c>
      <c r="J10" s="74">
        <f>I10+'10'!J10</f>
        <v>24</v>
      </c>
      <c r="K10" s="74">
        <f>I10+'10'!K10</f>
        <v>24</v>
      </c>
      <c r="L10" s="77">
        <f t="shared" ref="L10:L13" si="0">E10+F10-I10</f>
        <v>100.03999999999975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Clinker!C13</f>
        <v>5037.6399999999994</v>
      </c>
      <c r="F11" s="77">
        <f>Clinker!D13</f>
        <v>0</v>
      </c>
      <c r="G11" s="74">
        <f>F11+'10'!G11</f>
        <v>0</v>
      </c>
      <c r="H11" s="74">
        <f>F11+'10'!H11</f>
        <v>0</v>
      </c>
      <c r="I11" s="77">
        <f>Clinker!E13</f>
        <v>58</v>
      </c>
      <c r="J11" s="74">
        <f>I11+'10'!J11</f>
        <v>386</v>
      </c>
      <c r="K11" s="74">
        <f>I11+'10'!K11</f>
        <v>386</v>
      </c>
      <c r="L11" s="77">
        <f t="shared" si="0"/>
        <v>4979.6399999999994</v>
      </c>
      <c r="M11" s="75">
        <f t="shared" si="1"/>
        <v>58</v>
      </c>
      <c r="N11" s="75">
        <f>(I11/I13)*100</f>
        <v>2.0180932498260264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(2)'!Q13</f>
        <v>554.28</v>
      </c>
      <c r="F12" s="77">
        <f>'Mines (2)'!R13</f>
        <v>0</v>
      </c>
      <c r="G12" s="74">
        <f>F12+'10'!G12</f>
        <v>0</v>
      </c>
      <c r="H12" s="74">
        <f>F12+'10'!H12</f>
        <v>0</v>
      </c>
      <c r="I12" s="77">
        <f>'Mines (2)'!S13</f>
        <v>9</v>
      </c>
      <c r="J12" s="74">
        <f>I12+'10'!J12</f>
        <v>55</v>
      </c>
      <c r="K12" s="74">
        <f>I12+'10'!K12</f>
        <v>55</v>
      </c>
      <c r="L12" s="77">
        <f t="shared" si="0"/>
        <v>545.28</v>
      </c>
      <c r="M12" s="75">
        <f t="shared" si="1"/>
        <v>9</v>
      </c>
      <c r="N12" s="75">
        <f>(I12/I13)*100</f>
        <v>0.31315240083507306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25872.381703122504</v>
      </c>
      <c r="F13" s="127">
        <f t="shared" si="2"/>
        <v>3282.3000000000015</v>
      </c>
      <c r="G13" s="127">
        <f t="shared" si="2"/>
        <v>21003.780000000002</v>
      </c>
      <c r="H13" s="127">
        <f t="shared" si="2"/>
        <v>21003.780000000002</v>
      </c>
      <c r="I13" s="127">
        <f t="shared" si="2"/>
        <v>2874</v>
      </c>
      <c r="J13" s="127">
        <f t="shared" si="2"/>
        <v>19887</v>
      </c>
      <c r="K13" s="127">
        <f t="shared" si="2"/>
        <v>19887</v>
      </c>
      <c r="L13" s="127">
        <f t="shared" si="0"/>
        <v>26280.681703122507</v>
      </c>
      <c r="M13" s="128">
        <f>SUM(M9:M12)</f>
        <v>2874</v>
      </c>
      <c r="N13" s="128">
        <f>SUM(N9:N12)</f>
        <v>100.00000000000001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Clinker!EA13</f>
        <v>14125.66699999999</v>
      </c>
      <c r="F14" s="77">
        <f>Clinker!EB13</f>
        <v>0</v>
      </c>
      <c r="G14" s="77">
        <f>F14+'10'!G14</f>
        <v>151.5</v>
      </c>
      <c r="H14" s="77">
        <f>F14+'10'!H14</f>
        <v>151.5</v>
      </c>
      <c r="I14" s="77">
        <f>Clinker!EC13</f>
        <v>328.89</v>
      </c>
      <c r="J14" s="77">
        <f>I14+'10'!J14</f>
        <v>2119.9900000000002</v>
      </c>
      <c r="K14" s="77">
        <f>I14+'10'!K14</f>
        <v>2119.9900000000002</v>
      </c>
      <c r="L14" s="77">
        <f>E14+F14-I14-Clinker!N13-Clinker!Z13-Clinker!AR13-Clinker!AW13-Clinker!BB13-Clinker!BV13-Clinker!BQ13</f>
        <v>13776.776999999991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Clinker!EE13</f>
        <v>11812.699999999997</v>
      </c>
      <c r="F15" s="77">
        <f>Clinker!EF13</f>
        <v>0</v>
      </c>
      <c r="G15" s="77">
        <f>F15+'10'!G15</f>
        <v>125.05000000000001</v>
      </c>
      <c r="H15" s="77">
        <f>F15+'10'!H15</f>
        <v>125.05000000000001</v>
      </c>
      <c r="I15" s="77">
        <f>Clinker!EG13</f>
        <v>139</v>
      </c>
      <c r="J15" s="77">
        <f>I15+'10'!J15</f>
        <v>1306</v>
      </c>
      <c r="K15" s="77">
        <f>I15+'10'!K15</f>
        <v>1306</v>
      </c>
      <c r="L15" s="77">
        <f>E15+F15-Clinker!AE13-Clinker!AI13-Clinker!CK13-Clinker!CP13-Clinker!CF13</f>
        <v>11693.699999999997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25938.366999999987</v>
      </c>
      <c r="F16" s="125">
        <f>F14+F15</f>
        <v>0</v>
      </c>
      <c r="G16" s="125">
        <f t="shared" ref="G16:K16" si="3">G14+G15</f>
        <v>276.55</v>
      </c>
      <c r="H16" s="125">
        <f>H14+H15</f>
        <v>276.55</v>
      </c>
      <c r="I16" s="125">
        <f>I14+I15</f>
        <v>467.89</v>
      </c>
      <c r="J16" s="125">
        <f>J14+J15</f>
        <v>3425.9900000000002</v>
      </c>
      <c r="K16" s="125">
        <f t="shared" si="3"/>
        <v>3425.9900000000002</v>
      </c>
      <c r="L16" s="125">
        <f>E16+F16-I16</f>
        <v>25470.476999999988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Clinker!EI13</f>
        <v>9004.6700895600479</v>
      </c>
      <c r="F18" s="74">
        <f>Clinker!EJ13</f>
        <v>1805</v>
      </c>
      <c r="G18" s="74">
        <f>F18+'10'!G18</f>
        <v>12080</v>
      </c>
      <c r="H18" s="74">
        <f>F18+'10'!H18</f>
        <v>12080</v>
      </c>
      <c r="I18" s="74">
        <f>Clinker!EK13</f>
        <v>931.50000079400002</v>
      </c>
      <c r="J18" s="74">
        <f>I18+'10'!J18</f>
        <v>5483.3700108606818</v>
      </c>
      <c r="K18" s="74">
        <f>I18+'10'!K18</f>
        <v>5483.3700108606818</v>
      </c>
      <c r="L18" s="74">
        <f>E18+F18-I18-I20</f>
        <v>9878.1700887660481</v>
      </c>
      <c r="M18" s="704">
        <f>((I18+I19)/(J40+J46))*100</f>
        <v>76.983471140000006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Clinker!EN13</f>
        <v>2736.5990080001366</v>
      </c>
      <c r="F19" s="74">
        <f>Clinker!EO13</f>
        <v>0</v>
      </c>
      <c r="G19" s="74">
        <f>F19+'10'!G19</f>
        <v>6248.7</v>
      </c>
      <c r="H19" s="74">
        <f>F19+'10'!H19</f>
        <v>6248.7</v>
      </c>
      <c r="I19" s="74">
        <f>Clinker!EP13</f>
        <v>0</v>
      </c>
      <c r="J19" s="74">
        <f>I19+'10'!J19</f>
        <v>12361.649999999998</v>
      </c>
      <c r="K19" s="74">
        <f>I19+'10'!K19</f>
        <v>12361.649999999998</v>
      </c>
      <c r="L19" s="74">
        <f>E19+F19-I19</f>
        <v>2736.5990080001366</v>
      </c>
      <c r="M19" s="705"/>
      <c r="N19" s="687"/>
      <c r="O19" s="689"/>
      <c r="P19" s="691"/>
      <c r="Q19" s="692"/>
      <c r="R19" s="19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Clinker!EM13</f>
        <v>0</v>
      </c>
      <c r="G20" s="74">
        <f>F20+'10'!G20</f>
        <v>0</v>
      </c>
      <c r="H20" s="74">
        <f>F20+'10'!H20</f>
        <v>0</v>
      </c>
      <c r="I20" s="77">
        <f>Clinker!EM13</f>
        <v>0</v>
      </c>
      <c r="J20" s="74">
        <f>I20+'10'!J20</f>
        <v>0</v>
      </c>
      <c r="K20" s="74">
        <f>I20+'10'!K20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222" t="s">
        <v>244</v>
      </c>
      <c r="D21" s="223"/>
      <c r="E21" s="77"/>
      <c r="F21" s="77"/>
      <c r="G21" s="74"/>
      <c r="H21" s="74"/>
      <c r="I21" s="77">
        <f>Cement!Q13</f>
        <v>217.99999920600001</v>
      </c>
      <c r="J21" s="74">
        <f>I21+'10'!J21</f>
        <v>4248.9299932673184</v>
      </c>
      <c r="K21" s="74">
        <f>I21+'10'!K21</f>
        <v>4248.9299932673184</v>
      </c>
      <c r="L21" s="74"/>
      <c r="M21" s="78">
        <f>(I21/(J40+J46))*100</f>
        <v>18.016528860000001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Cement!C13</f>
        <v>7588.6900632777788</v>
      </c>
      <c r="F22" s="77">
        <f>Cement!D13</f>
        <v>0</v>
      </c>
      <c r="G22" s="74">
        <f>F22+'10'!G22</f>
        <v>1246.8599999999999</v>
      </c>
      <c r="H22" s="74">
        <f>F22+'10'!H22</f>
        <v>1246.8599999999999</v>
      </c>
      <c r="I22" s="77">
        <f>Cement!E13</f>
        <v>60.5</v>
      </c>
      <c r="J22" s="74">
        <f>I22+'10'!J22</f>
        <v>1164.0499958719997</v>
      </c>
      <c r="K22" s="74">
        <f>I22+'10'!K22</f>
        <v>1164.0499958719997</v>
      </c>
      <c r="L22" s="74">
        <f t="shared" ref="L22:L24" si="4">E22+F22-I22</f>
        <v>7528.1900632777788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Cement!G13</f>
        <v>0.23999999999796273</v>
      </c>
      <c r="F23" s="77">
        <f>Cement!H13</f>
        <v>0</v>
      </c>
      <c r="G23" s="74">
        <f>F23+'10'!G23</f>
        <v>0</v>
      </c>
      <c r="H23" s="74">
        <f>F23+'10'!H23</f>
        <v>0</v>
      </c>
      <c r="I23" s="77">
        <f>Cement!I13</f>
        <v>0</v>
      </c>
      <c r="J23" s="74">
        <f>I23+'10'!J23</f>
        <v>0</v>
      </c>
      <c r="K23" s="74">
        <f>I23+'10'!K23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Cement!K13</f>
        <v>0</v>
      </c>
      <c r="F24" s="77">
        <f>Cement!L13</f>
        <v>0</v>
      </c>
      <c r="G24" s="74">
        <f>F24+'10'!G24</f>
        <v>0</v>
      </c>
      <c r="H24" s="74">
        <f>F24+'10'!H24</f>
        <v>0</v>
      </c>
      <c r="I24" s="77">
        <f>Cement!M13</f>
        <v>0</v>
      </c>
      <c r="J24" s="74">
        <f>I24+'10'!J24</f>
        <v>0</v>
      </c>
      <c r="K24" s="74">
        <f>I24+'10'!K24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19330.199160837961</v>
      </c>
      <c r="F25" s="122">
        <f t="shared" ref="F25:L25" si="5">F18+F19+F21+F22+F23+F24</f>
        <v>1805</v>
      </c>
      <c r="G25" s="122">
        <f t="shared" si="5"/>
        <v>19575.560000000001</v>
      </c>
      <c r="H25" s="122">
        <f t="shared" si="5"/>
        <v>19575.560000000001</v>
      </c>
      <c r="I25" s="122">
        <f t="shared" si="5"/>
        <v>1210</v>
      </c>
      <c r="J25" s="122">
        <f t="shared" si="5"/>
        <v>23257.999999999996</v>
      </c>
      <c r="K25" s="122">
        <f t="shared" si="5"/>
        <v>23257.999999999996</v>
      </c>
      <c r="L25" s="122">
        <f t="shared" si="5"/>
        <v>20143.199160043961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Production2!C13</f>
        <v>19.07</v>
      </c>
      <c r="G30" s="75">
        <f>F30+'10'!G30</f>
        <v>106.35999999999999</v>
      </c>
      <c r="H30" s="75">
        <f>F30+'10'!H30</f>
        <v>106.35999999999999</v>
      </c>
      <c r="I30" s="74">
        <f>'Mines (2)'!C13+'Mines (2)'!H13+'Mines (2)'!V13+'Mines (2)'!Z13+'Mines (2)'!AD13</f>
        <v>20180.421703122513</v>
      </c>
      <c r="J30" s="74">
        <f>Production2!D13</f>
        <v>3282.3000000000015</v>
      </c>
      <c r="K30" s="74">
        <f>J30+'10'!K30</f>
        <v>21003.780000000002</v>
      </c>
      <c r="L30" s="74">
        <f>J30+'10'!L30</f>
        <v>21003.780000000002</v>
      </c>
      <c r="M30" s="74">
        <f>I9+I21</f>
        <v>3024.9999992060002</v>
      </c>
      <c r="N30" s="74">
        <f>M30+'10'!N30</f>
        <v>23670.92999326732</v>
      </c>
      <c r="O30" s="74">
        <f>M30+'10'!O30</f>
        <v>23670.92999326732</v>
      </c>
      <c r="P30" s="74">
        <f>I30+J30-M30</f>
        <v>20437.721703916515</v>
      </c>
      <c r="Q30" s="93">
        <f>J30/F30</f>
        <v>172.11851074986899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Production2!G13</f>
        <v>19.100000000000001</v>
      </c>
      <c r="G31" s="75">
        <f>F31+'10'!G31</f>
        <v>133.75</v>
      </c>
      <c r="H31" s="75">
        <f>F31+'10'!H31</f>
        <v>133.75</v>
      </c>
      <c r="I31" s="747">
        <f>Production2!H13</f>
        <v>1385.3000168375193</v>
      </c>
      <c r="J31" s="78">
        <f>Production2!N13</f>
        <v>2451</v>
      </c>
      <c r="K31" s="74">
        <f>J31+'10'!K31</f>
        <v>17058.29</v>
      </c>
      <c r="L31" s="74">
        <f>J31+'10'!L31</f>
        <v>17058.29</v>
      </c>
      <c r="M31" s="747">
        <f>Production2!K13</f>
        <v>2797.75</v>
      </c>
      <c r="N31" s="747">
        <f>M31+'10'!N31</f>
        <v>18724</v>
      </c>
      <c r="O31" s="747">
        <f>M31+'10'!O31</f>
        <v>18724</v>
      </c>
      <c r="P31" s="747">
        <f>I31+J31+J32-M31</f>
        <v>1175.8900168375194</v>
      </c>
      <c r="Q31" s="96">
        <f t="shared" ref="Q31:Q46" si="6">J31/F31</f>
        <v>128.32460732984293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Production2!P13</f>
        <v>14</v>
      </c>
      <c r="G32" s="75">
        <f>F32+'10'!G32</f>
        <v>88.22</v>
      </c>
      <c r="H32" s="75">
        <f>F32+'10'!H32</f>
        <v>88.22</v>
      </c>
      <c r="I32" s="748"/>
      <c r="J32" s="78">
        <f>Production2!Q13</f>
        <v>137.34</v>
      </c>
      <c r="K32" s="74">
        <f>J32+'10'!K32</f>
        <v>847.87</v>
      </c>
      <c r="L32" s="74">
        <f>J32+'10'!L32</f>
        <v>847.87</v>
      </c>
      <c r="M32" s="748"/>
      <c r="N32" s="748"/>
      <c r="O32" s="748"/>
      <c r="P32" s="748"/>
      <c r="Q32" s="96">
        <f>J32/F32</f>
        <v>9.81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Production2!S13</f>
        <v>21.2</v>
      </c>
      <c r="G33" s="75">
        <f>F33+'10'!G33</f>
        <v>137.4</v>
      </c>
      <c r="H33" s="75">
        <f>F33+'10'!H33</f>
        <v>137.4</v>
      </c>
      <c r="I33" s="77">
        <f>Production2!T13</f>
        <v>24.509999999999991</v>
      </c>
      <c r="J33" s="77">
        <f>Production2!U13</f>
        <v>296</v>
      </c>
      <c r="K33" s="74">
        <f>J33+'10'!K33</f>
        <v>1908</v>
      </c>
      <c r="L33" s="74">
        <f>J33+'10'!L33</f>
        <v>1908</v>
      </c>
      <c r="M33" s="77">
        <f>Production2!V13</f>
        <v>265</v>
      </c>
      <c r="N33" s="74">
        <f>M33+'10'!N33</f>
        <v>1868</v>
      </c>
      <c r="O33" s="74">
        <f>M33+'10'!O33</f>
        <v>1868</v>
      </c>
      <c r="P33" s="74">
        <f t="shared" ref="P33" si="7">I33+J33-M33</f>
        <v>55.509999999999991</v>
      </c>
      <c r="Q33" s="96">
        <f t="shared" si="6"/>
        <v>13.962264150943398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Production2!Y13</f>
        <v>23.3</v>
      </c>
      <c r="G34" s="75">
        <f>F34+'10'!G34</f>
        <v>162.27000000000001</v>
      </c>
      <c r="H34" s="75">
        <f>F34+'10'!H34</f>
        <v>162.27000000000001</v>
      </c>
      <c r="I34" s="77">
        <f>Clinker!EI13</f>
        <v>9004.6700895600479</v>
      </c>
      <c r="J34" s="77">
        <f>Clinker!EJ13</f>
        <v>1805</v>
      </c>
      <c r="K34" s="74">
        <f>J34+'10'!K34</f>
        <v>12080</v>
      </c>
      <c r="L34" s="74">
        <f>J34+'10'!L34</f>
        <v>12080</v>
      </c>
      <c r="M34" s="77">
        <f>Clinker!EK13</f>
        <v>931.50000079400002</v>
      </c>
      <c r="N34" s="74">
        <f>M34+'10'!N34</f>
        <v>5483.3700108606818</v>
      </c>
      <c r="O34" s="74">
        <f>M34+'10'!O34</f>
        <v>5483.3700108606818</v>
      </c>
      <c r="P34" s="74">
        <f>I34+J34-M34-I20</f>
        <v>9878.1700887660481</v>
      </c>
      <c r="Q34" s="96">
        <f t="shared" si="6"/>
        <v>77.467811158798284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Production2!AE13</f>
        <v>0</v>
      </c>
      <c r="G35" s="75">
        <f>F35+'10'!G35</f>
        <v>9</v>
      </c>
      <c r="H35" s="75">
        <f>F35+'10'!H35</f>
        <v>9</v>
      </c>
      <c r="I35" s="77">
        <f>Production2!BJ13</f>
        <v>395.79999999999995</v>
      </c>
      <c r="J35" s="77">
        <f>Production2!AF13</f>
        <v>0</v>
      </c>
      <c r="K35" s="74">
        <f>J35+'10'!K35</f>
        <v>574</v>
      </c>
      <c r="L35" s="74">
        <f>J35+'10'!L35</f>
        <v>574</v>
      </c>
      <c r="M35" s="77">
        <f>Production2!BL13</f>
        <v>10</v>
      </c>
      <c r="N35" s="74">
        <f>M35+'10'!N35</f>
        <v>970.5</v>
      </c>
      <c r="O35" s="74">
        <f>M35+'10'!O35</f>
        <v>970.5</v>
      </c>
      <c r="P35" s="74">
        <f>I35+J35+J41-M35-F59</f>
        <v>385.79999999999995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Production2!AB13</f>
        <v>0</v>
      </c>
      <c r="G36" s="75">
        <f>F36+'10'!G36</f>
        <v>116.64000000000001</v>
      </c>
      <c r="H36" s="75">
        <f>F36+'10'!H36</f>
        <v>116.64000000000001</v>
      </c>
      <c r="I36" s="77">
        <f>Production2!BF13</f>
        <v>2819.4279999999799</v>
      </c>
      <c r="J36" s="77">
        <f>Production2!AC13</f>
        <v>0</v>
      </c>
      <c r="K36" s="74">
        <f>J36+'10'!K36</f>
        <v>7127</v>
      </c>
      <c r="L36" s="74">
        <f>J36+'10'!L36</f>
        <v>7127</v>
      </c>
      <c r="M36" s="77">
        <f>Production2!BH13</f>
        <v>1679.75</v>
      </c>
      <c r="N36" s="74">
        <f>M36+'10'!N36</f>
        <v>17668.879999999997</v>
      </c>
      <c r="O36" s="74">
        <f>M36+'10'!O36</f>
        <v>17668.879999999997</v>
      </c>
      <c r="P36" s="74">
        <f>I36+J36+J42-M36-F57</f>
        <v>2349.6779999999799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Production2!AH13</f>
        <v>0</v>
      </c>
      <c r="G37" s="75">
        <f>F37+'10'!G37</f>
        <v>0</v>
      </c>
      <c r="H37" s="75">
        <f>F37+'10'!H37</f>
        <v>0</v>
      </c>
      <c r="I37" s="77">
        <f>Production2!BN13</f>
        <v>2.0900000000008498</v>
      </c>
      <c r="J37" s="77">
        <f>Production2!AI13</f>
        <v>0</v>
      </c>
      <c r="K37" s="74">
        <f>J37+'10'!K37</f>
        <v>0</v>
      </c>
      <c r="L37" s="74">
        <f>J37+'10'!L37</f>
        <v>0</v>
      </c>
      <c r="M37" s="77">
        <f>Production2!BP13</f>
        <v>0</v>
      </c>
      <c r="N37" s="74">
        <f>M37+'10'!N37</f>
        <v>-0.15</v>
      </c>
      <c r="O37" s="74">
        <f>M37+'10'!O37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Production2!AK13</f>
        <v>0</v>
      </c>
      <c r="G38" s="75">
        <f>F38+'10'!G38</f>
        <v>0</v>
      </c>
      <c r="H38" s="75">
        <f>F38+'10'!H38</f>
        <v>0</v>
      </c>
      <c r="I38" s="195">
        <f>Production2!BR13</f>
        <v>197.3</v>
      </c>
      <c r="J38" s="195">
        <v>0</v>
      </c>
      <c r="K38" s="74">
        <f>J38+'10'!K38</f>
        <v>0</v>
      </c>
      <c r="L38" s="74">
        <f>J38+'10'!L38</f>
        <v>0</v>
      </c>
      <c r="M38" s="195">
        <f>Production2!BT13</f>
        <v>61</v>
      </c>
      <c r="N38" s="74">
        <f>M38+'10'!N38</f>
        <v>1062</v>
      </c>
      <c r="O38" s="74">
        <f>M38+'10'!O38</f>
        <v>1062</v>
      </c>
      <c r="P38" s="74">
        <f>I38+J38+J44-M38-F60</f>
        <v>136.30000000000001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62" t="s">
        <v>306</v>
      </c>
      <c r="E39" s="469">
        <v>78</v>
      </c>
      <c r="F39" s="464">
        <f>Production2!AN13</f>
        <v>0</v>
      </c>
      <c r="G39" s="465">
        <f>F39+'10'!G39</f>
        <v>27.35</v>
      </c>
      <c r="H39" s="465">
        <f>F39+'10'!H39</f>
        <v>27.35</v>
      </c>
      <c r="I39" s="466">
        <f>Production2!BV13</f>
        <v>455.71000000000015</v>
      </c>
      <c r="J39" s="466">
        <f>Production2!AO13</f>
        <v>0</v>
      </c>
      <c r="K39" s="467">
        <f>J39+'10'!K39</f>
        <v>1720</v>
      </c>
      <c r="L39" s="467">
        <f>J39+'10'!L39</f>
        <v>1720</v>
      </c>
      <c r="M39" s="77">
        <f>Production2!BX13</f>
        <v>60.5</v>
      </c>
      <c r="N39" s="467">
        <f>M39+'10'!N39</f>
        <v>2387.5</v>
      </c>
      <c r="O39" s="467">
        <f>M39+'10'!O39</f>
        <v>2387.5</v>
      </c>
      <c r="P39" s="467">
        <f>I39+J39+J45-M39</f>
        <v>395.21000000000015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>G35+G36+G37+G38+G39</f>
        <v>152.99</v>
      </c>
      <c r="H40" s="132">
        <f t="shared" ref="H40" si="8">H35+H36+H37+H38+H39</f>
        <v>152.99</v>
      </c>
      <c r="I40" s="122">
        <f>I35+I36+I37+I38+I39</f>
        <v>3870.3279999999813</v>
      </c>
      <c r="J40" s="463">
        <f t="shared" ref="J40:O40" si="9">J35+J36+J37+J38+J39</f>
        <v>0</v>
      </c>
      <c r="K40" s="463">
        <f t="shared" si="9"/>
        <v>9421</v>
      </c>
      <c r="L40" s="463">
        <f t="shared" si="9"/>
        <v>9421</v>
      </c>
      <c r="M40" s="463">
        <f t="shared" si="9"/>
        <v>1811.25</v>
      </c>
      <c r="N40" s="463">
        <f t="shared" si="9"/>
        <v>22088.729999999996</v>
      </c>
      <c r="O40" s="463">
        <f t="shared" si="9"/>
        <v>22088.729999999996</v>
      </c>
      <c r="P40" s="463">
        <f>P35+P36+P37+P38+P39</f>
        <v>3269.0779999999813</v>
      </c>
      <c r="Q40" s="123" t="e">
        <f t="shared" si="6"/>
        <v>#DIV/0!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Production2!AT13</f>
        <v>0</v>
      </c>
      <c r="G41" s="75">
        <f>F41+'10'!G41</f>
        <v>9</v>
      </c>
      <c r="H41" s="75">
        <f>F41+'10'!H41</f>
        <v>9</v>
      </c>
      <c r="I41" s="764"/>
      <c r="J41" s="77">
        <f>Production2!AU13</f>
        <v>0</v>
      </c>
      <c r="K41" s="74">
        <f>J41+'10'!K41</f>
        <v>550</v>
      </c>
      <c r="L41" s="74">
        <f>J41+'10'!L41</f>
        <v>550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Production2!AQ13</f>
        <v>20.56</v>
      </c>
      <c r="G42" s="75">
        <f>F42+'10'!G42</f>
        <v>198.06</v>
      </c>
      <c r="H42" s="75">
        <f>F42+'10'!H42</f>
        <v>198.06</v>
      </c>
      <c r="I42" s="765"/>
      <c r="J42" s="77">
        <f>Production2!AR13</f>
        <v>1210</v>
      </c>
      <c r="K42" s="74">
        <f>J42+'10'!K42</f>
        <v>11613</v>
      </c>
      <c r="L42" s="74">
        <f>J42+'10'!L42</f>
        <v>11613</v>
      </c>
      <c r="M42" s="769"/>
      <c r="N42" s="829"/>
      <c r="O42" s="829"/>
      <c r="P42" s="771"/>
      <c r="Q42" s="96">
        <f t="shared" si="6"/>
        <v>58.852140077821012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Production2!AW13</f>
        <v>0</v>
      </c>
      <c r="G43" s="75">
        <f>F43+'10'!G43</f>
        <v>0</v>
      </c>
      <c r="H43" s="75">
        <f>F43+'10'!H43</f>
        <v>0</v>
      </c>
      <c r="I43" s="765"/>
      <c r="J43" s="77">
        <f>Production2!AX13</f>
        <v>0</v>
      </c>
      <c r="K43" s="74">
        <f>J43+'10'!K43</f>
        <v>0</v>
      </c>
      <c r="L43" s="74">
        <f>J43+'10'!L43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Production2!AZ13</f>
        <v>0</v>
      </c>
      <c r="G44" s="75">
        <f>F44+'10'!G44</f>
        <v>17.78</v>
      </c>
      <c r="H44" s="75">
        <f>F44+'10'!H44</f>
        <v>17.78</v>
      </c>
      <c r="I44" s="748"/>
      <c r="J44" s="195">
        <f>Production2!BA13</f>
        <v>0</v>
      </c>
      <c r="K44" s="74">
        <f>J44+'10'!K44</f>
        <v>985</v>
      </c>
      <c r="L44" s="74">
        <f>J44+'10'!L44</f>
        <v>985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462" t="s">
        <v>306</v>
      </c>
      <c r="E45" s="469">
        <v>70</v>
      </c>
      <c r="F45" s="464">
        <f>Production2!BC13</f>
        <v>0</v>
      </c>
      <c r="G45" s="465">
        <f>F45+'10'!G45</f>
        <v>11</v>
      </c>
      <c r="H45" s="465">
        <f>F45+'10'!H45</f>
        <v>11</v>
      </c>
      <c r="I45" s="468"/>
      <c r="J45" s="466">
        <f>Production2!BD13</f>
        <v>0</v>
      </c>
      <c r="K45" s="467">
        <f>J45+'10'!K45</f>
        <v>689</v>
      </c>
      <c r="L45" s="467">
        <f>J45+'10'!L45</f>
        <v>689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20.56</v>
      </c>
      <c r="G46" s="132">
        <f t="shared" ref="G46:H46" si="10">G41+G42+G43+G44+G45</f>
        <v>235.84</v>
      </c>
      <c r="H46" s="132">
        <f t="shared" si="10"/>
        <v>235.84</v>
      </c>
      <c r="I46" s="132"/>
      <c r="J46" s="122">
        <f>J41+J42+J43+J44+J45</f>
        <v>1210</v>
      </c>
      <c r="K46" s="463">
        <f t="shared" ref="K46:L46" si="11">K41+K42+K43+K44+K45</f>
        <v>13837</v>
      </c>
      <c r="L46" s="463">
        <f t="shared" si="11"/>
        <v>13837</v>
      </c>
      <c r="M46" s="132"/>
      <c r="N46" s="132"/>
      <c r="O46" s="132"/>
      <c r="P46" s="132"/>
      <c r="Q46" s="123">
        <f t="shared" si="6"/>
        <v>58.852140077821012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0.6464978825823352</v>
      </c>
      <c r="F50" s="99">
        <f>F53/(J31+J32)</f>
        <v>20.662664101315901</v>
      </c>
      <c r="G50" s="99">
        <f>G53/J32</f>
        <v>0</v>
      </c>
      <c r="H50" s="99">
        <f>H53/J34</f>
        <v>30.374515235457064</v>
      </c>
      <c r="I50" s="99">
        <f>I53/J33</f>
        <v>54.885135135135137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14.681440443213297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1.0053847957942466</v>
      </c>
      <c r="F51" s="102">
        <f>F50*1.55</f>
        <v>32.027129357039648</v>
      </c>
      <c r="G51" s="102">
        <f>G50*1.55</f>
        <v>0</v>
      </c>
      <c r="H51" s="102">
        <f>H50</f>
        <v>30.374515235457064</v>
      </c>
      <c r="I51" s="102">
        <f>I50*(Q50/100)</f>
        <v>8.0579284270420022</v>
      </c>
      <c r="J51" s="102"/>
      <c r="K51" s="102"/>
      <c r="L51" s="102"/>
      <c r="M51" s="96"/>
      <c r="N51" s="310">
        <f>SUM(E51:I51)</f>
        <v>71.464957815332966</v>
      </c>
      <c r="O51" s="668" t="s">
        <v>279</v>
      </c>
      <c r="P51" s="668"/>
      <c r="Q51" s="104">
        <v>5402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0.77398011411621181</v>
      </c>
      <c r="F52" s="102">
        <f>F51*M18/100</f>
        <v>24.655595885547086</v>
      </c>
      <c r="G52" s="102">
        <f>G51*M18/100</f>
        <v>0</v>
      </c>
      <c r="H52" s="102">
        <f>H51*M18/100</f>
        <v>23.38335617020299</v>
      </c>
      <c r="I52" s="102">
        <f>I51*M18/100</f>
        <v>6.2032730051137364</v>
      </c>
      <c r="J52" s="99">
        <f>J53/(J40+J46)</f>
        <v>43.865289256198345</v>
      </c>
      <c r="K52" s="99">
        <f>K53/(J46+J40)</f>
        <v>1.3454545454545455</v>
      </c>
      <c r="L52" s="99">
        <f>L53/(M40)</f>
        <v>2.6594893029675637</v>
      </c>
      <c r="M52" s="96">
        <f>M53/(J46+J40)</f>
        <v>2.9776859504132229</v>
      </c>
      <c r="N52" s="310">
        <f>SUM(E52:M52)</f>
        <v>105.86412423001369</v>
      </c>
      <c r="O52" s="668" t="s">
        <v>281</v>
      </c>
      <c r="P52" s="668"/>
      <c r="Q52" s="104">
        <f>Q51*Q50/100</f>
        <v>793.09141274238243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unit'!B13</f>
        <v>2122</v>
      </c>
      <c r="F53" s="118">
        <f>'Daily unit'!C13</f>
        <v>53482</v>
      </c>
      <c r="G53" s="118">
        <f>'Daily unit'!D13</f>
        <v>0</v>
      </c>
      <c r="H53" s="118">
        <f>'Daily unit'!E13</f>
        <v>54826</v>
      </c>
      <c r="I53" s="118">
        <f>'Daily unit'!F13</f>
        <v>16246</v>
      </c>
      <c r="J53" s="118">
        <f>'Daily unit'!G13</f>
        <v>53077</v>
      </c>
      <c r="K53" s="118">
        <f>'Daily unit'!H13</f>
        <v>1628</v>
      </c>
      <c r="L53" s="118">
        <f>'Daily unit'!I13</f>
        <v>4817</v>
      </c>
      <c r="M53" s="119">
        <f>'Daily unit'!J13</f>
        <v>3603</v>
      </c>
      <c r="N53" s="321">
        <f>SUM(E53:M53)</f>
        <v>189801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05">
        <v>1</v>
      </c>
      <c r="C57" s="783" t="s">
        <v>287</v>
      </c>
      <c r="D57" s="784"/>
      <c r="E57" s="80">
        <v>42.5</v>
      </c>
      <c r="F57" s="53">
        <f>'Internal use cement'!F13</f>
        <v>0</v>
      </c>
      <c r="G57" s="53">
        <f>F57+'10'!G57</f>
        <v>0</v>
      </c>
      <c r="H57" s="104">
        <f>F57+'10'!H57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6"/>
      <c r="C58" s="785"/>
      <c r="D58" s="786"/>
      <c r="E58" s="80" t="s">
        <v>197</v>
      </c>
      <c r="F58" s="53">
        <f>'Internal use cement'!Q13</f>
        <v>0</v>
      </c>
      <c r="G58" s="53">
        <f>F58+'10'!G58</f>
        <v>0</v>
      </c>
      <c r="H58" s="104">
        <f>F58+'10'!H58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6"/>
      <c r="C59" s="785"/>
      <c r="D59" s="786"/>
      <c r="E59" s="80">
        <v>32.5</v>
      </c>
      <c r="F59" s="53">
        <f>'Internal use cement'!AB13</f>
        <v>0</v>
      </c>
      <c r="G59" s="53">
        <f>F59+'10'!G59</f>
        <v>0</v>
      </c>
      <c r="H59" s="104">
        <f>F59+'10'!H59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07"/>
      <c r="C60" s="787"/>
      <c r="D60" s="788"/>
      <c r="E60" s="213" t="s">
        <v>177</v>
      </c>
      <c r="F60" s="113">
        <f>'Internal use cement'!AJ13</f>
        <v>0</v>
      </c>
      <c r="G60" s="220">
        <f>F60+'10'!G60</f>
        <v>0</v>
      </c>
      <c r="H60" s="114">
        <f>F60+'10'!H60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3">
    <mergeCell ref="C57:D60"/>
    <mergeCell ref="B57:B60"/>
    <mergeCell ref="B55:H55"/>
    <mergeCell ref="C56:E56"/>
    <mergeCell ref="I55:Q60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30:D30"/>
    <mergeCell ref="C31:D31"/>
    <mergeCell ref="C33:D33"/>
    <mergeCell ref="C34:D34"/>
    <mergeCell ref="B35:B40"/>
    <mergeCell ref="C35:C40"/>
    <mergeCell ref="C32:D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N6:N7"/>
    <mergeCell ref="O6:O7"/>
    <mergeCell ref="P6:P7"/>
    <mergeCell ref="Q6:Q7"/>
    <mergeCell ref="O9:O16"/>
    <mergeCell ref="C14:C16"/>
    <mergeCell ref="C8:Q8"/>
    <mergeCell ref="C11:D11"/>
    <mergeCell ref="C12:D12"/>
    <mergeCell ref="C13:D13"/>
    <mergeCell ref="P13:Q13"/>
    <mergeCell ref="B41:B46"/>
    <mergeCell ref="C41:C46"/>
    <mergeCell ref="I41:I44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C10:D10"/>
    <mergeCell ref="B14:B16"/>
    <mergeCell ref="M41:P45"/>
    <mergeCell ref="I31:I32"/>
    <mergeCell ref="M31:M32"/>
    <mergeCell ref="N31:N32"/>
    <mergeCell ref="O31:O32"/>
    <mergeCell ref="P31:P32"/>
  </mergeCells>
  <pageMargins left="0" right="0" top="0.75" bottom="0.75" header="0.3" footer="0.3"/>
  <pageSetup paperSize="9" scale="5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A45" sqref="A45:XFD4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325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295</v>
      </c>
      <c r="N5" s="140" t="s">
        <v>296</v>
      </c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3" t="s">
        <v>244</v>
      </c>
      <c r="D9" s="73" t="s">
        <v>29</v>
      </c>
      <c r="E9" s="74">
        <f>'11'!L9</f>
        <v>20437.721703916508</v>
      </c>
      <c r="F9" s="74">
        <f>Production2!D14</f>
        <v>2898.9399999999996</v>
      </c>
      <c r="G9" s="74">
        <f>F9+'11'!G9</f>
        <v>23902.720000000001</v>
      </c>
      <c r="H9" s="74">
        <f>F9+'11'!H9</f>
        <v>23902.720000000001</v>
      </c>
      <c r="I9" s="74">
        <f>Production2!E14</f>
        <v>3141</v>
      </c>
      <c r="J9" s="74">
        <f>I9+'11'!J9</f>
        <v>22563</v>
      </c>
      <c r="K9" s="74">
        <f>I9+'11'!K9</f>
        <v>22563</v>
      </c>
      <c r="L9" s="74">
        <f>E9+F9-I9-I21</f>
        <v>19934.411703916507</v>
      </c>
      <c r="M9" s="75">
        <f>I9</f>
        <v>3141</v>
      </c>
      <c r="N9" s="75">
        <f>(I9/I13)*100</f>
        <v>97.06427688504327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(2)'!L14</f>
        <v>100.03999999999975</v>
      </c>
      <c r="F10" s="77">
        <f>'Mines (2)'!M14</f>
        <v>0</v>
      </c>
      <c r="G10" s="74">
        <f>F10+'11'!G10</f>
        <v>0</v>
      </c>
      <c r="H10" s="74">
        <f>F10+'11'!H10</f>
        <v>0</v>
      </c>
      <c r="I10" s="77">
        <f>'Mines (2)'!N14</f>
        <v>5</v>
      </c>
      <c r="J10" s="74">
        <f>I10+'11'!J10</f>
        <v>29</v>
      </c>
      <c r="K10" s="74">
        <f>I10+'11'!K10</f>
        <v>29</v>
      </c>
      <c r="L10" s="77">
        <f t="shared" ref="L10:L13" si="0">E10+F10-I10</f>
        <v>95.03999999999975</v>
      </c>
      <c r="M10" s="75">
        <f t="shared" ref="M10:M12" si="1">I10</f>
        <v>5</v>
      </c>
      <c r="N10" s="75">
        <f>(I10/I13)*100</f>
        <v>0.15451174289245984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Clinker!C14</f>
        <v>4979.6399999999994</v>
      </c>
      <c r="F11" s="77">
        <f>Clinker!D14</f>
        <v>0</v>
      </c>
      <c r="G11" s="74">
        <f>F11+'11'!G11</f>
        <v>0</v>
      </c>
      <c r="H11" s="74">
        <f>F11+'11'!H11</f>
        <v>0</v>
      </c>
      <c r="I11" s="77">
        <f>Clinker!E14</f>
        <v>80</v>
      </c>
      <c r="J11" s="74">
        <f>I11+'11'!J11</f>
        <v>466</v>
      </c>
      <c r="K11" s="74">
        <f>I11+'11'!K11</f>
        <v>466</v>
      </c>
      <c r="L11" s="77">
        <f t="shared" si="0"/>
        <v>4899.6399999999994</v>
      </c>
      <c r="M11" s="75">
        <f t="shared" si="1"/>
        <v>80</v>
      </c>
      <c r="N11" s="75">
        <f>(I11/I13)*100</f>
        <v>2.4721878862793574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(2)'!Q14</f>
        <v>545.28</v>
      </c>
      <c r="F12" s="77">
        <f>'Mines (2)'!R14</f>
        <v>0</v>
      </c>
      <c r="G12" s="74">
        <f>F12+'11'!G12</f>
        <v>0</v>
      </c>
      <c r="H12" s="74">
        <f>F12+'11'!H12</f>
        <v>0</v>
      </c>
      <c r="I12" s="77">
        <f>'Mines (2)'!S14</f>
        <v>10</v>
      </c>
      <c r="J12" s="74">
        <f>I12+'11'!J12</f>
        <v>65</v>
      </c>
      <c r="K12" s="74">
        <f>I12+'11'!K12</f>
        <v>65</v>
      </c>
      <c r="L12" s="77">
        <f t="shared" si="0"/>
        <v>535.28</v>
      </c>
      <c r="M12" s="75">
        <f t="shared" si="1"/>
        <v>10</v>
      </c>
      <c r="N12" s="75">
        <f>(I12/I13)*100</f>
        <v>0.30902348578491967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26062.681703916507</v>
      </c>
      <c r="F13" s="127">
        <f t="shared" si="2"/>
        <v>2898.9399999999996</v>
      </c>
      <c r="G13" s="127">
        <f t="shared" si="2"/>
        <v>23902.720000000001</v>
      </c>
      <c r="H13" s="127">
        <f t="shared" si="2"/>
        <v>23902.720000000001</v>
      </c>
      <c r="I13" s="127">
        <f t="shared" si="2"/>
        <v>3236</v>
      </c>
      <c r="J13" s="127">
        <f t="shared" si="2"/>
        <v>23123</v>
      </c>
      <c r="K13" s="127">
        <f t="shared" si="2"/>
        <v>23123</v>
      </c>
      <c r="L13" s="127">
        <f t="shared" si="0"/>
        <v>25725.621703916506</v>
      </c>
      <c r="M13" s="128">
        <f>SUM(M9:M12)</f>
        <v>3236</v>
      </c>
      <c r="N13" s="128">
        <f>SUM(N9:N12)</f>
        <v>100.00000000000001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Clinker!EA14</f>
        <v>13776.776999999989</v>
      </c>
      <c r="F14" s="77">
        <f>Clinker!EB14</f>
        <v>0</v>
      </c>
      <c r="G14" s="77">
        <f>F14+'11'!G14</f>
        <v>151.5</v>
      </c>
      <c r="H14" s="77">
        <f>F14+'11'!H14</f>
        <v>151.5</v>
      </c>
      <c r="I14" s="77">
        <f>Clinker!EC14</f>
        <v>290</v>
      </c>
      <c r="J14" s="77">
        <f>I14+'11'!J14</f>
        <v>2409.9900000000002</v>
      </c>
      <c r="K14" s="77">
        <f>I14+'11'!K14</f>
        <v>2409.9900000000002</v>
      </c>
      <c r="L14" s="77">
        <f>E14+F14-I14-Clinker!N14-Clinker!Z14-Clinker!AR14-Clinker!AW14-Clinker!BB14-Clinker!BV14-Clinker!BQ14-Clinker!CZ14-Clinker!DO14-Clinker!DT14</f>
        <v>13486.776999999989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236"/>
    </row>
    <row r="15" spans="2:21" x14ac:dyDescent="0.25">
      <c r="B15" s="677"/>
      <c r="C15" s="678"/>
      <c r="D15" s="80" t="s">
        <v>68</v>
      </c>
      <c r="E15" s="77">
        <f>Clinker!EE14</f>
        <v>11693.699999999997</v>
      </c>
      <c r="F15" s="77">
        <f>Clinker!EF14</f>
        <v>0</v>
      </c>
      <c r="G15" s="77">
        <f>F15+'11'!G15</f>
        <v>125.05000000000001</v>
      </c>
      <c r="H15" s="77">
        <f>F15+'11'!H15</f>
        <v>125.05000000000001</v>
      </c>
      <c r="I15" s="77">
        <f>Clinker!EG14</f>
        <v>148</v>
      </c>
      <c r="J15" s="77">
        <f>I15+'11'!J15</f>
        <v>1454</v>
      </c>
      <c r="K15" s="77">
        <f>I15+'11'!K15</f>
        <v>1454</v>
      </c>
      <c r="L15" s="77">
        <f>E15+F15-Clinker!AE14-Clinker!AI14-Clinker!CK14-Clinker!CP14-Clinker!CF14</f>
        <v>11545.699999999997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SUM(E14:E15)</f>
        <v>25470.476999999984</v>
      </c>
      <c r="F16" s="125">
        <f t="shared" ref="F16:L16" si="3">SUM(F14:F15)</f>
        <v>0</v>
      </c>
      <c r="G16" s="125">
        <f t="shared" si="3"/>
        <v>276.55</v>
      </c>
      <c r="H16" s="125">
        <f t="shared" si="3"/>
        <v>276.55</v>
      </c>
      <c r="I16" s="125">
        <f t="shared" si="3"/>
        <v>438</v>
      </c>
      <c r="J16" s="125">
        <f t="shared" si="3"/>
        <v>3863.9900000000002</v>
      </c>
      <c r="K16" s="125">
        <f t="shared" si="3"/>
        <v>3863.9900000000002</v>
      </c>
      <c r="L16" s="125">
        <f t="shared" si="3"/>
        <v>25032.476999999984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Clinker!EI14</f>
        <v>9878.1700887660481</v>
      </c>
      <c r="F18" s="74">
        <f>Clinker!EJ14</f>
        <v>1800</v>
      </c>
      <c r="G18" s="74">
        <f>F18+'11'!G18</f>
        <v>13880</v>
      </c>
      <c r="H18" s="74">
        <f>F18+'11'!H18</f>
        <v>13880</v>
      </c>
      <c r="I18" s="74">
        <f>Clinker!EK14</f>
        <v>992</v>
      </c>
      <c r="J18" s="74">
        <f>I18+'11'!J18</f>
        <v>6475.3700108606818</v>
      </c>
      <c r="K18" s="74">
        <f>I18+'11'!K18</f>
        <v>6475.3700108606818</v>
      </c>
      <c r="L18" s="74">
        <f>E18+F18-I18-I20</f>
        <v>10686.170088766048</v>
      </c>
      <c r="M18" s="704">
        <f>((I18+I19)/(J40+J46))*100</f>
        <v>76.666666666666671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Clinker!EN14</f>
        <v>2736.5990080001366</v>
      </c>
      <c r="F19" s="74">
        <f>Clinker!EO14</f>
        <v>0</v>
      </c>
      <c r="G19" s="74">
        <f>F19+'11'!G19</f>
        <v>6248.7</v>
      </c>
      <c r="H19" s="74">
        <f>F19+'11'!H19</f>
        <v>6248.7</v>
      </c>
      <c r="I19" s="74">
        <f>Clinker!EP14</f>
        <v>100.5</v>
      </c>
      <c r="J19" s="74">
        <f>I19+'11'!J19</f>
        <v>12462.149999999998</v>
      </c>
      <c r="K19" s="74">
        <f>I19+'11'!K19</f>
        <v>12462.149999999998</v>
      </c>
      <c r="L19" s="74">
        <f>E19+F19-I19</f>
        <v>2636.0990080001366</v>
      </c>
      <c r="M19" s="705"/>
      <c r="N19" s="687"/>
      <c r="O19" s="689"/>
      <c r="P19" s="691"/>
      <c r="Q19" s="692"/>
      <c r="R19" s="19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Clinker!EM14</f>
        <v>0</v>
      </c>
      <c r="G20" s="74">
        <f>F20+'11'!G20</f>
        <v>0</v>
      </c>
      <c r="H20" s="74">
        <f>F20+'11'!H20</f>
        <v>0</v>
      </c>
      <c r="I20" s="77">
        <f>Clinker!EM14</f>
        <v>0</v>
      </c>
      <c r="J20" s="74">
        <f>I20+'11'!J20</f>
        <v>0</v>
      </c>
      <c r="K20" s="74">
        <f>I20+'11'!K20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Cement!Q14</f>
        <v>261.24999999999989</v>
      </c>
      <c r="J21" s="74">
        <f>I21+'11'!J21</f>
        <v>4510.1799932673184</v>
      </c>
      <c r="K21" s="74">
        <f>I21+'11'!K21</f>
        <v>4510.1799932673184</v>
      </c>
      <c r="L21" s="74"/>
      <c r="M21" s="78">
        <f>(I21/(J40+J46))*100</f>
        <v>18.333333333333325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Cement!C14</f>
        <v>7528.1900632777788</v>
      </c>
      <c r="F22" s="77">
        <f>Cement!D14</f>
        <v>0</v>
      </c>
      <c r="G22" s="74">
        <f>F22+'11'!G22</f>
        <v>1246.8599999999999</v>
      </c>
      <c r="H22" s="74">
        <f>F22+'11'!H22</f>
        <v>1246.8599999999999</v>
      </c>
      <c r="I22" s="77">
        <f>Cement!E14</f>
        <v>71.25</v>
      </c>
      <c r="J22" s="74">
        <f>I22+'11'!J22</f>
        <v>1235.2999958719997</v>
      </c>
      <c r="K22" s="74">
        <f>I22+'11'!K22</f>
        <v>1235.2999958719997</v>
      </c>
      <c r="L22" s="74">
        <f t="shared" ref="L22:L24" si="4">E22+F22-I22</f>
        <v>7456.9400632777788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Cement!G14</f>
        <v>0.23999999999796273</v>
      </c>
      <c r="F23" s="77">
        <f>Cement!H14</f>
        <v>0</v>
      </c>
      <c r="G23" s="74">
        <f>F23+'11'!G23</f>
        <v>0</v>
      </c>
      <c r="H23" s="74">
        <f>F23+'11'!H23</f>
        <v>0</v>
      </c>
      <c r="I23" s="77">
        <f>Cement!I14</f>
        <v>0</v>
      </c>
      <c r="J23" s="74">
        <f>I23+'11'!J23</f>
        <v>0</v>
      </c>
      <c r="K23" s="74">
        <f>I23+'11'!K23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Cement!K14</f>
        <v>0</v>
      </c>
      <c r="F24" s="77">
        <f>Cement!L14</f>
        <v>0</v>
      </c>
      <c r="G24" s="74">
        <f>F24+'11'!G24</f>
        <v>0</v>
      </c>
      <c r="H24" s="74">
        <f>F24+'11'!H24</f>
        <v>0</v>
      </c>
      <c r="I24" s="77">
        <f>Cement!M14</f>
        <v>0</v>
      </c>
      <c r="J24" s="74">
        <f>I24+'11'!J24</f>
        <v>0</v>
      </c>
      <c r="K24" s="74">
        <f>I24+'11'!K24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20143.199160043961</v>
      </c>
      <c r="F25" s="122">
        <f t="shared" ref="F25:L25" si="5">F18+F19+F21+F22+F23+F24</f>
        <v>1800</v>
      </c>
      <c r="G25" s="122">
        <f t="shared" si="5"/>
        <v>21375.56</v>
      </c>
      <c r="H25" s="122">
        <f t="shared" si="5"/>
        <v>21375.56</v>
      </c>
      <c r="I25" s="122">
        <f t="shared" si="5"/>
        <v>1425</v>
      </c>
      <c r="J25" s="122">
        <f t="shared" si="5"/>
        <v>24682.999999999996</v>
      </c>
      <c r="K25" s="122">
        <f t="shared" si="5"/>
        <v>24682.999999999996</v>
      </c>
      <c r="L25" s="122">
        <f t="shared" si="5"/>
        <v>20779.449160043961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Production2!C14</f>
        <v>19.43</v>
      </c>
      <c r="G30" s="75">
        <f>F30+'11'!G30</f>
        <v>125.78999999999999</v>
      </c>
      <c r="H30" s="75">
        <f>F30+'11'!H30</f>
        <v>125.78999999999999</v>
      </c>
      <c r="I30" s="74">
        <f>'Mines (2)'!C14+'Mines (2)'!H14+'Mines (2)'!V14+'Mines (2)'!Z14+'Mines (2)'!AD14</f>
        <v>20437.721703916519</v>
      </c>
      <c r="J30" s="74">
        <f>Production2!D14</f>
        <v>2898.9399999999996</v>
      </c>
      <c r="K30" s="74">
        <f>J30+'11'!K30</f>
        <v>23902.720000000001</v>
      </c>
      <c r="L30" s="74">
        <f>J30+'11'!L30</f>
        <v>23902.720000000001</v>
      </c>
      <c r="M30" s="74">
        <f>I9+I21</f>
        <v>3402.25</v>
      </c>
      <c r="N30" s="74">
        <f>M30+'11'!N30</f>
        <v>27073.17999326732</v>
      </c>
      <c r="O30" s="74">
        <f>M30+'11'!O30</f>
        <v>27073.17999326732</v>
      </c>
      <c r="P30" s="74">
        <f>I30+J30-M30</f>
        <v>19934.411703916518</v>
      </c>
      <c r="Q30" s="93">
        <f>J30/F30</f>
        <v>149.1991765311374</v>
      </c>
      <c r="R30" s="94"/>
      <c r="S30" s="94"/>
    </row>
    <row r="31" spans="2:19" x14ac:dyDescent="0.25">
      <c r="B31" s="79">
        <v>2</v>
      </c>
      <c r="C31" s="680" t="s">
        <v>297</v>
      </c>
      <c r="D31" s="681"/>
      <c r="E31" s="95">
        <v>120</v>
      </c>
      <c r="F31" s="78">
        <f>Production2!G14</f>
        <v>22</v>
      </c>
      <c r="G31" s="75">
        <f>F31+'11'!G31</f>
        <v>155.75</v>
      </c>
      <c r="H31" s="75">
        <f>F31+'11'!H31</f>
        <v>155.75</v>
      </c>
      <c r="I31" s="747">
        <f>Production2!H14</f>
        <v>1175.8900168375194</v>
      </c>
      <c r="J31" s="78">
        <f>Production2!N14</f>
        <v>2790</v>
      </c>
      <c r="K31" s="74">
        <f>J31+'11'!K31</f>
        <v>19848.29</v>
      </c>
      <c r="L31" s="74">
        <f>J31+'11'!L31</f>
        <v>19848.29</v>
      </c>
      <c r="M31" s="747">
        <f>Production2!K14</f>
        <v>2790</v>
      </c>
      <c r="N31" s="747">
        <f>M31+'11'!N31</f>
        <v>21514</v>
      </c>
      <c r="O31" s="747">
        <f>M31+'11'!O31</f>
        <v>21514</v>
      </c>
      <c r="P31" s="747">
        <f>I31+J31+J32-M31</f>
        <v>1300.6900168375196</v>
      </c>
      <c r="Q31" s="96">
        <f t="shared" ref="Q31:Q46" si="6">J31/F31</f>
        <v>126.81818181818181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Production2!P14</f>
        <v>13.25</v>
      </c>
      <c r="G32" s="75">
        <f>F32+'11'!G32</f>
        <v>101.47</v>
      </c>
      <c r="H32" s="75">
        <f>F32+'11'!H32</f>
        <v>101.47</v>
      </c>
      <c r="I32" s="748"/>
      <c r="J32" s="78">
        <f>Production2!Q14</f>
        <v>124.8</v>
      </c>
      <c r="K32" s="74">
        <f>J32+'11'!K32</f>
        <v>972.67</v>
      </c>
      <c r="L32" s="74">
        <f>J32+'11'!L32</f>
        <v>972.67</v>
      </c>
      <c r="M32" s="748"/>
      <c r="N32" s="748"/>
      <c r="O32" s="748"/>
      <c r="P32" s="748"/>
      <c r="Q32" s="96">
        <f>J32/F32</f>
        <v>9.4188679245283016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Production2!S14</f>
        <v>19</v>
      </c>
      <c r="G33" s="75">
        <f>F33+'11'!G33</f>
        <v>156.4</v>
      </c>
      <c r="H33" s="75">
        <f>F33+'11'!H33</f>
        <v>156.4</v>
      </c>
      <c r="I33" s="77">
        <f>Production2!T14</f>
        <v>55.509999999999991</v>
      </c>
      <c r="J33" s="77">
        <f>Production2!U14</f>
        <v>261</v>
      </c>
      <c r="K33" s="74">
        <f>J33+'11'!K33</f>
        <v>2169</v>
      </c>
      <c r="L33" s="74">
        <f>J33+'11'!L33</f>
        <v>2169</v>
      </c>
      <c r="M33" s="77">
        <f>Production2!V14</f>
        <v>262</v>
      </c>
      <c r="N33" s="74">
        <f>M33+'11'!N33</f>
        <v>2130</v>
      </c>
      <c r="O33" s="74">
        <f>M33+'11'!O33</f>
        <v>2130</v>
      </c>
      <c r="P33" s="74">
        <f t="shared" ref="P33" si="7">I33+J33-M33</f>
        <v>54.509999999999991</v>
      </c>
      <c r="Q33" s="96">
        <f t="shared" si="6"/>
        <v>13.736842105263158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Production2!Y14</f>
        <v>24</v>
      </c>
      <c r="G34" s="75">
        <f>F34+'11'!G34</f>
        <v>186.27</v>
      </c>
      <c r="H34" s="75">
        <f>F34+'11'!H34</f>
        <v>186.27</v>
      </c>
      <c r="I34" s="77">
        <f>Clinker!EI14</f>
        <v>9878.1700887660481</v>
      </c>
      <c r="J34" s="77">
        <f>Clinker!EJ14</f>
        <v>1800</v>
      </c>
      <c r="K34" s="74">
        <f>J34+'11'!K34</f>
        <v>13880</v>
      </c>
      <c r="L34" s="74">
        <f>J34+'11'!L34</f>
        <v>13880</v>
      </c>
      <c r="M34" s="77">
        <f>Clinker!EK14</f>
        <v>992</v>
      </c>
      <c r="N34" s="74">
        <f>M34+'11'!N34</f>
        <v>6475.3700108606818</v>
      </c>
      <c r="O34" s="74">
        <f>M34+'11'!O34</f>
        <v>6475.3700108606818</v>
      </c>
      <c r="P34" s="74">
        <f>I34+J34-M34-I20</f>
        <v>10686.170088766048</v>
      </c>
      <c r="Q34" s="96">
        <f t="shared" si="6"/>
        <v>75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Production2!AE14</f>
        <v>0</v>
      </c>
      <c r="G35" s="75">
        <f>F35+'11'!G35</f>
        <v>9</v>
      </c>
      <c r="H35" s="75">
        <f>F35+'11'!H35</f>
        <v>9</v>
      </c>
      <c r="I35" s="77">
        <f>Production2!BJ14</f>
        <v>385.79999999999995</v>
      </c>
      <c r="J35" s="77">
        <f>Production2!AF14</f>
        <v>0</v>
      </c>
      <c r="K35" s="74">
        <f>J35+'11'!K35</f>
        <v>574</v>
      </c>
      <c r="L35" s="74">
        <f>J35+'11'!L35</f>
        <v>574</v>
      </c>
      <c r="M35" s="77">
        <f>Production2!BL14</f>
        <v>332</v>
      </c>
      <c r="N35" s="74">
        <f>M35+'11'!N35</f>
        <v>1302.5</v>
      </c>
      <c r="O35" s="74">
        <f>M35+'11'!O35</f>
        <v>1302.5</v>
      </c>
      <c r="P35" s="74">
        <f>I35+J41+J35-M35-F59</f>
        <v>203.79999999999995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Production2!AB14</f>
        <v>0</v>
      </c>
      <c r="G36" s="75">
        <f>F36+'11'!G36</f>
        <v>116.64000000000001</v>
      </c>
      <c r="H36" s="75">
        <f>F36+'11'!H36</f>
        <v>116.64000000000001</v>
      </c>
      <c r="I36" s="77">
        <f>Production2!BF14</f>
        <v>2349.6779999999799</v>
      </c>
      <c r="J36" s="77">
        <f>Production2!AC14</f>
        <v>0</v>
      </c>
      <c r="K36" s="74">
        <f>J36+'11'!K36</f>
        <v>7127</v>
      </c>
      <c r="L36" s="74">
        <f>J36+'11'!L36</f>
        <v>7127</v>
      </c>
      <c r="M36" s="77">
        <f>Production2!BH14</f>
        <v>1136.96</v>
      </c>
      <c r="N36" s="74">
        <f>M36+'11'!N36</f>
        <v>18805.839999999997</v>
      </c>
      <c r="O36" s="74">
        <f>M36+'11'!O36</f>
        <v>18805.839999999997</v>
      </c>
      <c r="P36" s="74">
        <f>I36+J42+J36-M36-F57</f>
        <v>2062.7179999999798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Production2!AH14</f>
        <v>0</v>
      </c>
      <c r="G37" s="75">
        <f>F37+'11'!G37</f>
        <v>0</v>
      </c>
      <c r="H37" s="75">
        <f>F37+'11'!H37</f>
        <v>0</v>
      </c>
      <c r="I37" s="77">
        <f>Production2!BN14</f>
        <v>2.0900000000008498</v>
      </c>
      <c r="J37" s="77">
        <f>Production2!AI14</f>
        <v>0</v>
      </c>
      <c r="K37" s="74">
        <f>J37+'11'!K37</f>
        <v>0</v>
      </c>
      <c r="L37" s="74">
        <f>J37+'11'!L37</f>
        <v>0</v>
      </c>
      <c r="M37" s="77">
        <f>Production2!BP14</f>
        <v>0</v>
      </c>
      <c r="N37" s="74">
        <f>M37+'11'!N37</f>
        <v>-0.15</v>
      </c>
      <c r="O37" s="74">
        <f>M37+'11'!O37</f>
        <v>-0.15</v>
      </c>
      <c r="P37" s="74">
        <f>I37+J43+J37-M37-F58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Production2!AK14</f>
        <v>0</v>
      </c>
      <c r="G38" s="75">
        <f>F38+'11'!G38</f>
        <v>0</v>
      </c>
      <c r="H38" s="75">
        <f>F38+'11'!H38</f>
        <v>0</v>
      </c>
      <c r="I38" s="195">
        <f>Production2!BR14</f>
        <v>136.30000000000001</v>
      </c>
      <c r="J38" s="195">
        <v>0</v>
      </c>
      <c r="K38" s="74">
        <f>J38+'11'!K38</f>
        <v>0</v>
      </c>
      <c r="L38" s="74">
        <f>J38+'11'!L38</f>
        <v>0</v>
      </c>
      <c r="M38" s="195">
        <f>Production2!BT14</f>
        <v>212</v>
      </c>
      <c r="N38" s="74">
        <f>M38+'11'!N38</f>
        <v>1274</v>
      </c>
      <c r="O38" s="74">
        <f>M38+'11'!O38</f>
        <v>1274</v>
      </c>
      <c r="P38" s="74">
        <f>I38+J44+J38-M38-F62</f>
        <v>99.300000000000011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62" t="s">
        <v>306</v>
      </c>
      <c r="E39" s="469">
        <v>78</v>
      </c>
      <c r="F39" s="464">
        <f>Production2!AN14</f>
        <v>0</v>
      </c>
      <c r="G39" s="465">
        <f>F39+'11'!G39</f>
        <v>27.35</v>
      </c>
      <c r="H39" s="465">
        <f>F39+'11'!H39</f>
        <v>27.35</v>
      </c>
      <c r="I39" s="466">
        <f>Production2!BV14</f>
        <v>395.21000000000015</v>
      </c>
      <c r="J39" s="466">
        <f>Production2!AO14</f>
        <v>0</v>
      </c>
      <c r="K39" s="467">
        <f>J39+'11'!K39</f>
        <v>1720</v>
      </c>
      <c r="L39" s="467">
        <f>J39+'11'!L39</f>
        <v>1720</v>
      </c>
      <c r="M39" s="77">
        <f>Production2!BX14</f>
        <v>245.44</v>
      </c>
      <c r="N39" s="467">
        <f>M39+'11'!N39</f>
        <v>2632.94</v>
      </c>
      <c r="O39" s="467">
        <f>M39+'11'!O39</f>
        <v>2632.94</v>
      </c>
      <c r="P39" s="467">
        <f>I39+J39+J45-M39</f>
        <v>399.77000000000015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152.99</v>
      </c>
      <c r="H40" s="132">
        <f t="shared" si="8"/>
        <v>152.99</v>
      </c>
      <c r="I40" s="122">
        <f>I35+I36+I37+I38+I39</f>
        <v>3269.0779999999813</v>
      </c>
      <c r="J40" s="463">
        <f t="shared" ref="J40:P40" si="9">J35+J36+J37+J38+J39</f>
        <v>0</v>
      </c>
      <c r="K40" s="463">
        <f t="shared" si="9"/>
        <v>9421</v>
      </c>
      <c r="L40" s="463">
        <f t="shared" si="9"/>
        <v>9421</v>
      </c>
      <c r="M40" s="463">
        <f t="shared" si="9"/>
        <v>1926.4</v>
      </c>
      <c r="N40" s="463">
        <f t="shared" si="9"/>
        <v>24015.129999999994</v>
      </c>
      <c r="O40" s="463">
        <f t="shared" si="9"/>
        <v>24015.129999999994</v>
      </c>
      <c r="P40" s="463">
        <f t="shared" si="9"/>
        <v>2767.6779999999812</v>
      </c>
      <c r="Q40" s="123" t="e">
        <f t="shared" si="6"/>
        <v>#DIV/0!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Production2!AT14</f>
        <v>2.5</v>
      </c>
      <c r="G41" s="75">
        <f>F41+'11'!G41</f>
        <v>11.5</v>
      </c>
      <c r="H41" s="75">
        <f>F41+'11'!H41</f>
        <v>11.5</v>
      </c>
      <c r="I41" s="764"/>
      <c r="J41" s="77">
        <f>Production2!AU14</f>
        <v>150</v>
      </c>
      <c r="K41" s="74">
        <f>J41+'11'!K41</f>
        <v>700</v>
      </c>
      <c r="L41" s="74">
        <f>J41+'11'!L41</f>
        <v>700</v>
      </c>
      <c r="M41" s="766"/>
      <c r="N41" s="767"/>
      <c r="O41" s="767"/>
      <c r="P41" s="768"/>
      <c r="Q41" s="96">
        <f t="shared" si="6"/>
        <v>60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Production2!AQ14</f>
        <v>14.4</v>
      </c>
      <c r="G42" s="75">
        <f>F42+'11'!G42</f>
        <v>212.46</v>
      </c>
      <c r="H42" s="75">
        <f>F42+'11'!H42</f>
        <v>212.46</v>
      </c>
      <c r="I42" s="765"/>
      <c r="J42" s="77">
        <f>Production2!AR14</f>
        <v>850</v>
      </c>
      <c r="K42" s="74">
        <f>J42+'11'!K42</f>
        <v>12463</v>
      </c>
      <c r="L42" s="74">
        <f>J42+'11'!L42</f>
        <v>12463</v>
      </c>
      <c r="M42" s="769"/>
      <c r="N42" s="829"/>
      <c r="O42" s="829"/>
      <c r="P42" s="771"/>
      <c r="Q42" s="96">
        <f t="shared" si="6"/>
        <v>59.027777777777779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Production2!AW14</f>
        <v>0</v>
      </c>
      <c r="G43" s="75">
        <f>F43+'11'!G43</f>
        <v>0</v>
      </c>
      <c r="H43" s="75">
        <f>F43+'11'!H43</f>
        <v>0</v>
      </c>
      <c r="I43" s="765"/>
      <c r="J43" s="77">
        <f>Production2!AX14</f>
        <v>0</v>
      </c>
      <c r="K43" s="74">
        <f>J43+'11'!K43</f>
        <v>0</v>
      </c>
      <c r="L43" s="74">
        <f>J43+'11'!L43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Production2!AZ14</f>
        <v>3</v>
      </c>
      <c r="G44" s="75">
        <f>F44+'11'!G44</f>
        <v>20.78</v>
      </c>
      <c r="H44" s="75">
        <f>F44+'11'!H44</f>
        <v>20.78</v>
      </c>
      <c r="I44" s="748"/>
      <c r="J44" s="195">
        <f>Production2!BA14</f>
        <v>175</v>
      </c>
      <c r="K44" s="74">
        <f>J44+'11'!K44</f>
        <v>1160</v>
      </c>
      <c r="L44" s="74">
        <f>J44+'11'!L44</f>
        <v>1160</v>
      </c>
      <c r="M44" s="769"/>
      <c r="N44" s="829"/>
      <c r="O44" s="829"/>
      <c r="P44" s="771"/>
      <c r="Q44" s="96">
        <f t="shared" si="6"/>
        <v>58.333333333333336</v>
      </c>
      <c r="R44" s="94"/>
      <c r="S44" s="94"/>
    </row>
    <row r="45" spans="2:19" x14ac:dyDescent="0.25">
      <c r="B45" s="754"/>
      <c r="C45" s="685"/>
      <c r="D45" s="462" t="s">
        <v>306</v>
      </c>
      <c r="E45" s="469">
        <v>70</v>
      </c>
      <c r="F45" s="464">
        <f>Production2!BC14</f>
        <v>4.0999999999999996</v>
      </c>
      <c r="G45" s="465">
        <f>F45+'11'!G45</f>
        <v>15.1</v>
      </c>
      <c r="H45" s="465">
        <f>F45+'11'!H45</f>
        <v>15.1</v>
      </c>
      <c r="I45" s="468"/>
      <c r="J45" s="466">
        <f>Production2!BD14</f>
        <v>250</v>
      </c>
      <c r="K45" s="467">
        <f>J45+'11'!K45</f>
        <v>939</v>
      </c>
      <c r="L45" s="467">
        <f>J45+'11'!L45</f>
        <v>939</v>
      </c>
      <c r="M45" s="772"/>
      <c r="N45" s="773"/>
      <c r="O45" s="773"/>
      <c r="P45" s="774"/>
      <c r="Q45" s="96">
        <f t="shared" si="6"/>
        <v>60.975609756097569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259.84000000000003</v>
      </c>
      <c r="H46" s="132">
        <f t="shared" si="10"/>
        <v>259.84000000000003</v>
      </c>
      <c r="I46" s="122">
        <f t="shared" ref="I46" si="11">I41+I42+I43+I44</f>
        <v>0</v>
      </c>
      <c r="J46" s="122">
        <f>J41+J42+J43+J44+J45</f>
        <v>1425</v>
      </c>
      <c r="K46" s="463">
        <f t="shared" ref="K46:L46" si="12">K41+K42+K43+K44+K45</f>
        <v>15262</v>
      </c>
      <c r="L46" s="463">
        <f t="shared" si="12"/>
        <v>15262</v>
      </c>
      <c r="M46" s="836"/>
      <c r="N46" s="837"/>
      <c r="O46" s="837"/>
      <c r="P46" s="838"/>
      <c r="Q46" s="123">
        <f t="shared" si="6"/>
        <v>59.375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0.46948194857430653</v>
      </c>
      <c r="F50" s="99">
        <f>F53/(J31+J32)</f>
        <v>21.495814464114176</v>
      </c>
      <c r="G50" s="99">
        <f>G53/J32</f>
        <v>0</v>
      </c>
      <c r="H50" s="99">
        <f>H53/J34</f>
        <v>30.273333333333333</v>
      </c>
      <c r="I50" s="99">
        <f>I53/J33</f>
        <v>60.344827586206897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14.555555555555555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0.81924600026216499</v>
      </c>
      <c r="F51" s="102">
        <f>F50*1.55</f>
        <v>33.318512419376972</v>
      </c>
      <c r="G51" s="102">
        <f>G50*1.55</f>
        <v>0</v>
      </c>
      <c r="H51" s="102">
        <f>H50</f>
        <v>30.273333333333333</v>
      </c>
      <c r="I51" s="102">
        <f>I50*(Q50/100)</f>
        <v>8.7835249042145591</v>
      </c>
      <c r="J51" s="102"/>
      <c r="K51" s="102"/>
      <c r="L51" s="102"/>
      <c r="M51" s="96"/>
      <c r="N51" s="310">
        <f>SUM(E51:I51)</f>
        <v>73.194616657187026</v>
      </c>
      <c r="O51" s="668" t="s">
        <v>279</v>
      </c>
      <c r="P51" s="668"/>
      <c r="Q51" s="104">
        <v>5423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0.62808860020099322</v>
      </c>
      <c r="F52" s="102">
        <f>F51*M18/100</f>
        <v>25.544192854855684</v>
      </c>
      <c r="G52" s="102">
        <f>G51*M18/100</f>
        <v>0</v>
      </c>
      <c r="H52" s="102">
        <f>H51*M18/100</f>
        <v>23.209555555555557</v>
      </c>
      <c r="I52" s="102">
        <f>I51*M18/100</f>
        <v>6.7340357598978287</v>
      </c>
      <c r="J52" s="99">
        <f>J53/(J40+J46)</f>
        <v>39.873684210526314</v>
      </c>
      <c r="K52" s="99">
        <f>K53/(J46+J40)</f>
        <v>1.24</v>
      </c>
      <c r="L52" s="99">
        <f>L53/(M40)</f>
        <v>2.7631852159468435</v>
      </c>
      <c r="M52" s="96">
        <f>M53/(J46+J40)</f>
        <v>2.6961403508771928</v>
      </c>
      <c r="N52" s="310">
        <f>SUM(E52:M52)</f>
        <v>102.6888825478604</v>
      </c>
      <c r="O52" s="668" t="s">
        <v>281</v>
      </c>
      <c r="P52" s="668"/>
      <c r="Q52" s="104">
        <f>Q51*Q50/100</f>
        <v>789.34777777777776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unit'!B14</f>
        <v>1361</v>
      </c>
      <c r="F53" s="118">
        <f>'Daily unit'!C14</f>
        <v>62656</v>
      </c>
      <c r="G53" s="118">
        <f>'Daily unit'!D14</f>
        <v>0</v>
      </c>
      <c r="H53" s="118">
        <f>'Daily unit'!E14</f>
        <v>54492</v>
      </c>
      <c r="I53" s="118">
        <f>'Daily unit'!F14</f>
        <v>15750</v>
      </c>
      <c r="J53" s="118">
        <f>'Daily unit'!G14</f>
        <v>56820</v>
      </c>
      <c r="K53" s="118">
        <f>'Daily unit'!H14</f>
        <v>1767</v>
      </c>
      <c r="L53" s="118">
        <f>'Daily unit'!I14</f>
        <v>5323</v>
      </c>
      <c r="M53" s="119">
        <f>'Daily unit'!J14</f>
        <v>3842</v>
      </c>
      <c r="N53" s="321">
        <f>SUM(E53:M53)</f>
        <v>202011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14" t="s">
        <v>231</v>
      </c>
      <c r="C56" s="820" t="s">
        <v>285</v>
      </c>
      <c r="D56" s="820"/>
      <c r="E56" s="820"/>
      <c r="F56" s="215" t="s">
        <v>286</v>
      </c>
      <c r="G56" s="215" t="s">
        <v>26</v>
      </c>
      <c r="H56" s="216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677">
        <v>1</v>
      </c>
      <c r="C57" s="760" t="s">
        <v>287</v>
      </c>
      <c r="D57" s="760"/>
      <c r="E57" s="80">
        <v>42.5</v>
      </c>
      <c r="F57" s="53">
        <f>'Internal use cement'!F14</f>
        <v>0</v>
      </c>
      <c r="G57" s="53">
        <f>F57+'11'!G57</f>
        <v>0</v>
      </c>
      <c r="H57" s="104">
        <f>F57+'11'!H57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677"/>
      <c r="C58" s="760"/>
      <c r="D58" s="760"/>
      <c r="E58" s="80" t="s">
        <v>197</v>
      </c>
      <c r="F58" s="53">
        <f>'Internal use cement'!Q14</f>
        <v>0</v>
      </c>
      <c r="G58" s="53">
        <f>F58+'11'!G58</f>
        <v>0</v>
      </c>
      <c r="H58" s="104">
        <f>F58+'11'!H58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677"/>
      <c r="C59" s="760"/>
      <c r="D59" s="760"/>
      <c r="E59" s="80">
        <v>32.5</v>
      </c>
      <c r="F59" s="53">
        <f>'Internal use cement'!AB14</f>
        <v>0</v>
      </c>
      <c r="G59" s="53">
        <f>F59+'11'!G59</f>
        <v>0</v>
      </c>
      <c r="H59" s="104">
        <f>F59+'11'!H59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0"/>
      <c r="C60" s="839"/>
      <c r="D60" s="839"/>
      <c r="E60" s="112" t="s">
        <v>177</v>
      </c>
      <c r="F60" s="113">
        <f>'Internal use cement'!AJ14</f>
        <v>0</v>
      </c>
      <c r="G60" s="113">
        <f>F60+'11'!G60</f>
        <v>0</v>
      </c>
      <c r="H60" s="114">
        <f>F60+'11'!H60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I55:Q60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57:D60"/>
    <mergeCell ref="B57:B60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M18:M19"/>
    <mergeCell ref="P6:P7"/>
    <mergeCell ref="Q6:Q7"/>
    <mergeCell ref="O9:O16"/>
    <mergeCell ref="C10:D10"/>
    <mergeCell ref="B14:B16"/>
    <mergeCell ref="C14:C16"/>
    <mergeCell ref="C8:Q8"/>
    <mergeCell ref="C11:D11"/>
    <mergeCell ref="C12:D12"/>
    <mergeCell ref="C13:D13"/>
    <mergeCell ref="P13:Q13"/>
    <mergeCell ref="C30:D30"/>
    <mergeCell ref="I41:I44"/>
    <mergeCell ref="M41:P45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48:N48"/>
    <mergeCell ref="O48:Q48"/>
    <mergeCell ref="I31:I32"/>
    <mergeCell ref="M31:M32"/>
    <mergeCell ref="N31:N32"/>
    <mergeCell ref="O31:O32"/>
    <mergeCell ref="P31:P32"/>
    <mergeCell ref="M46:P46"/>
    <mergeCell ref="C31:D31"/>
    <mergeCell ref="C33:D33"/>
    <mergeCell ref="C34:D34"/>
    <mergeCell ref="B35:B40"/>
    <mergeCell ref="C35:C40"/>
    <mergeCell ref="C32:D32"/>
    <mergeCell ref="B41:B46"/>
    <mergeCell ref="C41:C46"/>
  </mergeCells>
  <pageMargins left="0.25" right="0.25" top="0.75" bottom="0.75" header="0.3" footer="0.3"/>
  <pageSetup paperSize="9" scale="5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38" sqref="S3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326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 t="s">
        <v>288</v>
      </c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'12'!L9</f>
        <v>19934.411703916507</v>
      </c>
      <c r="F9" s="74">
        <f>Production2!D15</f>
        <v>2390.2600000000002</v>
      </c>
      <c r="G9" s="74">
        <f>F9+'12'!G9</f>
        <v>26292.980000000003</v>
      </c>
      <c r="H9" s="74">
        <f>F9+'12'!H9</f>
        <v>26292.980000000003</v>
      </c>
      <c r="I9" s="74">
        <f>Production2!E15</f>
        <v>2859</v>
      </c>
      <c r="J9" s="74">
        <f>I9+'12'!J9</f>
        <v>25422</v>
      </c>
      <c r="K9" s="74">
        <f>I9+'12'!K9</f>
        <v>25422</v>
      </c>
      <c r="L9" s="74">
        <f>E9+F9-I9-I21</f>
        <v>19260.371703916509</v>
      </c>
      <c r="M9" s="75">
        <f>I9</f>
        <v>2859</v>
      </c>
      <c r="N9" s="75">
        <f>(I9/I13)*100</f>
        <v>96.555217831813579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(2)'!L15</f>
        <v>95.03999999999975</v>
      </c>
      <c r="F10" s="77">
        <f>'Mines (2)'!M15</f>
        <v>0</v>
      </c>
      <c r="G10" s="74">
        <f>F10+'12'!G10</f>
        <v>0</v>
      </c>
      <c r="H10" s="74">
        <f>F10+'12'!H10</f>
        <v>0</v>
      </c>
      <c r="I10" s="77">
        <f>'Mines (2)'!N15</f>
        <v>23</v>
      </c>
      <c r="J10" s="74">
        <f>I10+'12'!J10</f>
        <v>52</v>
      </c>
      <c r="K10" s="74">
        <f>I10+'12'!K10</f>
        <v>52</v>
      </c>
      <c r="L10" s="77">
        <f t="shared" ref="L10:L16" si="0">E10+F10-I10</f>
        <v>72.03999999999975</v>
      </c>
      <c r="M10" s="75">
        <f t="shared" ref="M10:M12" si="1">I10</f>
        <v>23</v>
      </c>
      <c r="N10" s="75">
        <f>(I10/I13)*100</f>
        <v>0.77676460655184065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Clinker!C15</f>
        <v>4899.6399999999994</v>
      </c>
      <c r="F11" s="77">
        <f>Clinker!D15</f>
        <v>0</v>
      </c>
      <c r="G11" s="74">
        <f>F11+'12'!G11</f>
        <v>0</v>
      </c>
      <c r="H11" s="74">
        <f>F11+'12'!H11</f>
        <v>0</v>
      </c>
      <c r="I11" s="77">
        <f>Clinker!E15</f>
        <v>60</v>
      </c>
      <c r="J11" s="74">
        <f>I11+'12'!J11</f>
        <v>526</v>
      </c>
      <c r="K11" s="74">
        <f>I11+'12'!K11</f>
        <v>526</v>
      </c>
      <c r="L11" s="77">
        <f t="shared" si="0"/>
        <v>4839.6399999999994</v>
      </c>
      <c r="M11" s="75">
        <f t="shared" si="1"/>
        <v>60</v>
      </c>
      <c r="N11" s="75">
        <f>(I11/I13)*100</f>
        <v>2.0263424518743669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(2)'!Q15</f>
        <v>535.28</v>
      </c>
      <c r="F12" s="77">
        <f>'Mines (2)'!R15</f>
        <v>0</v>
      </c>
      <c r="G12" s="74">
        <f>F12+'12'!G12</f>
        <v>0</v>
      </c>
      <c r="H12" s="74">
        <f>F12+'12'!H12</f>
        <v>0</v>
      </c>
      <c r="I12" s="77">
        <f>'Mines (2)'!S15</f>
        <v>19</v>
      </c>
      <c r="J12" s="74">
        <f>I12+'12'!J12</f>
        <v>84</v>
      </c>
      <c r="K12" s="74">
        <f>I12+'12'!K12</f>
        <v>84</v>
      </c>
      <c r="L12" s="77">
        <f t="shared" si="0"/>
        <v>516.28</v>
      </c>
      <c r="M12" s="75">
        <f t="shared" si="1"/>
        <v>19</v>
      </c>
      <c r="N12" s="75">
        <f>(I12/I13)*100</f>
        <v>0.64167510976021613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25464.371703916506</v>
      </c>
      <c r="F13" s="127">
        <f t="shared" si="2"/>
        <v>2390.2600000000002</v>
      </c>
      <c r="G13" s="127">
        <f t="shared" si="2"/>
        <v>26292.980000000003</v>
      </c>
      <c r="H13" s="127">
        <f t="shared" si="2"/>
        <v>26292.980000000003</v>
      </c>
      <c r="I13" s="127">
        <f>SUM(I9:I12)</f>
        <v>2961</v>
      </c>
      <c r="J13" s="127">
        <f t="shared" si="2"/>
        <v>26084</v>
      </c>
      <c r="K13" s="127">
        <f t="shared" si="2"/>
        <v>26084</v>
      </c>
      <c r="L13" s="127">
        <f t="shared" si="0"/>
        <v>24893.631703916508</v>
      </c>
      <c r="M13" s="128">
        <f>SUM(M9:M12)</f>
        <v>2961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Clinker!EA15</f>
        <v>13486.776999999989</v>
      </c>
      <c r="F14" s="77">
        <f>Clinker!EB15</f>
        <v>0</v>
      </c>
      <c r="G14" s="77">
        <f>F14+'12'!G14</f>
        <v>151.5</v>
      </c>
      <c r="H14" s="77">
        <f>F14+'12'!H14</f>
        <v>151.5</v>
      </c>
      <c r="I14" s="77">
        <f>Clinker!EC15</f>
        <v>300</v>
      </c>
      <c r="J14" s="77">
        <f>I14+'12'!J14</f>
        <v>2709.9900000000002</v>
      </c>
      <c r="K14" s="77">
        <f>I14+'12'!K14</f>
        <v>2709.9900000000002</v>
      </c>
      <c r="L14" s="77">
        <f>E14+F14-I14-Clinker!N15-Clinker!Z15-Clinker!AR15-Clinker!AW15-Clinker!BB15-Clinker!BV15-Clinker!DO15</f>
        <v>13176.776999999989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Clinker!EE15</f>
        <v>11545.699999999997</v>
      </c>
      <c r="F15" s="77">
        <f>Clinker!EF15</f>
        <v>0</v>
      </c>
      <c r="G15" s="77">
        <f>F15+'12'!G15</f>
        <v>125.05000000000001</v>
      </c>
      <c r="H15" s="77">
        <f>F15+'12'!H15</f>
        <v>125.05000000000001</v>
      </c>
      <c r="I15" s="77">
        <f>Clinker!EG15</f>
        <v>148</v>
      </c>
      <c r="J15" s="77">
        <f>I15+'12'!J15</f>
        <v>1602</v>
      </c>
      <c r="K15" s="77">
        <f>I15+'12'!K15</f>
        <v>1602</v>
      </c>
      <c r="L15" s="77">
        <f>E15+F15-Clinker!AE15-Clinker!AI15-Clinker!CK15-Clinker!CP15-Clinker!CF15</f>
        <v>11407.699999999997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25032.476999999984</v>
      </c>
      <c r="F16" s="125">
        <f>F14+F15</f>
        <v>0</v>
      </c>
      <c r="G16" s="125">
        <f t="shared" ref="G16:K16" si="3">G14+G15</f>
        <v>276.55</v>
      </c>
      <c r="H16" s="125">
        <f t="shared" si="3"/>
        <v>276.55</v>
      </c>
      <c r="I16" s="125">
        <f>I14+I15</f>
        <v>448</v>
      </c>
      <c r="J16" s="125">
        <f>J14+J15</f>
        <v>4311.99</v>
      </c>
      <c r="K16" s="125">
        <f t="shared" si="3"/>
        <v>4311.99</v>
      </c>
      <c r="L16" s="125">
        <f t="shared" si="0"/>
        <v>24584.476999999984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Clinker!EI15</f>
        <v>10686.170088766048</v>
      </c>
      <c r="F18" s="74">
        <f>Clinker!EJ15</f>
        <v>1840</v>
      </c>
      <c r="G18" s="74">
        <f>F18+'12'!G18</f>
        <v>15720</v>
      </c>
      <c r="H18" s="74">
        <f>F18+'12'!H18</f>
        <v>15720</v>
      </c>
      <c r="I18" s="74">
        <f>Clinker!EK15</f>
        <v>104.50000000000057</v>
      </c>
      <c r="J18" s="74">
        <f>I18+'12'!J18</f>
        <v>6579.8700108606827</v>
      </c>
      <c r="K18" s="74">
        <f>I18+'12'!K18</f>
        <v>6579.8700108606827</v>
      </c>
      <c r="L18" s="74">
        <f>E18+F18-I18-I20</f>
        <v>12421.670088766048</v>
      </c>
      <c r="M18" s="704">
        <f>((I18+I19)/(J40+J46))*100</f>
        <v>77.301724137931089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Clinker!EN15</f>
        <v>2636.0990080001366</v>
      </c>
      <c r="F19" s="74">
        <f>Clinker!EO15</f>
        <v>1927.44</v>
      </c>
      <c r="G19" s="75">
        <f>F19+'12'!G19</f>
        <v>8176.1399999999994</v>
      </c>
      <c r="H19" s="74">
        <f>F19+'12'!H19</f>
        <v>8176.1399999999994</v>
      </c>
      <c r="I19" s="74">
        <f>Clinker!EP15</f>
        <v>792.2</v>
      </c>
      <c r="J19" s="74">
        <f>I19+'12'!J19</f>
        <v>13254.349999999999</v>
      </c>
      <c r="K19" s="74">
        <f>I19+'12'!K19</f>
        <v>13254.349999999999</v>
      </c>
      <c r="L19" s="74">
        <f>E19+F19-I19</f>
        <v>3771.3390080001363</v>
      </c>
      <c r="M19" s="705"/>
      <c r="N19" s="687"/>
      <c r="O19" s="689"/>
      <c r="P19" s="691"/>
      <c r="Q19" s="692"/>
      <c r="R19" s="19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Clinker!EM15</f>
        <v>0</v>
      </c>
      <c r="G20" s="74">
        <f>F20+'12'!G20</f>
        <v>0</v>
      </c>
      <c r="H20" s="74">
        <f>F20+'12'!H20</f>
        <v>0</v>
      </c>
      <c r="I20" s="77">
        <f>Clinker!EM15</f>
        <v>0</v>
      </c>
      <c r="J20" s="74">
        <f>I20+'12'!J20</f>
        <v>0</v>
      </c>
      <c r="K20" s="74">
        <f>I20+'12'!K20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Cement!Q15</f>
        <v>205.29999999999941</v>
      </c>
      <c r="J21" s="74">
        <f>I21+'12'!J21</f>
        <v>4715.4799932673177</v>
      </c>
      <c r="K21" s="74">
        <f>I21+'12'!K21</f>
        <v>4715.4799932673177</v>
      </c>
      <c r="L21" s="74"/>
      <c r="M21" s="78">
        <f>I21/(J40+J46)*100</f>
        <v>17.698275862068915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Cement!C15</f>
        <v>7456.9400632777788</v>
      </c>
      <c r="F22" s="77">
        <f>Cement!D15</f>
        <v>177.18</v>
      </c>
      <c r="G22" s="74">
        <f>F22+'12'!G22</f>
        <v>1424.04</v>
      </c>
      <c r="H22" s="74">
        <f>F22+'12'!H22</f>
        <v>1424.04</v>
      </c>
      <c r="I22" s="77">
        <f>Cement!E15</f>
        <v>58</v>
      </c>
      <c r="J22" s="74">
        <f>I22+'12'!J22</f>
        <v>1293.2999958719997</v>
      </c>
      <c r="K22" s="74">
        <f>I22+'12'!K22</f>
        <v>1293.2999958719997</v>
      </c>
      <c r="L22" s="74">
        <f t="shared" ref="L22:L24" si="4">E22+F22-I22</f>
        <v>7576.1200632777791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Cement!G15</f>
        <v>0.23999999999796273</v>
      </c>
      <c r="F23" s="77">
        <f>Cement!H15</f>
        <v>0</v>
      </c>
      <c r="G23" s="74">
        <f>F23+'12'!G23</f>
        <v>0</v>
      </c>
      <c r="H23" s="74">
        <f>F23+'12'!H23</f>
        <v>0</v>
      </c>
      <c r="I23" s="77">
        <f>Cement!I15</f>
        <v>0</v>
      </c>
      <c r="J23" s="74">
        <f>I23+'12'!J23</f>
        <v>0</v>
      </c>
      <c r="K23" s="74">
        <f>I23+'12'!K23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Cement!K15</f>
        <v>0</v>
      </c>
      <c r="F24" s="77">
        <f>Cement!L15</f>
        <v>0</v>
      </c>
      <c r="G24" s="74">
        <f>F24+'12'!G24</f>
        <v>0</v>
      </c>
      <c r="H24" s="74">
        <f>F24+'12'!H24</f>
        <v>0</v>
      </c>
      <c r="I24" s="77">
        <f>Cement!M15</f>
        <v>0</v>
      </c>
      <c r="J24" s="74">
        <f>I24+'12'!J24</f>
        <v>0</v>
      </c>
      <c r="K24" s="74">
        <f>I24+'12'!K24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20779.449160043961</v>
      </c>
      <c r="F25" s="122">
        <f t="shared" ref="F25:L25" si="5">F18+F19+F21+F22+F23+F24</f>
        <v>3944.62</v>
      </c>
      <c r="G25" s="122">
        <f t="shared" si="5"/>
        <v>25320.18</v>
      </c>
      <c r="H25" s="122">
        <f t="shared" si="5"/>
        <v>25320.18</v>
      </c>
      <c r="I25" s="122">
        <f t="shared" si="5"/>
        <v>1160</v>
      </c>
      <c r="J25" s="122">
        <f>J18+J19+J21+J22+J23+J24</f>
        <v>25842.999999999996</v>
      </c>
      <c r="K25" s="122">
        <f t="shared" si="5"/>
        <v>25842.999999999996</v>
      </c>
      <c r="L25" s="122">
        <f t="shared" si="5"/>
        <v>23769.369160043963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Production2!C15</f>
        <v>18.82</v>
      </c>
      <c r="G30" s="75">
        <f>F30+'12'!G30</f>
        <v>144.60999999999999</v>
      </c>
      <c r="H30" s="75">
        <f>F30+'12'!H30</f>
        <v>144.60999999999999</v>
      </c>
      <c r="I30" s="74">
        <f>'Mines (2)'!C15+'Mines (2)'!H15+'Mines (2)'!V15+'Mines (2)'!Z15+'Mines (2)'!AD15</f>
        <v>19934.411703916518</v>
      </c>
      <c r="J30" s="74">
        <f>Production2!D15</f>
        <v>2390.2600000000002</v>
      </c>
      <c r="K30" s="74">
        <f>J30+'12'!K30</f>
        <v>26292.980000000003</v>
      </c>
      <c r="L30" s="74">
        <f>J30+'12'!L30</f>
        <v>26292.980000000003</v>
      </c>
      <c r="M30" s="74">
        <f>I9+I21</f>
        <v>3064.2999999999993</v>
      </c>
      <c r="N30" s="74">
        <f>M30+'12'!N30</f>
        <v>30137.47999326732</v>
      </c>
      <c r="O30" s="74">
        <f>M30+'12'!O30</f>
        <v>30137.47999326732</v>
      </c>
      <c r="P30" s="74">
        <f>I30+J30-M30</f>
        <v>19260.371703916517</v>
      </c>
      <c r="Q30" s="93">
        <f>J30/F30</f>
        <v>127.00637619553667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Production2!G15</f>
        <v>19.68</v>
      </c>
      <c r="G31" s="75">
        <f>F31+'12'!G31</f>
        <v>175.43</v>
      </c>
      <c r="H31" s="75">
        <f>F31+'12'!H31</f>
        <v>175.43</v>
      </c>
      <c r="I31" s="747">
        <f>Production2!H15</f>
        <v>1300.6900168375196</v>
      </c>
      <c r="J31" s="78">
        <f>Production2!N15</f>
        <v>2460</v>
      </c>
      <c r="K31" s="74">
        <f>J31+'12'!K31</f>
        <v>22308.29</v>
      </c>
      <c r="L31" s="74">
        <f>J31+'12'!L31</f>
        <v>22308.29</v>
      </c>
      <c r="M31" s="747">
        <f>Production2!K15</f>
        <v>2852</v>
      </c>
      <c r="N31" s="747">
        <f>M31+'12'!N31</f>
        <v>24366</v>
      </c>
      <c r="O31" s="747">
        <f>M31+'12'!O31</f>
        <v>24366</v>
      </c>
      <c r="P31" s="747">
        <f>I31+J31+J32-M31</f>
        <v>1115.3900168375194</v>
      </c>
      <c r="Q31" s="96">
        <f t="shared" ref="Q31:Q46" si="6">J31/F31</f>
        <v>125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Production2!P15</f>
        <v>23.67</v>
      </c>
      <c r="G32" s="75">
        <f>F32+'12'!G32</f>
        <v>125.14</v>
      </c>
      <c r="H32" s="75">
        <f>F32+'12'!H32</f>
        <v>125.14</v>
      </c>
      <c r="I32" s="748"/>
      <c r="J32" s="78">
        <f>Production2!Q15</f>
        <v>206.7</v>
      </c>
      <c r="K32" s="74">
        <f>J32+'12'!K32</f>
        <v>1179.3699999999999</v>
      </c>
      <c r="L32" s="74">
        <f>J32+'12'!L32</f>
        <v>1179.3699999999999</v>
      </c>
      <c r="M32" s="748"/>
      <c r="N32" s="748"/>
      <c r="O32" s="748"/>
      <c r="P32" s="748"/>
      <c r="Q32" s="96">
        <f>J32/F32</f>
        <v>8.7325728770595674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Production2!S15</f>
        <v>19.579999999999998</v>
      </c>
      <c r="G33" s="75">
        <f>F33+'12'!G33</f>
        <v>175.98000000000002</v>
      </c>
      <c r="H33" s="75">
        <f>F33+'12'!H33</f>
        <v>175.98000000000002</v>
      </c>
      <c r="I33" s="77">
        <f>Production2!T15</f>
        <v>54.509999999999991</v>
      </c>
      <c r="J33" s="77">
        <f>Production2!U15</f>
        <v>270</v>
      </c>
      <c r="K33" s="74">
        <f>J33+'12'!K33</f>
        <v>2439</v>
      </c>
      <c r="L33" s="74">
        <f>J33+'12'!L33</f>
        <v>2439</v>
      </c>
      <c r="M33" s="77">
        <f>Production2!V15</f>
        <v>269</v>
      </c>
      <c r="N33" s="74">
        <f>M33+'12'!N33</f>
        <v>2399</v>
      </c>
      <c r="O33" s="74">
        <f>M33+'12'!O33</f>
        <v>2399</v>
      </c>
      <c r="P33" s="74">
        <f t="shared" ref="P33" si="7">I33+J33-M33</f>
        <v>55.509999999999991</v>
      </c>
      <c r="Q33" s="96">
        <f t="shared" si="6"/>
        <v>13.789581205311544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Production2!Y15</f>
        <v>24</v>
      </c>
      <c r="G34" s="75">
        <f>F34+'12'!G34</f>
        <v>210.27</v>
      </c>
      <c r="H34" s="75">
        <f>F34+'12'!H34</f>
        <v>210.27</v>
      </c>
      <c r="I34" s="77">
        <f>Clinker!EI15</f>
        <v>10686.170088766048</v>
      </c>
      <c r="J34" s="77">
        <f>Clinker!EJ15</f>
        <v>1840</v>
      </c>
      <c r="K34" s="74">
        <f>J34+'12'!K34</f>
        <v>15720</v>
      </c>
      <c r="L34" s="74">
        <f>J34+'12'!L34</f>
        <v>15720</v>
      </c>
      <c r="M34" s="77">
        <f>Clinker!EK15</f>
        <v>104.50000000000057</v>
      </c>
      <c r="N34" s="74">
        <f>M34+'12'!N34</f>
        <v>6579.8700108606827</v>
      </c>
      <c r="O34" s="74">
        <f>M34+'12'!O34</f>
        <v>6579.8700108606827</v>
      </c>
      <c r="P34" s="74">
        <f>I34+J34-M34-I20</f>
        <v>12421.670088766048</v>
      </c>
      <c r="Q34" s="96">
        <f t="shared" si="6"/>
        <v>76.666666666666671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Production2!AE15</f>
        <v>0</v>
      </c>
      <c r="G35" s="75">
        <f>F35+'12'!G35</f>
        <v>9</v>
      </c>
      <c r="H35" s="75">
        <f>F35+'12'!H35</f>
        <v>9</v>
      </c>
      <c r="I35" s="77">
        <f>Production2!BJ15</f>
        <v>203.79999999999995</v>
      </c>
      <c r="J35" s="77">
        <f>Production2!AF15</f>
        <v>0</v>
      </c>
      <c r="K35" s="74">
        <f>J35+'12'!K35</f>
        <v>574</v>
      </c>
      <c r="L35" s="74">
        <f>J35+'12'!L35</f>
        <v>574</v>
      </c>
      <c r="M35" s="77">
        <f>Production2!BL15</f>
        <v>0</v>
      </c>
      <c r="N35" s="74">
        <f>M35+'12'!N35</f>
        <v>1302.5</v>
      </c>
      <c r="O35" s="74">
        <f>M35+'12'!O35</f>
        <v>1302.5</v>
      </c>
      <c r="P35" s="74">
        <f>I35+J35+J41-M35-F59</f>
        <v>203.79999999999995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Production2!AB15</f>
        <v>0</v>
      </c>
      <c r="G36" s="75">
        <f>F36+'12'!G36</f>
        <v>116.64000000000001</v>
      </c>
      <c r="H36" s="75">
        <f>F36+'12'!H36</f>
        <v>116.64000000000001</v>
      </c>
      <c r="I36" s="77">
        <f>Production2!BF15</f>
        <v>2062.7179999999798</v>
      </c>
      <c r="J36" s="77">
        <f>Production2!AC15</f>
        <v>0</v>
      </c>
      <c r="K36" s="74">
        <f>J36+'12'!K36</f>
        <v>7127</v>
      </c>
      <c r="L36" s="74">
        <f>J36+'12'!L36</f>
        <v>7127</v>
      </c>
      <c r="M36" s="77">
        <f>Production2!BH15</f>
        <v>980.5</v>
      </c>
      <c r="N36" s="74">
        <f>M36+'12'!N36</f>
        <v>19786.339999999997</v>
      </c>
      <c r="O36" s="74">
        <f>M36+'12'!O36</f>
        <v>19786.339999999997</v>
      </c>
      <c r="P36" s="74">
        <f>I36+J36+J42-M36-F57</f>
        <v>1932.2179999999798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Production2!AH15</f>
        <v>0</v>
      </c>
      <c r="G37" s="75">
        <f>F37+'12'!G37</f>
        <v>0</v>
      </c>
      <c r="H37" s="75">
        <f>F37+'12'!H37</f>
        <v>0</v>
      </c>
      <c r="I37" s="77">
        <f>Production2!BN15</f>
        <v>2.0900000000008498</v>
      </c>
      <c r="J37" s="77">
        <f>Production2!AI15</f>
        <v>0</v>
      </c>
      <c r="K37" s="74">
        <f>J37+'12'!K37</f>
        <v>0</v>
      </c>
      <c r="L37" s="74">
        <f>J37+'12'!L37</f>
        <v>0</v>
      </c>
      <c r="M37" s="77">
        <f>Production2!BP15</f>
        <v>0</v>
      </c>
      <c r="N37" s="74">
        <f>M37+'12'!N37</f>
        <v>-0.15</v>
      </c>
      <c r="O37" s="74">
        <f>M37+'12'!O37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Production2!AK15</f>
        <v>0</v>
      </c>
      <c r="G38" s="474">
        <f>F38+'12'!G38</f>
        <v>0</v>
      </c>
      <c r="H38" s="474">
        <f>F38+'12'!H38</f>
        <v>0</v>
      </c>
      <c r="I38" s="195">
        <f>Production2!BR15</f>
        <v>99.300000000000011</v>
      </c>
      <c r="J38" s="195">
        <v>0</v>
      </c>
      <c r="K38" s="476">
        <f>J38+'12'!K38</f>
        <v>0</v>
      </c>
      <c r="L38" s="476">
        <f>J38+'12'!L38</f>
        <v>0</v>
      </c>
      <c r="M38" s="195">
        <f>Production2!BT15</f>
        <v>60</v>
      </c>
      <c r="N38" s="476">
        <f>M38+'12'!N38</f>
        <v>1334</v>
      </c>
      <c r="O38" s="476">
        <f>M38+'12'!O38</f>
        <v>1334</v>
      </c>
      <c r="P38" s="74">
        <f>I38+J38+J44-M38-F59</f>
        <v>149.30000000000001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71" t="s">
        <v>306</v>
      </c>
      <c r="E39" s="480">
        <v>78</v>
      </c>
      <c r="F39" s="473">
        <f>Production2!AN15</f>
        <v>0</v>
      </c>
      <c r="G39" s="474">
        <f>F39+'12'!G39</f>
        <v>27.35</v>
      </c>
      <c r="H39" s="474">
        <f>F39+'12'!H39</f>
        <v>27.35</v>
      </c>
      <c r="I39" s="475">
        <f>Production2!BV15</f>
        <v>399.77000000000015</v>
      </c>
      <c r="J39" s="475">
        <f>Production2!AO15</f>
        <v>0</v>
      </c>
      <c r="K39" s="476">
        <f>J39+'12'!K39</f>
        <v>1720</v>
      </c>
      <c r="L39" s="476">
        <f>J39+'12'!L39</f>
        <v>1720</v>
      </c>
      <c r="M39" s="77">
        <f>Production2!BX15</f>
        <v>211.94</v>
      </c>
      <c r="N39" s="476">
        <f>M39+'12'!N39</f>
        <v>2844.88</v>
      </c>
      <c r="O39" s="476">
        <f>M39+'12'!O39</f>
        <v>2844.88</v>
      </c>
      <c r="P39" s="476">
        <f>I39+J39+J45-M39</f>
        <v>387.83000000000021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152.99</v>
      </c>
      <c r="H40" s="132">
        <f t="shared" si="8"/>
        <v>152.99</v>
      </c>
      <c r="I40" s="122">
        <f>I35+I36+I37+I38+I39</f>
        <v>2767.6779999999812</v>
      </c>
      <c r="J40" s="472">
        <f t="shared" ref="J40:P40" si="9">J35+J36+J37+J38+J39</f>
        <v>0</v>
      </c>
      <c r="K40" s="472">
        <f t="shared" si="9"/>
        <v>9421</v>
      </c>
      <c r="L40" s="472">
        <f t="shared" si="9"/>
        <v>9421</v>
      </c>
      <c r="M40" s="472">
        <f t="shared" si="9"/>
        <v>1252.44</v>
      </c>
      <c r="N40" s="472">
        <f t="shared" si="9"/>
        <v>25267.569999999996</v>
      </c>
      <c r="O40" s="472">
        <f t="shared" si="9"/>
        <v>25267.569999999996</v>
      </c>
      <c r="P40" s="472">
        <f t="shared" si="9"/>
        <v>2675.2379999999816</v>
      </c>
      <c r="Q40" s="123" t="e">
        <f t="shared" si="6"/>
        <v>#DIV/0!</v>
      </c>
      <c r="R40" s="94"/>
      <c r="S40" s="94"/>
    </row>
    <row r="41" spans="2:19" x14ac:dyDescent="0.25">
      <c r="B41" s="753">
        <v>5</v>
      </c>
      <c r="C41" s="679" t="s">
        <v>270</v>
      </c>
      <c r="D41" s="80" t="s">
        <v>267</v>
      </c>
      <c r="E41" s="97">
        <v>75</v>
      </c>
      <c r="F41" s="78">
        <f>Production2!AT15</f>
        <v>0</v>
      </c>
      <c r="G41" s="75">
        <f>F41+'12'!G41</f>
        <v>11.5</v>
      </c>
      <c r="H41" s="75">
        <f>F41+'12'!H41</f>
        <v>11.5</v>
      </c>
      <c r="I41" s="764"/>
      <c r="J41" s="77">
        <f>Production2!AU15</f>
        <v>0</v>
      </c>
      <c r="K41" s="74">
        <f>J41+'12'!K41</f>
        <v>700</v>
      </c>
      <c r="L41" s="74">
        <f>J41+'12'!L41</f>
        <v>700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Production2!AQ15</f>
        <v>15</v>
      </c>
      <c r="G42" s="75">
        <f>F42+'12'!G42</f>
        <v>227.46</v>
      </c>
      <c r="H42" s="75">
        <f>F42+'12'!H42</f>
        <v>227.46</v>
      </c>
      <c r="I42" s="765"/>
      <c r="J42" s="77">
        <f>Production2!AR15</f>
        <v>850</v>
      </c>
      <c r="K42" s="74">
        <f>J42+'12'!K42</f>
        <v>13313</v>
      </c>
      <c r="L42" s="74">
        <f>J42+'12'!L42</f>
        <v>13313</v>
      </c>
      <c r="M42" s="769"/>
      <c r="N42" s="770"/>
      <c r="O42" s="770"/>
      <c r="P42" s="771"/>
      <c r="Q42" s="96">
        <f t="shared" si="6"/>
        <v>56.666666666666664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Production2!AW15</f>
        <v>0</v>
      </c>
      <c r="G43" s="75">
        <f>F43+'12'!G43</f>
        <v>0</v>
      </c>
      <c r="H43" s="75">
        <f>F43+'12'!H43</f>
        <v>0</v>
      </c>
      <c r="I43" s="765"/>
      <c r="J43" s="77">
        <f>Production2!AX15</f>
        <v>0</v>
      </c>
      <c r="K43" s="74">
        <f>J43+'12'!K43</f>
        <v>0</v>
      </c>
      <c r="L43" s="74">
        <f>J43+'12'!L43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Production2!AZ15</f>
        <v>2</v>
      </c>
      <c r="G44" s="75">
        <f>F44+'12'!G44</f>
        <v>22.78</v>
      </c>
      <c r="H44" s="75">
        <f>F44+'12'!H44</f>
        <v>22.78</v>
      </c>
      <c r="I44" s="748"/>
      <c r="J44" s="195">
        <f>Production2!BA15</f>
        <v>110</v>
      </c>
      <c r="K44" s="476">
        <f>J44+'12'!K44</f>
        <v>1270</v>
      </c>
      <c r="L44" s="476">
        <f>J44+'12'!L44</f>
        <v>1270</v>
      </c>
      <c r="M44" s="772"/>
      <c r="N44" s="773"/>
      <c r="O44" s="773"/>
      <c r="P44" s="774"/>
      <c r="Q44" s="96">
        <f t="shared" si="6"/>
        <v>55</v>
      </c>
      <c r="R44" s="94"/>
      <c r="S44" s="94"/>
    </row>
    <row r="45" spans="2:19" x14ac:dyDescent="0.25">
      <c r="B45" s="754"/>
      <c r="C45" s="685"/>
      <c r="D45" s="471" t="s">
        <v>306</v>
      </c>
      <c r="E45" s="480">
        <v>70</v>
      </c>
      <c r="F45" s="473">
        <f>Production2!BC15</f>
        <v>3.32</v>
      </c>
      <c r="G45" s="474">
        <f>F45+'12'!G45</f>
        <v>18.419999999999998</v>
      </c>
      <c r="H45" s="474">
        <f>F45+'12'!H45</f>
        <v>18.419999999999998</v>
      </c>
      <c r="I45" s="477"/>
      <c r="J45" s="475">
        <f>Production2!BD15</f>
        <v>200</v>
      </c>
      <c r="K45" s="476">
        <f>J45+'12'!K45</f>
        <v>1139</v>
      </c>
      <c r="L45" s="476">
        <f>J45+'12'!L45</f>
        <v>1139</v>
      </c>
      <c r="M45" s="478"/>
      <c r="N45" s="481"/>
      <c r="O45" s="481"/>
      <c r="P45" s="479"/>
      <c r="Q45" s="96">
        <f t="shared" si="6"/>
        <v>60.24096385542169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20.32</v>
      </c>
      <c r="G46" s="132">
        <f t="shared" ref="G46:H46" si="10">G41+G42+G43+G44+G45</f>
        <v>280.16000000000003</v>
      </c>
      <c r="H46" s="132">
        <f t="shared" si="10"/>
        <v>280.16000000000003</v>
      </c>
      <c r="I46" s="122">
        <f t="shared" ref="I46" si="11">I41+I42+I43+I44</f>
        <v>0</v>
      </c>
      <c r="J46" s="122">
        <f>J41+J42+J43+J44+J45</f>
        <v>1160</v>
      </c>
      <c r="K46" s="472">
        <f t="shared" ref="K46:L46" si="12">K41+K42+K43+K44+K45</f>
        <v>16422</v>
      </c>
      <c r="L46" s="472">
        <f t="shared" si="12"/>
        <v>16422</v>
      </c>
      <c r="M46" s="836"/>
      <c r="N46" s="837"/>
      <c r="O46" s="837"/>
      <c r="P46" s="838"/>
      <c r="Q46" s="123">
        <f t="shared" si="6"/>
        <v>57.086614173228348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0.61248567101486862</v>
      </c>
      <c r="F50" s="99">
        <f>F53/(J31+J32)</f>
        <v>23.143960700491245</v>
      </c>
      <c r="G50" s="99">
        <f>G53/J32</f>
        <v>0</v>
      </c>
      <c r="H50" s="99">
        <f>H53/J34</f>
        <v>32.138043478260869</v>
      </c>
      <c r="I50" s="99">
        <f>I53/J33</f>
        <v>55.237037037037034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14.619565217391303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0.95168289860408117</v>
      </c>
      <c r="F51" s="102">
        <f>F50*1.55</f>
        <v>35.87313908576143</v>
      </c>
      <c r="G51" s="102">
        <f>G50*1.55</f>
        <v>0</v>
      </c>
      <c r="H51" s="102">
        <f>H50</f>
        <v>32.138043478260869</v>
      </c>
      <c r="I51" s="102">
        <f>I50*(Q50/100)</f>
        <v>8.0754146537842182</v>
      </c>
      <c r="J51" s="102"/>
      <c r="K51" s="102"/>
      <c r="L51" s="102"/>
      <c r="M51" s="96"/>
      <c r="N51" s="103"/>
      <c r="O51" s="668" t="s">
        <v>279</v>
      </c>
      <c r="P51" s="668"/>
      <c r="Q51" s="104">
        <v>5438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0.73566728894679334</v>
      </c>
      <c r="F52" s="102">
        <f>F51*M18/100</f>
        <v>27.730555015691635</v>
      </c>
      <c r="G52" s="102">
        <f>G51*M18/100</f>
        <v>0</v>
      </c>
      <c r="H52" s="102">
        <f>H51*M18/100</f>
        <v>24.843261712893568</v>
      </c>
      <c r="I52" s="102">
        <f>I51*M18/100</f>
        <v>6.2424347586623385</v>
      </c>
      <c r="J52" s="99">
        <f>J53/(J40+J46)</f>
        <v>41.109482758620686</v>
      </c>
      <c r="K52" s="99">
        <f>K53/(J46+J40)</f>
        <v>1.3586206896551725</v>
      </c>
      <c r="L52" s="99">
        <f>L53/(M40)</f>
        <v>3.7327137427741048</v>
      </c>
      <c r="M52" s="96">
        <f>M53/(J46+J40)</f>
        <v>3.3094827586206899</v>
      </c>
      <c r="N52" s="310">
        <f>SUM(E52:M52)</f>
        <v>109.06221872586499</v>
      </c>
      <c r="O52" s="668" t="s">
        <v>281</v>
      </c>
      <c r="P52" s="668"/>
      <c r="Q52" s="104">
        <f>Q51*Q50/100</f>
        <v>795.01195652173908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unit'!B15</f>
        <v>1464</v>
      </c>
      <c r="F53" s="118">
        <f>'Daily unit'!C15</f>
        <v>61718</v>
      </c>
      <c r="G53" s="118">
        <f>'Daily unit'!D15</f>
        <v>0</v>
      </c>
      <c r="H53" s="118">
        <f>'Daily unit'!E15</f>
        <v>59134</v>
      </c>
      <c r="I53" s="118">
        <f>'Daily unit'!F15</f>
        <v>14914</v>
      </c>
      <c r="J53" s="118">
        <f>'Daily unit'!G15</f>
        <v>47687</v>
      </c>
      <c r="K53" s="118">
        <f>'Daily unit'!H15</f>
        <v>1576</v>
      </c>
      <c r="L53" s="118">
        <f>'Daily unit'!I15</f>
        <v>4675</v>
      </c>
      <c r="M53" s="119">
        <f>'Daily unit'!J15</f>
        <v>3839</v>
      </c>
      <c r="N53" s="321">
        <f>SUM(E53:M53)</f>
        <v>195007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738" t="s">
        <v>283</v>
      </c>
      <c r="C55" s="739"/>
      <c r="D55" s="739"/>
      <c r="E55" s="739"/>
      <c r="F55" s="739"/>
      <c r="G55" s="739"/>
      <c r="H55" s="740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224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cement'!F15</f>
        <v>0</v>
      </c>
      <c r="G57" s="53">
        <f>F57+'12'!G57</f>
        <v>0</v>
      </c>
      <c r="H57" s="104">
        <f>F57+'12'!H57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cement'!Q15</f>
        <v>0</v>
      </c>
      <c r="G58" s="53">
        <f>F58+'12'!G58</f>
        <v>0</v>
      </c>
      <c r="H58" s="104">
        <f>F58+'12'!H58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99"/>
      <c r="D59" s="800"/>
      <c r="E59" s="80">
        <v>32.5</v>
      </c>
      <c r="F59" s="53">
        <f>'Internal use cement'!AB15</f>
        <v>0</v>
      </c>
      <c r="G59" s="53">
        <f>F59+'12'!G59</f>
        <v>0</v>
      </c>
      <c r="H59" s="104">
        <f>F59+'12'!H59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cement'!AJ15</f>
        <v>0</v>
      </c>
      <c r="G60" s="113">
        <f>F60+'12'!G60</f>
        <v>0</v>
      </c>
      <c r="H60" s="114">
        <f>F60+'12'!H60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6">
    <mergeCell ref="B57:B60"/>
    <mergeCell ref="C32:D32"/>
    <mergeCell ref="I55:Q60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57:D60"/>
    <mergeCell ref="B18:B20"/>
    <mergeCell ref="C18:C20"/>
    <mergeCell ref="N18:N20"/>
    <mergeCell ref="O18:O25"/>
    <mergeCell ref="C30:D30"/>
    <mergeCell ref="I41:I44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P18:Q20"/>
    <mergeCell ref="Q21:Q22"/>
    <mergeCell ref="C22:D22"/>
    <mergeCell ref="B23:B24"/>
    <mergeCell ref="C23:C24"/>
    <mergeCell ref="P23:Q25"/>
    <mergeCell ref="C25:D25"/>
    <mergeCell ref="M25:N25"/>
    <mergeCell ref="C21:D21"/>
    <mergeCell ref="M18:M19"/>
    <mergeCell ref="M23:N24"/>
    <mergeCell ref="B14:B16"/>
    <mergeCell ref="C14:C16"/>
    <mergeCell ref="C9:D9"/>
    <mergeCell ref="C17:Q17"/>
    <mergeCell ref="C8:Q8"/>
    <mergeCell ref="C11:D11"/>
    <mergeCell ref="C12:D12"/>
    <mergeCell ref="C13:D13"/>
    <mergeCell ref="P13:Q13"/>
    <mergeCell ref="O9:O16"/>
    <mergeCell ref="C10:D10"/>
    <mergeCell ref="B35:B40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35:C40"/>
    <mergeCell ref="Q28:Q29"/>
    <mergeCell ref="B48:N48"/>
    <mergeCell ref="O48:Q48"/>
    <mergeCell ref="I31:I32"/>
    <mergeCell ref="M31:M32"/>
    <mergeCell ref="N31:N32"/>
    <mergeCell ref="O31:O32"/>
    <mergeCell ref="P31:P32"/>
    <mergeCell ref="M46:P46"/>
    <mergeCell ref="M41:P44"/>
    <mergeCell ref="B41:B46"/>
    <mergeCell ref="C41:C46"/>
    <mergeCell ref="C31:D31"/>
    <mergeCell ref="C33:D33"/>
    <mergeCell ref="C34:D34"/>
  </mergeCells>
  <pageMargins left="0.25" right="0.25" top="0.75" bottom="0.75" header="0.3" footer="0.3"/>
  <pageSetup paperSize="9" scale="5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28" sqref="T2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327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'13'!L9</f>
        <v>19260.371703916509</v>
      </c>
      <c r="F9" s="74">
        <f>Production2!D16</f>
        <v>2389.2600000000002</v>
      </c>
      <c r="G9" s="74">
        <f>F9+'13'!G9</f>
        <v>28682.240000000005</v>
      </c>
      <c r="H9" s="74">
        <f>F9+'13'!H9</f>
        <v>28682.240000000005</v>
      </c>
      <c r="I9" s="74">
        <f>Production2!E16</f>
        <v>2912</v>
      </c>
      <c r="J9" s="74">
        <f>I9+'13'!J9</f>
        <v>28334</v>
      </c>
      <c r="K9" s="74">
        <f>I9+'13'!K9</f>
        <v>28334</v>
      </c>
      <c r="L9" s="74">
        <f>E9+F9-I9-I21</f>
        <v>18458.031703916509</v>
      </c>
      <c r="M9" s="75">
        <f>I9</f>
        <v>2912</v>
      </c>
      <c r="N9" s="75">
        <f>(I9/I13)*100</f>
        <v>97.099033011003669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(2)'!L16</f>
        <v>72.03999999999975</v>
      </c>
      <c r="F10" s="77">
        <f>'Mines (2)'!M16</f>
        <v>0</v>
      </c>
      <c r="G10" s="74">
        <f>F10+'13'!G10</f>
        <v>0</v>
      </c>
      <c r="H10" s="74">
        <f>F10+'13'!H10</f>
        <v>0</v>
      </c>
      <c r="I10" s="77">
        <f>'Mines (2)'!N16</f>
        <v>27</v>
      </c>
      <c r="J10" s="74">
        <f>I10+'13'!J10</f>
        <v>79</v>
      </c>
      <c r="K10" s="74">
        <f>I10+'13'!K10</f>
        <v>79</v>
      </c>
      <c r="L10" s="77">
        <f t="shared" ref="L10:L16" si="0">E10+F10-I10</f>
        <v>45.03999999999975</v>
      </c>
      <c r="M10" s="75">
        <f t="shared" ref="M10:M12" si="1">I10</f>
        <v>27</v>
      </c>
      <c r="N10" s="75">
        <f>(I10/I13)*100</f>
        <v>0.90030010003334449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Clinker!C16</f>
        <v>4839.6399999999994</v>
      </c>
      <c r="F11" s="77">
        <f>Clinker!D16</f>
        <v>0</v>
      </c>
      <c r="G11" s="74">
        <f>F11+'13'!G11</f>
        <v>0</v>
      </c>
      <c r="H11" s="74">
        <f>F11+'13'!H11</f>
        <v>0</v>
      </c>
      <c r="I11" s="77">
        <f>Clinker!E16</f>
        <v>60</v>
      </c>
      <c r="J11" s="74">
        <f>I11+'13'!J11</f>
        <v>586</v>
      </c>
      <c r="K11" s="74">
        <f>I11+'13'!K11</f>
        <v>586</v>
      </c>
      <c r="L11" s="77">
        <f t="shared" si="0"/>
        <v>4779.6399999999994</v>
      </c>
      <c r="M11" s="75">
        <f t="shared" si="1"/>
        <v>60</v>
      </c>
      <c r="N11" s="75">
        <f>(I11/I13)*100</f>
        <v>2.0006668889629875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(2)'!Q16</f>
        <v>516.28</v>
      </c>
      <c r="F12" s="77">
        <f>'Mines (2)'!R16</f>
        <v>0</v>
      </c>
      <c r="G12" s="74">
        <f>F12+'13'!G12</f>
        <v>0</v>
      </c>
      <c r="H12" s="74">
        <f>F12+'13'!H12</f>
        <v>0</v>
      </c>
      <c r="I12" s="77">
        <f>'Mines (2)'!S16</f>
        <v>0</v>
      </c>
      <c r="J12" s="74">
        <f>I12+'13'!J12</f>
        <v>84</v>
      </c>
      <c r="K12" s="74">
        <f>I12+'13'!K12</f>
        <v>84</v>
      </c>
      <c r="L12" s="77">
        <f t="shared" si="0"/>
        <v>516.28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24688.331703916509</v>
      </c>
      <c r="F13" s="127">
        <f t="shared" si="2"/>
        <v>2389.2600000000002</v>
      </c>
      <c r="G13" s="127">
        <f t="shared" si="2"/>
        <v>28682.240000000005</v>
      </c>
      <c r="H13" s="127">
        <f t="shared" si="2"/>
        <v>28682.240000000005</v>
      </c>
      <c r="I13" s="127">
        <f t="shared" si="2"/>
        <v>2999</v>
      </c>
      <c r="J13" s="127">
        <f t="shared" si="2"/>
        <v>29083</v>
      </c>
      <c r="K13" s="127">
        <f t="shared" si="2"/>
        <v>29083</v>
      </c>
      <c r="L13" s="127">
        <f t="shared" si="0"/>
        <v>24078.591703916507</v>
      </c>
      <c r="M13" s="128">
        <f>SUM(M9:M12)</f>
        <v>2999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Clinker!EA16</f>
        <v>13176.776999999989</v>
      </c>
      <c r="F14" s="77">
        <f>Clinker!EB16</f>
        <v>30</v>
      </c>
      <c r="G14" s="77">
        <f>F14+'13'!G14</f>
        <v>181.5</v>
      </c>
      <c r="H14" s="77">
        <f>F14+'13'!H14</f>
        <v>181.5</v>
      </c>
      <c r="I14" s="77">
        <f>Clinker!EC16</f>
        <v>277.77999999999997</v>
      </c>
      <c r="J14" s="77">
        <f>I14+'13'!J14</f>
        <v>2987.7700000000004</v>
      </c>
      <c r="K14" s="77">
        <f>I14+'13'!K14</f>
        <v>2987.7700000000004</v>
      </c>
      <c r="L14" s="77">
        <f>E14+F14-I14-Clinker!N16-Clinker!Z16-Clinker!AR16-Clinker!AW16-Clinker!BB16-Clinker!BV16-Clinker!DO16</f>
        <v>12910.996999999988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Clinker!EE16</f>
        <v>11407.699999999997</v>
      </c>
      <c r="F15" s="77">
        <f>Clinker!EF16</f>
        <v>0</v>
      </c>
      <c r="G15" s="77">
        <f>F15+'13'!G15</f>
        <v>125.05000000000001</v>
      </c>
      <c r="H15" s="77">
        <f>F15+'13'!H15</f>
        <v>125.05000000000001</v>
      </c>
      <c r="I15" s="77">
        <f>Clinker!EG16</f>
        <v>158</v>
      </c>
      <c r="J15" s="77">
        <f>I15+'13'!J15</f>
        <v>1760</v>
      </c>
      <c r="K15" s="77">
        <f>I15+'13'!K15</f>
        <v>1760</v>
      </c>
      <c r="L15" s="77">
        <f>E15+F15-Clinker!AE16-Clinker!AI16-Clinker!CK16-Clinker!CP16-Clinker!CF16</f>
        <v>11267.699999999997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24584.476999999984</v>
      </c>
      <c r="F16" s="125">
        <f>F14+F15</f>
        <v>30</v>
      </c>
      <c r="G16" s="125">
        <f t="shared" ref="G16:K16" si="3">G14+G15</f>
        <v>306.55</v>
      </c>
      <c r="H16" s="125">
        <f t="shared" si="3"/>
        <v>306.55</v>
      </c>
      <c r="I16" s="125">
        <f>I14+I15</f>
        <v>435.78</v>
      </c>
      <c r="J16" s="125">
        <f>J14+J15</f>
        <v>4747.7700000000004</v>
      </c>
      <c r="K16" s="125">
        <f t="shared" si="3"/>
        <v>4747.7700000000004</v>
      </c>
      <c r="L16" s="125">
        <f t="shared" si="0"/>
        <v>24178.696999999986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Clinker!EI16</f>
        <v>12421.670088766048</v>
      </c>
      <c r="F18" s="74">
        <f>Clinker!EJ16</f>
        <v>1750</v>
      </c>
      <c r="G18" s="74">
        <f>F18+'13'!G18</f>
        <v>17470</v>
      </c>
      <c r="H18" s="74">
        <f>F18+'13'!H18</f>
        <v>17470</v>
      </c>
      <c r="I18" s="74">
        <f>Clinker!EK16</f>
        <v>654.49999999650015</v>
      </c>
      <c r="J18" s="74">
        <f>I18+'13'!J18</f>
        <v>7234.3700108571829</v>
      </c>
      <c r="K18" s="74">
        <f>I18+'13'!K18</f>
        <v>7234.3700108571829</v>
      </c>
      <c r="L18" s="74">
        <f>E18+F18-I18-I20</f>
        <v>13517.170088769548</v>
      </c>
      <c r="M18" s="75">
        <f>((I18+I19)/(J40+J46))*100</f>
        <v>76.155405405168935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Clinker!EN16</f>
        <v>3771.3390080001363</v>
      </c>
      <c r="F19" s="74">
        <f>Clinker!EO16</f>
        <v>508.11</v>
      </c>
      <c r="G19" s="74">
        <f>F19+'13'!G19</f>
        <v>8684.25</v>
      </c>
      <c r="H19" s="74">
        <f>F19+'13'!H19</f>
        <v>8684.25</v>
      </c>
      <c r="I19" s="74">
        <f>Clinker!EP16</f>
        <v>472.6</v>
      </c>
      <c r="J19" s="74">
        <f>I19+'13'!J19</f>
        <v>13726.949999999999</v>
      </c>
      <c r="K19" s="74">
        <f>I19+'13'!K19</f>
        <v>13726.949999999999</v>
      </c>
      <c r="L19" s="74">
        <f>E19+F19-I19</f>
        <v>3806.8490080001361</v>
      </c>
      <c r="M19" s="75"/>
      <c r="N19" s="687"/>
      <c r="O19" s="689"/>
      <c r="P19" s="691"/>
      <c r="Q19" s="692"/>
      <c r="R19" s="2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Clinker!EM16</f>
        <v>0</v>
      </c>
      <c r="G20" s="74">
        <f>F20+'13'!G20</f>
        <v>0</v>
      </c>
      <c r="H20" s="74">
        <f>F20+'13'!H20</f>
        <v>0</v>
      </c>
      <c r="I20" s="77">
        <f>Clinker!EM16</f>
        <v>0</v>
      </c>
      <c r="J20" s="74">
        <f>I20+'13'!J20</f>
        <v>0</v>
      </c>
      <c r="K20" s="74">
        <f>I20+'13'!K20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Cement!Q16</f>
        <v>279.60000000000002</v>
      </c>
      <c r="J21" s="74">
        <f>I21+'13'!J21</f>
        <v>4995.0799932673181</v>
      </c>
      <c r="K21" s="74">
        <f>I21+'13'!K21</f>
        <v>4995.0799932673181</v>
      </c>
      <c r="L21" s="74"/>
      <c r="M21" s="78">
        <f>(I21/(J40+J46))*100</f>
        <v>18.891891891891895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Cement!C16</f>
        <v>7576.1200632777791</v>
      </c>
      <c r="F22" s="77">
        <f>Cement!D16</f>
        <v>33.06</v>
      </c>
      <c r="G22" s="74">
        <f>F22+'13'!G22</f>
        <v>1457.1</v>
      </c>
      <c r="H22" s="74">
        <f>F22+'13'!H22</f>
        <v>1457.1</v>
      </c>
      <c r="I22" s="77">
        <f>Cement!E16</f>
        <v>73.300000003500003</v>
      </c>
      <c r="J22" s="74">
        <f>I22+'13'!J22</f>
        <v>1366.5999958754996</v>
      </c>
      <c r="K22" s="74">
        <f>I22+'13'!K22</f>
        <v>1366.5999958754996</v>
      </c>
      <c r="L22" s="74">
        <f>E22+F22-I22</f>
        <v>7535.8800632742796</v>
      </c>
      <c r="M22" s="78">
        <f>(I22/(J40+J46))*100</f>
        <v>4.952702702939189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Cement!G16</f>
        <v>0.23999999999796273</v>
      </c>
      <c r="F23" s="77">
        <f>Cement!H16</f>
        <v>0</v>
      </c>
      <c r="G23" s="74">
        <f>F23+'13'!G23</f>
        <v>0</v>
      </c>
      <c r="H23" s="74">
        <f>F23+'13'!H23</f>
        <v>0</v>
      </c>
      <c r="I23" s="77">
        <f>Cement!I16</f>
        <v>0</v>
      </c>
      <c r="J23" s="74">
        <f>I23+'13'!J23</f>
        <v>0</v>
      </c>
      <c r="K23" s="74">
        <f>I23+'13'!K23</f>
        <v>0</v>
      </c>
      <c r="L23" s="74">
        <f t="shared" ref="L23:L24" si="4">E23+F23-I23</f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Cement!K16</f>
        <v>0</v>
      </c>
      <c r="F24" s="77">
        <f>Cement!L16</f>
        <v>0</v>
      </c>
      <c r="G24" s="74">
        <f>F24+'13'!G24</f>
        <v>0</v>
      </c>
      <c r="H24" s="74">
        <f>F24+'13'!H24</f>
        <v>0</v>
      </c>
      <c r="I24" s="77">
        <f>Cement!M16</f>
        <v>0</v>
      </c>
      <c r="J24" s="74">
        <f>I24+'13'!J24</f>
        <v>0</v>
      </c>
      <c r="K24" s="74">
        <f>I24+'13'!K24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23769.369160043963</v>
      </c>
      <c r="F25" s="122">
        <f t="shared" ref="F25:L25" si="5">F18+F19+F21+F22+F23+F24</f>
        <v>2291.17</v>
      </c>
      <c r="G25" s="122">
        <f t="shared" si="5"/>
        <v>27611.35</v>
      </c>
      <c r="H25" s="122">
        <f t="shared" si="5"/>
        <v>27611.35</v>
      </c>
      <c r="I25" s="122">
        <f t="shared" si="5"/>
        <v>1480</v>
      </c>
      <c r="J25" s="122">
        <f t="shared" si="5"/>
        <v>27323</v>
      </c>
      <c r="K25" s="122">
        <f t="shared" si="5"/>
        <v>27323</v>
      </c>
      <c r="L25" s="122">
        <f t="shared" si="5"/>
        <v>24860.13916004396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Production2!C16</f>
        <v>12.52</v>
      </c>
      <c r="G30" s="75">
        <f>F30+'13'!G30</f>
        <v>157.13</v>
      </c>
      <c r="H30" s="75">
        <f>F30+'13'!H30</f>
        <v>157.13</v>
      </c>
      <c r="I30" s="74">
        <f>'Mines (2)'!C16+'Mines (2)'!H16+'Mines (2)'!V16+'Mines (2)'!Z16+'Mines (2)'!AD16</f>
        <v>19260.37170391652</v>
      </c>
      <c r="J30" s="74">
        <f>Production2!D16</f>
        <v>2389.2600000000002</v>
      </c>
      <c r="K30" s="74">
        <f>J30+'13'!K30</f>
        <v>28682.240000000005</v>
      </c>
      <c r="L30" s="74">
        <f>J30+'13'!L30</f>
        <v>28682.240000000005</v>
      </c>
      <c r="M30" s="74">
        <f>I9+I21</f>
        <v>3191.6</v>
      </c>
      <c r="N30" s="74">
        <f>M30+'13'!N30</f>
        <v>33329.079993267318</v>
      </c>
      <c r="O30" s="501">
        <f>M30+'13'!O30</f>
        <v>33329.079993267318</v>
      </c>
      <c r="P30" s="74">
        <f>I30+J30-M30</f>
        <v>18458.031703916524</v>
      </c>
      <c r="Q30" s="93">
        <f>J30/F30</f>
        <v>190.83546325878598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Production2!G16</f>
        <v>19.7</v>
      </c>
      <c r="G31" s="75">
        <f>F31+'13'!G31</f>
        <v>195.13</v>
      </c>
      <c r="H31" s="75">
        <f>F31+'13'!H31</f>
        <v>195.13</v>
      </c>
      <c r="I31" s="747">
        <f>Production2!H16</f>
        <v>1115.3900168375194</v>
      </c>
      <c r="J31" s="78">
        <f>Production2!N16</f>
        <v>2501</v>
      </c>
      <c r="K31" s="489">
        <f>J31+'13'!K31</f>
        <v>24809.29</v>
      </c>
      <c r="L31" s="74">
        <f>J31+'13'!L31</f>
        <v>24809.29</v>
      </c>
      <c r="M31" s="747">
        <f>Production2!K16</f>
        <v>2712.5</v>
      </c>
      <c r="N31" s="747">
        <f>M31+'13'!N31</f>
        <v>27078.5</v>
      </c>
      <c r="O31" s="747">
        <f>M31+'13'!O31</f>
        <v>27078.5</v>
      </c>
      <c r="P31" s="747">
        <f>I31+J31+J32-M31</f>
        <v>1103.7900168375195</v>
      </c>
      <c r="Q31" s="96">
        <f t="shared" ref="Q31:Q46" si="6">J31/F31</f>
        <v>126.95431472081219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Production2!P16</f>
        <v>21.1</v>
      </c>
      <c r="G32" s="75">
        <f>F32+'13'!G32</f>
        <v>146.24</v>
      </c>
      <c r="H32" s="75">
        <f>F32+'13'!H32</f>
        <v>146.24</v>
      </c>
      <c r="I32" s="748"/>
      <c r="J32" s="78">
        <f>Production2!Q16</f>
        <v>199.9</v>
      </c>
      <c r="K32" s="489">
        <f>J32+'13'!K32</f>
        <v>1379.27</v>
      </c>
      <c r="L32" s="74">
        <f>J32+'13'!L32</f>
        <v>1379.27</v>
      </c>
      <c r="M32" s="748"/>
      <c r="N32" s="748"/>
      <c r="O32" s="748"/>
      <c r="P32" s="748"/>
      <c r="Q32" s="96">
        <f>J32/F32</f>
        <v>9.4739336492890995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Production2!S16</f>
        <v>19.100000000000001</v>
      </c>
      <c r="G33" s="75">
        <f>F33+'13'!G33</f>
        <v>195.08</v>
      </c>
      <c r="H33" s="75">
        <f>F33+'13'!H33</f>
        <v>195.08</v>
      </c>
      <c r="I33" s="77">
        <f>Production2!T16</f>
        <v>55.509999999999991</v>
      </c>
      <c r="J33" s="77">
        <f>Production2!U16</f>
        <v>250</v>
      </c>
      <c r="K33" s="74">
        <f>J33+'13'!K33</f>
        <v>2689</v>
      </c>
      <c r="L33" s="74">
        <f>J33+'13'!L33</f>
        <v>2689</v>
      </c>
      <c r="M33" s="77">
        <f>Production2!V16</f>
        <v>257</v>
      </c>
      <c r="N33" s="74">
        <f>M33+'13'!N33</f>
        <v>2656</v>
      </c>
      <c r="O33" s="74">
        <f>M33+'13'!O33</f>
        <v>2656</v>
      </c>
      <c r="P33" s="74">
        <f t="shared" ref="P33" si="7">I33+J33-M33</f>
        <v>48.509999999999991</v>
      </c>
      <c r="Q33" s="96">
        <f t="shared" si="6"/>
        <v>13.089005235602093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Production2!Y16</f>
        <v>24</v>
      </c>
      <c r="G34" s="75">
        <f>F34+'13'!G34</f>
        <v>234.27</v>
      </c>
      <c r="H34" s="75">
        <f>F34+'13'!H34</f>
        <v>234.27</v>
      </c>
      <c r="I34" s="77">
        <f>Clinker!EI16</f>
        <v>12421.670088766048</v>
      </c>
      <c r="J34" s="77">
        <f>Clinker!EJ16</f>
        <v>1750</v>
      </c>
      <c r="K34" s="74">
        <f>J34+'13'!K34</f>
        <v>17470</v>
      </c>
      <c r="L34" s="74">
        <f>J34+'13'!L34</f>
        <v>17470</v>
      </c>
      <c r="M34" s="77">
        <f>Clinker!EK16</f>
        <v>654.49999999650015</v>
      </c>
      <c r="N34" s="74">
        <f>M34+'13'!N34</f>
        <v>7234.3700108571829</v>
      </c>
      <c r="O34" s="74">
        <f>M34+'13'!O34</f>
        <v>7234.3700108571829</v>
      </c>
      <c r="P34" s="74">
        <f>I34+J34-M34-I20</f>
        <v>13517.170088769548</v>
      </c>
      <c r="Q34" s="96">
        <f t="shared" si="6"/>
        <v>72.916666666666671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Production2!AE16</f>
        <v>0</v>
      </c>
      <c r="G35" s="75">
        <f>F35+'13'!G35</f>
        <v>9</v>
      </c>
      <c r="H35" s="75">
        <f>F35+'13'!H35</f>
        <v>9</v>
      </c>
      <c r="I35" s="77">
        <f>Production2!BJ16</f>
        <v>203.79999999999995</v>
      </c>
      <c r="J35" s="77">
        <f>Production2!AF16</f>
        <v>0</v>
      </c>
      <c r="K35" s="74">
        <f>J35+'13'!K35</f>
        <v>574</v>
      </c>
      <c r="L35" s="74">
        <f>J35+'13'!L35</f>
        <v>574</v>
      </c>
      <c r="M35" s="77">
        <f>Production2!BL16</f>
        <v>94</v>
      </c>
      <c r="N35" s="74">
        <f>M35+'13'!N35</f>
        <v>1396.5</v>
      </c>
      <c r="O35" s="75">
        <f>M35+'13'!O35</f>
        <v>1396.5</v>
      </c>
      <c r="P35" s="74">
        <f>I35+J35+J41-M35-F59</f>
        <v>259.79999999999995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Production2!AB16</f>
        <v>3.3</v>
      </c>
      <c r="G36" s="75">
        <f>F36+'13'!G36</f>
        <v>119.94000000000001</v>
      </c>
      <c r="H36" s="75">
        <f>F36+'13'!H36</f>
        <v>119.94000000000001</v>
      </c>
      <c r="I36" s="77">
        <f>Production2!BF16</f>
        <v>1932.2179999999798</v>
      </c>
      <c r="J36" s="77">
        <f>Production2!AC16</f>
        <v>170</v>
      </c>
      <c r="K36" s="74">
        <f>J36+'13'!K36</f>
        <v>7297</v>
      </c>
      <c r="L36" s="74">
        <f>J36+'13'!L36</f>
        <v>7297</v>
      </c>
      <c r="M36" s="77">
        <f>Production2!BH16</f>
        <v>1387.25</v>
      </c>
      <c r="N36" s="487">
        <f>M36+'13'!N36</f>
        <v>21173.589999999997</v>
      </c>
      <c r="O36" s="485">
        <f>M36+'13'!O36</f>
        <v>21173.589999999997</v>
      </c>
      <c r="P36" s="74">
        <f>I36+J36+J42-M36-F57</f>
        <v>1564.9679999999798</v>
      </c>
      <c r="Q36" s="96">
        <f t="shared" si="6"/>
        <v>51.515151515151516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Production2!AH16</f>
        <v>0</v>
      </c>
      <c r="G37" s="75">
        <f>F37+'13'!G37</f>
        <v>0</v>
      </c>
      <c r="H37" s="75">
        <f>F37+'13'!H37</f>
        <v>0</v>
      </c>
      <c r="I37" s="77">
        <f>Production2!BN16</f>
        <v>2.0900000000008498</v>
      </c>
      <c r="J37" s="77">
        <f>Production2!AI16</f>
        <v>0</v>
      </c>
      <c r="K37" s="487">
        <f>J37+'13'!K37</f>
        <v>0</v>
      </c>
      <c r="L37" s="487">
        <f>J37+'13'!L37</f>
        <v>0</v>
      </c>
      <c r="M37" s="77">
        <f>Production2!BP16</f>
        <v>0</v>
      </c>
      <c r="N37" s="487">
        <f>M37+'13'!N37</f>
        <v>-0.15</v>
      </c>
      <c r="O37" s="485">
        <f>M37+'13'!O37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Production2!AK16</f>
        <v>0</v>
      </c>
      <c r="G38" s="75">
        <f>F38+'13'!G38</f>
        <v>0</v>
      </c>
      <c r="H38" s="485">
        <f>F38+'13'!H38</f>
        <v>0</v>
      </c>
      <c r="I38" s="195">
        <f>Production2!BR16</f>
        <v>149.30000000000001</v>
      </c>
      <c r="J38" s="195">
        <v>0</v>
      </c>
      <c r="K38" s="487">
        <f>J38+'13'!K38</f>
        <v>0</v>
      </c>
      <c r="L38" s="487">
        <f>J38+'13'!L38</f>
        <v>0</v>
      </c>
      <c r="M38" s="195">
        <f>Production2!BT16</f>
        <v>60</v>
      </c>
      <c r="N38" s="487">
        <f>M38+'13'!N38</f>
        <v>1394</v>
      </c>
      <c r="O38" s="485">
        <f>M38+'13'!O38</f>
        <v>1394</v>
      </c>
      <c r="P38" s="74">
        <f>I38+J38+J44-M38-F61</f>
        <v>199.3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82" t="s">
        <v>306</v>
      </c>
      <c r="E39" s="488">
        <v>78</v>
      </c>
      <c r="F39" s="484">
        <f>Production2!AN16</f>
        <v>0</v>
      </c>
      <c r="G39" s="485">
        <f>F39+'13'!G39</f>
        <v>27.35</v>
      </c>
      <c r="H39" s="485">
        <f>F39+'13'!H39</f>
        <v>27.35</v>
      </c>
      <c r="I39" s="486">
        <f>Production2!BV16</f>
        <v>387.83000000000021</v>
      </c>
      <c r="J39" s="486">
        <f>Production2!AO16</f>
        <v>0</v>
      </c>
      <c r="K39" s="487">
        <f>J39+'13'!K39</f>
        <v>1720</v>
      </c>
      <c r="L39" s="487">
        <f>J39+'13'!L39</f>
        <v>1720</v>
      </c>
      <c r="M39" s="77">
        <f>Production2!BX16</f>
        <v>300.72000000000003</v>
      </c>
      <c r="N39" s="487">
        <f>M39+'13'!N39</f>
        <v>3145.6000000000004</v>
      </c>
      <c r="O39" s="485">
        <f>M39+'13'!O39</f>
        <v>3145.6000000000004</v>
      </c>
      <c r="P39" s="487">
        <f>I39+J39+J45-M39</f>
        <v>287.11000000000013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3.3</v>
      </c>
      <c r="G40" s="132">
        <f t="shared" ref="G40:H40" si="8">G35+G36+G37+G38+G39</f>
        <v>156.29</v>
      </c>
      <c r="H40" s="132">
        <f t="shared" si="8"/>
        <v>156.29</v>
      </c>
      <c r="I40" s="122">
        <f>I35+I36+I37+I38+I39</f>
        <v>2675.2379999999816</v>
      </c>
      <c r="J40" s="483">
        <f t="shared" ref="J40:P40" si="9">J35+J36+J37+J38+J39</f>
        <v>170</v>
      </c>
      <c r="K40" s="483">
        <f t="shared" si="9"/>
        <v>9591</v>
      </c>
      <c r="L40" s="483">
        <f t="shared" si="9"/>
        <v>9591</v>
      </c>
      <c r="M40" s="483">
        <f t="shared" si="9"/>
        <v>1841.97</v>
      </c>
      <c r="N40" s="483">
        <f t="shared" si="9"/>
        <v>27109.539999999994</v>
      </c>
      <c r="O40" s="483">
        <f t="shared" si="9"/>
        <v>27109.539999999994</v>
      </c>
      <c r="P40" s="483">
        <f t="shared" si="9"/>
        <v>2313.2679999999809</v>
      </c>
      <c r="Q40" s="123">
        <f t="shared" si="6"/>
        <v>51.515151515151516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Production2!AT16</f>
        <v>2.4</v>
      </c>
      <c r="G41" s="75">
        <f>F41+'13'!G41</f>
        <v>13.9</v>
      </c>
      <c r="H41" s="75">
        <f>F41+'13'!H41</f>
        <v>13.9</v>
      </c>
      <c r="I41" s="764"/>
      <c r="J41" s="77">
        <f>Production2!AU16</f>
        <v>150</v>
      </c>
      <c r="K41" s="74">
        <f>J41+'13'!K41</f>
        <v>850</v>
      </c>
      <c r="L41" s="74">
        <f>J41+'13'!L41</f>
        <v>850</v>
      </c>
      <c r="M41" s="766"/>
      <c r="N41" s="767"/>
      <c r="O41" s="767"/>
      <c r="P41" s="768"/>
      <c r="Q41" s="96">
        <f t="shared" si="6"/>
        <v>62.5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Production2!AQ16</f>
        <v>13.85</v>
      </c>
      <c r="G42" s="75">
        <f>F42+'13'!G42</f>
        <v>241.31</v>
      </c>
      <c r="H42" s="75">
        <f>F42+'13'!H42</f>
        <v>241.31</v>
      </c>
      <c r="I42" s="765"/>
      <c r="J42" s="77">
        <f>Production2!AR16</f>
        <v>850</v>
      </c>
      <c r="K42" s="74">
        <f>J42+'13'!K42</f>
        <v>14163</v>
      </c>
      <c r="L42" s="74">
        <f>J42+'13'!L42</f>
        <v>14163</v>
      </c>
      <c r="M42" s="769"/>
      <c r="N42" s="829"/>
      <c r="O42" s="829"/>
      <c r="P42" s="771"/>
      <c r="Q42" s="96">
        <f t="shared" si="6"/>
        <v>61.371841155234655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Production2!AW16</f>
        <v>0</v>
      </c>
      <c r="G43" s="75">
        <f>F43+'13'!G43</f>
        <v>0</v>
      </c>
      <c r="H43" s="75">
        <f>F43+'13'!H43</f>
        <v>0</v>
      </c>
      <c r="I43" s="765"/>
      <c r="J43" s="77">
        <f>Production2!AX16</f>
        <v>0</v>
      </c>
      <c r="K43" s="74">
        <f>J43+'13'!K43</f>
        <v>0</v>
      </c>
      <c r="L43" s="74">
        <f>J43+'13'!L43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Production2!AZ16</f>
        <v>2</v>
      </c>
      <c r="G44" s="485">
        <f>F44+'13'!G44</f>
        <v>24.78</v>
      </c>
      <c r="H44" s="485">
        <f>F44+'13'!H44</f>
        <v>24.78</v>
      </c>
      <c r="I44" s="765"/>
      <c r="J44" s="195">
        <f>Production2!BA16</f>
        <v>110</v>
      </c>
      <c r="K44" s="74">
        <f>J44+'13'!K44</f>
        <v>1380</v>
      </c>
      <c r="L44" s="74">
        <f>J44+'13'!L44</f>
        <v>1380</v>
      </c>
      <c r="M44" s="769"/>
      <c r="N44" s="829"/>
      <c r="O44" s="829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482" t="s">
        <v>306</v>
      </c>
      <c r="E45" s="488">
        <v>70</v>
      </c>
      <c r="F45" s="484">
        <f>Production2!BC16</f>
        <v>3.2</v>
      </c>
      <c r="G45" s="485">
        <f>F45+'13'!G45</f>
        <v>21.619999999999997</v>
      </c>
      <c r="H45" s="485">
        <f>F45+'13'!H45</f>
        <v>21.619999999999997</v>
      </c>
      <c r="I45" s="748"/>
      <c r="J45" s="486">
        <f>Production2!BD16</f>
        <v>200</v>
      </c>
      <c r="K45" s="487">
        <f>J45+'13'!K45</f>
        <v>1339</v>
      </c>
      <c r="L45" s="487">
        <f>J45+'13'!L45</f>
        <v>1339</v>
      </c>
      <c r="M45" s="772"/>
      <c r="N45" s="773"/>
      <c r="O45" s="773"/>
      <c r="P45" s="774"/>
      <c r="Q45" s="96">
        <f t="shared" si="6"/>
        <v>62.5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21.45</v>
      </c>
      <c r="G46" s="132">
        <f t="shared" ref="G46:H46" si="10">G41+G42+G43+G44+G45</f>
        <v>301.61</v>
      </c>
      <c r="H46" s="132">
        <f t="shared" si="10"/>
        <v>301.61</v>
      </c>
      <c r="I46" s="122"/>
      <c r="J46" s="122">
        <f>J41+J42+J43+J44+J45</f>
        <v>1310</v>
      </c>
      <c r="K46" s="483">
        <f t="shared" ref="K46:L46" si="11">K41+K42+K43+K44+K45</f>
        <v>17732</v>
      </c>
      <c r="L46" s="483">
        <f t="shared" si="11"/>
        <v>17732</v>
      </c>
      <c r="M46" s="836"/>
      <c r="N46" s="837"/>
      <c r="O46" s="837"/>
      <c r="P46" s="838"/>
      <c r="Q46" s="123">
        <f t="shared" si="6"/>
        <v>61.072261072261071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0.45704527761733754</v>
      </c>
      <c r="F50" s="99">
        <f>F53/(J31+J32)</f>
        <v>21.269576807730754</v>
      </c>
      <c r="G50" s="99">
        <f>G53/J32</f>
        <v>0</v>
      </c>
      <c r="H50" s="99">
        <f>H53/J34</f>
        <v>33.925142857142859</v>
      </c>
      <c r="I50" s="99">
        <f>I53/J33</f>
        <v>63.591999999999999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14.685714285714285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0.76052334195524962</v>
      </c>
      <c r="F51" s="102">
        <f>F50*1.55</f>
        <v>32.967844051982667</v>
      </c>
      <c r="G51" s="102">
        <f>G50*1.55</f>
        <v>0</v>
      </c>
      <c r="H51" s="102">
        <f>H50</f>
        <v>33.925142857142859</v>
      </c>
      <c r="I51" s="102">
        <f>I50*(Q50/100)</f>
        <v>9.3389394285714289</v>
      </c>
      <c r="J51" s="102"/>
      <c r="K51" s="102"/>
      <c r="L51" s="102"/>
      <c r="M51" s="96"/>
      <c r="N51" s="103"/>
      <c r="O51" s="668" t="s">
        <v>279</v>
      </c>
      <c r="P51" s="668"/>
      <c r="Q51" s="104">
        <v>5358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0.57917963426695962</v>
      </c>
      <c r="F52" s="102">
        <f>F51*M18/100</f>
        <v>25.106795291131274</v>
      </c>
      <c r="G52" s="102">
        <f>G51*M18/100</f>
        <v>0</v>
      </c>
      <c r="H52" s="102">
        <f>H51*M18/100</f>
        <v>25.835830077139853</v>
      </c>
      <c r="I52" s="102">
        <f>I51*M18/100</f>
        <v>7.112107182371739</v>
      </c>
      <c r="J52" s="99">
        <f>J53/(J40+J46)</f>
        <v>37.61418918918919</v>
      </c>
      <c r="K52" s="99">
        <f>K53/(J46+J40)</f>
        <v>1.1162162162162161</v>
      </c>
      <c r="L52" s="99">
        <f>L53/(M40)</f>
        <v>3.2134073844850892</v>
      </c>
      <c r="M52" s="96">
        <f>M53/(J46+J40)</f>
        <v>3.1114864864864864</v>
      </c>
      <c r="N52" s="310">
        <f>SUM(E52:M52)</f>
        <v>103.6892114612868</v>
      </c>
      <c r="O52" s="668" t="s">
        <v>281</v>
      </c>
      <c r="P52" s="668"/>
      <c r="Q52" s="104">
        <f>Q51*Q50/100</f>
        <v>786.86057142857146</v>
      </c>
    </row>
    <row r="53" spans="2:19" ht="15" customHeight="1" thickBot="1" x14ac:dyDescent="0.3">
      <c r="B53" s="199" t="s">
        <v>243</v>
      </c>
      <c r="C53" s="781" t="s">
        <v>282</v>
      </c>
      <c r="D53" s="781"/>
      <c r="E53" s="118">
        <f>'Daily unit'!B16</f>
        <v>1092</v>
      </c>
      <c r="F53" s="118">
        <f>'Daily unit'!C16</f>
        <v>57447</v>
      </c>
      <c r="G53" s="118">
        <f>'Daily unit'!D16</f>
        <v>0</v>
      </c>
      <c r="H53" s="118">
        <f>'Daily unit'!E16</f>
        <v>59369</v>
      </c>
      <c r="I53" s="118">
        <f>'Daily unit'!F16</f>
        <v>15898</v>
      </c>
      <c r="J53" s="118">
        <f>'Daily unit'!G16</f>
        <v>55669</v>
      </c>
      <c r="K53" s="118">
        <f>'Daily unit'!H16</f>
        <v>1652</v>
      </c>
      <c r="L53" s="118">
        <f>'Daily unit'!I16</f>
        <v>5919</v>
      </c>
      <c r="M53" s="119">
        <f>'Daily unit'!J16</f>
        <v>4605</v>
      </c>
      <c r="N53" s="321">
        <f>SUM(E53:M53)</f>
        <v>201651</v>
      </c>
      <c r="O53" s="206"/>
      <c r="P53" s="84"/>
      <c r="Q53" s="207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804" t="s">
        <v>283</v>
      </c>
      <c r="C55" s="782"/>
      <c r="D55" s="782"/>
      <c r="E55" s="782"/>
      <c r="F55" s="782"/>
      <c r="G55" s="782"/>
      <c r="H55" s="78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187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cement'!F16</f>
        <v>0</v>
      </c>
      <c r="G57" s="53">
        <f>F57+'13'!G57</f>
        <v>0</v>
      </c>
      <c r="H57" s="77">
        <f>F57+'13'!H57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cement'!Q16</f>
        <v>0</v>
      </c>
      <c r="G58" s="53">
        <f>F58+'13'!G58</f>
        <v>0</v>
      </c>
      <c r="H58" s="77">
        <f>F58+'13'!H58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99"/>
      <c r="D59" s="800"/>
      <c r="E59" s="80">
        <v>32.5</v>
      </c>
      <c r="F59" s="53">
        <f>'Internal use cement'!AB16</f>
        <v>0</v>
      </c>
      <c r="G59" s="53">
        <f>F59+'13'!G59</f>
        <v>0</v>
      </c>
      <c r="H59" s="78">
        <f>F59+'13'!H59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cement'!AJ16</f>
        <v>0</v>
      </c>
      <c r="G60" s="113">
        <f>F60+'13'!G60</f>
        <v>0</v>
      </c>
      <c r="H60" s="212">
        <f>F60+'13'!H60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I55:Q60"/>
    <mergeCell ref="B41:B46"/>
    <mergeCell ref="C41:C46"/>
    <mergeCell ref="M46:P46"/>
    <mergeCell ref="O51:P51"/>
    <mergeCell ref="C52:D52"/>
    <mergeCell ref="O52:P52"/>
    <mergeCell ref="C53:D53"/>
    <mergeCell ref="C57:D60"/>
    <mergeCell ref="B57:B60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3:D13"/>
    <mergeCell ref="P6:P7"/>
    <mergeCell ref="Q6:Q7"/>
    <mergeCell ref="C8:Q8"/>
    <mergeCell ref="C11:D11"/>
    <mergeCell ref="C12:D12"/>
    <mergeCell ref="C21:D21"/>
    <mergeCell ref="P13:Q13"/>
    <mergeCell ref="O9:O16"/>
    <mergeCell ref="C10:D10"/>
    <mergeCell ref="C9:D9"/>
    <mergeCell ref="C17:Q17"/>
    <mergeCell ref="C22:D22"/>
    <mergeCell ref="C23:C24"/>
    <mergeCell ref="M23:N24"/>
    <mergeCell ref="P23:Q25"/>
    <mergeCell ref="C25:D25"/>
    <mergeCell ref="M25:N25"/>
    <mergeCell ref="B18:B20"/>
    <mergeCell ref="C18:C20"/>
    <mergeCell ref="B23:B24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N18:N20"/>
    <mergeCell ref="O18:O25"/>
    <mergeCell ref="P18:Q20"/>
    <mergeCell ref="Q21:Q22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35:B40"/>
    <mergeCell ref="C35:C40"/>
    <mergeCell ref="B26:Q26"/>
    <mergeCell ref="C30:D30"/>
    <mergeCell ref="C31:D31"/>
    <mergeCell ref="P31:P32"/>
    <mergeCell ref="B48:N48"/>
    <mergeCell ref="O48:Q48"/>
    <mergeCell ref="C32:D32"/>
    <mergeCell ref="I31:I32"/>
    <mergeCell ref="M31:M32"/>
    <mergeCell ref="N31:N32"/>
    <mergeCell ref="O31:O32"/>
    <mergeCell ref="C33:D33"/>
    <mergeCell ref="C34:D34"/>
    <mergeCell ref="I41:I45"/>
    <mergeCell ref="M41:P45"/>
  </mergeCells>
  <pageMargins left="0.25" right="0.25" top="0.75" bottom="0.75" header="0.3" footer="0.3"/>
  <pageSetup paperSize="9" scale="5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B2:U153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34" sqref="J3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3.8554687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329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'14'!L9</f>
        <v>18458.031703916509</v>
      </c>
      <c r="F9" s="74">
        <f>Production2!D17</f>
        <v>2178.58</v>
      </c>
      <c r="G9" s="74">
        <f>F9+'14'!G9</f>
        <v>30860.820000000007</v>
      </c>
      <c r="H9" s="74">
        <f>F9+'14'!H9</f>
        <v>30860.820000000007</v>
      </c>
      <c r="I9" s="74">
        <f>Production2!E17</f>
        <v>2666</v>
      </c>
      <c r="J9" s="74">
        <f>I9+'14'!J9</f>
        <v>31000</v>
      </c>
      <c r="K9" s="74">
        <f>I9+'14'!K9</f>
        <v>31000</v>
      </c>
      <c r="L9" s="74">
        <f>E9+F9-I9-I21</f>
        <v>17606.761703916512</v>
      </c>
      <c r="M9" s="75">
        <f>I9</f>
        <v>2666</v>
      </c>
      <c r="N9" s="75">
        <f>(I9/I13)*100</f>
        <v>97.334793720335881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(2)'!L17</f>
        <v>45.03999999999975</v>
      </c>
      <c r="F10" s="77">
        <f>'Mines (2)'!M17</f>
        <v>0</v>
      </c>
      <c r="G10" s="74">
        <f>F10+'14'!G10</f>
        <v>0</v>
      </c>
      <c r="H10" s="74">
        <f>F10+'14'!H10</f>
        <v>0</v>
      </c>
      <c r="I10" s="77">
        <f>'Mines (2)'!N17</f>
        <v>5</v>
      </c>
      <c r="J10" s="74">
        <f>I10+'14'!J10</f>
        <v>84</v>
      </c>
      <c r="K10" s="74">
        <f>I10+'14'!K10</f>
        <v>84</v>
      </c>
      <c r="L10" s="77">
        <f t="shared" ref="L10:L16" si="0">E10+F10-I10</f>
        <v>40.03999999999975</v>
      </c>
      <c r="M10" s="75">
        <f t="shared" ref="M10:M12" si="1">I10</f>
        <v>5</v>
      </c>
      <c r="N10" s="75">
        <f>(I10/I13)*100</f>
        <v>0.18254837531945967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Clinker!C17</f>
        <v>4779.6399999999994</v>
      </c>
      <c r="F11" s="77">
        <f>Clinker!D17</f>
        <v>0</v>
      </c>
      <c r="G11" s="74">
        <f>F11+'14'!G11</f>
        <v>0</v>
      </c>
      <c r="H11" s="74">
        <f>F11+'14'!H11</f>
        <v>0</v>
      </c>
      <c r="I11" s="77">
        <f>Clinker!E17</f>
        <v>68</v>
      </c>
      <c r="J11" s="74">
        <f>I11+'14'!J11</f>
        <v>654</v>
      </c>
      <c r="K11" s="74">
        <f>I11+'14'!K11</f>
        <v>654</v>
      </c>
      <c r="L11" s="77">
        <f t="shared" si="0"/>
        <v>4711.6399999999994</v>
      </c>
      <c r="M11" s="75">
        <f t="shared" si="1"/>
        <v>68</v>
      </c>
      <c r="N11" s="75">
        <f>(I11/I13)*100</f>
        <v>2.4826579043446513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(2)'!Q17</f>
        <v>516.28</v>
      </c>
      <c r="F12" s="77">
        <f>'Mines (2)'!R17</f>
        <v>0</v>
      </c>
      <c r="G12" s="74">
        <f>F12+'14'!G12</f>
        <v>0</v>
      </c>
      <c r="H12" s="74">
        <f>F12+'14'!H12</f>
        <v>0</v>
      </c>
      <c r="I12" s="77">
        <f>'Mines (2)'!S17</f>
        <v>0</v>
      </c>
      <c r="J12" s="74">
        <f>I12+'14'!J12</f>
        <v>84</v>
      </c>
      <c r="K12" s="74">
        <f>I12+'14'!K12</f>
        <v>84</v>
      </c>
      <c r="L12" s="77">
        <f t="shared" si="0"/>
        <v>516.28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23798.991703916508</v>
      </c>
      <c r="F13" s="127">
        <f t="shared" si="2"/>
        <v>2178.58</v>
      </c>
      <c r="G13" s="127">
        <f t="shared" si="2"/>
        <v>30860.820000000007</v>
      </c>
      <c r="H13" s="127">
        <f t="shared" si="2"/>
        <v>30860.820000000007</v>
      </c>
      <c r="I13" s="127">
        <f t="shared" si="2"/>
        <v>2739</v>
      </c>
      <c r="J13" s="127">
        <f t="shared" si="2"/>
        <v>31822</v>
      </c>
      <c r="K13" s="127">
        <f t="shared" si="2"/>
        <v>31822</v>
      </c>
      <c r="L13" s="127">
        <f t="shared" si="0"/>
        <v>23238.57170391651</v>
      </c>
      <c r="M13" s="128">
        <f>SUM(M9:M12)</f>
        <v>2739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Clinker!EA17</f>
        <v>12910.996999999988</v>
      </c>
      <c r="F14" s="77">
        <f>Clinker!EB17</f>
        <v>0</v>
      </c>
      <c r="G14" s="77">
        <f>F14+'14'!G14</f>
        <v>181.5</v>
      </c>
      <c r="H14" s="77">
        <f>F14+'14'!H14</f>
        <v>181.5</v>
      </c>
      <c r="I14" s="77">
        <f>Clinker!EC17</f>
        <v>283.33</v>
      </c>
      <c r="J14" s="77">
        <f>I14+'14'!J14</f>
        <v>3271.1000000000004</v>
      </c>
      <c r="K14" s="77">
        <f>I14+'14'!K14</f>
        <v>3271.1000000000004</v>
      </c>
      <c r="L14" s="77">
        <f>E14+F14-I14-Clinker!N17-Clinker!Z17-Clinker!AR17-Clinker!AW17-Clinker!BB17-Clinker!BV17-Clinker!BG17-Clinker!BL17-Clinker!BQ17-Clinker!CU17-Clinker!DO17</f>
        <v>12601.666999999989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Clinker!EE17</f>
        <v>11267.699999999997</v>
      </c>
      <c r="F15" s="77">
        <f>Clinker!EF17</f>
        <v>0</v>
      </c>
      <c r="G15" s="77">
        <f>F15+'14'!G15</f>
        <v>125.05000000000001</v>
      </c>
      <c r="H15" s="77">
        <f>F15+'14'!H15</f>
        <v>125.05000000000001</v>
      </c>
      <c r="I15" s="77">
        <f>Clinker!EG17</f>
        <v>144</v>
      </c>
      <c r="J15" s="77">
        <f>I15+'14'!J15</f>
        <v>1904</v>
      </c>
      <c r="K15" s="77">
        <f>I15+'14'!K15</f>
        <v>1904</v>
      </c>
      <c r="L15" s="77">
        <f>E15+F15-Clinker!T17-Clinker!AE17-Clinker!AI17-Clinker!CF17-Clinker!CK17-Clinker!CP17-Clinker!CF17</f>
        <v>11149.699999999997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24178.696999999986</v>
      </c>
      <c r="F16" s="125">
        <f>F14+F15</f>
        <v>0</v>
      </c>
      <c r="G16" s="125">
        <f t="shared" ref="G16:K16" si="3">G14+G15</f>
        <v>306.55</v>
      </c>
      <c r="H16" s="125">
        <f t="shared" si="3"/>
        <v>306.55</v>
      </c>
      <c r="I16" s="125">
        <f>I14+I15</f>
        <v>427.33</v>
      </c>
      <c r="J16" s="125">
        <f>J14+J15</f>
        <v>5175.1000000000004</v>
      </c>
      <c r="K16" s="125">
        <f t="shared" si="3"/>
        <v>5175.1000000000004</v>
      </c>
      <c r="L16" s="125">
        <f t="shared" si="0"/>
        <v>23751.366999999984</v>
      </c>
      <c r="M16" s="126"/>
      <c r="N16" s="126"/>
      <c r="O16" s="667"/>
      <c r="P16" s="53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Clinker!EI17</f>
        <v>13517.170088769548</v>
      </c>
      <c r="F18" s="74">
        <f>Clinker!EJ17</f>
        <v>1680</v>
      </c>
      <c r="G18" s="74">
        <f>F18+'14'!G18</f>
        <v>19150</v>
      </c>
      <c r="H18" s="74">
        <f>F18+'14'!H18</f>
        <v>19150</v>
      </c>
      <c r="I18" s="74">
        <f>Clinker!EK17</f>
        <v>242.50000000000068</v>
      </c>
      <c r="J18" s="74">
        <f>I18+'14'!J18</f>
        <v>7476.8700108571838</v>
      </c>
      <c r="K18" s="74">
        <f>I18+'14'!K18</f>
        <v>7476.8700108571838</v>
      </c>
      <c r="L18" s="74">
        <f>E18+F18-I18-I20</f>
        <v>14954.670088769548</v>
      </c>
      <c r="M18" s="75">
        <f>((I18+I19)/(J40+J46))*100</f>
        <v>77.607552581261984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Clinker!EN17</f>
        <v>3806.8490080001361</v>
      </c>
      <c r="F19" s="74">
        <f>Clinker!EO17</f>
        <v>416.85</v>
      </c>
      <c r="G19" s="74">
        <f>F19+'14'!G19</f>
        <v>9101.1</v>
      </c>
      <c r="H19" s="74">
        <f>F19+'14'!H19</f>
        <v>9101.1</v>
      </c>
      <c r="I19" s="74">
        <f>Clinker!EP17</f>
        <v>1381.05</v>
      </c>
      <c r="J19" s="75">
        <f>I19+'14'!J19</f>
        <v>15107.999999999998</v>
      </c>
      <c r="K19" s="74">
        <f>I19+'14'!K19</f>
        <v>15107.999999999998</v>
      </c>
      <c r="L19" s="74">
        <f>E19+F19-I19</f>
        <v>2842.6490080001358</v>
      </c>
      <c r="M19" s="7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Clinker!EM17</f>
        <v>0</v>
      </c>
      <c r="G20" s="74">
        <f>F20+'14'!G20</f>
        <v>0</v>
      </c>
      <c r="H20" s="74">
        <f>F20+'14'!H20</f>
        <v>0</v>
      </c>
      <c r="I20" s="77">
        <f>Clinker!EM17</f>
        <v>0</v>
      </c>
      <c r="J20" s="74">
        <f>I20+'14'!J20</f>
        <v>0</v>
      </c>
      <c r="K20" s="74">
        <f>I20+'14'!K20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Cement!Q17</f>
        <v>363.84999999999934</v>
      </c>
      <c r="J21" s="75">
        <f>I21+'14'!J21</f>
        <v>5358.9299932673175</v>
      </c>
      <c r="K21" s="74">
        <f>I21+'14'!K21</f>
        <v>5358.9299932673175</v>
      </c>
      <c r="L21" s="74"/>
      <c r="M21" s="78">
        <f>(I21/(J40+J46))*100</f>
        <v>17.392447418738019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Cement!C17</f>
        <v>7535.8800632742796</v>
      </c>
      <c r="F22" s="77">
        <f>Cement!D17</f>
        <v>124.66</v>
      </c>
      <c r="G22" s="74">
        <f>F22+'14'!G22</f>
        <v>1581.76</v>
      </c>
      <c r="H22" s="74">
        <f>F22+'14'!H22</f>
        <v>1581.76</v>
      </c>
      <c r="I22" s="77">
        <f>Cement!E17</f>
        <v>104.6</v>
      </c>
      <c r="J22" s="74">
        <f>I22+'14'!J22</f>
        <v>1471.1999958754996</v>
      </c>
      <c r="K22" s="74">
        <f>I22+'14'!K22</f>
        <v>1471.1999958754996</v>
      </c>
      <c r="L22" s="74">
        <f t="shared" ref="L22:L24" si="4">E22+F22-I22</f>
        <v>7555.9400632742791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Cement!G17</f>
        <v>0.23999999999796273</v>
      </c>
      <c r="F23" s="77">
        <f>Cement!H17</f>
        <v>0</v>
      </c>
      <c r="G23" s="74">
        <f>F23+'14'!G23</f>
        <v>0</v>
      </c>
      <c r="H23" s="74">
        <f>F23+'14'!H23</f>
        <v>0</v>
      </c>
      <c r="I23" s="77">
        <f>Cement!I17</f>
        <v>0</v>
      </c>
      <c r="J23" s="74">
        <f>I23+'14'!J23</f>
        <v>0</v>
      </c>
      <c r="K23" s="74">
        <f>I23+'14'!K23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Cement!K17</f>
        <v>0</v>
      </c>
      <c r="F24" s="77">
        <f>Cement!L17</f>
        <v>0</v>
      </c>
      <c r="G24" s="74">
        <f>F24+'14'!G24</f>
        <v>0</v>
      </c>
      <c r="H24" s="74">
        <f>F24+'14'!H24</f>
        <v>0</v>
      </c>
      <c r="I24" s="77">
        <f>Cement!M17</f>
        <v>0</v>
      </c>
      <c r="J24" s="74">
        <f>I24+'14'!J24</f>
        <v>0</v>
      </c>
      <c r="K24" s="74">
        <f>I24+'14'!K24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24860.13916004396</v>
      </c>
      <c r="F25" s="122">
        <f t="shared" ref="F25:L25" si="5">F18+F19+F21+F22+F23+F24</f>
        <v>2221.5099999999998</v>
      </c>
      <c r="G25" s="122">
        <f t="shared" si="5"/>
        <v>29832.859999999997</v>
      </c>
      <c r="H25" s="122">
        <f t="shared" si="5"/>
        <v>29832.859999999997</v>
      </c>
      <c r="I25" s="122">
        <f>I18+I19+I21+I22+I23+I24</f>
        <v>2092</v>
      </c>
      <c r="J25" s="122">
        <f t="shared" si="5"/>
        <v>29415</v>
      </c>
      <c r="K25" s="122">
        <f t="shared" si="5"/>
        <v>29415</v>
      </c>
      <c r="L25" s="122">
        <f t="shared" si="5"/>
        <v>25353.499160043961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Production2!C17</f>
        <v>14.48</v>
      </c>
      <c r="G30" s="75">
        <f>F30+'14'!G30</f>
        <v>171.60999999999999</v>
      </c>
      <c r="H30" s="75">
        <f>F30+'14'!H30</f>
        <v>171.60999999999999</v>
      </c>
      <c r="I30" s="74">
        <f>'Mines (2)'!C17+'Mines (2)'!H17+'Mines (2)'!V17+'Mines (2)'!Z17+'Mines (2)'!AD17</f>
        <v>18458.03170391652</v>
      </c>
      <c r="J30" s="74">
        <f>Production2!D17</f>
        <v>2178.58</v>
      </c>
      <c r="K30" s="74">
        <f>J30+'14'!K30</f>
        <v>30860.820000000007</v>
      </c>
      <c r="L30" s="74">
        <f>J30+'14'!L30</f>
        <v>30860.820000000007</v>
      </c>
      <c r="M30" s="74">
        <f>I9+I21</f>
        <v>3029.8499999999995</v>
      </c>
      <c r="N30" s="75">
        <f>M30+'14'!N30</f>
        <v>36358.929993267317</v>
      </c>
      <c r="O30" s="74">
        <f>M30+'14'!O30</f>
        <v>36358.929993267317</v>
      </c>
      <c r="P30" s="74">
        <f>I30+J30-M30</f>
        <v>17606.76170391652</v>
      </c>
      <c r="Q30" s="93">
        <f>J30/F30</f>
        <v>150.45441988950276</v>
      </c>
      <c r="R30" s="94"/>
      <c r="S30" s="94"/>
    </row>
    <row r="31" spans="2:19" x14ac:dyDescent="0.25">
      <c r="B31" s="79">
        <v>2</v>
      </c>
      <c r="C31" s="680" t="s">
        <v>297</v>
      </c>
      <c r="D31" s="681"/>
      <c r="E31" s="95">
        <v>120</v>
      </c>
      <c r="F31" s="78">
        <f>Production2!G17</f>
        <v>18</v>
      </c>
      <c r="G31" s="75">
        <f>F31+'14'!G31</f>
        <v>213.13</v>
      </c>
      <c r="H31" s="75">
        <f>F31+'14'!H31</f>
        <v>213.13</v>
      </c>
      <c r="I31" s="747">
        <f>Production2!H17</f>
        <v>1103.7900168375195</v>
      </c>
      <c r="J31" s="78">
        <f>Production2!N17</f>
        <v>2232</v>
      </c>
      <c r="K31" s="74">
        <f>J31+'14'!K31</f>
        <v>27041.29</v>
      </c>
      <c r="L31" s="74">
        <f>J31+'14'!L31</f>
        <v>27041.29</v>
      </c>
      <c r="M31" s="747">
        <f>Production2!K17</f>
        <v>2604</v>
      </c>
      <c r="N31" s="747">
        <f>M31+'14'!N31</f>
        <v>29682.5</v>
      </c>
      <c r="O31" s="747">
        <f>M31+'14'!O31</f>
        <v>29682.5</v>
      </c>
      <c r="P31" s="747">
        <f>I31+J31+J32-M31</f>
        <v>966.93001683751936</v>
      </c>
      <c r="Q31" s="96">
        <f t="shared" ref="Q31:Q46" si="6">J31/F31</f>
        <v>124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Production2!P17</f>
        <v>24</v>
      </c>
      <c r="G32" s="75">
        <f>F32+'14'!G32</f>
        <v>170.24</v>
      </c>
      <c r="H32" s="75">
        <f>F32+'14'!H32</f>
        <v>170.24</v>
      </c>
      <c r="I32" s="748"/>
      <c r="J32" s="78">
        <f>Production2!Q17</f>
        <v>235.14</v>
      </c>
      <c r="K32" s="74">
        <f>J32+'14'!K32</f>
        <v>1614.4099999999999</v>
      </c>
      <c r="L32" s="74">
        <f>J32+'14'!L32</f>
        <v>1614.4099999999999</v>
      </c>
      <c r="M32" s="748"/>
      <c r="N32" s="748"/>
      <c r="O32" s="748"/>
      <c r="P32" s="748"/>
      <c r="Q32" s="96">
        <f>J32/F32</f>
        <v>9.7974999999999994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Production2!S17</f>
        <v>18</v>
      </c>
      <c r="G33" s="75">
        <f>F33+'14'!G33</f>
        <v>213.08</v>
      </c>
      <c r="H33" s="75">
        <f>F33+'14'!H33</f>
        <v>213.08</v>
      </c>
      <c r="I33" s="77">
        <f>'14'!P33</f>
        <v>48.509999999999991</v>
      </c>
      <c r="J33" s="77">
        <f>Production2!U17</f>
        <v>255</v>
      </c>
      <c r="K33" s="74">
        <f>J33+'14'!K33</f>
        <v>2944</v>
      </c>
      <c r="L33" s="74">
        <f>J33+'14'!L33</f>
        <v>2944</v>
      </c>
      <c r="M33" s="77">
        <f>Production2!V17</f>
        <v>248</v>
      </c>
      <c r="N33" s="74">
        <f>M33+'14'!N33</f>
        <v>2904</v>
      </c>
      <c r="O33" s="74">
        <f>M33+'14'!O33</f>
        <v>2904</v>
      </c>
      <c r="P33" s="74">
        <f>I33+J33-M33</f>
        <v>55.509999999999991</v>
      </c>
      <c r="Q33" s="96">
        <f t="shared" si="6"/>
        <v>14.166666666666666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Production2!Y17</f>
        <v>24</v>
      </c>
      <c r="G34" s="75">
        <f>F34+'14'!G34</f>
        <v>258.27</v>
      </c>
      <c r="H34" s="75">
        <f>F34+'14'!H34</f>
        <v>258.27</v>
      </c>
      <c r="I34" s="77">
        <f>Clinker!EI17</f>
        <v>13517.170088769548</v>
      </c>
      <c r="J34" s="77">
        <f>Clinker!EJ17</f>
        <v>1680</v>
      </c>
      <c r="K34" s="74">
        <f>J34+'14'!K34</f>
        <v>19150</v>
      </c>
      <c r="L34" s="74">
        <f>J34+'14'!L34</f>
        <v>19150</v>
      </c>
      <c r="M34" s="77">
        <f>Clinker!EK17</f>
        <v>242.50000000000068</v>
      </c>
      <c r="N34" s="74">
        <f>M34+'14'!N34</f>
        <v>7476.8700108571838</v>
      </c>
      <c r="O34" s="74">
        <f>M34+'14'!O34</f>
        <v>7476.8700108571838</v>
      </c>
      <c r="P34" s="74">
        <f>I34+J34-M34-I20</f>
        <v>14954.670088769548</v>
      </c>
      <c r="Q34" s="96">
        <f t="shared" si="6"/>
        <v>70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Production2!AE17</f>
        <v>0</v>
      </c>
      <c r="G35" s="75">
        <f>F35+'14'!G35</f>
        <v>9</v>
      </c>
      <c r="H35" s="75">
        <f>F35+'14'!H35</f>
        <v>9</v>
      </c>
      <c r="I35" s="77">
        <f>Production2!BJ17</f>
        <v>259.79999999999995</v>
      </c>
      <c r="J35" s="77">
        <f>Production2!AF17</f>
        <v>0</v>
      </c>
      <c r="K35" s="74">
        <f>J35+'14'!K35</f>
        <v>574</v>
      </c>
      <c r="L35" s="74">
        <f>J35+'14'!L35</f>
        <v>574</v>
      </c>
      <c r="M35" s="77">
        <f>Production2!BL17</f>
        <v>32</v>
      </c>
      <c r="N35" s="74">
        <f>M35+'14'!N35</f>
        <v>1428.5</v>
      </c>
      <c r="O35" s="74">
        <f>M35+'14'!O35</f>
        <v>1428.5</v>
      </c>
      <c r="P35" s="74">
        <f>I35+J35+J41-M35-F59</f>
        <v>227.79999999999995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Production2!AB17</f>
        <v>17.170000000000002</v>
      </c>
      <c r="G36" s="75">
        <f>F36+'14'!G36</f>
        <v>137.11000000000001</v>
      </c>
      <c r="H36" s="75">
        <f>F36+'14'!H36</f>
        <v>137.11000000000001</v>
      </c>
      <c r="I36" s="77">
        <f>Production2!BF17</f>
        <v>1564.9679999999798</v>
      </c>
      <c r="J36" s="77">
        <f>Production2!AC17</f>
        <v>1030</v>
      </c>
      <c r="K36" s="74">
        <f>J36+'14'!K36</f>
        <v>8327</v>
      </c>
      <c r="L36" s="74">
        <f>J36+'14'!L36</f>
        <v>8327</v>
      </c>
      <c r="M36" s="77">
        <f>Production2!BH17</f>
        <v>1082.75</v>
      </c>
      <c r="N36" s="74">
        <f>M36+'14'!N36</f>
        <v>22256.339999999997</v>
      </c>
      <c r="O36" s="74">
        <f>M36+'14'!O36</f>
        <v>22256.339999999997</v>
      </c>
      <c r="P36" s="74">
        <f>I36+J36+J42-M36-F57</f>
        <v>2264.2179999999798</v>
      </c>
      <c r="Q36" s="96">
        <f t="shared" si="6"/>
        <v>59.988351776354101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Production2!AH17</f>
        <v>0</v>
      </c>
      <c r="G37" s="75">
        <f>F37+'14'!G37</f>
        <v>0</v>
      </c>
      <c r="H37" s="75">
        <f>F37+'14'!H37</f>
        <v>0</v>
      </c>
      <c r="I37" s="77">
        <f>Production2!BN17</f>
        <v>2.0900000000008498</v>
      </c>
      <c r="J37" s="77">
        <f>Production2!AI17</f>
        <v>0</v>
      </c>
      <c r="K37" s="74">
        <f>J37+'14'!K37</f>
        <v>0</v>
      </c>
      <c r="L37" s="74">
        <f>J37+'14'!L37</f>
        <v>0</v>
      </c>
      <c r="M37" s="77">
        <f>Production2!BP17</f>
        <v>0</v>
      </c>
      <c r="N37" s="74">
        <f>M37+'14'!N37</f>
        <v>-0.15</v>
      </c>
      <c r="O37" s="74">
        <f>M37+'14'!O37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Production2!AK17</f>
        <v>0</v>
      </c>
      <c r="G38" s="493">
        <f>F38+'14'!G38</f>
        <v>0</v>
      </c>
      <c r="H38" s="493">
        <f>F38+'14'!H38</f>
        <v>0</v>
      </c>
      <c r="I38" s="195">
        <f>Production2!BR17</f>
        <v>199.3</v>
      </c>
      <c r="J38" s="77">
        <f>Production2!AL17</f>
        <v>0</v>
      </c>
      <c r="K38" s="495">
        <f>J38+'14'!K38</f>
        <v>0</v>
      </c>
      <c r="L38" s="495">
        <f>J38+'14'!L38</f>
        <v>0</v>
      </c>
      <c r="M38" s="195">
        <f>Production2!BT17</f>
        <v>60</v>
      </c>
      <c r="N38" s="495">
        <f>M38+'14'!N38</f>
        <v>1454</v>
      </c>
      <c r="O38" s="495">
        <f>M38+'14'!O38</f>
        <v>1454</v>
      </c>
      <c r="P38" s="74">
        <f>I38+J38+J44-M38-F60</f>
        <v>249.3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490" t="s">
        <v>306</v>
      </c>
      <c r="E39" s="499">
        <v>78</v>
      </c>
      <c r="F39" s="492">
        <f>Production2!AN17</f>
        <v>0</v>
      </c>
      <c r="G39" s="493">
        <f>F39+'14'!G39</f>
        <v>27.35</v>
      </c>
      <c r="H39" s="493">
        <f>F39+'14'!H39</f>
        <v>27.35</v>
      </c>
      <c r="I39" s="494">
        <f>Production2!BV17</f>
        <v>287.11000000000013</v>
      </c>
      <c r="J39" s="494">
        <f>Production2!AO17</f>
        <v>0</v>
      </c>
      <c r="K39" s="495">
        <f>J39+'14'!K39</f>
        <v>1720</v>
      </c>
      <c r="L39" s="495">
        <f>J39+'14'!L39</f>
        <v>1720</v>
      </c>
      <c r="M39" s="77">
        <f>Production2!BX17</f>
        <v>149.82</v>
      </c>
      <c r="N39" s="495">
        <f>M39+'14'!N39</f>
        <v>3295.4200000000005</v>
      </c>
      <c r="O39" s="495">
        <f>M39+'14'!O39</f>
        <v>3295.4200000000005</v>
      </c>
      <c r="P39" s="495">
        <f>I39+J39+J45-M39</f>
        <v>337.29000000000013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17.170000000000002</v>
      </c>
      <c r="G40" s="132">
        <f t="shared" ref="G40:H40" si="7">G35+G36+G37+G38+G39</f>
        <v>173.46</v>
      </c>
      <c r="H40" s="132">
        <f t="shared" si="7"/>
        <v>173.46</v>
      </c>
      <c r="I40" s="122">
        <f>I35+I36+I37+I38+I39</f>
        <v>2313.2679999999809</v>
      </c>
      <c r="J40" s="491">
        <f t="shared" ref="J40:P40" si="8">J35+J36+J37+J38+J39</f>
        <v>1030</v>
      </c>
      <c r="K40" s="491">
        <f t="shared" si="8"/>
        <v>10621</v>
      </c>
      <c r="L40" s="491">
        <f t="shared" si="8"/>
        <v>10621</v>
      </c>
      <c r="M40" s="491">
        <f t="shared" si="8"/>
        <v>1324.57</v>
      </c>
      <c r="N40" s="491">
        <f t="shared" si="8"/>
        <v>28434.109999999997</v>
      </c>
      <c r="O40" s="491">
        <f t="shared" si="8"/>
        <v>28434.109999999997</v>
      </c>
      <c r="P40" s="491">
        <f t="shared" si="8"/>
        <v>3080.6979999999812</v>
      </c>
      <c r="Q40" s="123">
        <f t="shared" si="6"/>
        <v>59.988351776354101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Production2!AT17</f>
        <v>0</v>
      </c>
      <c r="G41" s="75">
        <f>F41+'14'!G41</f>
        <v>13.9</v>
      </c>
      <c r="H41" s="75">
        <f>F41+'14'!H41</f>
        <v>13.9</v>
      </c>
      <c r="I41" s="764"/>
      <c r="J41" s="77">
        <f>Production2!AU17</f>
        <v>0</v>
      </c>
      <c r="K41" s="74">
        <f>J41+'14'!K41</f>
        <v>850</v>
      </c>
      <c r="L41" s="74">
        <f>J41+'14'!L41</f>
        <v>850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Production2!AQ17</f>
        <v>14</v>
      </c>
      <c r="G42" s="75">
        <f>F42+'14'!G42</f>
        <v>255.31</v>
      </c>
      <c r="H42" s="75">
        <f>F42+'14'!H42</f>
        <v>255.31</v>
      </c>
      <c r="I42" s="765"/>
      <c r="J42" s="77">
        <f>Production2!AR17</f>
        <v>752</v>
      </c>
      <c r="K42" s="74">
        <f>J42+'14'!K42</f>
        <v>14915</v>
      </c>
      <c r="L42" s="74">
        <f>J42+'14'!L42</f>
        <v>14915</v>
      </c>
      <c r="M42" s="769"/>
      <c r="N42" s="770"/>
      <c r="O42" s="770"/>
      <c r="P42" s="771"/>
      <c r="Q42" s="96">
        <f t="shared" si="6"/>
        <v>53.714285714285715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Production2!AW17</f>
        <v>0</v>
      </c>
      <c r="G43" s="75">
        <f>F43+'14'!G43</f>
        <v>0</v>
      </c>
      <c r="H43" s="75">
        <f>F43+'14'!H43</f>
        <v>0</v>
      </c>
      <c r="I43" s="765"/>
      <c r="J43" s="77">
        <f>Production2!AX17</f>
        <v>0</v>
      </c>
      <c r="K43" s="74">
        <f>J43+'14'!K43</f>
        <v>0</v>
      </c>
      <c r="L43" s="74">
        <f>J43+'14'!L43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Production2!AZ17</f>
        <v>2.1</v>
      </c>
      <c r="G44" s="493">
        <f>F44+'14'!G44</f>
        <v>26.880000000000003</v>
      </c>
      <c r="H44" s="493">
        <f>F44+'14'!H44</f>
        <v>26.880000000000003</v>
      </c>
      <c r="I44" s="748"/>
      <c r="J44" s="195">
        <f>Production2!BA17</f>
        <v>110</v>
      </c>
      <c r="K44" s="495">
        <f>J44+'14'!K44</f>
        <v>1490</v>
      </c>
      <c r="L44" s="495">
        <f>J44+'14'!L44</f>
        <v>1490</v>
      </c>
      <c r="M44" s="772"/>
      <c r="N44" s="773"/>
      <c r="O44" s="773"/>
      <c r="P44" s="774"/>
      <c r="Q44" s="96">
        <f t="shared" si="6"/>
        <v>52.38095238095238</v>
      </c>
      <c r="R44" s="94"/>
      <c r="S44" s="94"/>
    </row>
    <row r="45" spans="2:19" x14ac:dyDescent="0.25">
      <c r="B45" s="754"/>
      <c r="C45" s="685"/>
      <c r="D45" s="490" t="s">
        <v>306</v>
      </c>
      <c r="E45" s="499">
        <v>70</v>
      </c>
      <c r="F45" s="492">
        <f>Production2!BC17</f>
        <v>3.57</v>
      </c>
      <c r="G45" s="493">
        <f>F45+'14'!G45</f>
        <v>25.189999999999998</v>
      </c>
      <c r="H45" s="493">
        <f>F45+'14'!H45</f>
        <v>25.189999999999998</v>
      </c>
      <c r="I45" s="496"/>
      <c r="J45" s="494">
        <f>Production2!BD17</f>
        <v>200</v>
      </c>
      <c r="K45" s="495">
        <f>J45+'14'!K45</f>
        <v>1539</v>
      </c>
      <c r="L45" s="495">
        <f>J45+'14'!L45</f>
        <v>1539</v>
      </c>
      <c r="M45" s="497"/>
      <c r="N45" s="500"/>
      <c r="O45" s="500"/>
      <c r="P45" s="498"/>
      <c r="Q45" s="96">
        <f t="shared" si="6"/>
        <v>56.022408963585434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19.670000000000002</v>
      </c>
      <c r="G46" s="132">
        <f t="shared" ref="G46:L46" si="9">G41+G42+G43+G44+G45</f>
        <v>321.27999999999997</v>
      </c>
      <c r="H46" s="132">
        <f t="shared" si="9"/>
        <v>321.27999999999997</v>
      </c>
      <c r="I46" s="132">
        <f t="shared" si="9"/>
        <v>0</v>
      </c>
      <c r="J46" s="132">
        <f>J41+J42+J43+J44+J45</f>
        <v>1062</v>
      </c>
      <c r="K46" s="132">
        <f>K41+K42+K43+K44+K45</f>
        <v>18794</v>
      </c>
      <c r="L46" s="132">
        <f t="shared" si="9"/>
        <v>18794</v>
      </c>
      <c r="M46" s="836"/>
      <c r="N46" s="837"/>
      <c r="O46" s="837"/>
      <c r="P46" s="838"/>
      <c r="Q46" s="123">
        <f t="shared" si="6"/>
        <v>53.990849008642599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0.53107987771851395</v>
      </c>
      <c r="F50" s="99">
        <f>F53/J31</f>
        <v>25.367831541218639</v>
      </c>
      <c r="G50" s="99">
        <f>G53/J32</f>
        <v>0</v>
      </c>
      <c r="H50" s="99">
        <f>H53/J34</f>
        <v>34.227976190476191</v>
      </c>
      <c r="I50" s="99">
        <f>I53/J33</f>
        <v>60.44705882352941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14.761904761904763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0.84277318690330838</v>
      </c>
      <c r="F51" s="102">
        <f>F50*1.55</f>
        <v>39.320138888888891</v>
      </c>
      <c r="G51" s="102">
        <f>G50*1.55</f>
        <v>0</v>
      </c>
      <c r="H51" s="102">
        <f>H50</f>
        <v>34.227976190476191</v>
      </c>
      <c r="I51" s="102">
        <f>I50*(Q50/100)</f>
        <v>8.9231372549019614</v>
      </c>
      <c r="J51" s="102"/>
      <c r="K51" s="102"/>
      <c r="L51" s="102"/>
      <c r="M51" s="96"/>
      <c r="N51" s="310">
        <f>SUM(E51:I51)</f>
        <v>83.31402552117035</v>
      </c>
      <c r="O51" s="668" t="s">
        <v>279</v>
      </c>
      <c r="P51" s="668"/>
      <c r="Q51" s="104">
        <v>5381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0.65405564416676243</v>
      </c>
      <c r="F52" s="102">
        <f>F51*M18/100</f>
        <v>30.515397463219688</v>
      </c>
      <c r="G52" s="102">
        <f>G51*M18/100</f>
        <v>0</v>
      </c>
      <c r="H52" s="102">
        <f>H51*M18/100</f>
        <v>26.563494619525642</v>
      </c>
      <c r="I52" s="102">
        <f>I51*M18/100</f>
        <v>6.9250284369962172</v>
      </c>
      <c r="J52" s="99">
        <f>J53/(J40+J46)</f>
        <v>43.453632887189293</v>
      </c>
      <c r="K52" s="99">
        <f>K53/(J46+J40)</f>
        <v>0.98183556405353734</v>
      </c>
      <c r="L52" s="99">
        <f>L53/(M40)</f>
        <v>4.2013634613497208</v>
      </c>
      <c r="M52" s="96">
        <f>M53/(J46+J40)</f>
        <v>2.4651051625239004</v>
      </c>
      <c r="N52" s="310">
        <f>SUM(E52:M52)</f>
        <v>115.75991323902477</v>
      </c>
      <c r="O52" s="668" t="s">
        <v>281</v>
      </c>
      <c r="P52" s="668"/>
      <c r="Q52" s="104">
        <f>Q51*Q50/100</f>
        <v>794.33809523809532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unit'!B17</f>
        <v>1157</v>
      </c>
      <c r="F53" s="118">
        <f>'Daily unit'!C17</f>
        <v>56621</v>
      </c>
      <c r="G53" s="118">
        <f>'Daily unit'!D17</f>
        <v>0</v>
      </c>
      <c r="H53" s="118">
        <f>'Daily unit'!E17</f>
        <v>57503</v>
      </c>
      <c r="I53" s="118">
        <f>'Daily unit'!F17</f>
        <v>15414</v>
      </c>
      <c r="J53" s="118">
        <f>'Daily unit'!G17</f>
        <v>90905</v>
      </c>
      <c r="K53" s="118">
        <f>'Daily unit'!H17</f>
        <v>2054</v>
      </c>
      <c r="L53" s="118">
        <f>'Daily unit'!I17</f>
        <v>5565</v>
      </c>
      <c r="M53" s="119">
        <f>'Daily unit'!J17</f>
        <v>5157</v>
      </c>
      <c r="N53" s="321">
        <f>SUM(E53:M53)</f>
        <v>234376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41">
        <v>1</v>
      </c>
      <c r="C57" s="757" t="s">
        <v>287</v>
      </c>
      <c r="D57" s="798"/>
      <c r="E57" s="80">
        <v>42.5</v>
      </c>
      <c r="F57" s="53">
        <f>'Internal use cement'!F17</f>
        <v>0</v>
      </c>
      <c r="G57" s="53">
        <f>F57+'14'!G57</f>
        <v>0</v>
      </c>
      <c r="H57" s="104">
        <f>F57+'14'!H57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26"/>
      <c r="C58" s="758"/>
      <c r="D58" s="800"/>
      <c r="E58" s="80" t="s">
        <v>197</v>
      </c>
      <c r="F58" s="53">
        <f>'Internal use cement'!Q17</f>
        <v>0</v>
      </c>
      <c r="G58" s="53">
        <f>F58+'14'!G58</f>
        <v>0</v>
      </c>
      <c r="H58" s="104">
        <f>F58+'14'!H58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.75" customHeight="1" x14ac:dyDescent="0.25">
      <c r="B59" s="826"/>
      <c r="C59" s="758"/>
      <c r="D59" s="800"/>
      <c r="E59" s="80">
        <v>32.5</v>
      </c>
      <c r="F59" s="53">
        <f>'Internal use cement'!AB17</f>
        <v>0</v>
      </c>
      <c r="G59" s="53">
        <f>F59+'14'!G59</f>
        <v>0</v>
      </c>
      <c r="H59" s="104">
        <f>F59+'14'!H59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27"/>
      <c r="C60" s="759"/>
      <c r="D60" s="802"/>
      <c r="E60" s="112" t="s">
        <v>177</v>
      </c>
      <c r="F60" s="113">
        <f>'Internal use cement'!AJ17</f>
        <v>0</v>
      </c>
      <c r="G60" s="113">
        <f>F60+'14'!G60</f>
        <v>0</v>
      </c>
      <c r="H60" s="114">
        <f>F60+'14'!H60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5">
    <mergeCell ref="I55:Q60"/>
    <mergeCell ref="C57:D60"/>
    <mergeCell ref="B57:B60"/>
    <mergeCell ref="B41:B46"/>
    <mergeCell ref="C41:C46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I41:I44"/>
    <mergeCell ref="M41:P44"/>
    <mergeCell ref="M46:P46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O9:O16"/>
    <mergeCell ref="C10:D10"/>
    <mergeCell ref="B14:B16"/>
    <mergeCell ref="C14:C16"/>
    <mergeCell ref="C9:D9"/>
    <mergeCell ref="C8:Q8"/>
    <mergeCell ref="C11:D11"/>
    <mergeCell ref="C12:D12"/>
    <mergeCell ref="C13:D13"/>
    <mergeCell ref="P13:Q13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O52:P52"/>
    <mergeCell ref="C53:D53"/>
    <mergeCell ref="C31:D31"/>
    <mergeCell ref="C33:D33"/>
    <mergeCell ref="C34:D34"/>
    <mergeCell ref="C32:D32"/>
    <mergeCell ref="I31:I32"/>
    <mergeCell ref="M31:M32"/>
    <mergeCell ref="N31:N32"/>
    <mergeCell ref="O31:O32"/>
    <mergeCell ref="P31:P32"/>
    <mergeCell ref="B48:N48"/>
    <mergeCell ref="O48:Q48"/>
    <mergeCell ref="B35:B40"/>
    <mergeCell ref="C35:C40"/>
  </mergeCells>
  <pageMargins left="0.25" right="0.25" top="0.75" bottom="0.75" header="0.3" footer="0.3"/>
  <pageSetup paperSize="9" scale="55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B2:U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39" sqref="R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330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'15'!L9</f>
        <v>17606.761703916512</v>
      </c>
      <c r="F9" s="74">
        <f>Production2!D18</f>
        <v>2773.16</v>
      </c>
      <c r="G9" s="74">
        <f>F9+'15'!G9</f>
        <v>33633.98000000001</v>
      </c>
      <c r="H9" s="74">
        <f>F9+'15'!H9</f>
        <v>33633.98000000001</v>
      </c>
      <c r="I9" s="74">
        <f>Production2!E18</f>
        <v>2542</v>
      </c>
      <c r="J9" s="74">
        <f>I9+'15'!J9</f>
        <v>33542</v>
      </c>
      <c r="K9" s="74">
        <f>I9+'15'!K9</f>
        <v>33542</v>
      </c>
      <c r="L9" s="74">
        <f>E9+F9-I9-I21</f>
        <v>17465.071703916514</v>
      </c>
      <c r="M9" s="75">
        <f>I9</f>
        <v>2542</v>
      </c>
      <c r="N9" s="75">
        <f>(I9/I13)*100</f>
        <v>97.769230769230759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(2)'!L18</f>
        <v>40.03999999999975</v>
      </c>
      <c r="F10" s="77">
        <f>'Mines (2)'!M18</f>
        <v>100</v>
      </c>
      <c r="G10" s="74">
        <f>F10+'15'!G10</f>
        <v>100</v>
      </c>
      <c r="H10" s="74">
        <f>F10+'15'!H10</f>
        <v>100</v>
      </c>
      <c r="I10" s="77">
        <f>'Mines (2)'!N18</f>
        <v>5</v>
      </c>
      <c r="J10" s="74">
        <f>I10+'15'!J10</f>
        <v>89</v>
      </c>
      <c r="K10" s="74">
        <f>I10+'15'!K10</f>
        <v>89</v>
      </c>
      <c r="L10" s="77">
        <f t="shared" ref="L10:L16" si="0">E10+F10-I10</f>
        <v>135.03999999999974</v>
      </c>
      <c r="M10" s="75">
        <f t="shared" ref="M10:M12" si="1">I10</f>
        <v>5</v>
      </c>
      <c r="N10" s="75">
        <f>(I10/I13)*100</f>
        <v>0.19230769230769232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Clinker!C18</f>
        <v>4711.6399999999994</v>
      </c>
      <c r="F11" s="77">
        <f>Clinker!D18</f>
        <v>0</v>
      </c>
      <c r="G11" s="74">
        <f>F11+'15'!G11</f>
        <v>0</v>
      </c>
      <c r="H11" s="74">
        <f>F11+'15'!H11</f>
        <v>0</v>
      </c>
      <c r="I11" s="77">
        <f>Clinker!E18</f>
        <v>52</v>
      </c>
      <c r="J11" s="74">
        <f>I11+'15'!J11</f>
        <v>706</v>
      </c>
      <c r="K11" s="74">
        <f>I11+'15'!K11</f>
        <v>706</v>
      </c>
      <c r="L11" s="77">
        <f t="shared" si="0"/>
        <v>4659.6399999999994</v>
      </c>
      <c r="M11" s="75">
        <f t="shared" si="1"/>
        <v>52</v>
      </c>
      <c r="N11" s="75">
        <f>(I11/I13)*100</f>
        <v>2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(2)'!Q18</f>
        <v>516.28</v>
      </c>
      <c r="F12" s="77">
        <f>'Mines (2)'!R18</f>
        <v>0</v>
      </c>
      <c r="G12" s="74">
        <f>F12+'15'!G12</f>
        <v>0</v>
      </c>
      <c r="H12" s="74">
        <f>F12+'15'!H12</f>
        <v>0</v>
      </c>
      <c r="I12" s="77">
        <f>'Mines (2)'!S18</f>
        <v>1</v>
      </c>
      <c r="J12" s="74">
        <f>I12+'15'!J12</f>
        <v>85</v>
      </c>
      <c r="K12" s="74">
        <f>I12+'15'!K12</f>
        <v>85</v>
      </c>
      <c r="L12" s="77">
        <f t="shared" si="0"/>
        <v>515.28</v>
      </c>
      <c r="M12" s="75">
        <f t="shared" si="1"/>
        <v>1</v>
      </c>
      <c r="N12" s="75">
        <f>(I12/I13)*100</f>
        <v>3.8461538461538464E-2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22874.721703916512</v>
      </c>
      <c r="F13" s="127">
        <f t="shared" si="2"/>
        <v>2873.16</v>
      </c>
      <c r="G13" s="127">
        <f t="shared" si="2"/>
        <v>33733.98000000001</v>
      </c>
      <c r="H13" s="127">
        <f t="shared" si="2"/>
        <v>33733.98000000001</v>
      </c>
      <c r="I13" s="127">
        <f t="shared" si="2"/>
        <v>2600</v>
      </c>
      <c r="J13" s="127">
        <f t="shared" si="2"/>
        <v>34422</v>
      </c>
      <c r="K13" s="127">
        <f t="shared" si="2"/>
        <v>34422</v>
      </c>
      <c r="L13" s="127">
        <f t="shared" si="0"/>
        <v>23147.881703916511</v>
      </c>
      <c r="M13" s="128">
        <f>SUM(M9:M12)</f>
        <v>2600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Clinker!EA18</f>
        <v>12601.66699999999</v>
      </c>
      <c r="F14" s="77">
        <f>Clinker!EB18</f>
        <v>0</v>
      </c>
      <c r="G14" s="77">
        <f>F14+'15'!G14</f>
        <v>181.5</v>
      </c>
      <c r="H14" s="77">
        <f>F14+'15'!H14</f>
        <v>181.5</v>
      </c>
      <c r="I14" s="77">
        <f>Clinker!EC18</f>
        <v>244.44</v>
      </c>
      <c r="J14" s="77">
        <f>I14+'15'!J14</f>
        <v>3515.5400000000004</v>
      </c>
      <c r="K14" s="77">
        <f>I14+'15'!K14</f>
        <v>3515.5400000000004</v>
      </c>
      <c r="L14" s="77">
        <f>E14+F14-I14-Clinker!N18-Clinker!Z18-Clinker!AR18-Clinker!AW18-Clinker!BB18-Clinker!BV18-Clinker!BG18-Clinker!BL18-Clinker!BQ18-Clinker!CU18-Clinker!DO18</f>
        <v>12357.22699999999</v>
      </c>
      <c r="M14" s="81"/>
      <c r="N14" s="81"/>
      <c r="O14" s="667"/>
      <c r="P14" s="82">
        <v>10</v>
      </c>
      <c r="Q14" s="266">
        <v>0.1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Clinker!EE18</f>
        <v>11149.699999999997</v>
      </c>
      <c r="F15" s="77">
        <f>Clinker!EF18</f>
        <v>30</v>
      </c>
      <c r="G15" s="77">
        <f>F15+'15'!G15</f>
        <v>155.05000000000001</v>
      </c>
      <c r="H15" s="77">
        <f>F15+'15'!H15</f>
        <v>155.05000000000001</v>
      </c>
      <c r="I15" s="77">
        <f>Clinker!EG18</f>
        <v>143</v>
      </c>
      <c r="J15" s="77">
        <f>I15+'15'!J15</f>
        <v>2047</v>
      </c>
      <c r="K15" s="77">
        <f>I15+'15'!K15</f>
        <v>2047</v>
      </c>
      <c r="L15" s="77">
        <f>E15+F15-Clinker!T18-Clinker!AE18-Clinker!AI18-Clinker!CF18-Clinker!CF18-Clinker!DT18</f>
        <v>11036.699999999997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23751.366999999987</v>
      </c>
      <c r="F16" s="125">
        <f>F14+F15</f>
        <v>30</v>
      </c>
      <c r="G16" s="125">
        <f t="shared" ref="G16:K16" si="3">G14+G15</f>
        <v>336.55</v>
      </c>
      <c r="H16" s="125">
        <f t="shared" si="3"/>
        <v>336.55</v>
      </c>
      <c r="I16" s="125">
        <f>I14+I15</f>
        <v>387.44</v>
      </c>
      <c r="J16" s="125">
        <f>J14+J15</f>
        <v>5562.5400000000009</v>
      </c>
      <c r="K16" s="125">
        <f t="shared" si="3"/>
        <v>5562.5400000000009</v>
      </c>
      <c r="L16" s="125">
        <f t="shared" si="0"/>
        <v>23393.926999999989</v>
      </c>
      <c r="M16" s="126"/>
      <c r="N16" s="126"/>
      <c r="O16" s="667"/>
      <c r="P16" s="53"/>
      <c r="Q16" s="131"/>
      <c r="R16" s="242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19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Clinker!EI18</f>
        <v>14954.670088769548</v>
      </c>
      <c r="F18" s="74">
        <f>Clinker!EJ18</f>
        <v>1510</v>
      </c>
      <c r="G18" s="74">
        <f>F18+'15'!G18</f>
        <v>20660</v>
      </c>
      <c r="H18" s="74">
        <f>F18+'15'!H18</f>
        <v>20660</v>
      </c>
      <c r="I18" s="74">
        <f>Clinker!EK18</f>
        <v>271.75</v>
      </c>
      <c r="J18" s="74">
        <f>I18+'15'!J18</f>
        <v>7748.6200108571838</v>
      </c>
      <c r="K18" s="74">
        <f>I18+'15'!K18</f>
        <v>7748.6200108571838</v>
      </c>
      <c r="L18" s="74">
        <f>E18+F18-I18-I20</f>
        <v>16192.920088769548</v>
      </c>
      <c r="M18" s="704">
        <f>((I18+I19)/(J40+J46))*100</f>
        <v>75.061497326203209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Clinker!EN18</f>
        <v>2842.6490080001358</v>
      </c>
      <c r="F19" s="74">
        <f>Clinker!EO18</f>
        <v>419.11</v>
      </c>
      <c r="G19" s="74">
        <f>F19+'15'!G19</f>
        <v>9520.2100000000009</v>
      </c>
      <c r="H19" s="74">
        <f>F19+'15'!H19</f>
        <v>9520.2100000000009</v>
      </c>
      <c r="I19" s="74">
        <f>Clinker!EP18</f>
        <v>1131.9000000000001</v>
      </c>
      <c r="J19" s="74">
        <f>I19+'15'!J19</f>
        <v>16239.899999999998</v>
      </c>
      <c r="K19" s="74">
        <f>I19+'15'!K19</f>
        <v>16239.899999999998</v>
      </c>
      <c r="L19" s="74">
        <f>E19+F19-I19</f>
        <v>2129.8590080001359</v>
      </c>
      <c r="M19" s="70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Clinker!EM18</f>
        <v>0</v>
      </c>
      <c r="G20" s="74">
        <f>F20+'15'!G20</f>
        <v>0</v>
      </c>
      <c r="H20" s="74">
        <f>F20+'15'!H20</f>
        <v>0</v>
      </c>
      <c r="I20" s="77">
        <f>Clinker!EM18</f>
        <v>0</v>
      </c>
      <c r="J20" s="74">
        <f>I20+'15'!J20</f>
        <v>0</v>
      </c>
      <c r="K20" s="74">
        <f>I20+'15'!K20</f>
        <v>0</v>
      </c>
      <c r="L20" s="74"/>
      <c r="M20" s="78"/>
      <c r="N20" s="688"/>
      <c r="O20" s="689"/>
      <c r="P20" s="693"/>
      <c r="Q20" s="694"/>
      <c r="R20" s="243"/>
      <c r="S20" s="20"/>
    </row>
    <row r="21" spans="2:19" x14ac:dyDescent="0.25">
      <c r="B21" s="89"/>
      <c r="C21" s="776" t="s">
        <v>244</v>
      </c>
      <c r="D21" s="777"/>
      <c r="E21" s="77"/>
      <c r="F21" s="77"/>
      <c r="G21" s="74"/>
      <c r="H21" s="74"/>
      <c r="I21" s="77">
        <f>Cement!Q18</f>
        <v>372.84999999999991</v>
      </c>
      <c r="J21" s="74">
        <f>I21+'15'!J21</f>
        <v>5731.779993267317</v>
      </c>
      <c r="K21" s="74">
        <f>I21+'15'!K21</f>
        <v>5731.779993267317</v>
      </c>
      <c r="L21" s="74"/>
      <c r="M21" s="78">
        <f>(I21/(J40+J46))*100</f>
        <v>19.938502673796787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Cement!C18</f>
        <v>7555.9400632742791</v>
      </c>
      <c r="F22" s="77">
        <f>Cement!D18</f>
        <v>61</v>
      </c>
      <c r="G22" s="74">
        <f>F22+'15'!G22</f>
        <v>1642.76</v>
      </c>
      <c r="H22" s="74">
        <f>F22+'15'!H22</f>
        <v>1642.76</v>
      </c>
      <c r="I22" s="77">
        <f>Cement!E18</f>
        <v>93.5</v>
      </c>
      <c r="J22" s="74">
        <f>I22+'15'!J22</f>
        <v>1564.6999958754996</v>
      </c>
      <c r="K22" s="74">
        <f>I22+'15'!K22</f>
        <v>1564.6999958754996</v>
      </c>
      <c r="L22" s="74">
        <f t="shared" ref="L22:L24" si="4">E22+F22-I22</f>
        <v>7523.4400632742791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Cement!G18</f>
        <v>0.23999999999796273</v>
      </c>
      <c r="F23" s="77">
        <f>Cement!H18</f>
        <v>0</v>
      </c>
      <c r="G23" s="74">
        <f>F23+'15'!G23</f>
        <v>0</v>
      </c>
      <c r="H23" s="74">
        <f>F23+'15'!H23</f>
        <v>0</v>
      </c>
      <c r="I23" s="77">
        <f>Cement!I18</f>
        <v>0</v>
      </c>
      <c r="J23" s="74">
        <f>I23+'15'!J23</f>
        <v>0</v>
      </c>
      <c r="K23" s="74">
        <f>I23+'15'!K23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Cement!K18</f>
        <v>0</v>
      </c>
      <c r="F24" s="77">
        <f>Cement!L18</f>
        <v>0</v>
      </c>
      <c r="G24" s="74">
        <f>F24+'15'!G24</f>
        <v>0</v>
      </c>
      <c r="H24" s="74">
        <f>F24+'15'!H24</f>
        <v>0</v>
      </c>
      <c r="I24" s="77">
        <f>Cement!M18</f>
        <v>0</v>
      </c>
      <c r="J24" s="74">
        <f>I24+'15'!J24</f>
        <v>0</v>
      </c>
      <c r="K24" s="74">
        <f>I24+'15'!K24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25353.499160043961</v>
      </c>
      <c r="F25" s="122">
        <f t="shared" ref="F25:L25" si="5">F18+F19+F21+F22+F23+F24</f>
        <v>1990.1100000000001</v>
      </c>
      <c r="G25" s="122">
        <f t="shared" si="5"/>
        <v>31822.969999999998</v>
      </c>
      <c r="H25" s="122">
        <f t="shared" si="5"/>
        <v>31822.969999999998</v>
      </c>
      <c r="I25" s="122">
        <f t="shared" si="5"/>
        <v>1870</v>
      </c>
      <c r="J25" s="122">
        <f t="shared" si="5"/>
        <v>31284.999999999996</v>
      </c>
      <c r="K25" s="122">
        <f t="shared" si="5"/>
        <v>31284.999999999996</v>
      </c>
      <c r="L25" s="122">
        <f t="shared" si="5"/>
        <v>25846.459160043963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Production2!C18</f>
        <v>19.87</v>
      </c>
      <c r="G30" s="75">
        <f>F30+'15'!G30</f>
        <v>191.48</v>
      </c>
      <c r="H30" s="75">
        <f>F30+'15'!H30</f>
        <v>191.48</v>
      </c>
      <c r="I30" s="74">
        <f>'Mines (2)'!C18+'Mines (2)'!H18+'Mines (2)'!V18+'Mines (2)'!Z18+'Mines (2)'!AD18</f>
        <v>17606.76170391652</v>
      </c>
      <c r="J30" s="74">
        <f>Production2!D18</f>
        <v>2773.16</v>
      </c>
      <c r="K30" s="74">
        <f>J30+'15'!K30</f>
        <v>33633.98000000001</v>
      </c>
      <c r="L30" s="74">
        <f>J30+'15'!L30</f>
        <v>33633.98000000001</v>
      </c>
      <c r="M30" s="74">
        <f>I9+I21</f>
        <v>2914.85</v>
      </c>
      <c r="N30" s="74">
        <f>M30+'15'!N30</f>
        <v>39273.779993267315</v>
      </c>
      <c r="O30" s="74">
        <f>M30+'15'!O30</f>
        <v>39273.779993267315</v>
      </c>
      <c r="P30" s="74">
        <f>I30+J30-M30</f>
        <v>17465.071703916521</v>
      </c>
      <c r="Q30" s="93">
        <f>J30/F30</f>
        <v>139.5651736285858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Production2!G18</f>
        <v>17.53</v>
      </c>
      <c r="G31" s="75">
        <f>F31+'15'!G31</f>
        <v>230.66</v>
      </c>
      <c r="H31" s="75">
        <f>F31+'15'!H31</f>
        <v>230.66</v>
      </c>
      <c r="I31" s="747">
        <f>Production2!H18</f>
        <v>966.93001683751936</v>
      </c>
      <c r="J31" s="78">
        <f>Production2!N18</f>
        <v>2150</v>
      </c>
      <c r="K31" s="74">
        <f>J31+'15'!K31</f>
        <v>29191.29</v>
      </c>
      <c r="L31" s="74">
        <f>J31+'15'!L31</f>
        <v>29191.29</v>
      </c>
      <c r="M31" s="747">
        <f>Production2!K18</f>
        <v>2340.5</v>
      </c>
      <c r="N31" s="747">
        <f>M31+'15'!N31</f>
        <v>32023</v>
      </c>
      <c r="O31" s="747">
        <f>M31+'15'!O31</f>
        <v>32023</v>
      </c>
      <c r="P31" s="747">
        <f>I31+J31+J32-M31</f>
        <v>967.99001683751931</v>
      </c>
      <c r="Q31" s="96">
        <f t="shared" ref="Q31:Q46" si="6">J31/F31</f>
        <v>122.6468910439247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Production2!P18</f>
        <v>19.5</v>
      </c>
      <c r="G32" s="75">
        <f>F32+'15'!G32</f>
        <v>189.74</v>
      </c>
      <c r="H32" s="75">
        <f>F32+'15'!H32</f>
        <v>189.74</v>
      </c>
      <c r="I32" s="748"/>
      <c r="J32" s="78">
        <f>Production2!Q18</f>
        <v>191.56</v>
      </c>
      <c r="K32" s="74">
        <f>J32+'15'!K32</f>
        <v>1805.9699999999998</v>
      </c>
      <c r="L32" s="74">
        <f>J32+'15'!L32</f>
        <v>1805.9699999999998</v>
      </c>
      <c r="M32" s="748"/>
      <c r="N32" s="748"/>
      <c r="O32" s="748"/>
      <c r="P32" s="748"/>
      <c r="Q32" s="96">
        <f>J32/F32</f>
        <v>9.8235897435897446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Production2!S18</f>
        <v>16</v>
      </c>
      <c r="G33" s="75">
        <f>F33+'15'!G33</f>
        <v>229.08</v>
      </c>
      <c r="H33" s="75">
        <f>F33+'15'!H33</f>
        <v>229.08</v>
      </c>
      <c r="I33" s="77">
        <f>Production2!T18</f>
        <v>55.509999999999991</v>
      </c>
      <c r="J33" s="77">
        <f>Production2!U18</f>
        <v>220</v>
      </c>
      <c r="K33" s="74">
        <f>J33+'15'!K33</f>
        <v>3164</v>
      </c>
      <c r="L33" s="74">
        <f>J33+'15'!L33</f>
        <v>3164</v>
      </c>
      <c r="M33" s="77">
        <f>Production2!V18</f>
        <v>227</v>
      </c>
      <c r="N33" s="74">
        <f>M33+'15'!N33</f>
        <v>3131</v>
      </c>
      <c r="O33" s="74">
        <f>M33+'15'!O33</f>
        <v>3131</v>
      </c>
      <c r="P33" s="74">
        <f>I33+J33-M33</f>
        <v>48.509999999999991</v>
      </c>
      <c r="Q33" s="96">
        <f t="shared" si="6"/>
        <v>13.75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Production2!Y18</f>
        <v>24</v>
      </c>
      <c r="G34" s="75">
        <f>F34+'15'!G34</f>
        <v>282.27</v>
      </c>
      <c r="H34" s="75">
        <f>F34+'15'!H34</f>
        <v>282.27</v>
      </c>
      <c r="I34" s="77">
        <f>Clinker!EI18</f>
        <v>14954.670088769548</v>
      </c>
      <c r="J34" s="77">
        <f>Clinker!EJ18</f>
        <v>1510</v>
      </c>
      <c r="K34" s="74">
        <f>J34+'15'!K34</f>
        <v>20660</v>
      </c>
      <c r="L34" s="74">
        <f>J34+'15'!L34</f>
        <v>20660</v>
      </c>
      <c r="M34" s="77">
        <f>Clinker!EK18</f>
        <v>271.75</v>
      </c>
      <c r="N34" s="74">
        <f>M34+'15'!N34</f>
        <v>7748.6200108571838</v>
      </c>
      <c r="O34" s="74">
        <f>M34+'15'!O34</f>
        <v>7748.6200108571838</v>
      </c>
      <c r="P34" s="74">
        <f>I34+J34-M34-I20</f>
        <v>16192.920088769548</v>
      </c>
      <c r="Q34" s="96">
        <f t="shared" si="6"/>
        <v>62.916666666666664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Production2!AE18</f>
        <v>0</v>
      </c>
      <c r="G35" s="75">
        <f>F35+'15'!G35</f>
        <v>9</v>
      </c>
      <c r="H35" s="75">
        <f>F35+'15'!H35</f>
        <v>9</v>
      </c>
      <c r="I35" s="77">
        <f>Production2!BJ18</f>
        <v>227.79999999999995</v>
      </c>
      <c r="J35" s="77">
        <f>Production2!AF18</f>
        <v>0</v>
      </c>
      <c r="K35" s="74">
        <f>J35+'15'!K35</f>
        <v>574</v>
      </c>
      <c r="L35" s="74">
        <f>J35+'15'!L35</f>
        <v>574</v>
      </c>
      <c r="M35" s="77">
        <f>Production2!BL18</f>
        <v>10</v>
      </c>
      <c r="N35" s="74">
        <f>M35+'15'!N35</f>
        <v>1438.5</v>
      </c>
      <c r="O35" s="74">
        <f>M35+'15'!O35</f>
        <v>1438.5</v>
      </c>
      <c r="P35" s="74">
        <f>I35+J35+J41-M35-F59</f>
        <v>367.79999999999995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Production2!AB18</f>
        <v>14.05</v>
      </c>
      <c r="G36" s="75">
        <f>F36+'15'!G36</f>
        <v>151.16000000000003</v>
      </c>
      <c r="H36" s="75">
        <f>F36+'15'!H36</f>
        <v>151.16000000000003</v>
      </c>
      <c r="I36" s="77">
        <f>Production2!BF18</f>
        <v>2264.2179999999798</v>
      </c>
      <c r="J36" s="77">
        <f>Production2!AC18</f>
        <v>820</v>
      </c>
      <c r="K36" s="74">
        <f>J36+'15'!K36</f>
        <v>9147</v>
      </c>
      <c r="L36" s="74">
        <f>J36+'15'!L36</f>
        <v>9147</v>
      </c>
      <c r="M36" s="77">
        <f>Production2!BH18</f>
        <v>667.44</v>
      </c>
      <c r="N36" s="74">
        <f>M36+'15'!N36</f>
        <v>22923.779999999995</v>
      </c>
      <c r="O36" s="74">
        <f>M36+'15'!O36</f>
        <v>22923.779999999995</v>
      </c>
      <c r="P36" s="74">
        <f>I36+J36+J42-M36-F57</f>
        <v>3066.7779999999798</v>
      </c>
      <c r="Q36" s="96">
        <f t="shared" si="6"/>
        <v>58.362989323843415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Production2!AH18</f>
        <v>0</v>
      </c>
      <c r="G37" s="75">
        <f>F37+'15'!G37</f>
        <v>0</v>
      </c>
      <c r="H37" s="75">
        <f>F37+'15'!H37</f>
        <v>0</v>
      </c>
      <c r="I37" s="77">
        <f>Production2!BN18</f>
        <v>2.0900000000008498</v>
      </c>
      <c r="J37" s="77">
        <f>Production2!AI18</f>
        <v>0</v>
      </c>
      <c r="K37" s="503">
        <f>J37+'15'!K37</f>
        <v>0</v>
      </c>
      <c r="L37" s="503">
        <f>J37+'15'!L37</f>
        <v>0</v>
      </c>
      <c r="M37" s="77">
        <f>Production2!BP18</f>
        <v>0</v>
      </c>
      <c r="N37" s="74">
        <f>M37+'15'!N37</f>
        <v>-0.15</v>
      </c>
      <c r="O37" s="74">
        <f>M37+'15'!O37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Production2!AK18</f>
        <v>0</v>
      </c>
      <c r="G38" s="510">
        <f>F38+'15'!G38</f>
        <v>0</v>
      </c>
      <c r="H38" s="510">
        <f>F38+'15'!H38</f>
        <v>0</v>
      </c>
      <c r="I38" s="195">
        <f>Production2!BR18</f>
        <v>249.3</v>
      </c>
      <c r="J38" s="195">
        <v>0</v>
      </c>
      <c r="K38" s="503">
        <f>J38+'15'!K38</f>
        <v>0</v>
      </c>
      <c r="L38" s="503">
        <f>J38+'15'!L38</f>
        <v>0</v>
      </c>
      <c r="M38" s="195">
        <f>Production2!BT18</f>
        <v>0</v>
      </c>
      <c r="N38" s="503">
        <f>M38+'15'!N38</f>
        <v>1454</v>
      </c>
      <c r="O38" s="503">
        <f>M38+'15'!O38</f>
        <v>1454</v>
      </c>
      <c r="P38" s="74">
        <f>I38+J38+J44-M38-F60</f>
        <v>249.3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07" t="s">
        <v>306</v>
      </c>
      <c r="E39" s="511">
        <v>78</v>
      </c>
      <c r="F39" s="509">
        <f>Production2!AN18</f>
        <v>0</v>
      </c>
      <c r="G39" s="510">
        <f>F39+'15'!G39</f>
        <v>27.35</v>
      </c>
      <c r="H39" s="510">
        <f>F39+'15'!H39</f>
        <v>27.35</v>
      </c>
      <c r="I39" s="506">
        <f>Production2!BV18</f>
        <v>337.29000000000013</v>
      </c>
      <c r="J39" s="506">
        <f>Production2!AO18</f>
        <v>0</v>
      </c>
      <c r="K39" s="503">
        <f>J39+'15'!K39</f>
        <v>1720</v>
      </c>
      <c r="L39" s="503">
        <f>J39+'15'!L39</f>
        <v>1720</v>
      </c>
      <c r="M39" s="77">
        <f>Production2!BX18</f>
        <v>60</v>
      </c>
      <c r="N39" s="503">
        <f>M39+'15'!N39</f>
        <v>3355.4200000000005</v>
      </c>
      <c r="O39" s="503">
        <f>M39+'15'!O39</f>
        <v>3355.4200000000005</v>
      </c>
      <c r="P39" s="503">
        <f>I39+J39+J45-M39</f>
        <v>527.29000000000019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14.05</v>
      </c>
      <c r="G40" s="132">
        <f t="shared" ref="G40:H40" si="7">G35+G36+G37+G38+G39</f>
        <v>187.51000000000002</v>
      </c>
      <c r="H40" s="132">
        <f t="shared" si="7"/>
        <v>187.51000000000002</v>
      </c>
      <c r="I40" s="122">
        <f>I35+I36+I37+I38+I39</f>
        <v>3080.6979999999812</v>
      </c>
      <c r="J40" s="508">
        <f t="shared" ref="J40:P40" si="8">J35+J36+J37+J38+J39</f>
        <v>820</v>
      </c>
      <c r="K40" s="508">
        <f t="shared" si="8"/>
        <v>11441</v>
      </c>
      <c r="L40" s="508">
        <f t="shared" si="8"/>
        <v>11441</v>
      </c>
      <c r="M40" s="508">
        <f t="shared" si="8"/>
        <v>737.44</v>
      </c>
      <c r="N40" s="508">
        <f t="shared" si="8"/>
        <v>29171.549999999996</v>
      </c>
      <c r="O40" s="508">
        <f t="shared" si="8"/>
        <v>29171.549999999996</v>
      </c>
      <c r="P40" s="508">
        <f t="shared" si="8"/>
        <v>4213.2579999999807</v>
      </c>
      <c r="Q40" s="123">
        <f t="shared" si="6"/>
        <v>58.362989323843415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Production2!AT18</f>
        <v>2.5</v>
      </c>
      <c r="G41" s="75">
        <f>F41+'15'!G41</f>
        <v>16.399999999999999</v>
      </c>
      <c r="H41" s="75">
        <f>F41+'15'!H41</f>
        <v>16.399999999999999</v>
      </c>
      <c r="I41" s="764"/>
      <c r="J41" s="77">
        <f>Production2!AU18</f>
        <v>150</v>
      </c>
      <c r="K41" s="74">
        <f>J41+'15'!K41</f>
        <v>1000</v>
      </c>
      <c r="L41" s="74">
        <f>J41+'15'!L41</f>
        <v>1000</v>
      </c>
      <c r="M41" s="766"/>
      <c r="N41" s="767"/>
      <c r="O41" s="767"/>
      <c r="P41" s="768"/>
      <c r="Q41" s="96">
        <f t="shared" si="6"/>
        <v>60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Production2!AQ18</f>
        <v>11.3</v>
      </c>
      <c r="G42" s="75">
        <f>F42+'15'!G42</f>
        <v>266.61</v>
      </c>
      <c r="H42" s="75">
        <f>F42+'15'!H42</f>
        <v>266.61</v>
      </c>
      <c r="I42" s="765"/>
      <c r="J42" s="77">
        <f>Production2!AR18</f>
        <v>650</v>
      </c>
      <c r="K42" s="74">
        <f>J42+'15'!K42</f>
        <v>15565</v>
      </c>
      <c r="L42" s="74">
        <f>J42+'15'!L42</f>
        <v>15565</v>
      </c>
      <c r="M42" s="769"/>
      <c r="N42" s="770"/>
      <c r="O42" s="770"/>
      <c r="P42" s="771"/>
      <c r="Q42" s="96">
        <f t="shared" si="6"/>
        <v>57.522123893805308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Production2!AW18</f>
        <v>0</v>
      </c>
      <c r="G43" s="75">
        <f>F43+'15'!G43</f>
        <v>0</v>
      </c>
      <c r="H43" s="75">
        <f>F43+'15'!H43</f>
        <v>0</v>
      </c>
      <c r="I43" s="765"/>
      <c r="J43" s="77">
        <f>Production2!AX18</f>
        <v>0</v>
      </c>
      <c r="K43" s="74">
        <f>J43+'15'!K43</f>
        <v>0</v>
      </c>
      <c r="L43" s="74">
        <f>J43+'15'!L43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Production2!AZ18</f>
        <v>0</v>
      </c>
      <c r="G44" s="75">
        <f>F44+'15'!G44</f>
        <v>26.880000000000003</v>
      </c>
      <c r="H44" s="75">
        <f>F44+'15'!H44</f>
        <v>26.880000000000003</v>
      </c>
      <c r="I44" s="748"/>
      <c r="J44" s="195">
        <f>Production2!BA18</f>
        <v>0</v>
      </c>
      <c r="K44" s="74">
        <f>J44+'15'!K44</f>
        <v>1490</v>
      </c>
      <c r="L44" s="74">
        <f>J44+'15'!L44</f>
        <v>1490</v>
      </c>
      <c r="M44" s="772"/>
      <c r="N44" s="773"/>
      <c r="O44" s="773"/>
      <c r="P44" s="774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07" t="s">
        <v>306</v>
      </c>
      <c r="E45" s="511">
        <v>70</v>
      </c>
      <c r="F45" s="509">
        <f>Production2!BC18</f>
        <v>4.2</v>
      </c>
      <c r="G45" s="510">
        <f>F45+'15'!G45</f>
        <v>29.389999999999997</v>
      </c>
      <c r="H45" s="510">
        <f>F45+'15'!H45</f>
        <v>29.389999999999997</v>
      </c>
      <c r="I45" s="502"/>
      <c r="J45" s="506">
        <f>Production2!BD18</f>
        <v>250</v>
      </c>
      <c r="K45" s="503">
        <f>J45+'15'!K45</f>
        <v>1789</v>
      </c>
      <c r="L45" s="503">
        <f>J45+'15'!L45</f>
        <v>1789</v>
      </c>
      <c r="M45" s="504"/>
      <c r="N45" s="512"/>
      <c r="O45" s="512"/>
      <c r="P45" s="505"/>
      <c r="Q45" s="96">
        <f t="shared" si="6"/>
        <v>59.523809523809518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18</v>
      </c>
      <c r="G46" s="132">
        <f t="shared" ref="G46:H46" si="9">G41+G42+G43+G44+G45</f>
        <v>339.28</v>
      </c>
      <c r="H46" s="132">
        <f t="shared" si="9"/>
        <v>339.28</v>
      </c>
      <c r="I46" s="132">
        <f>I41+I42+I43+I44</f>
        <v>0</v>
      </c>
      <c r="J46" s="122">
        <f>J41+J42+J43+J44+J45</f>
        <v>1050</v>
      </c>
      <c r="K46" s="508">
        <f t="shared" ref="K46:L46" si="10">K41+K42+K43+K44+K45</f>
        <v>19844</v>
      </c>
      <c r="L46" s="508">
        <f t="shared" si="10"/>
        <v>19844</v>
      </c>
      <c r="M46" s="836"/>
      <c r="N46" s="837"/>
      <c r="O46" s="837"/>
      <c r="P46" s="838"/>
      <c r="Q46" s="123">
        <f t="shared" si="6"/>
        <v>58.333333333333336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0.4954636587863665</v>
      </c>
      <c r="F50" s="99">
        <f>F53/(J31+J32)</f>
        <v>23.553101351235927</v>
      </c>
      <c r="G50" s="99">
        <f>G53/J32</f>
        <v>0</v>
      </c>
      <c r="H50" s="99">
        <f>H53/J34</f>
        <v>36.278807947019871</v>
      </c>
      <c r="I50" s="99">
        <f>I53/J33</f>
        <v>63.813636363636363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15.033112582781458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0.8340851792284395</v>
      </c>
      <c r="F51" s="102">
        <f>F50*1.55</f>
        <v>36.507307094415687</v>
      </c>
      <c r="G51" s="102">
        <f>G50*1.55</f>
        <v>0</v>
      </c>
      <c r="H51" s="102">
        <f>H50</f>
        <v>36.278807947019871</v>
      </c>
      <c r="I51" s="102">
        <f>I50*(Q50/100)</f>
        <v>9.5931757977122221</v>
      </c>
      <c r="J51" s="102"/>
      <c r="K51" s="102"/>
      <c r="L51" s="102"/>
      <c r="M51" s="96"/>
      <c r="N51" s="103"/>
      <c r="O51" s="668" t="s">
        <v>279</v>
      </c>
      <c r="P51" s="668"/>
      <c r="Q51" s="104">
        <v>5410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0.62607682450481239</v>
      </c>
      <c r="F52" s="102">
        <f>F51*M18/100</f>
        <v>27.402931338543628</v>
      </c>
      <c r="G52" s="102">
        <f>G51*M18/100</f>
        <v>0</v>
      </c>
      <c r="H52" s="102">
        <f>H51*M18/100</f>
        <v>27.231416457130717</v>
      </c>
      <c r="I52" s="102">
        <f>I51*M18/100</f>
        <v>7.2007813948977333</v>
      </c>
      <c r="J52" s="99">
        <f>J53/(J40+J46)</f>
        <v>45.444385026737969</v>
      </c>
      <c r="K52" s="99">
        <f>K53/(J46+J40)</f>
        <v>1.0101604278074867</v>
      </c>
      <c r="L52" s="99">
        <f>L53/(M40)</f>
        <v>6.5551095682360598</v>
      </c>
      <c r="M52" s="96">
        <f>M53/(J46+J40)</f>
        <v>2.6401069518716578</v>
      </c>
      <c r="N52" s="310">
        <f>SUM(E52:M52)</f>
        <v>118.11096798973007</v>
      </c>
      <c r="O52" s="668" t="s">
        <v>281</v>
      </c>
      <c r="P52" s="668"/>
      <c r="Q52" s="104">
        <f>Q51*Q50/100</f>
        <v>813.29139072847681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unit'!B18</f>
        <v>1374</v>
      </c>
      <c r="F53" s="118">
        <f>'Daily unit'!C18</f>
        <v>55151</v>
      </c>
      <c r="G53" s="118">
        <f>'Daily unit'!D18</f>
        <v>0</v>
      </c>
      <c r="H53" s="118">
        <f>'Daily unit'!E18</f>
        <v>54781</v>
      </c>
      <c r="I53" s="118">
        <f>'Daily unit'!F18</f>
        <v>14039</v>
      </c>
      <c r="J53" s="118">
        <f>'Daily unit'!G18</f>
        <v>84981</v>
      </c>
      <c r="K53" s="118">
        <f>'Daily unit'!H18</f>
        <v>1889</v>
      </c>
      <c r="L53" s="118">
        <f>'Daily unit'!I18</f>
        <v>4834</v>
      </c>
      <c r="M53" s="119">
        <f>'Daily unit'!J18</f>
        <v>4937</v>
      </c>
      <c r="N53" s="321">
        <f>SUM(E53:M53)</f>
        <v>221986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42">
        <v>1</v>
      </c>
      <c r="C57" s="688" t="s">
        <v>287</v>
      </c>
      <c r="D57" s="688"/>
      <c r="E57" s="80">
        <v>42.5</v>
      </c>
      <c r="F57" s="53">
        <f>'Internal use cement'!F18</f>
        <v>0</v>
      </c>
      <c r="G57" s="53">
        <f>F57+'15'!G57</f>
        <v>0</v>
      </c>
      <c r="H57" s="104">
        <f>F57+'15'!H57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42"/>
      <c r="C58" s="688"/>
      <c r="D58" s="688"/>
      <c r="E58" s="80" t="s">
        <v>197</v>
      </c>
      <c r="F58" s="53">
        <f>'Internal use cement'!Q18</f>
        <v>0</v>
      </c>
      <c r="G58" s="53">
        <f>F58+'15'!G58</f>
        <v>0</v>
      </c>
      <c r="H58" s="104">
        <f>F58+'15'!H58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42"/>
      <c r="C59" s="688"/>
      <c r="D59" s="688"/>
      <c r="E59" s="80">
        <v>32.5</v>
      </c>
      <c r="F59" s="53">
        <f>'Internal use cement'!AB18</f>
        <v>0</v>
      </c>
      <c r="G59" s="53">
        <f>F59+'15'!G59</f>
        <v>0</v>
      </c>
      <c r="H59" s="104">
        <f>F59+'15'!H59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3"/>
      <c r="C60" s="821"/>
      <c r="D60" s="821"/>
      <c r="E60" s="112" t="s">
        <v>177</v>
      </c>
      <c r="F60" s="113">
        <f>'Internal use cement'!AJ18</f>
        <v>0</v>
      </c>
      <c r="G60" s="113">
        <f>F60+'15'!G60</f>
        <v>0</v>
      </c>
      <c r="H60" s="114">
        <f>F60+'15'!H60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6">
    <mergeCell ref="O51:P51"/>
    <mergeCell ref="B35:B40"/>
    <mergeCell ref="C35:C40"/>
    <mergeCell ref="C57:D60"/>
    <mergeCell ref="B57:B60"/>
    <mergeCell ref="O52:P52"/>
    <mergeCell ref="C53:D53"/>
    <mergeCell ref="I41:I44"/>
    <mergeCell ref="M41:P44"/>
    <mergeCell ref="M46:P46"/>
    <mergeCell ref="B41:B46"/>
    <mergeCell ref="C41:C46"/>
    <mergeCell ref="I55:Q60"/>
    <mergeCell ref="B48:N48"/>
    <mergeCell ref="O48:Q48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C30:D30"/>
    <mergeCell ref="C31:D31"/>
    <mergeCell ref="C33:D33"/>
    <mergeCell ref="C34:D34"/>
    <mergeCell ref="Q28:Q29"/>
    <mergeCell ref="C32:D32"/>
    <mergeCell ref="I31:I32"/>
    <mergeCell ref="M31:M32"/>
    <mergeCell ref="N31:N32"/>
    <mergeCell ref="O31:O32"/>
    <mergeCell ref="P31:P32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C8:Q8"/>
    <mergeCell ref="C12:D12"/>
    <mergeCell ref="C13:D13"/>
    <mergeCell ref="P13:Q13"/>
    <mergeCell ref="O9:O16"/>
    <mergeCell ref="C10:D10"/>
    <mergeCell ref="C9:D9"/>
    <mergeCell ref="Q6:Q7"/>
    <mergeCell ref="C11:D11"/>
    <mergeCell ref="B23:B24"/>
    <mergeCell ref="C23:C24"/>
    <mergeCell ref="M23:N24"/>
    <mergeCell ref="P23:Q25"/>
    <mergeCell ref="C25:D25"/>
    <mergeCell ref="M25:N25"/>
    <mergeCell ref="O18:O25"/>
    <mergeCell ref="P18:Q20"/>
    <mergeCell ref="Q21:Q22"/>
    <mergeCell ref="C22:D22"/>
    <mergeCell ref="M18:M19"/>
    <mergeCell ref="C21:D21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C52:D52"/>
    <mergeCell ref="C17:Q17"/>
    <mergeCell ref="B18:B20"/>
    <mergeCell ref="C18:C20"/>
    <mergeCell ref="N18:N20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0.7109375" style="68" customWidth="1"/>
    <col min="4" max="4" width="14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0" width="9.140625" style="68"/>
    <col min="21" max="21" width="11.5703125" style="68" bestFit="1" customWidth="1"/>
    <col min="22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342</v>
      </c>
      <c r="R4" s="67"/>
      <c r="S4" s="67"/>
    </row>
    <row r="5" spans="2:21" s="70" customFormat="1" ht="16.5" customHeigh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ht="30" x14ac:dyDescent="0.25">
      <c r="B9" s="199">
        <v>1</v>
      </c>
      <c r="C9" s="225" t="s">
        <v>244</v>
      </c>
      <c r="D9" s="226"/>
      <c r="E9" s="74">
        <f>'16'!L9</f>
        <v>17465.071703916514</v>
      </c>
      <c r="F9" s="74">
        <f>Production2!D19</f>
        <v>2514.64</v>
      </c>
      <c r="G9" s="74">
        <f>F9+'16'!G9</f>
        <v>36148.62000000001</v>
      </c>
      <c r="H9" s="74">
        <f>F9+'16'!H9</f>
        <v>36148.62000000001</v>
      </c>
      <c r="I9" s="74">
        <f>Production2!E19</f>
        <v>2609</v>
      </c>
      <c r="J9" s="74">
        <f>I9+'16'!J9</f>
        <v>36151</v>
      </c>
      <c r="K9" s="74">
        <f>I9+'16'!K9</f>
        <v>36151</v>
      </c>
      <c r="L9" s="74">
        <f>E9+F9-I9-I21</f>
        <v>17210.211704108515</v>
      </c>
      <c r="M9" s="75">
        <f>I9</f>
        <v>2609</v>
      </c>
      <c r="N9" s="75">
        <f>(I9/I13)*100</f>
        <v>97.788605697151425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(2)'!L19</f>
        <v>135.03999999999974</v>
      </c>
      <c r="F10" s="77">
        <f>'Mines (2)'!M19</f>
        <v>0</v>
      </c>
      <c r="G10" s="74">
        <f>F10+'16'!G10</f>
        <v>100</v>
      </c>
      <c r="H10" s="74">
        <f>F10+'16'!H10</f>
        <v>100</v>
      </c>
      <c r="I10" s="77">
        <f>'Mines (2)'!N19</f>
        <v>5</v>
      </c>
      <c r="J10" s="74">
        <f>I10+'16'!J10</f>
        <v>94</v>
      </c>
      <c r="K10" s="74">
        <f>I10+'16'!K10</f>
        <v>94</v>
      </c>
      <c r="L10" s="77">
        <f t="shared" ref="L10:L16" si="0">E10+F10-I10</f>
        <v>130.03999999999974</v>
      </c>
      <c r="M10" s="75">
        <f t="shared" ref="M10:M12" si="1">I10</f>
        <v>5</v>
      </c>
      <c r="N10" s="75">
        <f>(I10/I13)*100</f>
        <v>0.1874062968515742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Clinker!C19</f>
        <v>4659.6399999999994</v>
      </c>
      <c r="F11" s="77">
        <f>Clinker!D19</f>
        <v>0</v>
      </c>
      <c r="G11" s="74">
        <f>F11+'16'!G11</f>
        <v>0</v>
      </c>
      <c r="H11" s="74">
        <f>F11+'16'!H11</f>
        <v>0</v>
      </c>
      <c r="I11" s="77">
        <f>Clinker!E19</f>
        <v>53</v>
      </c>
      <c r="J11" s="74">
        <f>I11+'16'!J11</f>
        <v>759</v>
      </c>
      <c r="K11" s="74">
        <f>I11+'16'!K11</f>
        <v>759</v>
      </c>
      <c r="L11" s="77">
        <f t="shared" si="0"/>
        <v>4606.6399999999994</v>
      </c>
      <c r="M11" s="75">
        <f t="shared" si="1"/>
        <v>53</v>
      </c>
      <c r="N11" s="75">
        <f>(I11/I13)*100</f>
        <v>1.9865067466266866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(2)'!Q19</f>
        <v>515.28</v>
      </c>
      <c r="F12" s="77">
        <f>'Mines (2)'!R19</f>
        <v>0</v>
      </c>
      <c r="G12" s="74">
        <f>F12+'16'!G12</f>
        <v>0</v>
      </c>
      <c r="H12" s="74">
        <f>F12+'16'!H12</f>
        <v>0</v>
      </c>
      <c r="I12" s="77">
        <f>'Mines (2)'!S19</f>
        <v>1</v>
      </c>
      <c r="J12" s="74">
        <f>I12+'16'!J12</f>
        <v>86</v>
      </c>
      <c r="K12" s="74">
        <f>I12+'16'!K12</f>
        <v>86</v>
      </c>
      <c r="L12" s="77">
        <f t="shared" si="0"/>
        <v>514.28</v>
      </c>
      <c r="M12" s="75">
        <f t="shared" si="1"/>
        <v>1</v>
      </c>
      <c r="N12" s="75">
        <f>(I12/I13)*100</f>
        <v>3.7481259370314844E-2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22775.031703916513</v>
      </c>
      <c r="F13" s="127">
        <f t="shared" si="2"/>
        <v>2514.64</v>
      </c>
      <c r="G13" s="127">
        <f t="shared" si="2"/>
        <v>36248.62000000001</v>
      </c>
      <c r="H13" s="127">
        <f t="shared" si="2"/>
        <v>36248.62000000001</v>
      </c>
      <c r="I13" s="127">
        <f t="shared" si="2"/>
        <v>2668</v>
      </c>
      <c r="J13" s="127">
        <f t="shared" si="2"/>
        <v>37090</v>
      </c>
      <c r="K13" s="127">
        <f t="shared" si="2"/>
        <v>37090</v>
      </c>
      <c r="L13" s="127">
        <f t="shared" si="0"/>
        <v>22621.671703916512</v>
      </c>
      <c r="M13" s="128">
        <f>SUM(M9:M12)</f>
        <v>2668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Clinker!EA19</f>
        <v>12357.22699999999</v>
      </c>
      <c r="F14" s="77">
        <f>Clinker!EB19</f>
        <v>0</v>
      </c>
      <c r="G14" s="77">
        <f>F14+'16'!G14</f>
        <v>181.5</v>
      </c>
      <c r="H14" s="77">
        <f>F14+'16'!H14</f>
        <v>181.5</v>
      </c>
      <c r="I14" s="77">
        <f>Clinker!EC19</f>
        <v>243.33</v>
      </c>
      <c r="J14" s="77">
        <f>I14+'16'!J14</f>
        <v>3758.8700000000003</v>
      </c>
      <c r="K14" s="77">
        <f>I14+'16'!K14</f>
        <v>3758.8700000000003</v>
      </c>
      <c r="L14" s="77">
        <f>E14+F14-I14-Clinker!N19-Clinker!Z19-Clinker!AR19-Clinker!AW19-Clinker!BB19-Clinker!BV19-Clinker!BG19-Clinker!BL19-Clinker!BQ19-Clinker!CU19-Clinker!DO19</f>
        <v>12113.89699999999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  <c r="U14" s="83"/>
    </row>
    <row r="15" spans="2:21" x14ac:dyDescent="0.25">
      <c r="B15" s="677"/>
      <c r="C15" s="678"/>
      <c r="D15" s="80" t="s">
        <v>68</v>
      </c>
      <c r="E15" s="77">
        <f>Clinker!EE19</f>
        <v>11036.699999999997</v>
      </c>
      <c r="F15" s="77">
        <f>Clinker!EF19</f>
        <v>0</v>
      </c>
      <c r="G15" s="77">
        <f>F15+'16'!G15</f>
        <v>155.05000000000001</v>
      </c>
      <c r="H15" s="77">
        <f>F15+'16'!H15</f>
        <v>155.05000000000001</v>
      </c>
      <c r="I15" s="77">
        <f>Clinker!EG19</f>
        <v>148</v>
      </c>
      <c r="J15" s="77">
        <f>I15+'16'!J15</f>
        <v>2195</v>
      </c>
      <c r="K15" s="77">
        <f>I15+'16'!K15</f>
        <v>2195</v>
      </c>
      <c r="L15" s="77">
        <f>E15+F15-Clinker!T19-Clinker!AE19-Clinker!AI19-Clinker!CF19- Clinker!CP19-Clinker!CF19-Clinker!DT19</f>
        <v>10888.699999999997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23393.926999999989</v>
      </c>
      <c r="F16" s="125">
        <f>F14+F15</f>
        <v>0</v>
      </c>
      <c r="G16" s="425">
        <f t="shared" ref="G16:K16" si="3">G14+G15</f>
        <v>336.55</v>
      </c>
      <c r="H16" s="125">
        <f t="shared" si="3"/>
        <v>336.55</v>
      </c>
      <c r="I16" s="125">
        <f>I14+I15</f>
        <v>391.33000000000004</v>
      </c>
      <c r="J16" s="125">
        <f>J14+J15</f>
        <v>5953.8700000000008</v>
      </c>
      <c r="K16" s="125">
        <f t="shared" si="3"/>
        <v>5953.8700000000008</v>
      </c>
      <c r="L16" s="125">
        <f t="shared" si="0"/>
        <v>23002.596999999987</v>
      </c>
      <c r="M16" s="126"/>
      <c r="N16" s="126"/>
      <c r="O16" s="667"/>
      <c r="P16" s="53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Clinker!EI19</f>
        <v>16192.920088769548</v>
      </c>
      <c r="F18" s="74">
        <f>Clinker!EJ19</f>
        <v>1505</v>
      </c>
      <c r="G18" s="74">
        <f>F18+'16'!G18</f>
        <v>22165</v>
      </c>
      <c r="H18" s="74">
        <f>F18+'16'!H18</f>
        <v>22165</v>
      </c>
      <c r="I18" s="74">
        <f>Clinker!EK19</f>
        <v>685.00000019200002</v>
      </c>
      <c r="J18" s="74">
        <f>I18+'16'!J18</f>
        <v>8433.6200110491845</v>
      </c>
      <c r="K18" s="74">
        <f>I18+'16'!K18</f>
        <v>8433.6200110491845</v>
      </c>
      <c r="L18" s="74">
        <f>E18+F18-I18-I20</f>
        <v>17012.920088577546</v>
      </c>
      <c r="M18" s="704">
        <f>((I18+I19)/(J40+J46))*100</f>
        <v>76.966292156404492</v>
      </c>
      <c r="N18" s="687"/>
      <c r="O18" s="689"/>
      <c r="P18" s="691"/>
      <c r="Q18" s="692"/>
      <c r="R18" s="20"/>
      <c r="S18" s="20"/>
    </row>
    <row r="19" spans="2:19" ht="29.25" customHeight="1" x14ac:dyDescent="0.25">
      <c r="B19" s="677"/>
      <c r="C19" s="685"/>
      <c r="D19" s="85" t="s">
        <v>75</v>
      </c>
      <c r="E19" s="74">
        <f>Clinker!EN19</f>
        <v>2129.8590080001359</v>
      </c>
      <c r="F19" s="74">
        <f>Clinker!EO19</f>
        <v>0</v>
      </c>
      <c r="G19" s="74">
        <f>F19+'16'!G19</f>
        <v>9520.2100000000009</v>
      </c>
      <c r="H19" s="74">
        <f>F19+'16'!H19</f>
        <v>9520.2100000000009</v>
      </c>
      <c r="I19" s="74">
        <f>Clinker!EP19</f>
        <v>0</v>
      </c>
      <c r="J19" s="74">
        <f>I19+'16'!J19</f>
        <v>16239.899999999998</v>
      </c>
      <c r="K19" s="74">
        <f>I19+'16'!K19</f>
        <v>16239.899999999998</v>
      </c>
      <c r="L19" s="74">
        <f>E19+F19-I19</f>
        <v>2129.8590080001359</v>
      </c>
      <c r="M19" s="705"/>
      <c r="N19" s="687"/>
      <c r="O19" s="689"/>
      <c r="P19" s="691"/>
      <c r="Q19" s="692"/>
      <c r="R19" s="20"/>
      <c r="S19" s="20"/>
    </row>
    <row r="20" spans="2:19" ht="30" customHeight="1" x14ac:dyDescent="0.25">
      <c r="B20" s="677"/>
      <c r="C20" s="686"/>
      <c r="D20" s="86" t="s">
        <v>251</v>
      </c>
      <c r="E20" s="77"/>
      <c r="F20" s="77">
        <f>Clinker!EM19</f>
        <v>0</v>
      </c>
      <c r="G20" s="74">
        <f>F20+'16'!G20</f>
        <v>0</v>
      </c>
      <c r="H20" s="74">
        <f>F20+'16'!H20</f>
        <v>0</v>
      </c>
      <c r="I20" s="77">
        <f>Clinker!EM19</f>
        <v>0</v>
      </c>
      <c r="J20" s="74">
        <f>I20+'16'!J20</f>
        <v>0</v>
      </c>
      <c r="K20" s="74">
        <f>I20+'16'!K20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ht="30" x14ac:dyDescent="0.25">
      <c r="B21" s="89"/>
      <c r="C21" s="427" t="s">
        <v>244</v>
      </c>
      <c r="D21" s="427"/>
      <c r="E21" s="77"/>
      <c r="F21" s="77"/>
      <c r="G21" s="74"/>
      <c r="H21" s="74"/>
      <c r="I21" s="77">
        <f>Cement!Q19</f>
        <v>160.49999980800001</v>
      </c>
      <c r="J21" s="74">
        <f>I21+'16'!J21</f>
        <v>5892.2799930753172</v>
      </c>
      <c r="K21" s="74">
        <f>I21+'16'!K21</f>
        <v>5892.2799930753172</v>
      </c>
      <c r="L21" s="74"/>
      <c r="M21" s="78">
        <f>(I21/(J40+J46))*100</f>
        <v>18.033707843595508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Cement!C19</f>
        <v>7523.4400632742791</v>
      </c>
      <c r="F22" s="77">
        <f>Cement!D19</f>
        <v>0</v>
      </c>
      <c r="G22" s="74">
        <f>F22+'16'!G22</f>
        <v>1642.76</v>
      </c>
      <c r="H22" s="74">
        <f>F22+'16'!H22</f>
        <v>1642.76</v>
      </c>
      <c r="I22" s="77">
        <f>Cement!E19</f>
        <v>44.5</v>
      </c>
      <c r="J22" s="74">
        <f>I22+'16'!J22</f>
        <v>1609.1999958754996</v>
      </c>
      <c r="K22" s="74">
        <f>I22+'16'!K22</f>
        <v>1609.1999958754996</v>
      </c>
      <c r="L22" s="74">
        <f t="shared" ref="L22:L24" si="4">E22+F22-I22</f>
        <v>7478.9400632742791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Cement!G19</f>
        <v>0.23999999999796273</v>
      </c>
      <c r="F23" s="77">
        <f>Cement!H19</f>
        <v>0</v>
      </c>
      <c r="G23" s="74">
        <f>F23+'16'!G23</f>
        <v>0</v>
      </c>
      <c r="H23" s="74">
        <f>F23+'16'!H23</f>
        <v>0</v>
      </c>
      <c r="I23" s="77">
        <f>Cement!I19</f>
        <v>0</v>
      </c>
      <c r="J23" s="74">
        <f>I23+'16'!J23</f>
        <v>0</v>
      </c>
      <c r="K23" s="74">
        <f>I23+'16'!K23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Cement!K19</f>
        <v>0</v>
      </c>
      <c r="F24" s="77">
        <f>Cement!L19</f>
        <v>0</v>
      </c>
      <c r="G24" s="74">
        <f>F24+'16'!G24</f>
        <v>0</v>
      </c>
      <c r="H24" s="74">
        <f>F24+'16'!H24</f>
        <v>0</v>
      </c>
      <c r="I24" s="77">
        <f>Cement!M19</f>
        <v>0</v>
      </c>
      <c r="J24" s="74">
        <f>I24+'16'!J24</f>
        <v>0</v>
      </c>
      <c r="K24" s="74">
        <f>I24+'16'!K24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25846.459160043963</v>
      </c>
      <c r="F25" s="122">
        <f t="shared" ref="F25:L25" si="5">F18+F19+F21+F22+F23+F24</f>
        <v>1505</v>
      </c>
      <c r="G25" s="122">
        <f t="shared" si="5"/>
        <v>33327.97</v>
      </c>
      <c r="H25" s="122">
        <f t="shared" si="5"/>
        <v>33327.97</v>
      </c>
      <c r="I25" s="122">
        <f t="shared" si="5"/>
        <v>890</v>
      </c>
      <c r="J25" s="122">
        <f t="shared" si="5"/>
        <v>32175</v>
      </c>
      <c r="K25" s="122">
        <f t="shared" si="5"/>
        <v>32175</v>
      </c>
      <c r="L25" s="122">
        <f t="shared" si="5"/>
        <v>26621.959159851958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Production2!C19</f>
        <v>20.7</v>
      </c>
      <c r="G30" s="75">
        <f>F30+'16'!G30</f>
        <v>212.17999999999998</v>
      </c>
      <c r="H30" s="75">
        <f>F30+'16'!H30</f>
        <v>212.17999999999998</v>
      </c>
      <c r="I30" s="74">
        <f>'Mines (2)'!C19+'Mines (2)'!H19+'Mines (2)'!V19+'Mines (2)'!Z19+'Mines (2)'!AD19</f>
        <v>17465.071703916521</v>
      </c>
      <c r="J30" s="74">
        <f>Production2!D19</f>
        <v>2514.64</v>
      </c>
      <c r="K30" s="74">
        <f>J30+'16'!K30</f>
        <v>36148.62000000001</v>
      </c>
      <c r="L30" s="74">
        <f>J30+'16'!L30</f>
        <v>36148.62000000001</v>
      </c>
      <c r="M30" s="74">
        <f>I9+I21</f>
        <v>2769.4999998080002</v>
      </c>
      <c r="N30" s="75">
        <f>M30+'16'!N30</f>
        <v>42043.279993075317</v>
      </c>
      <c r="O30" s="74">
        <f>M30+'16'!O30</f>
        <v>42043.279993075317</v>
      </c>
      <c r="P30" s="74">
        <f>I30+J30-M30</f>
        <v>17210.211704108522</v>
      </c>
      <c r="Q30" s="93">
        <f>J30/F30</f>
        <v>121.48019323671497</v>
      </c>
      <c r="R30" s="94"/>
      <c r="S30" s="94"/>
    </row>
    <row r="31" spans="2:19" x14ac:dyDescent="0.25">
      <c r="B31" s="79">
        <v>2</v>
      </c>
      <c r="C31" s="680" t="s">
        <v>292</v>
      </c>
      <c r="D31" s="681"/>
      <c r="E31" s="95">
        <v>120</v>
      </c>
      <c r="F31" s="78">
        <f>Production2!G19</f>
        <v>18</v>
      </c>
      <c r="G31" s="75">
        <f>F31+'16'!G31</f>
        <v>248.66</v>
      </c>
      <c r="H31" s="75">
        <f>F31+'16'!H31</f>
        <v>248.66</v>
      </c>
      <c r="I31" s="747">
        <f>Production2!H19</f>
        <v>967.99001683751931</v>
      </c>
      <c r="J31" s="78">
        <f>Production2!N19</f>
        <v>2214</v>
      </c>
      <c r="K31" s="74">
        <f>J31+'16'!K31</f>
        <v>31405.29</v>
      </c>
      <c r="L31" s="74">
        <f>J31+'16'!L31</f>
        <v>31405.29</v>
      </c>
      <c r="M31" s="747">
        <f>Production2!K19</f>
        <v>2332.75</v>
      </c>
      <c r="N31" s="747">
        <f>M31+'16'!N31</f>
        <v>34355.75</v>
      </c>
      <c r="O31" s="747">
        <f>M31+'16'!O31</f>
        <v>34355.75</v>
      </c>
      <c r="P31" s="747">
        <f>I31+J31+J32-M31</f>
        <v>1038.0300168375193</v>
      </c>
      <c r="Q31" s="96">
        <f t="shared" ref="Q31:Q46" si="6">J31/F31</f>
        <v>123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Production2!P19</f>
        <v>21</v>
      </c>
      <c r="G32" s="75">
        <f>F32+'16'!G32</f>
        <v>210.74</v>
      </c>
      <c r="H32" s="75">
        <f>F32+'16'!H32</f>
        <v>210.74</v>
      </c>
      <c r="I32" s="748"/>
      <c r="J32" s="78">
        <f>Production2!Q19</f>
        <v>188.79</v>
      </c>
      <c r="K32" s="74">
        <f>J32+'16'!K32</f>
        <v>1994.7599999999998</v>
      </c>
      <c r="L32" s="74">
        <f>J32+'16'!L32</f>
        <v>1994.7599999999998</v>
      </c>
      <c r="M32" s="748"/>
      <c r="N32" s="748"/>
      <c r="O32" s="748"/>
      <c r="P32" s="748"/>
      <c r="Q32" s="96">
        <f>J32/F32</f>
        <v>8.99</v>
      </c>
      <c r="R32" s="94"/>
      <c r="S32" s="94"/>
    </row>
    <row r="33" spans="2:19" x14ac:dyDescent="0.25">
      <c r="B33" s="91">
        <v>4</v>
      </c>
      <c r="C33" s="680" t="s">
        <v>147</v>
      </c>
      <c r="D33" s="681"/>
      <c r="E33" s="95">
        <v>10</v>
      </c>
      <c r="F33" s="78">
        <f>Production2!S19</f>
        <v>16.2</v>
      </c>
      <c r="G33" s="75">
        <f>F33+'16'!G33</f>
        <v>245.28</v>
      </c>
      <c r="H33" s="75">
        <f>F33+'16'!H33</f>
        <v>245.28</v>
      </c>
      <c r="I33" s="77">
        <f>Production2!T19</f>
        <v>48.509999999999991</v>
      </c>
      <c r="J33" s="77">
        <f>Production2!U19</f>
        <v>219</v>
      </c>
      <c r="K33" s="74">
        <f>J33+'16'!K33</f>
        <v>3383</v>
      </c>
      <c r="L33" s="74">
        <f>J33+'16'!L33</f>
        <v>3383</v>
      </c>
      <c r="M33" s="77">
        <f>Production2!V19</f>
        <v>223</v>
      </c>
      <c r="N33" s="74">
        <f>M33+'16'!N33</f>
        <v>3354</v>
      </c>
      <c r="O33" s="74">
        <f>M33+'16'!O33</f>
        <v>3354</v>
      </c>
      <c r="P33" s="74">
        <f>I33+J33-M33</f>
        <v>44.509999999999991</v>
      </c>
      <c r="Q33" s="96">
        <f t="shared" si="6"/>
        <v>13.518518518518519</v>
      </c>
      <c r="R33" s="94"/>
      <c r="S33" s="94"/>
    </row>
    <row r="34" spans="2:19" x14ac:dyDescent="0.25">
      <c r="B34" s="79">
        <v>5</v>
      </c>
      <c r="C34" s="680" t="s">
        <v>69</v>
      </c>
      <c r="D34" s="681"/>
      <c r="E34" s="95">
        <v>50</v>
      </c>
      <c r="F34" s="78">
        <f>Production2!Y19</f>
        <v>24</v>
      </c>
      <c r="G34" s="75">
        <f>F34+'16'!G34</f>
        <v>306.27</v>
      </c>
      <c r="H34" s="75">
        <f>F34+'16'!H34</f>
        <v>306.27</v>
      </c>
      <c r="I34" s="77">
        <f>Clinker!EI19</f>
        <v>16192.920088769548</v>
      </c>
      <c r="J34" s="77">
        <f>Clinker!EJ19</f>
        <v>1505</v>
      </c>
      <c r="K34" s="74">
        <f>J34+'16'!K34</f>
        <v>22165</v>
      </c>
      <c r="L34" s="74">
        <f>J34+'16'!L34</f>
        <v>22165</v>
      </c>
      <c r="M34" s="77">
        <f>Clinker!EK19</f>
        <v>685.00000019200002</v>
      </c>
      <c r="N34" s="74">
        <f>M34+'16'!N34</f>
        <v>8433.6200110491845</v>
      </c>
      <c r="O34" s="74">
        <f>M34+'16'!O34</f>
        <v>8433.6200110491845</v>
      </c>
      <c r="P34" s="74">
        <f>I34+J34-M34-I20</f>
        <v>17012.920088577546</v>
      </c>
      <c r="Q34" s="96">
        <f t="shared" si="6"/>
        <v>62.708333333333336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Production2!AE19</f>
        <v>0</v>
      </c>
      <c r="G35" s="75">
        <f>F35+'16'!G35</f>
        <v>9</v>
      </c>
      <c r="H35" s="75">
        <f>F35+'16'!H35</f>
        <v>9</v>
      </c>
      <c r="I35" s="77">
        <f>Production2!BJ19</f>
        <v>367.79999999999995</v>
      </c>
      <c r="J35" s="77">
        <f>Production2!AF19</f>
        <v>0</v>
      </c>
      <c r="K35" s="74">
        <f>J35+'16'!K35</f>
        <v>574</v>
      </c>
      <c r="L35" s="74">
        <f>J35+'16'!L35</f>
        <v>574</v>
      </c>
      <c r="M35" s="77">
        <f>Production2!BL19</f>
        <v>60</v>
      </c>
      <c r="N35" s="74">
        <f>M35+'16'!N35</f>
        <v>1498.5</v>
      </c>
      <c r="O35" s="74">
        <f>M35+'16'!O35</f>
        <v>1498.5</v>
      </c>
      <c r="P35" s="74">
        <f>I35+J35+J41-M35-F59</f>
        <v>307.79999999999995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Production2!AB19</f>
        <v>4.17</v>
      </c>
      <c r="G36" s="75">
        <f>F36+'16'!G36</f>
        <v>155.33000000000001</v>
      </c>
      <c r="H36" s="75">
        <f>F36+'16'!H36</f>
        <v>155.33000000000001</v>
      </c>
      <c r="I36" s="77">
        <f>Production2!BF19</f>
        <v>3066.7779999999798</v>
      </c>
      <c r="J36" s="77">
        <f>Production2!AC19</f>
        <v>240</v>
      </c>
      <c r="K36" s="74">
        <f>J36+'16'!K36</f>
        <v>9387</v>
      </c>
      <c r="L36" s="74">
        <f>J36+'16'!L36</f>
        <v>9387</v>
      </c>
      <c r="M36" s="77">
        <f>Production2!BH19</f>
        <v>1119.5</v>
      </c>
      <c r="N36" s="74">
        <f>M36+'16'!N36</f>
        <v>24043.279999999995</v>
      </c>
      <c r="O36" s="74">
        <f>M36+'16'!O36</f>
        <v>24043.279999999995</v>
      </c>
      <c r="P36" s="74">
        <f>I36+J36+J42-M36-F57</f>
        <v>2837.2779999999798</v>
      </c>
      <c r="Q36" s="96">
        <f t="shared" si="6"/>
        <v>57.553956834532372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Production2!AH19</f>
        <v>0</v>
      </c>
      <c r="G37" s="75">
        <f>F37+'16'!G37</f>
        <v>0</v>
      </c>
      <c r="H37" s="75">
        <f>F37+'16'!H37</f>
        <v>0</v>
      </c>
      <c r="I37" s="77">
        <f>Production2!BN19</f>
        <v>2.0900000000008498</v>
      </c>
      <c r="J37" s="77">
        <f>Production2!AI19</f>
        <v>0</v>
      </c>
      <c r="K37" s="74">
        <f>J37+'16'!K37</f>
        <v>0</v>
      </c>
      <c r="L37" s="74">
        <f>J37+'16'!L37</f>
        <v>0</v>
      </c>
      <c r="M37" s="77">
        <f>Production2!BP19</f>
        <v>0</v>
      </c>
      <c r="N37" s="74">
        <f>M37+'16'!N37</f>
        <v>-0.15</v>
      </c>
      <c r="O37" s="74">
        <f>M37+'16'!O37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Production2!AK19</f>
        <v>0</v>
      </c>
      <c r="G38" s="75">
        <f>F38+'16'!G38</f>
        <v>0</v>
      </c>
      <c r="H38" s="75">
        <f>F38+'16'!H38</f>
        <v>0</v>
      </c>
      <c r="I38" s="195">
        <f>Production2!BR19</f>
        <v>249.3</v>
      </c>
      <c r="J38" s="195">
        <f>Production2!AL19</f>
        <v>0</v>
      </c>
      <c r="K38" s="74">
        <f>J38+'16'!K38</f>
        <v>0</v>
      </c>
      <c r="L38" s="74">
        <f>J38+'16'!L38</f>
        <v>0</v>
      </c>
      <c r="M38" s="195">
        <f>Production2!BT19</f>
        <v>0</v>
      </c>
      <c r="N38" s="74">
        <f>M38+'16'!N38</f>
        <v>1454</v>
      </c>
      <c r="O38" s="74">
        <f>M38+'16'!O38</f>
        <v>1454</v>
      </c>
      <c r="P38" s="74">
        <f>I38+J38+J44-M38-F60</f>
        <v>249.3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20" t="s">
        <v>306</v>
      </c>
      <c r="E39" s="524">
        <v>78</v>
      </c>
      <c r="F39" s="522">
        <f>Production2!AN19</f>
        <v>0</v>
      </c>
      <c r="G39" s="523">
        <f>F39+'16'!G39</f>
        <v>27.35</v>
      </c>
      <c r="H39" s="523">
        <f>F39+'16'!H39</f>
        <v>27.35</v>
      </c>
      <c r="I39" s="519">
        <f>Production2!BV19</f>
        <v>527.29000000000019</v>
      </c>
      <c r="J39" s="519">
        <f>Production2!AO19</f>
        <v>0</v>
      </c>
      <c r="K39" s="516">
        <f>J39+'16'!K39</f>
        <v>1720</v>
      </c>
      <c r="L39" s="516">
        <f>J39+'16'!L39</f>
        <v>1720</v>
      </c>
      <c r="M39" s="77">
        <f>Production2!BX19</f>
        <v>241.82</v>
      </c>
      <c r="N39" s="516">
        <f>M39+'16'!N39</f>
        <v>3597.2400000000007</v>
      </c>
      <c r="O39" s="516">
        <f>M39+'16'!O39</f>
        <v>3597.2400000000007</v>
      </c>
      <c r="P39" s="516">
        <f>I39+J39+J45-M39</f>
        <v>285.4700000000002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4.17</v>
      </c>
      <c r="G40" s="132">
        <f t="shared" ref="G40:H40" si="7">G35+G36+G37+G38+G39</f>
        <v>191.68</v>
      </c>
      <c r="H40" s="132">
        <f t="shared" si="7"/>
        <v>191.68</v>
      </c>
      <c r="I40" s="122">
        <f>SUM(I35:I38)+I39</f>
        <v>4213.2579999999807</v>
      </c>
      <c r="J40" s="521">
        <f t="shared" ref="J40:P40" si="8">SUM(J35:J38)+J39</f>
        <v>240</v>
      </c>
      <c r="K40" s="521">
        <f t="shared" si="8"/>
        <v>11681</v>
      </c>
      <c r="L40" s="521">
        <f t="shared" si="8"/>
        <v>11681</v>
      </c>
      <c r="M40" s="521">
        <f t="shared" si="8"/>
        <v>1421.32</v>
      </c>
      <c r="N40" s="521">
        <f t="shared" si="8"/>
        <v>30592.869999999995</v>
      </c>
      <c r="O40" s="521">
        <f t="shared" si="8"/>
        <v>30592.869999999995</v>
      </c>
      <c r="P40" s="521">
        <f t="shared" si="8"/>
        <v>3681.937999999981</v>
      </c>
      <c r="Q40" s="123">
        <f t="shared" si="6"/>
        <v>57.553956834532372</v>
      </c>
      <c r="R40" s="94"/>
      <c r="S40" s="94"/>
    </row>
    <row r="41" spans="2:19" x14ac:dyDescent="0.25">
      <c r="B41" s="753">
        <v>7</v>
      </c>
      <c r="C41" s="679" t="s">
        <v>270</v>
      </c>
      <c r="D41" s="80" t="s">
        <v>267</v>
      </c>
      <c r="E41" s="97">
        <v>75</v>
      </c>
      <c r="F41" s="78">
        <f>Production2!AT19</f>
        <v>0</v>
      </c>
      <c r="G41" s="75">
        <f>F41+'16'!G41</f>
        <v>16.399999999999999</v>
      </c>
      <c r="H41" s="75">
        <f>F41+'16'!H41</f>
        <v>16.399999999999999</v>
      </c>
      <c r="I41" s="764"/>
      <c r="J41" s="77">
        <f>Production2!AU19</f>
        <v>0</v>
      </c>
      <c r="K41" s="74">
        <f>J41+'16'!K41</f>
        <v>1000</v>
      </c>
      <c r="L41" s="74">
        <f>J41+'16'!L41</f>
        <v>1000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Production2!AQ19</f>
        <v>11.41</v>
      </c>
      <c r="G42" s="75">
        <f>F42+'16'!G42</f>
        <v>278.02000000000004</v>
      </c>
      <c r="H42" s="75">
        <f>F42+'16'!H42</f>
        <v>278.02000000000004</v>
      </c>
      <c r="I42" s="765"/>
      <c r="J42" s="77">
        <f>Production2!AR19</f>
        <v>650</v>
      </c>
      <c r="K42" s="74">
        <f>J42+'16'!K42</f>
        <v>16215</v>
      </c>
      <c r="L42" s="74">
        <f>J42+'16'!L42</f>
        <v>16215</v>
      </c>
      <c r="M42" s="769"/>
      <c r="N42" s="770"/>
      <c r="O42" s="770"/>
      <c r="P42" s="771"/>
      <c r="Q42" s="96">
        <f t="shared" si="6"/>
        <v>56.96757230499562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Production2!AW19</f>
        <v>0</v>
      </c>
      <c r="G43" s="75">
        <f>F43+'16'!G43</f>
        <v>0</v>
      </c>
      <c r="H43" s="75">
        <f>F43+'16'!H43</f>
        <v>0</v>
      </c>
      <c r="I43" s="765"/>
      <c r="J43" s="77">
        <f>Production2!AX19</f>
        <v>0</v>
      </c>
      <c r="K43" s="74">
        <f>J43+'16'!K43</f>
        <v>0</v>
      </c>
      <c r="L43" s="74">
        <f>J43+'16'!L43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Production2!AZ19</f>
        <v>0</v>
      </c>
      <c r="G44" s="523">
        <f>F44+'16'!G44</f>
        <v>26.880000000000003</v>
      </c>
      <c r="H44" s="523">
        <f>F44+'16'!H44</f>
        <v>26.880000000000003</v>
      </c>
      <c r="I44" s="748"/>
      <c r="J44" s="195">
        <f>Production2!BA19</f>
        <v>0</v>
      </c>
      <c r="K44" s="74">
        <f>J44+'16'!K44</f>
        <v>1490</v>
      </c>
      <c r="L44" s="74">
        <f>J44+'16'!L44</f>
        <v>1490</v>
      </c>
      <c r="M44" s="772"/>
      <c r="N44" s="773"/>
      <c r="O44" s="773"/>
      <c r="P44" s="774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20" t="s">
        <v>306</v>
      </c>
      <c r="E45" s="524">
        <v>70</v>
      </c>
      <c r="F45" s="522">
        <f>Production2!BC19</f>
        <v>0</v>
      </c>
      <c r="G45" s="523">
        <f>F45+'16'!G45</f>
        <v>29.389999999999997</v>
      </c>
      <c r="H45" s="523">
        <f>F45+'16'!H45</f>
        <v>29.389999999999997</v>
      </c>
      <c r="I45" s="515"/>
      <c r="J45" s="519">
        <f>Production2!BD19</f>
        <v>0</v>
      </c>
      <c r="K45" s="516">
        <f>J45+'16'!K45</f>
        <v>1789</v>
      </c>
      <c r="L45" s="516">
        <f>J45+'16'!L45</f>
        <v>1789</v>
      </c>
      <c r="M45" s="517"/>
      <c r="N45" s="525"/>
      <c r="O45" s="525"/>
      <c r="P45" s="518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11.41</v>
      </c>
      <c r="G46" s="132">
        <f t="shared" ref="G46:H46" si="9">G41+G42+G43+G44+G45</f>
        <v>350.69</v>
      </c>
      <c r="H46" s="132">
        <f t="shared" si="9"/>
        <v>350.69</v>
      </c>
      <c r="I46" s="122">
        <f t="shared" ref="I46" si="10">I41+I42+I43+I44</f>
        <v>0</v>
      </c>
      <c r="J46" s="122">
        <f>J41+J42+J43+J44+J45</f>
        <v>650</v>
      </c>
      <c r="K46" s="521">
        <f t="shared" ref="K46:L46" si="11">K41+K42+K43+K44+K45</f>
        <v>20494</v>
      </c>
      <c r="L46" s="521">
        <f t="shared" si="11"/>
        <v>20494</v>
      </c>
      <c r="M46" s="836"/>
      <c r="N46" s="837"/>
      <c r="O46" s="837"/>
      <c r="P46" s="838"/>
      <c r="Q46" s="123">
        <f t="shared" si="6"/>
        <v>56.96757230499562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0.5324817866573347</v>
      </c>
      <c r="F50" s="99">
        <f>F53/(J31+J32)</f>
        <v>24.683805076598453</v>
      </c>
      <c r="G50" s="99">
        <f>G53/J32</f>
        <v>0</v>
      </c>
      <c r="H50" s="99">
        <f>H53/J34</f>
        <v>37.155481727574752</v>
      </c>
      <c r="I50" s="99">
        <f>I53/J33</f>
        <v>63.675799086757991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14.817275747508305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0.9230863663714195</v>
      </c>
      <c r="F51" s="102">
        <f>F50*1.55</f>
        <v>38.259897868727606</v>
      </c>
      <c r="G51" s="102">
        <f>G50*1.55</f>
        <v>0</v>
      </c>
      <c r="H51" s="102">
        <f>H50</f>
        <v>37.155481727574752</v>
      </c>
      <c r="I51" s="102">
        <f>I50*(Q50/100)</f>
        <v>9.4350187351143067</v>
      </c>
      <c r="J51" s="102"/>
      <c r="K51" s="102"/>
      <c r="L51" s="102"/>
      <c r="M51" s="96"/>
      <c r="N51" s="310">
        <f>SUM(E51:I51)</f>
        <v>85.773484697788092</v>
      </c>
      <c r="O51" s="668" t="s">
        <v>279</v>
      </c>
      <c r="P51" s="668"/>
      <c r="Q51" s="104">
        <v>5439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0.71046534959736507</v>
      </c>
      <c r="F52" s="102">
        <f>F51*M18/100</f>
        <v>29.447224772386868</v>
      </c>
      <c r="G52" s="102">
        <f>G51*M18/100</f>
        <v>0</v>
      </c>
      <c r="H52" s="102">
        <f>H51*M18/100</f>
        <v>28.59719661856467</v>
      </c>
      <c r="I52" s="102">
        <f>I51*M18/100</f>
        <v>7.2617840846795767</v>
      </c>
      <c r="J52" s="99">
        <f>J53/(J40+J46)</f>
        <v>51.034831460674155</v>
      </c>
      <c r="K52" s="99">
        <f>K53/(J46+J40)</f>
        <v>1.8089887640449438</v>
      </c>
      <c r="L52" s="99">
        <f>L53/(M40)</f>
        <v>3.7218923254439535</v>
      </c>
      <c r="M52" s="96">
        <f>M53/(J46+J40)</f>
        <v>5.7629213483146069</v>
      </c>
      <c r="N52" s="310">
        <f>SUM(E52:M52)</f>
        <v>128.34530472370614</v>
      </c>
      <c r="O52" s="668" t="s">
        <v>281</v>
      </c>
      <c r="P52" s="668"/>
      <c r="Q52" s="104">
        <f>Q51*Q50/100</f>
        <v>805.91162790697661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unit'!B19</f>
        <v>1339</v>
      </c>
      <c r="F53" s="118">
        <f>'Daily unit'!C19</f>
        <v>59310</v>
      </c>
      <c r="G53" s="118">
        <f>'Daily unit'!D19</f>
        <v>0</v>
      </c>
      <c r="H53" s="118">
        <f>'Daily unit'!E19</f>
        <v>55919</v>
      </c>
      <c r="I53" s="118">
        <f>'Daily unit'!F19</f>
        <v>13945</v>
      </c>
      <c r="J53" s="118">
        <f>'Daily unit'!G19</f>
        <v>45421</v>
      </c>
      <c r="K53" s="118">
        <f>'Daily unit'!H19</f>
        <v>1610</v>
      </c>
      <c r="L53" s="118">
        <f>'Daily unit'!I19</f>
        <v>5290</v>
      </c>
      <c r="M53" s="119">
        <f>'Daily unit'!J19</f>
        <v>5129</v>
      </c>
      <c r="N53" s="321">
        <f>SUM(E53:M53)</f>
        <v>187963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3"/>
      <c r="D55" s="763"/>
      <c r="E55" s="763"/>
      <c r="F55" s="763"/>
      <c r="G55" s="763"/>
      <c r="H55" s="844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27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224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32">
        <v>1</v>
      </c>
      <c r="C57" s="688" t="s">
        <v>287</v>
      </c>
      <c r="D57" s="688"/>
      <c r="E57" s="80">
        <v>42.5</v>
      </c>
      <c r="F57" s="53">
        <f>'Internal use cement'!F19</f>
        <v>0</v>
      </c>
      <c r="G57" s="53">
        <f>F57+'16'!G57</f>
        <v>0</v>
      </c>
      <c r="H57" s="104">
        <f>F57+'16'!H57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08"/>
      <c r="C58" s="688"/>
      <c r="D58" s="688"/>
      <c r="E58" s="80" t="s">
        <v>197</v>
      </c>
      <c r="F58" s="53">
        <f>'Internal use cement'!Q19</f>
        <v>0</v>
      </c>
      <c r="G58" s="53">
        <f>F58+'16'!G58</f>
        <v>0</v>
      </c>
      <c r="H58" s="104">
        <f>F58+'16'!H58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08"/>
      <c r="C59" s="688"/>
      <c r="D59" s="688"/>
      <c r="E59" s="80">
        <v>32.5</v>
      </c>
      <c r="F59" s="53">
        <f>'Internal use cement'!AB19</f>
        <v>0</v>
      </c>
      <c r="G59" s="53">
        <f>F59+'16'!G59</f>
        <v>0</v>
      </c>
      <c r="H59" s="104">
        <f>F59+'16'!H59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35"/>
      <c r="C60" s="821"/>
      <c r="D60" s="821"/>
      <c r="E60" s="112" t="s">
        <v>177</v>
      </c>
      <c r="F60" s="113">
        <f>'Internal use cement'!AJ19</f>
        <v>0</v>
      </c>
      <c r="G60" s="53">
        <f>F60+'16'!G60</f>
        <v>0</v>
      </c>
      <c r="H60" s="104">
        <f>F60+'16'!H60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B55:H55"/>
    <mergeCell ref="C56:E56"/>
    <mergeCell ref="C57:D60"/>
    <mergeCell ref="B57:B60"/>
    <mergeCell ref="I55:Q60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30:D30"/>
    <mergeCell ref="C31:D31"/>
    <mergeCell ref="C33:D33"/>
    <mergeCell ref="C34:D34"/>
    <mergeCell ref="B35:B40"/>
    <mergeCell ref="C35:C40"/>
    <mergeCell ref="C32:D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B41:B46"/>
    <mergeCell ref="C41:C46"/>
    <mergeCell ref="I41:I44"/>
    <mergeCell ref="M41:P44"/>
    <mergeCell ref="M46:P46"/>
    <mergeCell ref="I31:I32"/>
    <mergeCell ref="M31:M32"/>
    <mergeCell ref="N31:N32"/>
    <mergeCell ref="O31:O32"/>
    <mergeCell ref="P31:P32"/>
  </mergeCells>
  <pageMargins left="0" right="0" top="0.75" bottom="0.75" header="0.3" footer="0.3"/>
  <pageSetup paperSize="9" scale="53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2:U154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20" sqref="R20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>
        <v>46130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'17'!L9</f>
        <v>17210.211704108515</v>
      </c>
      <c r="F9" s="74">
        <f>Production2!D20</f>
        <v>2207.34</v>
      </c>
      <c r="G9" s="74">
        <f>F9+'17'!G9</f>
        <v>38355.960000000006</v>
      </c>
      <c r="H9" s="74">
        <f>F9+'17'!H9</f>
        <v>38355.960000000006</v>
      </c>
      <c r="I9" s="74">
        <f>Production2!E20</f>
        <v>2073</v>
      </c>
      <c r="J9" s="74">
        <f>I9+'17'!J9</f>
        <v>38224</v>
      </c>
      <c r="K9" s="74">
        <f>I9+'17'!K9</f>
        <v>38224</v>
      </c>
      <c r="L9" s="74">
        <f>E9+F9-I9-I21</f>
        <v>16953.551704118814</v>
      </c>
      <c r="M9" s="75">
        <f>I9</f>
        <v>2073</v>
      </c>
      <c r="N9" s="75">
        <f>(I9/I13)*100</f>
        <v>97.783018867924525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(2)'!L20</f>
        <v>130.03999999999974</v>
      </c>
      <c r="F10" s="77">
        <f>'Mines (2)'!M20</f>
        <v>314.56000000000006</v>
      </c>
      <c r="G10" s="74">
        <f>F10+'17'!G10</f>
        <v>414.56000000000006</v>
      </c>
      <c r="H10" s="74">
        <f>F10+'17'!H10</f>
        <v>414.56000000000006</v>
      </c>
      <c r="I10" s="77">
        <f>'Mines (2)'!N20</f>
        <v>3</v>
      </c>
      <c r="J10" s="74">
        <f>I10+'17'!J10</f>
        <v>97</v>
      </c>
      <c r="K10" s="74">
        <f>I10+'17'!K10</f>
        <v>97</v>
      </c>
      <c r="L10" s="77">
        <f t="shared" ref="L10:L16" si="0">E10+F10-I10</f>
        <v>441.5999999999998</v>
      </c>
      <c r="M10" s="75">
        <f t="shared" ref="M10:M12" si="1">I10</f>
        <v>3</v>
      </c>
      <c r="N10" s="75">
        <f>(I10/I13)*100</f>
        <v>0.14150943396226415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Clinker!C20</f>
        <v>4606.6399999999994</v>
      </c>
      <c r="F11" s="77">
        <f>Clinker!D20</f>
        <v>0</v>
      </c>
      <c r="G11" s="74">
        <f>F11+'17'!G11</f>
        <v>0</v>
      </c>
      <c r="H11" s="74">
        <f>F11+'17'!H11</f>
        <v>0</v>
      </c>
      <c r="I11" s="77">
        <f>Clinker!E20</f>
        <v>43</v>
      </c>
      <c r="J11" s="74">
        <f>I11+'17'!J11</f>
        <v>802</v>
      </c>
      <c r="K11" s="74">
        <f>I11+'17'!K11</f>
        <v>802</v>
      </c>
      <c r="L11" s="77">
        <f t="shared" si="0"/>
        <v>4563.6399999999994</v>
      </c>
      <c r="M11" s="75">
        <f t="shared" si="1"/>
        <v>43</v>
      </c>
      <c r="N11" s="75">
        <f>(I11/I13)*100</f>
        <v>2.0283018867924527</v>
      </c>
      <c r="O11" s="667"/>
      <c r="P11" s="53">
        <v>7</v>
      </c>
      <c r="Q11" s="264">
        <f>'Raw mill moisture content'!N35</f>
        <v>6.9999999999999937E-2</v>
      </c>
      <c r="S11" s="238"/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(2)'!Q20</f>
        <v>514.28</v>
      </c>
      <c r="F12" s="77">
        <f>'Mines (2)'!R20</f>
        <v>0</v>
      </c>
      <c r="G12" s="74">
        <f>F12+'17'!G12</f>
        <v>0</v>
      </c>
      <c r="H12" s="74">
        <f>F12+'17'!H12</f>
        <v>0</v>
      </c>
      <c r="I12" s="77">
        <f>'Mines (2)'!S20</f>
        <v>1</v>
      </c>
      <c r="J12" s="74">
        <f>I12+'17'!J12</f>
        <v>87</v>
      </c>
      <c r="K12" s="74">
        <f>I12+'17'!K12</f>
        <v>87</v>
      </c>
      <c r="L12" s="77">
        <f t="shared" si="0"/>
        <v>513.28</v>
      </c>
      <c r="M12" s="75">
        <f t="shared" si="1"/>
        <v>1</v>
      </c>
      <c r="N12" s="75">
        <f>(I12/I13)*100</f>
        <v>4.716981132075472E-2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22461.171704108514</v>
      </c>
      <c r="F13" s="127">
        <f t="shared" si="2"/>
        <v>2521.9</v>
      </c>
      <c r="G13" s="127">
        <f t="shared" si="2"/>
        <v>38770.520000000004</v>
      </c>
      <c r="H13" s="127">
        <f t="shared" si="2"/>
        <v>38770.520000000004</v>
      </c>
      <c r="I13" s="127">
        <f>SUM(I9:I12)</f>
        <v>2120</v>
      </c>
      <c r="J13" s="127">
        <f t="shared" si="2"/>
        <v>39210</v>
      </c>
      <c r="K13" s="127">
        <f t="shared" si="2"/>
        <v>39210</v>
      </c>
      <c r="L13" s="127">
        <f t="shared" si="0"/>
        <v>22863.071704108515</v>
      </c>
      <c r="M13" s="128">
        <f>SUM(M9:M12)</f>
        <v>2120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Clinker!EA20</f>
        <v>12103.89699999999</v>
      </c>
      <c r="F14" s="77">
        <f>Clinker!EB20</f>
        <v>0</v>
      </c>
      <c r="G14" s="77">
        <f>F14+'17'!G14</f>
        <v>181.5</v>
      </c>
      <c r="H14" s="77">
        <f>F14+'17'!H14</f>
        <v>181.5</v>
      </c>
      <c r="I14" s="77">
        <f>Clinker!EC20</f>
        <v>244.44</v>
      </c>
      <c r="J14" s="77">
        <f>I14+'17'!J14</f>
        <v>4003.3100000000004</v>
      </c>
      <c r="K14" s="77">
        <f>I14+'17'!K14</f>
        <v>4003.3100000000004</v>
      </c>
      <c r="L14" s="77">
        <f>E14+F14-I14-Clinker!N20-Clinker!Z20-Clinker!AR20-Clinker!AW20-Clinker!BB20-Clinker!BV20-Clinker!BG20-Clinker!BL20-Clinker!BQ20-Clinker!CU20-Clinker!DO20</f>
        <v>11859.456999999989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Clinker!EE20</f>
        <v>10898.699999999997</v>
      </c>
      <c r="F15" s="77">
        <f>Clinker!EF20</f>
        <v>0</v>
      </c>
      <c r="G15" s="77">
        <f>F15+'17'!G15</f>
        <v>155.05000000000001</v>
      </c>
      <c r="H15" s="77">
        <f>F15+'17'!H15</f>
        <v>155.05000000000001</v>
      </c>
      <c r="I15" s="77">
        <f>Clinker!EG20</f>
        <v>137</v>
      </c>
      <c r="J15" s="77">
        <f>I15+'17'!J15</f>
        <v>2332</v>
      </c>
      <c r="K15" s="77">
        <f>I15+'17'!K15</f>
        <v>2332</v>
      </c>
      <c r="L15" s="77">
        <f>E15+F15-Clinker!AE20-Clinker!AI20-Clinker!CF20-Clinker!CP20-Clinker!CF20</f>
        <v>10771.699999999997</v>
      </c>
      <c r="M15" s="81"/>
      <c r="N15" s="81"/>
      <c r="O15" s="667"/>
      <c r="P15" s="53"/>
      <c r="Q15" s="82"/>
      <c r="R15" s="83"/>
      <c r="S15" s="236"/>
    </row>
    <row r="16" spans="2:21" x14ac:dyDescent="0.25">
      <c r="B16" s="677"/>
      <c r="C16" s="679"/>
      <c r="D16" s="124" t="s">
        <v>152</v>
      </c>
      <c r="E16" s="125">
        <f>E14+E15</f>
        <v>23002.596999999987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>I14+I15</f>
        <v>381.44</v>
      </c>
      <c r="J16" s="125">
        <f>J14+J15</f>
        <v>6335.31</v>
      </c>
      <c r="K16" s="125">
        <f t="shared" si="3"/>
        <v>6335.31</v>
      </c>
      <c r="L16" s="125">
        <f t="shared" si="0"/>
        <v>22621.156999999988</v>
      </c>
      <c r="M16" s="126"/>
      <c r="N16" s="126"/>
      <c r="O16" s="667"/>
      <c r="P16" s="53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19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Clinker!EI20</f>
        <v>17012.920088577546</v>
      </c>
      <c r="F18" s="74">
        <f>Clinker!EJ20</f>
        <v>1370</v>
      </c>
      <c r="G18" s="74">
        <f>F18+'17'!G18</f>
        <v>23535</v>
      </c>
      <c r="H18" s="74">
        <f>F18+'17'!H18</f>
        <v>23535</v>
      </c>
      <c r="I18" s="74">
        <f>Clinker!EK20</f>
        <v>1306.2500003342998</v>
      </c>
      <c r="J18" s="74">
        <f>I18+'17'!J18</f>
        <v>9739.8700113834839</v>
      </c>
      <c r="K18" s="74">
        <f>I18+'17'!K18</f>
        <v>9739.8700113834839</v>
      </c>
      <c r="L18" s="74">
        <f>E18+F18-I18-I20</f>
        <v>17076.670088243245</v>
      </c>
      <c r="M18" s="704">
        <f>((I18+I19)/(J40+J46))*100</f>
        <v>73.097369912383868</v>
      </c>
      <c r="N18" s="687"/>
      <c r="O18" s="689"/>
      <c r="P18" s="691"/>
      <c r="Q18" s="692"/>
      <c r="R18" s="190"/>
      <c r="S18" s="237"/>
    </row>
    <row r="19" spans="2:19" ht="45" x14ac:dyDescent="0.25">
      <c r="B19" s="677"/>
      <c r="C19" s="685"/>
      <c r="D19" s="85" t="s">
        <v>75</v>
      </c>
      <c r="E19" s="74">
        <f>Clinker!EN20</f>
        <v>2129.8590080001359</v>
      </c>
      <c r="F19" s="74">
        <f>Clinker!EO20</f>
        <v>730.21</v>
      </c>
      <c r="G19" s="74">
        <f>F19+'17'!G19</f>
        <v>10250.420000000002</v>
      </c>
      <c r="H19" s="74">
        <f>F19+'17'!H19</f>
        <v>10250.420000000002</v>
      </c>
      <c r="I19" s="74">
        <f>Clinker!EP20</f>
        <v>0</v>
      </c>
      <c r="J19" s="74">
        <f>I19+'17'!J19</f>
        <v>16239.899999999998</v>
      </c>
      <c r="K19" s="74">
        <f>I19+'17'!K19</f>
        <v>16239.899999999998</v>
      </c>
      <c r="L19" s="74">
        <f>E19+F19-I19</f>
        <v>2860.0690080001359</v>
      </c>
      <c r="M19" s="70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Clinker!EM20</f>
        <v>0</v>
      </c>
      <c r="G20" s="74">
        <f>F20+'17'!G20</f>
        <v>0</v>
      </c>
      <c r="H20" s="74">
        <f>F20+'17'!H20</f>
        <v>0</v>
      </c>
      <c r="I20" s="77">
        <f>Clinker!EM20</f>
        <v>0</v>
      </c>
      <c r="J20" s="74">
        <f>I20+'17'!J20</f>
        <v>0</v>
      </c>
      <c r="K20" s="74">
        <f>I20+'17'!K20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>
        <f>Cement!O20</f>
        <v>0</v>
      </c>
      <c r="F21" s="77">
        <f>Cement!P20</f>
        <v>0</v>
      </c>
      <c r="G21" s="74">
        <f>F21+'17'!G21</f>
        <v>0</v>
      </c>
      <c r="H21" s="74">
        <f>F21+'17'!H21</f>
        <v>0</v>
      </c>
      <c r="I21" s="77">
        <f>Cement!Q20</f>
        <v>390.99999998970003</v>
      </c>
      <c r="J21" s="74">
        <f>I21+'17'!J21</f>
        <v>6283.2799930650172</v>
      </c>
      <c r="K21" s="74">
        <f>I21+'17'!K21</f>
        <v>6283.2799930650172</v>
      </c>
      <c r="L21" s="74"/>
      <c r="M21" s="78">
        <f>(I21/(J40+J46))*100</f>
        <v>21.88024622214326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Cement!C20</f>
        <v>7478.9400632742791</v>
      </c>
      <c r="F22" s="77">
        <f>Cement!D20</f>
        <v>93.02</v>
      </c>
      <c r="G22" s="74">
        <f>F22+'17'!G22</f>
        <v>1735.78</v>
      </c>
      <c r="H22" s="74">
        <f>F22+'17'!H22</f>
        <v>1735.78</v>
      </c>
      <c r="I22" s="77">
        <f>Cement!E20</f>
        <v>89.749999676000002</v>
      </c>
      <c r="J22" s="74">
        <f>I22+'17'!J22</f>
        <v>1698.9499955514996</v>
      </c>
      <c r="K22" s="74">
        <f>I22+'17'!K22</f>
        <v>1698.9499955514996</v>
      </c>
      <c r="L22" s="74">
        <f t="shared" ref="L22:L24" si="4">E22+F22-I22</f>
        <v>7482.2100635982797</v>
      </c>
      <c r="M22" s="78">
        <f>(I22/(J40+J46))*100</f>
        <v>5.0223838654728601</v>
      </c>
      <c r="N22" s="78"/>
      <c r="O22" s="689"/>
      <c r="P22" s="87"/>
      <c r="Q22" s="696"/>
      <c r="R22" s="20"/>
      <c r="S22" s="239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Cement!G20</f>
        <v>0.23999999999796273</v>
      </c>
      <c r="F23" s="77">
        <f>Cement!H20</f>
        <v>0</v>
      </c>
      <c r="G23" s="74">
        <f>F23+'17'!G23</f>
        <v>0</v>
      </c>
      <c r="H23" s="74">
        <f>F23+'17'!H23</f>
        <v>0</v>
      </c>
      <c r="I23" s="77">
        <f>Cement!I20</f>
        <v>0</v>
      </c>
      <c r="J23" s="74">
        <f>I23+'17'!J23</f>
        <v>0</v>
      </c>
      <c r="K23" s="74">
        <f>I23+'17'!K23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Cement!K20</f>
        <v>0</v>
      </c>
      <c r="F24" s="77">
        <f>Cement!L20</f>
        <v>0</v>
      </c>
      <c r="G24" s="74">
        <f>F24+'17'!G24</f>
        <v>0</v>
      </c>
      <c r="H24" s="74">
        <f>F24+'17'!H24</f>
        <v>0</v>
      </c>
      <c r="I24" s="77">
        <f>Cement!M20</f>
        <v>0</v>
      </c>
      <c r="J24" s="74">
        <f>I24+'17'!J24</f>
        <v>0</v>
      </c>
      <c r="K24" s="74">
        <f>I24+'17'!K24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26621.959159851958</v>
      </c>
      <c r="F25" s="122">
        <f t="shared" ref="F25:L25" si="5">F18+F19+F21+F22+F23+F24</f>
        <v>2193.23</v>
      </c>
      <c r="G25" s="122">
        <f t="shared" si="5"/>
        <v>35521.199999999997</v>
      </c>
      <c r="H25" s="122">
        <f t="shared" si="5"/>
        <v>35521.199999999997</v>
      </c>
      <c r="I25" s="122">
        <f t="shared" si="5"/>
        <v>1786.9999999999998</v>
      </c>
      <c r="J25" s="122">
        <f t="shared" si="5"/>
        <v>33962</v>
      </c>
      <c r="K25" s="122">
        <f t="shared" si="5"/>
        <v>33962</v>
      </c>
      <c r="L25" s="122">
        <f t="shared" si="5"/>
        <v>27419.189159841659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Production2!C20</f>
        <v>18.62</v>
      </c>
      <c r="G30" s="75">
        <f>F30+'17'!G30</f>
        <v>230.79999999999998</v>
      </c>
      <c r="H30" s="75">
        <f>F30+'17'!H30</f>
        <v>230.79999999999998</v>
      </c>
      <c r="I30" s="74">
        <f>'Mines (2)'!C20+'Mines (2)'!H20+'Mines (2)'!V20+'Mines (2)'!Z20+'Mines (2)'!AD20</f>
        <v>17210.211704108522</v>
      </c>
      <c r="J30" s="74">
        <f>Production2!D20</f>
        <v>2207.34</v>
      </c>
      <c r="K30" s="74">
        <f>J30+'17'!K30</f>
        <v>38355.960000000006</v>
      </c>
      <c r="L30" s="74">
        <f>J30+'17'!L30</f>
        <v>38355.960000000006</v>
      </c>
      <c r="M30" s="74">
        <f>I9+I21</f>
        <v>2463.9999999897</v>
      </c>
      <c r="N30" s="75">
        <f>M30+'17'!N30</f>
        <v>44507.279993065014</v>
      </c>
      <c r="O30" s="74">
        <f>M30+'17'!O30</f>
        <v>44507.279993065014</v>
      </c>
      <c r="P30" s="74">
        <f>I30+J30-M30</f>
        <v>16953.551704118821</v>
      </c>
      <c r="Q30" s="93">
        <f>J30/F30</f>
        <v>118.54672395273899</v>
      </c>
      <c r="R30" s="94"/>
      <c r="S30" s="94"/>
    </row>
    <row r="31" spans="2:19" x14ac:dyDescent="0.25">
      <c r="B31" s="79">
        <v>2</v>
      </c>
      <c r="C31" s="680" t="s">
        <v>292</v>
      </c>
      <c r="D31" s="681"/>
      <c r="E31" s="95">
        <v>120</v>
      </c>
      <c r="F31" s="78">
        <f>Production2!G20</f>
        <v>15.17</v>
      </c>
      <c r="G31" s="75">
        <f>F31+'17'!G31</f>
        <v>263.83</v>
      </c>
      <c r="H31" s="75">
        <f>F31+'17'!H31</f>
        <v>263.83</v>
      </c>
      <c r="I31" s="747">
        <f>Production2!H20</f>
        <v>1038.0300168375193</v>
      </c>
      <c r="J31" s="78">
        <f>Production2!N20</f>
        <v>1729</v>
      </c>
      <c r="K31" s="74">
        <f>J31+'17'!K31</f>
        <v>33134.29</v>
      </c>
      <c r="L31" s="74">
        <f>J31+'17'!L31</f>
        <v>33134.29</v>
      </c>
      <c r="M31" s="747">
        <f>Production2!K20</f>
        <v>2123.5</v>
      </c>
      <c r="N31" s="747">
        <f>M31+'17'!N31</f>
        <v>36479.25</v>
      </c>
      <c r="O31" s="747">
        <f>M31+'17'!O31</f>
        <v>36479.25</v>
      </c>
      <c r="P31" s="747">
        <f>I31+J31+J32-M31</f>
        <v>823.82001683751923</v>
      </c>
      <c r="Q31" s="96">
        <f t="shared" ref="Q31:Q46" si="6">J31/F31</f>
        <v>113.97495056031642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Production2!P20</f>
        <v>20</v>
      </c>
      <c r="G32" s="75">
        <f>F32+'17'!G32</f>
        <v>230.74</v>
      </c>
      <c r="H32" s="75">
        <f>F32+'17'!H32</f>
        <v>230.74</v>
      </c>
      <c r="I32" s="748"/>
      <c r="J32" s="77">
        <f>Production2!Q20</f>
        <v>180.29</v>
      </c>
      <c r="K32" s="74">
        <f>J32+'17'!K32</f>
        <v>2175.0499999999997</v>
      </c>
      <c r="L32" s="74">
        <f>J32+'17'!L32</f>
        <v>2175.0499999999997</v>
      </c>
      <c r="M32" s="748"/>
      <c r="N32" s="748"/>
      <c r="O32" s="748"/>
      <c r="P32" s="748"/>
      <c r="Q32" s="96">
        <f>J32/F32</f>
        <v>9.0145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Production2!S20</f>
        <v>16.2</v>
      </c>
      <c r="G33" s="75">
        <f>F33+'17'!G33</f>
        <v>261.48</v>
      </c>
      <c r="H33" s="75">
        <f>F33+'17'!H33</f>
        <v>261.48</v>
      </c>
      <c r="I33" s="77">
        <f>Production2!T20</f>
        <v>44.509999999999991</v>
      </c>
      <c r="J33" s="77">
        <f>Production2!U20</f>
        <v>220</v>
      </c>
      <c r="K33" s="74">
        <f>J33+'17'!K33</f>
        <v>3603</v>
      </c>
      <c r="L33" s="74">
        <f>J33+'17'!L33</f>
        <v>3603</v>
      </c>
      <c r="M33" s="77">
        <f>Production2!V20</f>
        <v>214</v>
      </c>
      <c r="N33" s="74">
        <f>M33+'17'!N33</f>
        <v>3568</v>
      </c>
      <c r="O33" s="74">
        <f>M33+'17'!O33</f>
        <v>3568</v>
      </c>
      <c r="P33" s="74">
        <f>I33+J33-M33</f>
        <v>50.509999999999991</v>
      </c>
      <c r="Q33" s="96">
        <f t="shared" si="6"/>
        <v>13.580246913580247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Production2!Y20</f>
        <v>24</v>
      </c>
      <c r="G34" s="75">
        <f>F34+'17'!G34</f>
        <v>330.27</v>
      </c>
      <c r="H34" s="75">
        <f>F34+'17'!H34</f>
        <v>330.27</v>
      </c>
      <c r="I34" s="77">
        <f>Clinker!EI20</f>
        <v>17012.920088577546</v>
      </c>
      <c r="J34" s="77">
        <f>Clinker!EJ20</f>
        <v>1370</v>
      </c>
      <c r="K34" s="74">
        <f>J34+'17'!K34</f>
        <v>23535</v>
      </c>
      <c r="L34" s="74">
        <f>J34+'17'!L34</f>
        <v>23535</v>
      </c>
      <c r="M34" s="77">
        <f>Clinker!EK20</f>
        <v>1306.2500003342998</v>
      </c>
      <c r="N34" s="74">
        <f>M34+'17'!N34</f>
        <v>9739.8700113834839</v>
      </c>
      <c r="O34" s="74">
        <f>M34+'17'!O34</f>
        <v>9739.8700113834839</v>
      </c>
      <c r="P34" s="74">
        <f>I34+J34-M34-I20</f>
        <v>17076.670088243245</v>
      </c>
      <c r="Q34" s="96">
        <f t="shared" si="6"/>
        <v>57.083333333333336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Production2!AE20</f>
        <v>0</v>
      </c>
      <c r="G35" s="75">
        <f>F35+'17'!G35</f>
        <v>9</v>
      </c>
      <c r="H35" s="75">
        <f>F35+'17'!H35</f>
        <v>9</v>
      </c>
      <c r="I35" s="77">
        <f>Production2!BJ20</f>
        <v>307.79999999999995</v>
      </c>
      <c r="J35" s="77">
        <f>Production2!AF20</f>
        <v>0</v>
      </c>
      <c r="K35" s="74">
        <f>J35+'17'!K35</f>
        <v>574</v>
      </c>
      <c r="L35" s="74">
        <f>J35+'17'!L35</f>
        <v>574</v>
      </c>
      <c r="M35" s="77">
        <f>Production2!BL20</f>
        <v>0</v>
      </c>
      <c r="N35" s="74">
        <f>M35+'17'!N35</f>
        <v>1498.5</v>
      </c>
      <c r="O35" s="74">
        <f>M35+'17'!O35</f>
        <v>1498.5</v>
      </c>
      <c r="P35" s="74">
        <f>I35+J35+J41-M35-F59</f>
        <v>307.79999999999995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Production2!AB20</f>
        <v>17.5</v>
      </c>
      <c r="G36" s="75">
        <f>F36+'17'!G36</f>
        <v>172.83</v>
      </c>
      <c r="H36" s="75">
        <f>F36+'17'!H36</f>
        <v>172.83</v>
      </c>
      <c r="I36" s="77">
        <f>Production2!BF20</f>
        <v>2837.2779999999798</v>
      </c>
      <c r="J36" s="77">
        <f>Production2!AC20</f>
        <v>1100</v>
      </c>
      <c r="K36" s="74">
        <f>J36+'17'!K36</f>
        <v>10487</v>
      </c>
      <c r="L36" s="74">
        <f>J36+'17'!L36</f>
        <v>10487</v>
      </c>
      <c r="M36" s="77">
        <f>Production2!BH20</f>
        <v>1078.75</v>
      </c>
      <c r="N36" s="74">
        <f>M36+'17'!N36</f>
        <v>25122.029999999995</v>
      </c>
      <c r="O36" s="74">
        <f>M36+'17'!O36</f>
        <v>25122.029999999995</v>
      </c>
      <c r="P36" s="74">
        <f>I36+J36+J42-M36-F57</f>
        <v>2858.5279999999798</v>
      </c>
      <c r="Q36" s="96">
        <f t="shared" si="6"/>
        <v>62.857142857142854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Production2!AH20</f>
        <v>0</v>
      </c>
      <c r="G37" s="75">
        <f>F37+'17'!G37</f>
        <v>0</v>
      </c>
      <c r="H37" s="75">
        <f>F37+'17'!H37</f>
        <v>0</v>
      </c>
      <c r="I37" s="77">
        <f>Production2!BN20</f>
        <v>2.0900000000008498</v>
      </c>
      <c r="J37" s="77">
        <f>Production2!AI20</f>
        <v>0</v>
      </c>
      <c r="K37" s="74">
        <f>J37+'17'!K37</f>
        <v>0</v>
      </c>
      <c r="L37" s="74">
        <f>J37+'17'!L37</f>
        <v>0</v>
      </c>
      <c r="M37" s="77">
        <f>Production2!BP20</f>
        <v>0</v>
      </c>
      <c r="N37" s="74">
        <f>M37+'17'!N37</f>
        <v>-0.15</v>
      </c>
      <c r="O37" s="516">
        <f>M37+'17'!O37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Production2!AK20</f>
        <v>0</v>
      </c>
      <c r="G38" s="523">
        <f>F38+'17'!G38</f>
        <v>0</v>
      </c>
      <c r="H38" s="523">
        <f>F38+'17'!H38</f>
        <v>0</v>
      </c>
      <c r="I38" s="195">
        <f>Production2!BR20</f>
        <v>249.3</v>
      </c>
      <c r="J38" s="195">
        <f>Production2!AL20</f>
        <v>0</v>
      </c>
      <c r="K38" s="516">
        <f>J38+'17'!K38</f>
        <v>0</v>
      </c>
      <c r="L38" s="516">
        <f>J38+'17'!L38</f>
        <v>0</v>
      </c>
      <c r="M38" s="195">
        <f>Production2!BT20</f>
        <v>0</v>
      </c>
      <c r="N38" s="516">
        <f>M38+'17'!N38</f>
        <v>1454</v>
      </c>
      <c r="O38" s="516">
        <f>M38+'17'!O38</f>
        <v>1454</v>
      </c>
      <c r="P38" s="74">
        <f>I38+J38+J44-M38-F60</f>
        <v>249.3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20" t="s">
        <v>306</v>
      </c>
      <c r="E39" s="524">
        <v>78</v>
      </c>
      <c r="F39" s="522">
        <f>Production2!AN20</f>
        <v>6.5</v>
      </c>
      <c r="G39" s="523">
        <f>F39+'17'!G39</f>
        <v>33.85</v>
      </c>
      <c r="H39" s="523">
        <f>F39+'17'!H39</f>
        <v>33.85</v>
      </c>
      <c r="I39" s="519">
        <f>Production2!BV20</f>
        <v>285.4700000000002</v>
      </c>
      <c r="J39" s="519">
        <f>Production2!AO20</f>
        <v>412</v>
      </c>
      <c r="K39" s="516">
        <f>J39+'17'!K39</f>
        <v>2132</v>
      </c>
      <c r="L39" s="516">
        <f>J39+'17'!L39</f>
        <v>2132</v>
      </c>
      <c r="M39" s="77">
        <f>Production2!BX20</f>
        <v>90</v>
      </c>
      <c r="N39" s="516">
        <f>M39+'17'!N39</f>
        <v>3687.2400000000007</v>
      </c>
      <c r="O39" s="516">
        <f>M39+'17'!O39</f>
        <v>3687.2400000000007</v>
      </c>
      <c r="P39" s="516">
        <f>I39+J39+J45-M39</f>
        <v>882.47000000000025</v>
      </c>
      <c r="Q39" s="96">
        <f t="shared" si="6"/>
        <v>63.384615384615387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24</v>
      </c>
      <c r="G40" s="132">
        <f t="shared" ref="G40:H40" si="7">G35+G36+G37+G38+G39</f>
        <v>215.68</v>
      </c>
      <c r="H40" s="132">
        <f t="shared" si="7"/>
        <v>215.68</v>
      </c>
      <c r="I40" s="122">
        <f>I35+I36+I37+I38+I39</f>
        <v>3681.937999999981</v>
      </c>
      <c r="J40" s="521">
        <f t="shared" ref="J40:P40" si="8">J35+J36+J37+J38+J39</f>
        <v>1512</v>
      </c>
      <c r="K40" s="521">
        <f t="shared" si="8"/>
        <v>13193</v>
      </c>
      <c r="L40" s="521">
        <f t="shared" si="8"/>
        <v>13193</v>
      </c>
      <c r="M40" s="521">
        <f t="shared" si="8"/>
        <v>1168.75</v>
      </c>
      <c r="N40" s="521">
        <f t="shared" si="8"/>
        <v>31761.619999999995</v>
      </c>
      <c r="O40" s="521">
        <f t="shared" si="8"/>
        <v>31761.619999999995</v>
      </c>
      <c r="P40" s="521">
        <f t="shared" si="8"/>
        <v>4300.187999999981</v>
      </c>
      <c r="Q40" s="123">
        <f t="shared" si="6"/>
        <v>63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Production2!AT20</f>
        <v>0</v>
      </c>
      <c r="G41" s="75">
        <f>F41+'17'!G41</f>
        <v>16.399999999999999</v>
      </c>
      <c r="H41" s="75">
        <f>F41+'17'!H41</f>
        <v>16.399999999999999</v>
      </c>
      <c r="I41" s="764"/>
      <c r="J41" s="77">
        <f>Production2!AU20</f>
        <v>0</v>
      </c>
      <c r="K41" s="74">
        <f>J41+'17'!K41</f>
        <v>1000</v>
      </c>
      <c r="L41" s="74">
        <f>J41+'17'!L41</f>
        <v>1000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Production2!AQ20</f>
        <v>0</v>
      </c>
      <c r="G42" s="75">
        <f>F42+'17'!G42</f>
        <v>278.02000000000004</v>
      </c>
      <c r="H42" s="75">
        <f>F42+'17'!H42</f>
        <v>278.02000000000004</v>
      </c>
      <c r="I42" s="765"/>
      <c r="J42" s="77">
        <f>Production2!AR20</f>
        <v>0</v>
      </c>
      <c r="K42" s="74">
        <f>J42+'17'!K42</f>
        <v>16215</v>
      </c>
      <c r="L42" s="74">
        <f>J42+'17'!L42</f>
        <v>16215</v>
      </c>
      <c r="M42" s="769"/>
      <c r="N42" s="770"/>
      <c r="O42" s="770"/>
      <c r="P42" s="771"/>
      <c r="Q42" s="96" t="e">
        <f t="shared" si="6"/>
        <v>#DIV/0!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Production2!AW20</f>
        <v>0</v>
      </c>
      <c r="G43" s="75">
        <f>F43+'17'!G43</f>
        <v>0</v>
      </c>
      <c r="H43" s="75">
        <f>F43+'17'!H43</f>
        <v>0</v>
      </c>
      <c r="I43" s="765"/>
      <c r="J43" s="77">
        <f>Production2!AX20</f>
        <v>0</v>
      </c>
      <c r="K43" s="74">
        <f>J43+'17'!K43</f>
        <v>0</v>
      </c>
      <c r="L43" s="74">
        <f>J43+'17'!L43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Production2!AZ20</f>
        <v>0</v>
      </c>
      <c r="G44" s="75">
        <f>F44+'17'!G44</f>
        <v>26.880000000000003</v>
      </c>
      <c r="H44" s="75">
        <f>F44+'17'!H44</f>
        <v>26.880000000000003</v>
      </c>
      <c r="I44" s="748"/>
      <c r="J44" s="195">
        <f>Production2!BA20</f>
        <v>0</v>
      </c>
      <c r="K44" s="74">
        <f>J44+'17'!K44</f>
        <v>1490</v>
      </c>
      <c r="L44" s="74">
        <f>J44+'17'!L44</f>
        <v>1490</v>
      </c>
      <c r="M44" s="772"/>
      <c r="N44" s="773"/>
      <c r="O44" s="773"/>
      <c r="P44" s="774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20" t="s">
        <v>306</v>
      </c>
      <c r="E45" s="524">
        <v>70</v>
      </c>
      <c r="F45" s="522">
        <f>Production2!BC20</f>
        <v>5</v>
      </c>
      <c r="G45" s="523">
        <f>F45+'17'!G45</f>
        <v>34.39</v>
      </c>
      <c r="H45" s="523">
        <f>F45+'17'!H45</f>
        <v>34.39</v>
      </c>
      <c r="I45" s="515"/>
      <c r="J45" s="519">
        <f>Production2!BD20</f>
        <v>275</v>
      </c>
      <c r="K45" s="516">
        <f>J45+'17'!K45</f>
        <v>2064</v>
      </c>
      <c r="L45" s="516">
        <f>J45+'17'!L45</f>
        <v>2064</v>
      </c>
      <c r="M45" s="517"/>
      <c r="N45" s="525"/>
      <c r="O45" s="525"/>
      <c r="P45" s="518"/>
      <c r="Q45" s="96">
        <f t="shared" si="6"/>
        <v>55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5</v>
      </c>
      <c r="G46" s="132">
        <f t="shared" ref="G46:H46" si="9">G41+G42+G43+G44+G45</f>
        <v>355.69</v>
      </c>
      <c r="H46" s="132">
        <f t="shared" si="9"/>
        <v>355.69</v>
      </c>
      <c r="I46" s="122">
        <f t="shared" ref="I46" si="10">I41+I42+I43+I44</f>
        <v>0</v>
      </c>
      <c r="J46" s="122">
        <f>J41+J42+J43+J44+J45</f>
        <v>275</v>
      </c>
      <c r="K46" s="521">
        <f t="shared" ref="K46:L46" si="11">K41+K42+K43+K44+K45</f>
        <v>20769</v>
      </c>
      <c r="L46" s="521">
        <f t="shared" si="11"/>
        <v>20769</v>
      </c>
      <c r="M46" s="836"/>
      <c r="N46" s="837"/>
      <c r="O46" s="837"/>
      <c r="P46" s="838"/>
      <c r="Q46" s="123">
        <f t="shared" si="6"/>
        <v>55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0.56629246060869642</v>
      </c>
      <c r="F50" s="99">
        <f>F53/(J31+J32)</f>
        <v>24.700805011286917</v>
      </c>
      <c r="G50" s="99">
        <f>G53/J32</f>
        <v>0</v>
      </c>
      <c r="H50" s="99">
        <f>H53/J34</f>
        <v>37.65693430656934</v>
      </c>
      <c r="I50" s="99">
        <f>I53/J33</f>
        <v>65.150000000000006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15.62043795620438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0.85687902981155306</v>
      </c>
      <c r="F51" s="102">
        <f>F50*1.55</f>
        <v>38.286247767494721</v>
      </c>
      <c r="G51" s="102">
        <f>G50*1.55</f>
        <v>0</v>
      </c>
      <c r="H51" s="102">
        <f>H50</f>
        <v>37.65693430656934</v>
      </c>
      <c r="I51" s="102">
        <f>I50*(Q50/100)</f>
        <v>10.176715328467155</v>
      </c>
      <c r="J51" s="102"/>
      <c r="K51" s="102"/>
      <c r="L51" s="102"/>
      <c r="M51" s="96"/>
      <c r="N51" s="310">
        <f>SUM(E51:I51)</f>
        <v>86.97677643234276</v>
      </c>
      <c r="O51" s="668" t="s">
        <v>279</v>
      </c>
      <c r="P51" s="668"/>
      <c r="Q51" s="104">
        <v>5322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0.62635603412299701</v>
      </c>
      <c r="F52" s="102">
        <f>F51*M18/100</f>
        <v>27.986240156177427</v>
      </c>
      <c r="G52" s="102">
        <f>G51*M18/100</f>
        <v>0</v>
      </c>
      <c r="H52" s="102">
        <f>H51*M18/100</f>
        <v>27.526228567736375</v>
      </c>
      <c r="I52" s="102">
        <f>I51*M18/100</f>
        <v>7.4389112485799078</v>
      </c>
      <c r="J52" s="99">
        <f>J53/(J40+J46)</f>
        <v>45.132624510352549</v>
      </c>
      <c r="K52" s="99">
        <f>K53/(J46+J40)</f>
        <v>1.0027979854504756</v>
      </c>
      <c r="L52" s="99">
        <f>L53/(M40)</f>
        <v>4.90524064171123</v>
      </c>
      <c r="M52" s="96">
        <f>M53/(J46+J40)</f>
        <v>2.5803021824286514</v>
      </c>
      <c r="N52" s="310">
        <f>SUM(E52:M52)</f>
        <v>117.1987013265596</v>
      </c>
      <c r="O52" s="668" t="s">
        <v>281</v>
      </c>
      <c r="P52" s="668"/>
      <c r="Q52" s="104">
        <f>Q51*Q50/100</f>
        <v>831.31970802919705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unit'!B20</f>
        <v>1250</v>
      </c>
      <c r="F53" s="118">
        <f>'Daily unit'!C20</f>
        <v>47161</v>
      </c>
      <c r="G53" s="118">
        <f>'Daily unit'!D20</f>
        <v>0</v>
      </c>
      <c r="H53" s="118">
        <f>'Daily unit'!E20</f>
        <v>51590</v>
      </c>
      <c r="I53" s="118">
        <f>'Daily unit'!F20</f>
        <v>14333</v>
      </c>
      <c r="J53" s="118">
        <f>'Daily unit'!G20</f>
        <v>80652</v>
      </c>
      <c r="K53" s="118">
        <f>'Daily unit'!H20</f>
        <v>1792</v>
      </c>
      <c r="L53" s="118">
        <f>'Daily unit'!I20</f>
        <v>5733</v>
      </c>
      <c r="M53" s="119">
        <f>'Daily unit'!J20</f>
        <v>4611</v>
      </c>
      <c r="N53" s="321">
        <f>SUM(E53:M53)</f>
        <v>207122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804" t="s">
        <v>283</v>
      </c>
      <c r="C55" s="782"/>
      <c r="D55" s="782"/>
      <c r="E55" s="782"/>
      <c r="F55" s="782"/>
      <c r="G55" s="782"/>
      <c r="H55" s="78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187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cement'!F20</f>
        <v>0</v>
      </c>
      <c r="G57" s="53">
        <f>F57+'17'!G57</f>
        <v>0</v>
      </c>
      <c r="H57" s="77">
        <f>F57+'17'!H57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cement'!Q20</f>
        <v>0</v>
      </c>
      <c r="G58" s="53">
        <f>F58+'17'!G58</f>
        <v>0</v>
      </c>
      <c r="H58" s="77">
        <f>F58+'17'!H58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.75" customHeight="1" x14ac:dyDescent="0.25">
      <c r="B59" s="754"/>
      <c r="C59" s="799"/>
      <c r="D59" s="800"/>
      <c r="E59" s="80">
        <v>32.5</v>
      </c>
      <c r="F59" s="53">
        <f>'Internal use cement'!AB20</f>
        <v>0</v>
      </c>
      <c r="G59" s="53">
        <f>F59+'17'!G59</f>
        <v>0</v>
      </c>
      <c r="H59" s="77">
        <f>F59+'17'!H59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cement'!AJ20</f>
        <v>0</v>
      </c>
      <c r="G60" s="53">
        <f>F60+'17'!G60</f>
        <v>0</v>
      </c>
      <c r="H60" s="77">
        <f>F60+'17'!H60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6">
    <mergeCell ref="I55:Q60"/>
    <mergeCell ref="C57:D60"/>
    <mergeCell ref="B57:B60"/>
    <mergeCell ref="C21:D21"/>
    <mergeCell ref="B41:B46"/>
    <mergeCell ref="C41:C46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O51:P51"/>
    <mergeCell ref="I41:I44"/>
    <mergeCell ref="M41:P44"/>
    <mergeCell ref="M46:P46"/>
    <mergeCell ref="B35:B40"/>
    <mergeCell ref="C35:C40"/>
    <mergeCell ref="B48:N48"/>
    <mergeCell ref="O48:Q48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C8:Q8"/>
    <mergeCell ref="C11:D11"/>
    <mergeCell ref="C12:D12"/>
    <mergeCell ref="C13:D13"/>
    <mergeCell ref="P13:Q13"/>
    <mergeCell ref="O9:O16"/>
    <mergeCell ref="C10:D10"/>
    <mergeCell ref="Q6:Q7"/>
    <mergeCell ref="C9:D9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C33:D33"/>
    <mergeCell ref="C34:D34"/>
    <mergeCell ref="C17:Q17"/>
    <mergeCell ref="C32:D32"/>
    <mergeCell ref="I31:I32"/>
    <mergeCell ref="M31:M32"/>
    <mergeCell ref="N31:N32"/>
    <mergeCell ref="O31:O32"/>
    <mergeCell ref="P31:P32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C52:D52"/>
    <mergeCell ref="O52:P52"/>
    <mergeCell ref="C53:D53"/>
    <mergeCell ref="C30:D30"/>
    <mergeCell ref="C31:D31"/>
  </mergeCells>
  <pageMargins left="0.25" right="0.25" top="0.75" bottom="0.75" header="0.3" footer="0.3"/>
  <pageSetup paperSize="9" scale="5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A45" sqref="A45:XFD4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331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'18'!L9</f>
        <v>16953.551704118814</v>
      </c>
      <c r="F9" s="74">
        <f>Production2!D21</f>
        <v>3652.06</v>
      </c>
      <c r="G9" s="74">
        <f>F9+'18'!G9</f>
        <v>42008.020000000004</v>
      </c>
      <c r="H9" s="74">
        <f>F9+'18'!H9</f>
        <v>42008.020000000004</v>
      </c>
      <c r="I9" s="74">
        <f>Production2!E21</f>
        <v>1991</v>
      </c>
      <c r="J9" s="74">
        <f>I9+'18'!J9</f>
        <v>40215</v>
      </c>
      <c r="K9" s="74">
        <f>I9+'18'!K9</f>
        <v>40215</v>
      </c>
      <c r="L9" s="74">
        <f>E9+F9-I9-I21</f>
        <v>18463.311704118816</v>
      </c>
      <c r="M9" s="75">
        <f>I9</f>
        <v>1991</v>
      </c>
      <c r="N9" s="75">
        <f>(I9/I13)*100</f>
        <v>97.93408755533693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(2)'!L21</f>
        <v>441.5999999999998</v>
      </c>
      <c r="F10" s="77">
        <f>'Mines (2)'!M21</f>
        <v>61.34</v>
      </c>
      <c r="G10" s="74">
        <f>F10+'18'!G10</f>
        <v>475.90000000000009</v>
      </c>
      <c r="H10" s="74">
        <f>F10+'18'!H10</f>
        <v>475.90000000000009</v>
      </c>
      <c r="I10" s="77">
        <f>'Mines (2)'!N21</f>
        <v>0</v>
      </c>
      <c r="J10" s="74">
        <f>I10+'18'!J10</f>
        <v>97</v>
      </c>
      <c r="K10" s="74">
        <f>I10+'18'!K10</f>
        <v>97</v>
      </c>
      <c r="L10" s="77">
        <f t="shared" ref="L10:L16" si="0">E10+F10-I10</f>
        <v>502.93999999999983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Clinker!C21</f>
        <v>4563.6399999999994</v>
      </c>
      <c r="F11" s="77">
        <f>Clinker!D21</f>
        <v>0</v>
      </c>
      <c r="G11" s="74">
        <f>F11+'18'!G11</f>
        <v>0</v>
      </c>
      <c r="H11" s="74">
        <f>F11+'18'!H11</f>
        <v>0</v>
      </c>
      <c r="I11" s="77">
        <f>Clinker!E21</f>
        <v>42</v>
      </c>
      <c r="J11" s="74">
        <f>I11+'18'!J11</f>
        <v>844</v>
      </c>
      <c r="K11" s="74">
        <f>I11+'18'!K11</f>
        <v>844</v>
      </c>
      <c r="L11" s="77">
        <f t="shared" si="0"/>
        <v>4521.6399999999994</v>
      </c>
      <c r="M11" s="75">
        <f t="shared" si="1"/>
        <v>42</v>
      </c>
      <c r="N11" s="75">
        <f>(I11/I13)*100</f>
        <v>2.0659124446630592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(2)'!Q21</f>
        <v>513.28</v>
      </c>
      <c r="F12" s="77">
        <f>'Mines (2)'!R21</f>
        <v>92.54</v>
      </c>
      <c r="G12" s="74">
        <f>F12+'18'!G12</f>
        <v>92.54</v>
      </c>
      <c r="H12" s="74">
        <f>F12+'18'!H12</f>
        <v>92.54</v>
      </c>
      <c r="I12" s="77">
        <f>'Mines (2)'!S21</f>
        <v>0</v>
      </c>
      <c r="J12" s="74">
        <f>I12+'18'!J12</f>
        <v>87</v>
      </c>
      <c r="K12" s="74">
        <f>I12+'18'!K12</f>
        <v>87</v>
      </c>
      <c r="L12" s="77">
        <f t="shared" si="0"/>
        <v>605.81999999999994</v>
      </c>
      <c r="M12" s="75">
        <f t="shared" si="1"/>
        <v>0</v>
      </c>
      <c r="N12" s="75">
        <f>(I12/I13)*100</f>
        <v>0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22472.071704118811</v>
      </c>
      <c r="F13" s="127">
        <f t="shared" si="2"/>
        <v>3805.94</v>
      </c>
      <c r="G13" s="127">
        <f t="shared" si="2"/>
        <v>42576.460000000006</v>
      </c>
      <c r="H13" s="127">
        <f t="shared" si="2"/>
        <v>42576.460000000006</v>
      </c>
      <c r="I13" s="127">
        <f t="shared" si="2"/>
        <v>2033</v>
      </c>
      <c r="J13" s="127">
        <f t="shared" si="2"/>
        <v>41243</v>
      </c>
      <c r="K13" s="127">
        <f t="shared" si="2"/>
        <v>41243</v>
      </c>
      <c r="L13" s="127">
        <f t="shared" si="0"/>
        <v>24245.01170411881</v>
      </c>
      <c r="M13" s="128">
        <f>SUM(M9:M12)</f>
        <v>2033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Clinker!EA21</f>
        <v>11849.456999999991</v>
      </c>
      <c r="F14" s="77">
        <f>Clinker!EB21</f>
        <v>0</v>
      </c>
      <c r="G14" s="77">
        <f>F14+'18'!G14</f>
        <v>181.5</v>
      </c>
      <c r="H14" s="77">
        <f>F14+'18'!H14</f>
        <v>181.5</v>
      </c>
      <c r="I14" s="77">
        <f>Clinker!EC21</f>
        <v>215</v>
      </c>
      <c r="J14" s="77">
        <f>I14+'18'!J14</f>
        <v>4218.3100000000004</v>
      </c>
      <c r="K14" s="77">
        <f>I14+'18'!K14</f>
        <v>4218.3100000000004</v>
      </c>
      <c r="L14" s="77">
        <f>E14+F14-I14-Clinker!N21-Clinker!Z21-Clinker!AR21-Clinker!AW21-Clinker!BB21-Clinker!BV21-Clinker!BG21-Clinker!BL21-Clinker!BQ21-Clinker!CU21-Clinker!DO21</f>
        <v>11634.456999999991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Clinker!EE21</f>
        <v>10771.699999999997</v>
      </c>
      <c r="F15" s="77">
        <f>Clinker!EF21</f>
        <v>0</v>
      </c>
      <c r="G15" s="77">
        <f>F15+'18'!G15</f>
        <v>155.05000000000001</v>
      </c>
      <c r="H15" s="77">
        <f>F15+'18'!H15</f>
        <v>155.05000000000001</v>
      </c>
      <c r="I15" s="77">
        <f>Clinker!EG21</f>
        <v>132</v>
      </c>
      <c r="J15" s="77">
        <f>I15+'18'!J15</f>
        <v>2464</v>
      </c>
      <c r="K15" s="77">
        <f>I15+'18'!K15</f>
        <v>2464</v>
      </c>
      <c r="L15" s="77">
        <f>E15+F15-Clinker!T21-Clinker!AE21-Clinker!AI21-Clinker!CF21-Clinker!CP21-Clinker!CF21</f>
        <v>10639.699999999997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22621.156999999988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>I14+I15</f>
        <v>347</v>
      </c>
      <c r="J16" s="125">
        <f>J14+J15</f>
        <v>6682.31</v>
      </c>
      <c r="K16" s="125">
        <f t="shared" si="3"/>
        <v>6682.31</v>
      </c>
      <c r="L16" s="125">
        <f t="shared" si="0"/>
        <v>22274.156999999988</v>
      </c>
      <c r="M16" s="126"/>
      <c r="N16" s="126"/>
      <c r="O16" s="667"/>
      <c r="P16" s="131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Clinker!EI21</f>
        <v>17076.670088243245</v>
      </c>
      <c r="F18" s="74">
        <f>Clinker!EJ21</f>
        <v>1260</v>
      </c>
      <c r="G18" s="74">
        <f>F18+'18'!G18</f>
        <v>24795</v>
      </c>
      <c r="H18" s="74">
        <f>F18+'18'!H18</f>
        <v>24795</v>
      </c>
      <c r="I18" s="74">
        <f>Clinker!EK21</f>
        <v>0</v>
      </c>
      <c r="J18" s="74">
        <f>I18+'18'!J18</f>
        <v>9739.8700113834839</v>
      </c>
      <c r="K18" s="74">
        <f>I18+'18'!K18</f>
        <v>9739.8700113834839</v>
      </c>
      <c r="L18" s="74">
        <f>E18+F18-I18-I20</f>
        <v>18336.670088243245</v>
      </c>
      <c r="M18" s="75">
        <f>((I18+I19)/(J40+J46))*100</f>
        <v>78</v>
      </c>
      <c r="N18" s="687"/>
      <c r="O18" s="689"/>
      <c r="P18" s="691"/>
      <c r="Q18" s="692"/>
      <c r="R18" s="20"/>
      <c r="S18" s="20"/>
    </row>
    <row r="19" spans="2:19" ht="45" x14ac:dyDescent="0.25">
      <c r="B19" s="677"/>
      <c r="C19" s="685"/>
      <c r="D19" s="85" t="s">
        <v>75</v>
      </c>
      <c r="E19" s="74">
        <f>Clinker!EN21</f>
        <v>2860.0690080001359</v>
      </c>
      <c r="F19" s="74">
        <f>Clinker!EO21</f>
        <v>0</v>
      </c>
      <c r="G19" s="74">
        <f>F19+'18'!G19</f>
        <v>10250.420000000002</v>
      </c>
      <c r="H19" s="74">
        <f>F19+'18'!H19</f>
        <v>10250.420000000002</v>
      </c>
      <c r="I19" s="74">
        <f>Clinker!EP21</f>
        <v>694.2</v>
      </c>
      <c r="J19" s="74">
        <f>I19+'18'!J19</f>
        <v>16934.099999999999</v>
      </c>
      <c r="K19" s="74">
        <f>I19+'18'!K19</f>
        <v>16934.099999999999</v>
      </c>
      <c r="L19" s="74">
        <f>E19+F19-I19</f>
        <v>2165.8690080001361</v>
      </c>
      <c r="M19" s="75"/>
      <c r="N19" s="687"/>
      <c r="O19" s="689"/>
      <c r="P19" s="691"/>
      <c r="Q19" s="692"/>
      <c r="R19" s="19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Clinker!EM21</f>
        <v>0</v>
      </c>
      <c r="G20" s="74">
        <f>F20+'18'!G20</f>
        <v>0</v>
      </c>
      <c r="H20" s="74">
        <f>F20+'18'!H20</f>
        <v>0</v>
      </c>
      <c r="I20" s="77">
        <f>Clinker!EM21</f>
        <v>0</v>
      </c>
      <c r="J20" s="74">
        <f>I20+'18'!J20</f>
        <v>0</v>
      </c>
      <c r="K20" s="74">
        <f>I20+'18'!K20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>
        <f>Cement!O21</f>
        <v>0</v>
      </c>
      <c r="F21" s="77">
        <f>Cement!P21</f>
        <v>0</v>
      </c>
      <c r="G21" s="74">
        <f>F21+'18'!G21</f>
        <v>0</v>
      </c>
      <c r="H21" s="74">
        <f>F21+'18'!H21</f>
        <v>0</v>
      </c>
      <c r="I21" s="77">
        <f>Cement!Q21</f>
        <v>151.3000000000001</v>
      </c>
      <c r="J21" s="74">
        <f>I21+'18'!J21</f>
        <v>6434.5799930650173</v>
      </c>
      <c r="K21" s="74">
        <f>I21+'18'!K21</f>
        <v>6434.5799930650173</v>
      </c>
      <c r="L21" s="74"/>
      <c r="M21" s="78">
        <f>(I21/(J40+J46))*100</f>
        <v>17.000000000000011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Cement!C21</f>
        <v>7482.2100635982797</v>
      </c>
      <c r="F22" s="77">
        <f>Cement!D21</f>
        <v>0</v>
      </c>
      <c r="G22" s="74">
        <f>F22+'18'!G22</f>
        <v>1735.78</v>
      </c>
      <c r="H22" s="74">
        <f>F22+'18'!H22</f>
        <v>1735.78</v>
      </c>
      <c r="I22" s="77">
        <f>Cement!E21</f>
        <v>44.5</v>
      </c>
      <c r="J22" s="74">
        <f>I22+'18'!J22</f>
        <v>1743.4499955514996</v>
      </c>
      <c r="K22" s="74">
        <f>I22+'18'!K22</f>
        <v>1743.4499955514996</v>
      </c>
      <c r="L22" s="74">
        <f t="shared" ref="L22:L24" si="4">E22+F22-I22</f>
        <v>7437.7100635982797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Cement!G21</f>
        <v>0.23999999999796273</v>
      </c>
      <c r="F23" s="77">
        <f>Cement!H21</f>
        <v>0</v>
      </c>
      <c r="G23" s="74">
        <f>F23+'18'!G23</f>
        <v>0</v>
      </c>
      <c r="H23" s="74">
        <f>F23+'18'!H23</f>
        <v>0</v>
      </c>
      <c r="I23" s="77">
        <f>Cement!I21</f>
        <v>0</v>
      </c>
      <c r="J23" s="74">
        <f>I23+'18'!J23</f>
        <v>0</v>
      </c>
      <c r="K23" s="74">
        <f>I23+'18'!K23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Cement!K21</f>
        <v>0</v>
      </c>
      <c r="F24" s="77">
        <f>Cement!L21</f>
        <v>0</v>
      </c>
      <c r="G24" s="74">
        <f>F24+'18'!G24</f>
        <v>0</v>
      </c>
      <c r="H24" s="74">
        <f>F24+'18'!H24</f>
        <v>0</v>
      </c>
      <c r="I24" s="77">
        <f>Cement!M21</f>
        <v>0</v>
      </c>
      <c r="J24" s="74">
        <f>I24+'18'!J24</f>
        <v>0</v>
      </c>
      <c r="K24" s="74">
        <f>I24+'18'!K24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27419.189159841659</v>
      </c>
      <c r="F25" s="122">
        <f t="shared" ref="F25:L25" si="5">F18+F19+F21+F22+F23+F24</f>
        <v>1260</v>
      </c>
      <c r="G25" s="122">
        <f t="shared" si="5"/>
        <v>36781.199999999997</v>
      </c>
      <c r="H25" s="122">
        <f t="shared" si="5"/>
        <v>36781.199999999997</v>
      </c>
      <c r="I25" s="122">
        <f t="shared" si="5"/>
        <v>890.00000000000011</v>
      </c>
      <c r="J25" s="122">
        <f t="shared" si="5"/>
        <v>34852</v>
      </c>
      <c r="K25" s="122">
        <f t="shared" si="5"/>
        <v>34852</v>
      </c>
      <c r="L25" s="122">
        <f t="shared" si="5"/>
        <v>27940.489159841658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Production2!C21</f>
        <v>20.8</v>
      </c>
      <c r="G30" s="75">
        <f>F30+'18'!G30</f>
        <v>251.6</v>
      </c>
      <c r="H30" s="75">
        <f>F30+'18'!H30</f>
        <v>251.6</v>
      </c>
      <c r="I30" s="74">
        <f>'Mines (2)'!C21+'Mines (2)'!H21+'Mines (2)'!V21+'Mines (2)'!Z21+'Mines (2)'!AD21</f>
        <v>16953.551704118821</v>
      </c>
      <c r="J30" s="74">
        <f>Production2!D21</f>
        <v>3652.06</v>
      </c>
      <c r="K30" s="74">
        <f>J30+'18'!K30</f>
        <v>42008.020000000004</v>
      </c>
      <c r="L30" s="74">
        <f>J30+'18'!L30</f>
        <v>42008.020000000004</v>
      </c>
      <c r="M30" s="74">
        <f>I9+I21</f>
        <v>2142.3000000000002</v>
      </c>
      <c r="N30" s="74">
        <f>M30+'18'!N30</f>
        <v>46649.579993065017</v>
      </c>
      <c r="O30" s="74">
        <f>M30+'18'!O30</f>
        <v>46649.579993065017</v>
      </c>
      <c r="P30" s="74">
        <f>I30+J30-M30</f>
        <v>18463.311704118823</v>
      </c>
      <c r="Q30" s="93">
        <f>J30/F30</f>
        <v>175.5798076923077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Production2!G21</f>
        <v>17</v>
      </c>
      <c r="G31" s="75">
        <f>F31+'18'!G31</f>
        <v>280.83</v>
      </c>
      <c r="H31" s="75">
        <f>F31+'18'!H31</f>
        <v>280.83</v>
      </c>
      <c r="I31" s="747">
        <f>Production2!H21</f>
        <v>823.82001683751923</v>
      </c>
      <c r="J31" s="78">
        <f>Production2!N21</f>
        <v>1730</v>
      </c>
      <c r="K31" s="74">
        <f>J31+'18'!K31</f>
        <v>34864.29</v>
      </c>
      <c r="L31" s="74">
        <f>J31+'18'!L31</f>
        <v>34864.29</v>
      </c>
      <c r="M31" s="747">
        <f>Production2!K21</f>
        <v>1953</v>
      </c>
      <c r="N31" s="747">
        <f>M31+'18'!N31</f>
        <v>38432.25</v>
      </c>
      <c r="O31" s="747">
        <f>M31+'18'!O31</f>
        <v>38432.25</v>
      </c>
      <c r="P31" s="747">
        <f>I31+J31+J32-M31</f>
        <v>701.78001683751927</v>
      </c>
      <c r="Q31" s="96">
        <f t="shared" ref="Q31:Q46" si="6">J31/F31</f>
        <v>101.76470588235294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Production2!P21</f>
        <v>14.42</v>
      </c>
      <c r="G32" s="75">
        <f>F32+'18'!G32</f>
        <v>245.16</v>
      </c>
      <c r="H32" s="75">
        <f>F32+'18'!H32</f>
        <v>245.16</v>
      </c>
      <c r="I32" s="748"/>
      <c r="J32" s="77">
        <f>Production2!Q21</f>
        <v>100.96</v>
      </c>
      <c r="K32" s="74">
        <f>J32+'18'!K32</f>
        <v>2276.0099999999998</v>
      </c>
      <c r="L32" s="74">
        <f>J32+'18'!L32</f>
        <v>2276.0099999999998</v>
      </c>
      <c r="M32" s="748"/>
      <c r="N32" s="748"/>
      <c r="O32" s="748"/>
      <c r="P32" s="748"/>
      <c r="Q32" s="96">
        <f>J32/F32</f>
        <v>7.0013869625520107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Production2!S21</f>
        <v>14.27</v>
      </c>
      <c r="G33" s="75">
        <f>F33+'18'!G33</f>
        <v>275.75</v>
      </c>
      <c r="H33" s="75">
        <f>F33+'18'!H33</f>
        <v>275.75</v>
      </c>
      <c r="I33" s="77">
        <f>Production2!T21</f>
        <v>50.509999999999991</v>
      </c>
      <c r="J33" s="77">
        <f>Production2!U21</f>
        <v>193.5</v>
      </c>
      <c r="K33" s="74">
        <f>J33+'18'!K33</f>
        <v>3796.5</v>
      </c>
      <c r="L33" s="74">
        <f>J33+'18'!L33</f>
        <v>3796.5</v>
      </c>
      <c r="M33" s="78">
        <f>Production2!V21</f>
        <v>190</v>
      </c>
      <c r="N33" s="74">
        <f>M33+'18'!N33</f>
        <v>3758</v>
      </c>
      <c r="O33" s="74">
        <f>M33+'18'!O33</f>
        <v>3758</v>
      </c>
      <c r="P33" s="74">
        <f t="shared" ref="P33" si="7">I33+J33-M33</f>
        <v>54.009999999999991</v>
      </c>
      <c r="Q33" s="96">
        <f t="shared" si="6"/>
        <v>13.559915907498249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Production2!Y21</f>
        <v>24</v>
      </c>
      <c r="G34" s="75">
        <f>F34+'18'!G34</f>
        <v>354.27</v>
      </c>
      <c r="H34" s="75">
        <f>F34+'18'!H34</f>
        <v>354.27</v>
      </c>
      <c r="I34" s="77">
        <f>Clinker!EI21</f>
        <v>17076.670088243245</v>
      </c>
      <c r="J34" s="77">
        <f>Clinker!EJ21</f>
        <v>1260</v>
      </c>
      <c r="K34" s="74">
        <f>J34+'18'!K34</f>
        <v>24795</v>
      </c>
      <c r="L34" s="74">
        <f>J34+'18'!L34</f>
        <v>24795</v>
      </c>
      <c r="M34" s="77">
        <f>Clinker!EK21</f>
        <v>0</v>
      </c>
      <c r="N34" s="74">
        <f>M34+'18'!N34</f>
        <v>9739.8700113834839</v>
      </c>
      <c r="O34" s="74">
        <f>M34+'18'!O34</f>
        <v>9739.8700113834839</v>
      </c>
      <c r="P34" s="74">
        <f>I34+J34-M34-I20</f>
        <v>18336.670088243245</v>
      </c>
      <c r="Q34" s="96">
        <f t="shared" si="6"/>
        <v>52.5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Production2!AE21</f>
        <v>0</v>
      </c>
      <c r="G35" s="75">
        <f>F35+'18'!G35</f>
        <v>9</v>
      </c>
      <c r="H35" s="75">
        <f>F35+'18'!H35</f>
        <v>9</v>
      </c>
      <c r="I35" s="77">
        <f>Production2!BJ21</f>
        <v>307.79999999999995</v>
      </c>
      <c r="J35" s="77">
        <f>Production2!AF21</f>
        <v>0</v>
      </c>
      <c r="K35" s="74">
        <f>J35+'18'!K35</f>
        <v>574</v>
      </c>
      <c r="L35" s="74">
        <f>J35+'18'!L35</f>
        <v>574</v>
      </c>
      <c r="M35" s="77">
        <f>Production2!BL21</f>
        <v>30</v>
      </c>
      <c r="N35" s="75">
        <f>M35+'18'!N35</f>
        <v>1528.5</v>
      </c>
      <c r="O35" s="74">
        <f>M35+'18'!O35</f>
        <v>1528.5</v>
      </c>
      <c r="P35" s="74">
        <f>I35+J35+J41-M35-F59</f>
        <v>277.79999999999995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Production2!AB21</f>
        <v>16</v>
      </c>
      <c r="G36" s="75">
        <f>F36+'18'!G36</f>
        <v>188.83</v>
      </c>
      <c r="H36" s="75">
        <f>F36+'18'!H36</f>
        <v>188.83</v>
      </c>
      <c r="I36" s="77">
        <f>Production2!BF21</f>
        <v>2858.5279999999798</v>
      </c>
      <c r="J36" s="77">
        <f>Production2!AC21</f>
        <v>890</v>
      </c>
      <c r="K36" s="74">
        <f>J36+'18'!K36</f>
        <v>11377</v>
      </c>
      <c r="L36" s="74">
        <f>J36+'18'!L36</f>
        <v>11377</v>
      </c>
      <c r="M36" s="77">
        <f>Production2!BH21</f>
        <v>1003</v>
      </c>
      <c r="N36" s="75">
        <f>M36+'18'!N36</f>
        <v>26125.029999999995</v>
      </c>
      <c r="O36" s="74">
        <f>M36+'18'!O36</f>
        <v>26125.029999999995</v>
      </c>
      <c r="P36" s="74">
        <f>I36+J36+J42-M36-F57</f>
        <v>2745.5279999999798</v>
      </c>
      <c r="Q36" s="96">
        <f t="shared" si="6"/>
        <v>55.625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Production2!AH21</f>
        <v>0</v>
      </c>
      <c r="G37" s="529">
        <f>F37+'18'!G37</f>
        <v>0</v>
      </c>
      <c r="H37" s="529">
        <f>F37+'18'!H37</f>
        <v>0</v>
      </c>
      <c r="I37" s="77">
        <f>Production2!BN21</f>
        <v>2.0900000000008498</v>
      </c>
      <c r="J37" s="77">
        <f>Production2!AI21</f>
        <v>0</v>
      </c>
      <c r="K37" s="74">
        <f>J37+'18'!K37</f>
        <v>0</v>
      </c>
      <c r="L37" s="74">
        <f>J37+'18'!L37</f>
        <v>0</v>
      </c>
      <c r="M37" s="77">
        <f>Production2!BP21</f>
        <v>0</v>
      </c>
      <c r="N37" s="75">
        <f>M37+'18'!N37</f>
        <v>-0.15</v>
      </c>
      <c r="O37" s="74">
        <f>M37+'18'!O37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Production2!AK21</f>
        <v>0</v>
      </c>
      <c r="G38" s="529">
        <f>F38+'18'!G38</f>
        <v>0</v>
      </c>
      <c r="H38" s="529">
        <f>F38+'18'!H38</f>
        <v>0</v>
      </c>
      <c r="I38" s="195">
        <f>Production2!BR21</f>
        <v>249.3</v>
      </c>
      <c r="J38" s="195">
        <f>Production2!AL21</f>
        <v>0</v>
      </c>
      <c r="K38" s="531">
        <f>J38+'18'!K38</f>
        <v>0</v>
      </c>
      <c r="L38" s="531">
        <f>J38+'18'!L38</f>
        <v>0</v>
      </c>
      <c r="M38" s="195">
        <f>Production2!BT21</f>
        <v>61</v>
      </c>
      <c r="N38" s="529">
        <f>M38+'18'!N38</f>
        <v>1515</v>
      </c>
      <c r="O38" s="531">
        <f>M38+'18'!O38</f>
        <v>1515</v>
      </c>
      <c r="P38" s="74">
        <f t="shared" ref="P38" si="8">I38+J38+J44-M38</f>
        <v>188.3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26" t="s">
        <v>306</v>
      </c>
      <c r="E39" s="532">
        <v>78</v>
      </c>
      <c r="F39" s="528">
        <f>Production2!AN21</f>
        <v>0</v>
      </c>
      <c r="G39" s="529">
        <f>F39+'18'!G39</f>
        <v>33.85</v>
      </c>
      <c r="H39" s="529">
        <f>F39+'18'!H39</f>
        <v>33.85</v>
      </c>
      <c r="I39" s="530">
        <f>Production2!BV21</f>
        <v>882.47000000000025</v>
      </c>
      <c r="J39" s="530">
        <f>Production2!AO21</f>
        <v>0</v>
      </c>
      <c r="K39" s="531">
        <f>J39+'18'!K39</f>
        <v>2132</v>
      </c>
      <c r="L39" s="531">
        <f>J39+'18'!L39</f>
        <v>2132</v>
      </c>
      <c r="M39" s="77">
        <f>Production2!BX21</f>
        <v>270.95999999999998</v>
      </c>
      <c r="N39" s="529">
        <f>M39+'18'!N39</f>
        <v>3958.2000000000007</v>
      </c>
      <c r="O39" s="531">
        <f>M39+'18'!O39</f>
        <v>3958.2000000000007</v>
      </c>
      <c r="P39" s="531">
        <f>I39+J39+J45-M39</f>
        <v>611.51000000000022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16</v>
      </c>
      <c r="G40" s="132">
        <f t="shared" ref="G40:H40" si="9">G35+G36+G37+G38+G39</f>
        <v>231.68</v>
      </c>
      <c r="H40" s="132">
        <f t="shared" si="9"/>
        <v>231.68</v>
      </c>
      <c r="I40" s="122">
        <f>I35+I36+I37+I38+I39</f>
        <v>4300.187999999981</v>
      </c>
      <c r="J40" s="527">
        <f t="shared" ref="J40:O40" si="10">J35+J36+J37+J38+J39</f>
        <v>890</v>
      </c>
      <c r="K40" s="527">
        <f t="shared" si="10"/>
        <v>14083</v>
      </c>
      <c r="L40" s="527">
        <f t="shared" si="10"/>
        <v>14083</v>
      </c>
      <c r="M40" s="527">
        <f t="shared" si="10"/>
        <v>1364.96</v>
      </c>
      <c r="N40" s="527">
        <f t="shared" si="10"/>
        <v>33126.579999999994</v>
      </c>
      <c r="O40" s="527">
        <f t="shared" si="10"/>
        <v>33126.579999999994</v>
      </c>
      <c r="P40" s="527">
        <f>P35+P36+P37+P38+P39</f>
        <v>3825.227999999981</v>
      </c>
      <c r="Q40" s="123">
        <f t="shared" si="6"/>
        <v>55.625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Production2!AT21</f>
        <v>0</v>
      </c>
      <c r="G41" s="75">
        <f>F41+'18'!G41</f>
        <v>16.399999999999999</v>
      </c>
      <c r="H41" s="75">
        <f>F41+'18'!H41</f>
        <v>16.399999999999999</v>
      </c>
      <c r="I41" s="764"/>
      <c r="J41" s="77">
        <f>Production2!AU21</f>
        <v>0</v>
      </c>
      <c r="K41" s="74">
        <f>J41+'18'!K41</f>
        <v>1000</v>
      </c>
      <c r="L41" s="74">
        <f>J41+'18'!L41</f>
        <v>1000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Production2!AQ21</f>
        <v>0</v>
      </c>
      <c r="G42" s="75">
        <f>F42+'18'!G42</f>
        <v>278.02000000000004</v>
      </c>
      <c r="H42" s="75">
        <f>F42+'18'!H42</f>
        <v>278.02000000000004</v>
      </c>
      <c r="I42" s="765"/>
      <c r="J42" s="77">
        <f>Production2!AR21</f>
        <v>0</v>
      </c>
      <c r="K42" s="74">
        <f>J42+'18'!K42</f>
        <v>16215</v>
      </c>
      <c r="L42" s="74">
        <f>J42+'18'!L42</f>
        <v>16215</v>
      </c>
      <c r="M42" s="769"/>
      <c r="N42" s="829"/>
      <c r="O42" s="829"/>
      <c r="P42" s="771"/>
      <c r="Q42" s="96" t="e">
        <f t="shared" si="6"/>
        <v>#DIV/0!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Production2!AW21</f>
        <v>0</v>
      </c>
      <c r="G43" s="75">
        <f>F43+'18'!G43</f>
        <v>0</v>
      </c>
      <c r="H43" s="75">
        <f>F43+'18'!H43</f>
        <v>0</v>
      </c>
      <c r="I43" s="765"/>
      <c r="J43" s="77">
        <f>Production2!AX21</f>
        <v>0</v>
      </c>
      <c r="K43" s="74">
        <f>J43+'18'!K43</f>
        <v>0</v>
      </c>
      <c r="L43" s="74">
        <f>J43+'18'!L43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Production2!AZ21</f>
        <v>0</v>
      </c>
      <c r="G44" s="529">
        <f>F44+'18'!G44</f>
        <v>26.880000000000003</v>
      </c>
      <c r="H44" s="529">
        <f>F44+'18'!H44</f>
        <v>26.880000000000003</v>
      </c>
      <c r="I44" s="765"/>
      <c r="J44" s="195">
        <f>Production2!BA21</f>
        <v>0</v>
      </c>
      <c r="K44" s="531">
        <f>J44+'18'!K44</f>
        <v>1490</v>
      </c>
      <c r="L44" s="531">
        <f>J44+'18'!L44</f>
        <v>1490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26" t="s">
        <v>306</v>
      </c>
      <c r="E45" s="532">
        <v>70</v>
      </c>
      <c r="F45" s="528">
        <f>Production2!BC21</f>
        <v>0</v>
      </c>
      <c r="G45" s="529">
        <f>F45+'18'!G45</f>
        <v>34.39</v>
      </c>
      <c r="H45" s="529">
        <f>F45+'18'!H45</f>
        <v>34.39</v>
      </c>
      <c r="I45" s="748"/>
      <c r="J45" s="530">
        <f>Production2!BD21</f>
        <v>0</v>
      </c>
      <c r="K45" s="531">
        <f>J45+'18'!K45</f>
        <v>2064</v>
      </c>
      <c r="L45" s="531">
        <f>J45+'18'!L45</f>
        <v>2064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0</v>
      </c>
      <c r="G46" s="132">
        <f>G41+G42+G43+G44+G45</f>
        <v>355.69</v>
      </c>
      <c r="H46" s="132">
        <f t="shared" ref="H46" si="11">H41+H42+H43+H44+H45</f>
        <v>355.69</v>
      </c>
      <c r="I46" s="122"/>
      <c r="J46" s="122">
        <f>J41+J42+J43+J44+J45</f>
        <v>0</v>
      </c>
      <c r="K46" s="527">
        <f>K41+K42+K43+K44+K45</f>
        <v>20769</v>
      </c>
      <c r="L46" s="527">
        <f t="shared" ref="L46" si="12">L41+L42+L43+L44+L45</f>
        <v>20769</v>
      </c>
      <c r="M46" s="836"/>
      <c r="N46" s="837"/>
      <c r="O46" s="837"/>
      <c r="P46" s="838"/>
      <c r="Q46" s="123" t="e">
        <f t="shared" si="6"/>
        <v>#DIV/0!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0.34062967202072253</v>
      </c>
      <c r="F50" s="99">
        <f>F53/(J31+J32)</f>
        <v>25.973259929217459</v>
      </c>
      <c r="G50" s="99">
        <f>G53/J32</f>
        <v>0</v>
      </c>
      <c r="H50" s="99">
        <f>H53/J34</f>
        <v>35.314285714285717</v>
      </c>
      <c r="I50" s="99">
        <f>I53/J33</f>
        <v>62.552971576227392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15.079365079365079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0.53824894999464967</v>
      </c>
      <c r="F51" s="102">
        <f>F50*1.55</f>
        <v>40.258552890287064</v>
      </c>
      <c r="G51" s="102">
        <f>G50*1.55</f>
        <v>0</v>
      </c>
      <c r="H51" s="102">
        <f>H50</f>
        <v>35.314285714285717</v>
      </c>
      <c r="I51" s="102">
        <f>I50*(Q50/100)</f>
        <v>9.4325909519707967</v>
      </c>
      <c r="J51" s="102"/>
      <c r="K51" s="102"/>
      <c r="L51" s="102"/>
      <c r="M51" s="96"/>
      <c r="N51" s="310">
        <f>SUM(E51:F51,H51:I51)</f>
        <v>85.543678506538228</v>
      </c>
      <c r="O51" s="668" t="s">
        <v>279</v>
      </c>
      <c r="P51" s="668"/>
      <c r="Q51" s="104">
        <v>5387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0.4198341809958267</v>
      </c>
      <c r="F52" s="102">
        <f>F51*M18/100</f>
        <v>31.40167125442391</v>
      </c>
      <c r="G52" s="102">
        <f>G51*M18/100</f>
        <v>0</v>
      </c>
      <c r="H52" s="102">
        <f>H51*M18/100</f>
        <v>27.54514285714286</v>
      </c>
      <c r="I52" s="102">
        <f>I51*M18/100</f>
        <v>7.357420942537221</v>
      </c>
      <c r="J52" s="99">
        <f>J53/(J40+J46)</f>
        <v>60.289887640449436</v>
      </c>
      <c r="K52" s="99">
        <f>K53/(J46+J40)</f>
        <v>1.5707865168539326</v>
      </c>
      <c r="L52" s="99">
        <f>L53/(M40)</f>
        <v>4.7913491970460669</v>
      </c>
      <c r="M52" s="96">
        <f>M53/(J46+J40)</f>
        <v>6.0067415730337075</v>
      </c>
      <c r="N52" s="310">
        <f>SUM(E52:F52,H52:M52)</f>
        <v>139.38283416248296</v>
      </c>
      <c r="O52" s="668" t="s">
        <v>281</v>
      </c>
      <c r="P52" s="668"/>
      <c r="Q52" s="104">
        <f>Q51*Q50/100</f>
        <v>812.32539682539675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unit'!B21</f>
        <v>1244</v>
      </c>
      <c r="F53" s="118">
        <f>'Daily unit'!C21</f>
        <v>47556</v>
      </c>
      <c r="G53" s="118">
        <f>'Daily unit'!D21</f>
        <v>0</v>
      </c>
      <c r="H53" s="118">
        <f>'Daily unit'!E21</f>
        <v>44496</v>
      </c>
      <c r="I53" s="118">
        <f>'Daily unit'!F21</f>
        <v>12104</v>
      </c>
      <c r="J53" s="118">
        <f>'Daily unit'!G21</f>
        <v>53658</v>
      </c>
      <c r="K53" s="118">
        <f>'Daily unit'!H21</f>
        <v>1398</v>
      </c>
      <c r="L53" s="118">
        <f>'Daily unit'!I21</f>
        <v>6540</v>
      </c>
      <c r="M53" s="119">
        <f>'Daily unit'!J21</f>
        <v>5346</v>
      </c>
      <c r="N53" s="321">
        <f>SUM(E53:M53)</f>
        <v>172342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14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677">
        <v>1</v>
      </c>
      <c r="C57" s="757" t="s">
        <v>287</v>
      </c>
      <c r="D57" s="798"/>
      <c r="E57" s="80">
        <v>42.5</v>
      </c>
      <c r="F57" s="53">
        <f>'Internal use cement'!F21</f>
        <v>0</v>
      </c>
      <c r="G57" s="53">
        <f>F57+'18'!G57</f>
        <v>0</v>
      </c>
      <c r="H57" s="104">
        <f>F57+'18'!H57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677"/>
      <c r="C58" s="758"/>
      <c r="D58" s="800"/>
      <c r="E58" s="80" t="s">
        <v>197</v>
      </c>
      <c r="F58" s="53">
        <f>'Internal use cement'!Q21</f>
        <v>0</v>
      </c>
      <c r="G58" s="53">
        <f>F58+'18'!G58</f>
        <v>0</v>
      </c>
      <c r="H58" s="104">
        <f>F58+'18'!H58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677"/>
      <c r="C59" s="758"/>
      <c r="D59" s="800"/>
      <c r="E59" s="80">
        <v>32.5</v>
      </c>
      <c r="F59" s="53">
        <f>'Internal use cement'!AB21</f>
        <v>0</v>
      </c>
      <c r="G59" s="53">
        <f>F59+'18'!G59</f>
        <v>0</v>
      </c>
      <c r="H59" s="104">
        <f>F59+'18'!H59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0"/>
      <c r="C60" s="759"/>
      <c r="D60" s="802"/>
      <c r="E60" s="232" t="s">
        <v>177</v>
      </c>
      <c r="F60" s="229">
        <f>'Internal use cement'!AJ21</f>
        <v>0</v>
      </c>
      <c r="G60" s="53">
        <f>F60+'18'!G60</f>
        <v>0</v>
      </c>
      <c r="H60" s="104">
        <f>F60+'18'!H60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C17:Q17"/>
    <mergeCell ref="B18:B20"/>
    <mergeCell ref="I55:Q60"/>
    <mergeCell ref="B35:B40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41:B46"/>
    <mergeCell ref="P6:P7"/>
    <mergeCell ref="Q6:Q7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8:C20"/>
    <mergeCell ref="N18:N20"/>
    <mergeCell ref="O18:O25"/>
    <mergeCell ref="P18:Q20"/>
    <mergeCell ref="Q21:Q22"/>
    <mergeCell ref="C22:D22"/>
    <mergeCell ref="C21:D21"/>
    <mergeCell ref="C30:D30"/>
    <mergeCell ref="B23:B24"/>
    <mergeCell ref="C23:C24"/>
    <mergeCell ref="M23:N24"/>
    <mergeCell ref="P23:Q25"/>
    <mergeCell ref="C25:D25"/>
    <mergeCell ref="M25:N25"/>
    <mergeCell ref="I41:I45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57:D60"/>
    <mergeCell ref="B57:B60"/>
    <mergeCell ref="C31:D31"/>
    <mergeCell ref="C33:D33"/>
    <mergeCell ref="C34:D34"/>
    <mergeCell ref="M46:P46"/>
    <mergeCell ref="C41:C46"/>
    <mergeCell ref="C32:D32"/>
    <mergeCell ref="I31:I32"/>
    <mergeCell ref="M31:M32"/>
    <mergeCell ref="N31:N32"/>
    <mergeCell ref="O31:O32"/>
    <mergeCell ref="P31:P32"/>
    <mergeCell ref="M41:P45"/>
  </mergeCells>
  <pageMargins left="0" right="0" top="0.75" bottom="0.75" header="0.3" footer="0.3"/>
  <pageSetup paperSize="9" scale="5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A45" sqref="A45:XFD4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36" width="9.140625" style="68"/>
    <col min="237" max="237" width="3.7109375" style="68" customWidth="1"/>
    <col min="238" max="238" width="4" style="68" bestFit="1" customWidth="1"/>
    <col min="239" max="239" width="14.5703125" style="68" customWidth="1"/>
    <col min="240" max="240" width="11.140625" style="68" customWidth="1"/>
    <col min="241" max="241" width="8.7109375" style="68" customWidth="1"/>
    <col min="242" max="242" width="9.7109375" style="68" bestFit="1" customWidth="1"/>
    <col min="243" max="243" width="10.85546875" style="68" customWidth="1"/>
    <col min="244" max="244" width="10.42578125" style="68" customWidth="1"/>
    <col min="245" max="245" width="9.7109375" style="68" bestFit="1" customWidth="1"/>
    <col min="246" max="248" width="9.28515625" style="68" bestFit="1" customWidth="1"/>
    <col min="249" max="249" width="10.7109375" style="68" bestFit="1" customWidth="1"/>
    <col min="250" max="250" width="11.28515625" style="68" customWidth="1"/>
    <col min="251" max="251" width="12.5703125" style="68" customWidth="1"/>
    <col min="252" max="252" width="13.5703125" style="68" customWidth="1"/>
    <col min="253" max="253" width="13" style="68" customWidth="1"/>
    <col min="254" max="492" width="9.140625" style="68"/>
    <col min="493" max="493" width="3.7109375" style="68" customWidth="1"/>
    <col min="494" max="494" width="4" style="68" bestFit="1" customWidth="1"/>
    <col min="495" max="495" width="14.5703125" style="68" customWidth="1"/>
    <col min="496" max="496" width="11.140625" style="68" customWidth="1"/>
    <col min="497" max="497" width="8.7109375" style="68" customWidth="1"/>
    <col min="498" max="498" width="9.7109375" style="68" bestFit="1" customWidth="1"/>
    <col min="499" max="499" width="10.85546875" style="68" customWidth="1"/>
    <col min="500" max="500" width="10.42578125" style="68" customWidth="1"/>
    <col min="501" max="501" width="9.7109375" style="68" bestFit="1" customWidth="1"/>
    <col min="502" max="504" width="9.28515625" style="68" bestFit="1" customWidth="1"/>
    <col min="505" max="505" width="10.7109375" style="68" bestFit="1" customWidth="1"/>
    <col min="506" max="506" width="11.28515625" style="68" customWidth="1"/>
    <col min="507" max="507" width="12.5703125" style="68" customWidth="1"/>
    <col min="508" max="508" width="13.5703125" style="68" customWidth="1"/>
    <col min="509" max="509" width="13" style="68" customWidth="1"/>
    <col min="510" max="748" width="9.140625" style="68"/>
    <col min="749" max="749" width="3.7109375" style="68" customWidth="1"/>
    <col min="750" max="750" width="4" style="68" bestFit="1" customWidth="1"/>
    <col min="751" max="751" width="14.5703125" style="68" customWidth="1"/>
    <col min="752" max="752" width="11.140625" style="68" customWidth="1"/>
    <col min="753" max="753" width="8.7109375" style="68" customWidth="1"/>
    <col min="754" max="754" width="9.7109375" style="68" bestFit="1" customWidth="1"/>
    <col min="755" max="755" width="10.85546875" style="68" customWidth="1"/>
    <col min="756" max="756" width="10.42578125" style="68" customWidth="1"/>
    <col min="757" max="757" width="9.7109375" style="68" bestFit="1" customWidth="1"/>
    <col min="758" max="760" width="9.28515625" style="68" bestFit="1" customWidth="1"/>
    <col min="761" max="761" width="10.7109375" style="68" bestFit="1" customWidth="1"/>
    <col min="762" max="762" width="11.28515625" style="68" customWidth="1"/>
    <col min="763" max="763" width="12.5703125" style="68" customWidth="1"/>
    <col min="764" max="764" width="13.5703125" style="68" customWidth="1"/>
    <col min="765" max="765" width="13" style="68" customWidth="1"/>
    <col min="766" max="1004" width="9.140625" style="68"/>
    <col min="1005" max="1005" width="3.7109375" style="68" customWidth="1"/>
    <col min="1006" max="1006" width="4" style="68" bestFit="1" customWidth="1"/>
    <col min="1007" max="1007" width="14.5703125" style="68" customWidth="1"/>
    <col min="1008" max="1008" width="11.140625" style="68" customWidth="1"/>
    <col min="1009" max="1009" width="8.7109375" style="68" customWidth="1"/>
    <col min="1010" max="1010" width="9.7109375" style="68" bestFit="1" customWidth="1"/>
    <col min="1011" max="1011" width="10.85546875" style="68" customWidth="1"/>
    <col min="1012" max="1012" width="10.42578125" style="68" customWidth="1"/>
    <col min="1013" max="1013" width="9.7109375" style="68" bestFit="1" customWidth="1"/>
    <col min="1014" max="1016" width="9.28515625" style="68" bestFit="1" customWidth="1"/>
    <col min="1017" max="1017" width="10.7109375" style="68" bestFit="1" customWidth="1"/>
    <col min="1018" max="1018" width="11.28515625" style="68" customWidth="1"/>
    <col min="1019" max="1019" width="12.5703125" style="68" customWidth="1"/>
    <col min="1020" max="1020" width="13.5703125" style="68" customWidth="1"/>
    <col min="1021" max="1021" width="13" style="68" customWidth="1"/>
    <col min="1022" max="1260" width="9.140625" style="68"/>
    <col min="1261" max="1261" width="3.7109375" style="68" customWidth="1"/>
    <col min="1262" max="1262" width="4" style="68" bestFit="1" customWidth="1"/>
    <col min="1263" max="1263" width="14.5703125" style="68" customWidth="1"/>
    <col min="1264" max="1264" width="11.140625" style="68" customWidth="1"/>
    <col min="1265" max="1265" width="8.7109375" style="68" customWidth="1"/>
    <col min="1266" max="1266" width="9.7109375" style="68" bestFit="1" customWidth="1"/>
    <col min="1267" max="1267" width="10.85546875" style="68" customWidth="1"/>
    <col min="1268" max="1268" width="10.42578125" style="68" customWidth="1"/>
    <col min="1269" max="1269" width="9.7109375" style="68" bestFit="1" customWidth="1"/>
    <col min="1270" max="1272" width="9.28515625" style="68" bestFit="1" customWidth="1"/>
    <col min="1273" max="1273" width="10.7109375" style="68" bestFit="1" customWidth="1"/>
    <col min="1274" max="1274" width="11.28515625" style="68" customWidth="1"/>
    <col min="1275" max="1275" width="12.5703125" style="68" customWidth="1"/>
    <col min="1276" max="1276" width="13.5703125" style="68" customWidth="1"/>
    <col min="1277" max="1277" width="13" style="68" customWidth="1"/>
    <col min="1278" max="1516" width="9.140625" style="68"/>
    <col min="1517" max="1517" width="3.7109375" style="68" customWidth="1"/>
    <col min="1518" max="1518" width="4" style="68" bestFit="1" customWidth="1"/>
    <col min="1519" max="1519" width="14.5703125" style="68" customWidth="1"/>
    <col min="1520" max="1520" width="11.140625" style="68" customWidth="1"/>
    <col min="1521" max="1521" width="8.7109375" style="68" customWidth="1"/>
    <col min="1522" max="1522" width="9.7109375" style="68" bestFit="1" customWidth="1"/>
    <col min="1523" max="1523" width="10.85546875" style="68" customWidth="1"/>
    <col min="1524" max="1524" width="10.42578125" style="68" customWidth="1"/>
    <col min="1525" max="1525" width="9.7109375" style="68" bestFit="1" customWidth="1"/>
    <col min="1526" max="1528" width="9.28515625" style="68" bestFit="1" customWidth="1"/>
    <col min="1529" max="1529" width="10.7109375" style="68" bestFit="1" customWidth="1"/>
    <col min="1530" max="1530" width="11.28515625" style="68" customWidth="1"/>
    <col min="1531" max="1531" width="12.5703125" style="68" customWidth="1"/>
    <col min="1532" max="1532" width="13.5703125" style="68" customWidth="1"/>
    <col min="1533" max="1533" width="13" style="68" customWidth="1"/>
    <col min="1534" max="1772" width="9.140625" style="68"/>
    <col min="1773" max="1773" width="3.7109375" style="68" customWidth="1"/>
    <col min="1774" max="1774" width="4" style="68" bestFit="1" customWidth="1"/>
    <col min="1775" max="1775" width="14.5703125" style="68" customWidth="1"/>
    <col min="1776" max="1776" width="11.140625" style="68" customWidth="1"/>
    <col min="1777" max="1777" width="8.7109375" style="68" customWidth="1"/>
    <col min="1778" max="1778" width="9.7109375" style="68" bestFit="1" customWidth="1"/>
    <col min="1779" max="1779" width="10.85546875" style="68" customWidth="1"/>
    <col min="1780" max="1780" width="10.42578125" style="68" customWidth="1"/>
    <col min="1781" max="1781" width="9.7109375" style="68" bestFit="1" customWidth="1"/>
    <col min="1782" max="1784" width="9.28515625" style="68" bestFit="1" customWidth="1"/>
    <col min="1785" max="1785" width="10.7109375" style="68" bestFit="1" customWidth="1"/>
    <col min="1786" max="1786" width="11.28515625" style="68" customWidth="1"/>
    <col min="1787" max="1787" width="12.5703125" style="68" customWidth="1"/>
    <col min="1788" max="1788" width="13.5703125" style="68" customWidth="1"/>
    <col min="1789" max="1789" width="13" style="68" customWidth="1"/>
    <col min="1790" max="2028" width="9.140625" style="68"/>
    <col min="2029" max="2029" width="3.7109375" style="68" customWidth="1"/>
    <col min="2030" max="2030" width="4" style="68" bestFit="1" customWidth="1"/>
    <col min="2031" max="2031" width="14.5703125" style="68" customWidth="1"/>
    <col min="2032" max="2032" width="11.140625" style="68" customWidth="1"/>
    <col min="2033" max="2033" width="8.7109375" style="68" customWidth="1"/>
    <col min="2034" max="2034" width="9.7109375" style="68" bestFit="1" customWidth="1"/>
    <col min="2035" max="2035" width="10.85546875" style="68" customWidth="1"/>
    <col min="2036" max="2036" width="10.42578125" style="68" customWidth="1"/>
    <col min="2037" max="2037" width="9.7109375" style="68" bestFit="1" customWidth="1"/>
    <col min="2038" max="2040" width="9.28515625" style="68" bestFit="1" customWidth="1"/>
    <col min="2041" max="2041" width="10.7109375" style="68" bestFit="1" customWidth="1"/>
    <col min="2042" max="2042" width="11.28515625" style="68" customWidth="1"/>
    <col min="2043" max="2043" width="12.5703125" style="68" customWidth="1"/>
    <col min="2044" max="2044" width="13.5703125" style="68" customWidth="1"/>
    <col min="2045" max="2045" width="13" style="68" customWidth="1"/>
    <col min="2046" max="2284" width="9.140625" style="68"/>
    <col min="2285" max="2285" width="3.7109375" style="68" customWidth="1"/>
    <col min="2286" max="2286" width="4" style="68" bestFit="1" customWidth="1"/>
    <col min="2287" max="2287" width="14.5703125" style="68" customWidth="1"/>
    <col min="2288" max="2288" width="11.140625" style="68" customWidth="1"/>
    <col min="2289" max="2289" width="8.7109375" style="68" customWidth="1"/>
    <col min="2290" max="2290" width="9.7109375" style="68" bestFit="1" customWidth="1"/>
    <col min="2291" max="2291" width="10.85546875" style="68" customWidth="1"/>
    <col min="2292" max="2292" width="10.42578125" style="68" customWidth="1"/>
    <col min="2293" max="2293" width="9.7109375" style="68" bestFit="1" customWidth="1"/>
    <col min="2294" max="2296" width="9.28515625" style="68" bestFit="1" customWidth="1"/>
    <col min="2297" max="2297" width="10.7109375" style="68" bestFit="1" customWidth="1"/>
    <col min="2298" max="2298" width="11.28515625" style="68" customWidth="1"/>
    <col min="2299" max="2299" width="12.5703125" style="68" customWidth="1"/>
    <col min="2300" max="2300" width="13.5703125" style="68" customWidth="1"/>
    <col min="2301" max="2301" width="13" style="68" customWidth="1"/>
    <col min="2302" max="2540" width="9.140625" style="68"/>
    <col min="2541" max="2541" width="3.7109375" style="68" customWidth="1"/>
    <col min="2542" max="2542" width="4" style="68" bestFit="1" customWidth="1"/>
    <col min="2543" max="2543" width="14.5703125" style="68" customWidth="1"/>
    <col min="2544" max="2544" width="11.140625" style="68" customWidth="1"/>
    <col min="2545" max="2545" width="8.7109375" style="68" customWidth="1"/>
    <col min="2546" max="2546" width="9.7109375" style="68" bestFit="1" customWidth="1"/>
    <col min="2547" max="2547" width="10.85546875" style="68" customWidth="1"/>
    <col min="2548" max="2548" width="10.42578125" style="68" customWidth="1"/>
    <col min="2549" max="2549" width="9.7109375" style="68" bestFit="1" customWidth="1"/>
    <col min="2550" max="2552" width="9.28515625" style="68" bestFit="1" customWidth="1"/>
    <col min="2553" max="2553" width="10.7109375" style="68" bestFit="1" customWidth="1"/>
    <col min="2554" max="2554" width="11.28515625" style="68" customWidth="1"/>
    <col min="2555" max="2555" width="12.5703125" style="68" customWidth="1"/>
    <col min="2556" max="2556" width="13.5703125" style="68" customWidth="1"/>
    <col min="2557" max="2557" width="13" style="68" customWidth="1"/>
    <col min="2558" max="2796" width="9.140625" style="68"/>
    <col min="2797" max="2797" width="3.7109375" style="68" customWidth="1"/>
    <col min="2798" max="2798" width="4" style="68" bestFit="1" customWidth="1"/>
    <col min="2799" max="2799" width="14.5703125" style="68" customWidth="1"/>
    <col min="2800" max="2800" width="11.140625" style="68" customWidth="1"/>
    <col min="2801" max="2801" width="8.7109375" style="68" customWidth="1"/>
    <col min="2802" max="2802" width="9.7109375" style="68" bestFit="1" customWidth="1"/>
    <col min="2803" max="2803" width="10.85546875" style="68" customWidth="1"/>
    <col min="2804" max="2804" width="10.42578125" style="68" customWidth="1"/>
    <col min="2805" max="2805" width="9.7109375" style="68" bestFit="1" customWidth="1"/>
    <col min="2806" max="2808" width="9.28515625" style="68" bestFit="1" customWidth="1"/>
    <col min="2809" max="2809" width="10.7109375" style="68" bestFit="1" customWidth="1"/>
    <col min="2810" max="2810" width="11.28515625" style="68" customWidth="1"/>
    <col min="2811" max="2811" width="12.5703125" style="68" customWidth="1"/>
    <col min="2812" max="2812" width="13.5703125" style="68" customWidth="1"/>
    <col min="2813" max="2813" width="13" style="68" customWidth="1"/>
    <col min="2814" max="3052" width="9.140625" style="68"/>
    <col min="3053" max="3053" width="3.7109375" style="68" customWidth="1"/>
    <col min="3054" max="3054" width="4" style="68" bestFit="1" customWidth="1"/>
    <col min="3055" max="3055" width="14.5703125" style="68" customWidth="1"/>
    <col min="3056" max="3056" width="11.140625" style="68" customWidth="1"/>
    <col min="3057" max="3057" width="8.7109375" style="68" customWidth="1"/>
    <col min="3058" max="3058" width="9.7109375" style="68" bestFit="1" customWidth="1"/>
    <col min="3059" max="3059" width="10.85546875" style="68" customWidth="1"/>
    <col min="3060" max="3060" width="10.42578125" style="68" customWidth="1"/>
    <col min="3061" max="3061" width="9.7109375" style="68" bestFit="1" customWidth="1"/>
    <col min="3062" max="3064" width="9.28515625" style="68" bestFit="1" customWidth="1"/>
    <col min="3065" max="3065" width="10.7109375" style="68" bestFit="1" customWidth="1"/>
    <col min="3066" max="3066" width="11.28515625" style="68" customWidth="1"/>
    <col min="3067" max="3067" width="12.5703125" style="68" customWidth="1"/>
    <col min="3068" max="3068" width="13.5703125" style="68" customWidth="1"/>
    <col min="3069" max="3069" width="13" style="68" customWidth="1"/>
    <col min="3070" max="3308" width="9.140625" style="68"/>
    <col min="3309" max="3309" width="3.7109375" style="68" customWidth="1"/>
    <col min="3310" max="3310" width="4" style="68" bestFit="1" customWidth="1"/>
    <col min="3311" max="3311" width="14.5703125" style="68" customWidth="1"/>
    <col min="3312" max="3312" width="11.140625" style="68" customWidth="1"/>
    <col min="3313" max="3313" width="8.7109375" style="68" customWidth="1"/>
    <col min="3314" max="3314" width="9.7109375" style="68" bestFit="1" customWidth="1"/>
    <col min="3315" max="3315" width="10.85546875" style="68" customWidth="1"/>
    <col min="3316" max="3316" width="10.42578125" style="68" customWidth="1"/>
    <col min="3317" max="3317" width="9.7109375" style="68" bestFit="1" customWidth="1"/>
    <col min="3318" max="3320" width="9.28515625" style="68" bestFit="1" customWidth="1"/>
    <col min="3321" max="3321" width="10.7109375" style="68" bestFit="1" customWidth="1"/>
    <col min="3322" max="3322" width="11.28515625" style="68" customWidth="1"/>
    <col min="3323" max="3323" width="12.5703125" style="68" customWidth="1"/>
    <col min="3324" max="3324" width="13.5703125" style="68" customWidth="1"/>
    <col min="3325" max="3325" width="13" style="68" customWidth="1"/>
    <col min="3326" max="3564" width="9.140625" style="68"/>
    <col min="3565" max="3565" width="3.7109375" style="68" customWidth="1"/>
    <col min="3566" max="3566" width="4" style="68" bestFit="1" customWidth="1"/>
    <col min="3567" max="3567" width="14.5703125" style="68" customWidth="1"/>
    <col min="3568" max="3568" width="11.140625" style="68" customWidth="1"/>
    <col min="3569" max="3569" width="8.7109375" style="68" customWidth="1"/>
    <col min="3570" max="3570" width="9.7109375" style="68" bestFit="1" customWidth="1"/>
    <col min="3571" max="3571" width="10.85546875" style="68" customWidth="1"/>
    <col min="3572" max="3572" width="10.42578125" style="68" customWidth="1"/>
    <col min="3573" max="3573" width="9.7109375" style="68" bestFit="1" customWidth="1"/>
    <col min="3574" max="3576" width="9.28515625" style="68" bestFit="1" customWidth="1"/>
    <col min="3577" max="3577" width="10.7109375" style="68" bestFit="1" customWidth="1"/>
    <col min="3578" max="3578" width="11.28515625" style="68" customWidth="1"/>
    <col min="3579" max="3579" width="12.5703125" style="68" customWidth="1"/>
    <col min="3580" max="3580" width="13.5703125" style="68" customWidth="1"/>
    <col min="3581" max="3581" width="13" style="68" customWidth="1"/>
    <col min="3582" max="3820" width="9.140625" style="68"/>
    <col min="3821" max="3821" width="3.7109375" style="68" customWidth="1"/>
    <col min="3822" max="3822" width="4" style="68" bestFit="1" customWidth="1"/>
    <col min="3823" max="3823" width="14.5703125" style="68" customWidth="1"/>
    <col min="3824" max="3824" width="11.140625" style="68" customWidth="1"/>
    <col min="3825" max="3825" width="8.7109375" style="68" customWidth="1"/>
    <col min="3826" max="3826" width="9.7109375" style="68" bestFit="1" customWidth="1"/>
    <col min="3827" max="3827" width="10.85546875" style="68" customWidth="1"/>
    <col min="3828" max="3828" width="10.42578125" style="68" customWidth="1"/>
    <col min="3829" max="3829" width="9.7109375" style="68" bestFit="1" customWidth="1"/>
    <col min="3830" max="3832" width="9.28515625" style="68" bestFit="1" customWidth="1"/>
    <col min="3833" max="3833" width="10.7109375" style="68" bestFit="1" customWidth="1"/>
    <col min="3834" max="3834" width="11.28515625" style="68" customWidth="1"/>
    <col min="3835" max="3835" width="12.5703125" style="68" customWidth="1"/>
    <col min="3836" max="3836" width="13.5703125" style="68" customWidth="1"/>
    <col min="3837" max="3837" width="13" style="68" customWidth="1"/>
    <col min="3838" max="4076" width="9.140625" style="68"/>
    <col min="4077" max="4077" width="3.7109375" style="68" customWidth="1"/>
    <col min="4078" max="4078" width="4" style="68" bestFit="1" customWidth="1"/>
    <col min="4079" max="4079" width="14.5703125" style="68" customWidth="1"/>
    <col min="4080" max="4080" width="11.140625" style="68" customWidth="1"/>
    <col min="4081" max="4081" width="8.7109375" style="68" customWidth="1"/>
    <col min="4082" max="4082" width="9.7109375" style="68" bestFit="1" customWidth="1"/>
    <col min="4083" max="4083" width="10.85546875" style="68" customWidth="1"/>
    <col min="4084" max="4084" width="10.42578125" style="68" customWidth="1"/>
    <col min="4085" max="4085" width="9.7109375" style="68" bestFit="1" customWidth="1"/>
    <col min="4086" max="4088" width="9.28515625" style="68" bestFit="1" customWidth="1"/>
    <col min="4089" max="4089" width="10.7109375" style="68" bestFit="1" customWidth="1"/>
    <col min="4090" max="4090" width="11.28515625" style="68" customWidth="1"/>
    <col min="4091" max="4091" width="12.5703125" style="68" customWidth="1"/>
    <col min="4092" max="4092" width="13.5703125" style="68" customWidth="1"/>
    <col min="4093" max="4093" width="13" style="68" customWidth="1"/>
    <col min="4094" max="4332" width="9.140625" style="68"/>
    <col min="4333" max="4333" width="3.7109375" style="68" customWidth="1"/>
    <col min="4334" max="4334" width="4" style="68" bestFit="1" customWidth="1"/>
    <col min="4335" max="4335" width="14.5703125" style="68" customWidth="1"/>
    <col min="4336" max="4336" width="11.140625" style="68" customWidth="1"/>
    <col min="4337" max="4337" width="8.7109375" style="68" customWidth="1"/>
    <col min="4338" max="4338" width="9.7109375" style="68" bestFit="1" customWidth="1"/>
    <col min="4339" max="4339" width="10.85546875" style="68" customWidth="1"/>
    <col min="4340" max="4340" width="10.42578125" style="68" customWidth="1"/>
    <col min="4341" max="4341" width="9.7109375" style="68" bestFit="1" customWidth="1"/>
    <col min="4342" max="4344" width="9.28515625" style="68" bestFit="1" customWidth="1"/>
    <col min="4345" max="4345" width="10.7109375" style="68" bestFit="1" customWidth="1"/>
    <col min="4346" max="4346" width="11.28515625" style="68" customWidth="1"/>
    <col min="4347" max="4347" width="12.5703125" style="68" customWidth="1"/>
    <col min="4348" max="4348" width="13.5703125" style="68" customWidth="1"/>
    <col min="4349" max="4349" width="13" style="68" customWidth="1"/>
    <col min="4350" max="4588" width="9.140625" style="68"/>
    <col min="4589" max="4589" width="3.7109375" style="68" customWidth="1"/>
    <col min="4590" max="4590" width="4" style="68" bestFit="1" customWidth="1"/>
    <col min="4591" max="4591" width="14.5703125" style="68" customWidth="1"/>
    <col min="4592" max="4592" width="11.140625" style="68" customWidth="1"/>
    <col min="4593" max="4593" width="8.7109375" style="68" customWidth="1"/>
    <col min="4594" max="4594" width="9.7109375" style="68" bestFit="1" customWidth="1"/>
    <col min="4595" max="4595" width="10.85546875" style="68" customWidth="1"/>
    <col min="4596" max="4596" width="10.42578125" style="68" customWidth="1"/>
    <col min="4597" max="4597" width="9.7109375" style="68" bestFit="1" customWidth="1"/>
    <col min="4598" max="4600" width="9.28515625" style="68" bestFit="1" customWidth="1"/>
    <col min="4601" max="4601" width="10.7109375" style="68" bestFit="1" customWidth="1"/>
    <col min="4602" max="4602" width="11.28515625" style="68" customWidth="1"/>
    <col min="4603" max="4603" width="12.5703125" style="68" customWidth="1"/>
    <col min="4604" max="4604" width="13.5703125" style="68" customWidth="1"/>
    <col min="4605" max="4605" width="13" style="68" customWidth="1"/>
    <col min="4606" max="4844" width="9.140625" style="68"/>
    <col min="4845" max="4845" width="3.7109375" style="68" customWidth="1"/>
    <col min="4846" max="4846" width="4" style="68" bestFit="1" customWidth="1"/>
    <col min="4847" max="4847" width="14.5703125" style="68" customWidth="1"/>
    <col min="4848" max="4848" width="11.140625" style="68" customWidth="1"/>
    <col min="4849" max="4849" width="8.7109375" style="68" customWidth="1"/>
    <col min="4850" max="4850" width="9.7109375" style="68" bestFit="1" customWidth="1"/>
    <col min="4851" max="4851" width="10.85546875" style="68" customWidth="1"/>
    <col min="4852" max="4852" width="10.42578125" style="68" customWidth="1"/>
    <col min="4853" max="4853" width="9.7109375" style="68" bestFit="1" customWidth="1"/>
    <col min="4854" max="4856" width="9.28515625" style="68" bestFit="1" customWidth="1"/>
    <col min="4857" max="4857" width="10.7109375" style="68" bestFit="1" customWidth="1"/>
    <col min="4858" max="4858" width="11.28515625" style="68" customWidth="1"/>
    <col min="4859" max="4859" width="12.5703125" style="68" customWidth="1"/>
    <col min="4860" max="4860" width="13.5703125" style="68" customWidth="1"/>
    <col min="4861" max="4861" width="13" style="68" customWidth="1"/>
    <col min="4862" max="5100" width="9.140625" style="68"/>
    <col min="5101" max="5101" width="3.7109375" style="68" customWidth="1"/>
    <col min="5102" max="5102" width="4" style="68" bestFit="1" customWidth="1"/>
    <col min="5103" max="5103" width="14.5703125" style="68" customWidth="1"/>
    <col min="5104" max="5104" width="11.140625" style="68" customWidth="1"/>
    <col min="5105" max="5105" width="8.7109375" style="68" customWidth="1"/>
    <col min="5106" max="5106" width="9.7109375" style="68" bestFit="1" customWidth="1"/>
    <col min="5107" max="5107" width="10.85546875" style="68" customWidth="1"/>
    <col min="5108" max="5108" width="10.42578125" style="68" customWidth="1"/>
    <col min="5109" max="5109" width="9.7109375" style="68" bestFit="1" customWidth="1"/>
    <col min="5110" max="5112" width="9.28515625" style="68" bestFit="1" customWidth="1"/>
    <col min="5113" max="5113" width="10.7109375" style="68" bestFit="1" customWidth="1"/>
    <col min="5114" max="5114" width="11.28515625" style="68" customWidth="1"/>
    <col min="5115" max="5115" width="12.5703125" style="68" customWidth="1"/>
    <col min="5116" max="5116" width="13.5703125" style="68" customWidth="1"/>
    <col min="5117" max="5117" width="13" style="68" customWidth="1"/>
    <col min="5118" max="5356" width="9.140625" style="68"/>
    <col min="5357" max="5357" width="3.7109375" style="68" customWidth="1"/>
    <col min="5358" max="5358" width="4" style="68" bestFit="1" customWidth="1"/>
    <col min="5359" max="5359" width="14.5703125" style="68" customWidth="1"/>
    <col min="5360" max="5360" width="11.140625" style="68" customWidth="1"/>
    <col min="5361" max="5361" width="8.7109375" style="68" customWidth="1"/>
    <col min="5362" max="5362" width="9.7109375" style="68" bestFit="1" customWidth="1"/>
    <col min="5363" max="5363" width="10.85546875" style="68" customWidth="1"/>
    <col min="5364" max="5364" width="10.42578125" style="68" customWidth="1"/>
    <col min="5365" max="5365" width="9.7109375" style="68" bestFit="1" customWidth="1"/>
    <col min="5366" max="5368" width="9.28515625" style="68" bestFit="1" customWidth="1"/>
    <col min="5369" max="5369" width="10.7109375" style="68" bestFit="1" customWidth="1"/>
    <col min="5370" max="5370" width="11.28515625" style="68" customWidth="1"/>
    <col min="5371" max="5371" width="12.5703125" style="68" customWidth="1"/>
    <col min="5372" max="5372" width="13.5703125" style="68" customWidth="1"/>
    <col min="5373" max="5373" width="13" style="68" customWidth="1"/>
    <col min="5374" max="5612" width="9.140625" style="68"/>
    <col min="5613" max="5613" width="3.7109375" style="68" customWidth="1"/>
    <col min="5614" max="5614" width="4" style="68" bestFit="1" customWidth="1"/>
    <col min="5615" max="5615" width="14.5703125" style="68" customWidth="1"/>
    <col min="5616" max="5616" width="11.140625" style="68" customWidth="1"/>
    <col min="5617" max="5617" width="8.7109375" style="68" customWidth="1"/>
    <col min="5618" max="5618" width="9.7109375" style="68" bestFit="1" customWidth="1"/>
    <col min="5619" max="5619" width="10.85546875" style="68" customWidth="1"/>
    <col min="5620" max="5620" width="10.42578125" style="68" customWidth="1"/>
    <col min="5621" max="5621" width="9.7109375" style="68" bestFit="1" customWidth="1"/>
    <col min="5622" max="5624" width="9.28515625" style="68" bestFit="1" customWidth="1"/>
    <col min="5625" max="5625" width="10.7109375" style="68" bestFit="1" customWidth="1"/>
    <col min="5626" max="5626" width="11.28515625" style="68" customWidth="1"/>
    <col min="5627" max="5627" width="12.5703125" style="68" customWidth="1"/>
    <col min="5628" max="5628" width="13.5703125" style="68" customWidth="1"/>
    <col min="5629" max="5629" width="13" style="68" customWidth="1"/>
    <col min="5630" max="5868" width="9.140625" style="68"/>
    <col min="5869" max="5869" width="3.7109375" style="68" customWidth="1"/>
    <col min="5870" max="5870" width="4" style="68" bestFit="1" customWidth="1"/>
    <col min="5871" max="5871" width="14.5703125" style="68" customWidth="1"/>
    <col min="5872" max="5872" width="11.140625" style="68" customWidth="1"/>
    <col min="5873" max="5873" width="8.7109375" style="68" customWidth="1"/>
    <col min="5874" max="5874" width="9.7109375" style="68" bestFit="1" customWidth="1"/>
    <col min="5875" max="5875" width="10.85546875" style="68" customWidth="1"/>
    <col min="5876" max="5876" width="10.42578125" style="68" customWidth="1"/>
    <col min="5877" max="5877" width="9.7109375" style="68" bestFit="1" customWidth="1"/>
    <col min="5878" max="5880" width="9.28515625" style="68" bestFit="1" customWidth="1"/>
    <col min="5881" max="5881" width="10.7109375" style="68" bestFit="1" customWidth="1"/>
    <col min="5882" max="5882" width="11.28515625" style="68" customWidth="1"/>
    <col min="5883" max="5883" width="12.5703125" style="68" customWidth="1"/>
    <col min="5884" max="5884" width="13.5703125" style="68" customWidth="1"/>
    <col min="5885" max="5885" width="13" style="68" customWidth="1"/>
    <col min="5886" max="6124" width="9.140625" style="68"/>
    <col min="6125" max="6125" width="3.7109375" style="68" customWidth="1"/>
    <col min="6126" max="6126" width="4" style="68" bestFit="1" customWidth="1"/>
    <col min="6127" max="6127" width="14.5703125" style="68" customWidth="1"/>
    <col min="6128" max="6128" width="11.140625" style="68" customWidth="1"/>
    <col min="6129" max="6129" width="8.7109375" style="68" customWidth="1"/>
    <col min="6130" max="6130" width="9.7109375" style="68" bestFit="1" customWidth="1"/>
    <col min="6131" max="6131" width="10.85546875" style="68" customWidth="1"/>
    <col min="6132" max="6132" width="10.42578125" style="68" customWidth="1"/>
    <col min="6133" max="6133" width="9.7109375" style="68" bestFit="1" customWidth="1"/>
    <col min="6134" max="6136" width="9.28515625" style="68" bestFit="1" customWidth="1"/>
    <col min="6137" max="6137" width="10.7109375" style="68" bestFit="1" customWidth="1"/>
    <col min="6138" max="6138" width="11.28515625" style="68" customWidth="1"/>
    <col min="6139" max="6139" width="12.5703125" style="68" customWidth="1"/>
    <col min="6140" max="6140" width="13.5703125" style="68" customWidth="1"/>
    <col min="6141" max="6141" width="13" style="68" customWidth="1"/>
    <col min="6142" max="6380" width="9.140625" style="68"/>
    <col min="6381" max="6381" width="3.7109375" style="68" customWidth="1"/>
    <col min="6382" max="6382" width="4" style="68" bestFit="1" customWidth="1"/>
    <col min="6383" max="6383" width="14.5703125" style="68" customWidth="1"/>
    <col min="6384" max="6384" width="11.140625" style="68" customWidth="1"/>
    <col min="6385" max="6385" width="8.7109375" style="68" customWidth="1"/>
    <col min="6386" max="6386" width="9.7109375" style="68" bestFit="1" customWidth="1"/>
    <col min="6387" max="6387" width="10.85546875" style="68" customWidth="1"/>
    <col min="6388" max="6388" width="10.42578125" style="68" customWidth="1"/>
    <col min="6389" max="6389" width="9.7109375" style="68" bestFit="1" customWidth="1"/>
    <col min="6390" max="6392" width="9.28515625" style="68" bestFit="1" customWidth="1"/>
    <col min="6393" max="6393" width="10.7109375" style="68" bestFit="1" customWidth="1"/>
    <col min="6394" max="6394" width="11.28515625" style="68" customWidth="1"/>
    <col min="6395" max="6395" width="12.5703125" style="68" customWidth="1"/>
    <col min="6396" max="6396" width="13.5703125" style="68" customWidth="1"/>
    <col min="6397" max="6397" width="13" style="68" customWidth="1"/>
    <col min="6398" max="6636" width="9.140625" style="68"/>
    <col min="6637" max="6637" width="3.7109375" style="68" customWidth="1"/>
    <col min="6638" max="6638" width="4" style="68" bestFit="1" customWidth="1"/>
    <col min="6639" max="6639" width="14.5703125" style="68" customWidth="1"/>
    <col min="6640" max="6640" width="11.140625" style="68" customWidth="1"/>
    <col min="6641" max="6641" width="8.7109375" style="68" customWidth="1"/>
    <col min="6642" max="6642" width="9.7109375" style="68" bestFit="1" customWidth="1"/>
    <col min="6643" max="6643" width="10.85546875" style="68" customWidth="1"/>
    <col min="6644" max="6644" width="10.42578125" style="68" customWidth="1"/>
    <col min="6645" max="6645" width="9.7109375" style="68" bestFit="1" customWidth="1"/>
    <col min="6646" max="6648" width="9.28515625" style="68" bestFit="1" customWidth="1"/>
    <col min="6649" max="6649" width="10.7109375" style="68" bestFit="1" customWidth="1"/>
    <col min="6650" max="6650" width="11.28515625" style="68" customWidth="1"/>
    <col min="6651" max="6651" width="12.5703125" style="68" customWidth="1"/>
    <col min="6652" max="6652" width="13.5703125" style="68" customWidth="1"/>
    <col min="6653" max="6653" width="13" style="68" customWidth="1"/>
    <col min="6654" max="6892" width="9.140625" style="68"/>
    <col min="6893" max="6893" width="3.7109375" style="68" customWidth="1"/>
    <col min="6894" max="6894" width="4" style="68" bestFit="1" customWidth="1"/>
    <col min="6895" max="6895" width="14.5703125" style="68" customWidth="1"/>
    <col min="6896" max="6896" width="11.140625" style="68" customWidth="1"/>
    <col min="6897" max="6897" width="8.7109375" style="68" customWidth="1"/>
    <col min="6898" max="6898" width="9.7109375" style="68" bestFit="1" customWidth="1"/>
    <col min="6899" max="6899" width="10.85546875" style="68" customWidth="1"/>
    <col min="6900" max="6900" width="10.42578125" style="68" customWidth="1"/>
    <col min="6901" max="6901" width="9.7109375" style="68" bestFit="1" customWidth="1"/>
    <col min="6902" max="6904" width="9.28515625" style="68" bestFit="1" customWidth="1"/>
    <col min="6905" max="6905" width="10.7109375" style="68" bestFit="1" customWidth="1"/>
    <col min="6906" max="6906" width="11.28515625" style="68" customWidth="1"/>
    <col min="6907" max="6907" width="12.5703125" style="68" customWidth="1"/>
    <col min="6908" max="6908" width="13.5703125" style="68" customWidth="1"/>
    <col min="6909" max="6909" width="13" style="68" customWidth="1"/>
    <col min="6910" max="7148" width="9.140625" style="68"/>
    <col min="7149" max="7149" width="3.7109375" style="68" customWidth="1"/>
    <col min="7150" max="7150" width="4" style="68" bestFit="1" customWidth="1"/>
    <col min="7151" max="7151" width="14.5703125" style="68" customWidth="1"/>
    <col min="7152" max="7152" width="11.140625" style="68" customWidth="1"/>
    <col min="7153" max="7153" width="8.7109375" style="68" customWidth="1"/>
    <col min="7154" max="7154" width="9.7109375" style="68" bestFit="1" customWidth="1"/>
    <col min="7155" max="7155" width="10.85546875" style="68" customWidth="1"/>
    <col min="7156" max="7156" width="10.42578125" style="68" customWidth="1"/>
    <col min="7157" max="7157" width="9.7109375" style="68" bestFit="1" customWidth="1"/>
    <col min="7158" max="7160" width="9.28515625" style="68" bestFit="1" customWidth="1"/>
    <col min="7161" max="7161" width="10.7109375" style="68" bestFit="1" customWidth="1"/>
    <col min="7162" max="7162" width="11.28515625" style="68" customWidth="1"/>
    <col min="7163" max="7163" width="12.5703125" style="68" customWidth="1"/>
    <col min="7164" max="7164" width="13.5703125" style="68" customWidth="1"/>
    <col min="7165" max="7165" width="13" style="68" customWidth="1"/>
    <col min="7166" max="7404" width="9.140625" style="68"/>
    <col min="7405" max="7405" width="3.7109375" style="68" customWidth="1"/>
    <col min="7406" max="7406" width="4" style="68" bestFit="1" customWidth="1"/>
    <col min="7407" max="7407" width="14.5703125" style="68" customWidth="1"/>
    <col min="7408" max="7408" width="11.140625" style="68" customWidth="1"/>
    <col min="7409" max="7409" width="8.7109375" style="68" customWidth="1"/>
    <col min="7410" max="7410" width="9.7109375" style="68" bestFit="1" customWidth="1"/>
    <col min="7411" max="7411" width="10.85546875" style="68" customWidth="1"/>
    <col min="7412" max="7412" width="10.42578125" style="68" customWidth="1"/>
    <col min="7413" max="7413" width="9.7109375" style="68" bestFit="1" customWidth="1"/>
    <col min="7414" max="7416" width="9.28515625" style="68" bestFit="1" customWidth="1"/>
    <col min="7417" max="7417" width="10.7109375" style="68" bestFit="1" customWidth="1"/>
    <col min="7418" max="7418" width="11.28515625" style="68" customWidth="1"/>
    <col min="7419" max="7419" width="12.5703125" style="68" customWidth="1"/>
    <col min="7420" max="7420" width="13.5703125" style="68" customWidth="1"/>
    <col min="7421" max="7421" width="13" style="68" customWidth="1"/>
    <col min="7422" max="7660" width="9.140625" style="68"/>
    <col min="7661" max="7661" width="3.7109375" style="68" customWidth="1"/>
    <col min="7662" max="7662" width="4" style="68" bestFit="1" customWidth="1"/>
    <col min="7663" max="7663" width="14.5703125" style="68" customWidth="1"/>
    <col min="7664" max="7664" width="11.140625" style="68" customWidth="1"/>
    <col min="7665" max="7665" width="8.7109375" style="68" customWidth="1"/>
    <col min="7666" max="7666" width="9.7109375" style="68" bestFit="1" customWidth="1"/>
    <col min="7667" max="7667" width="10.85546875" style="68" customWidth="1"/>
    <col min="7668" max="7668" width="10.42578125" style="68" customWidth="1"/>
    <col min="7669" max="7669" width="9.7109375" style="68" bestFit="1" customWidth="1"/>
    <col min="7670" max="7672" width="9.28515625" style="68" bestFit="1" customWidth="1"/>
    <col min="7673" max="7673" width="10.7109375" style="68" bestFit="1" customWidth="1"/>
    <col min="7674" max="7674" width="11.28515625" style="68" customWidth="1"/>
    <col min="7675" max="7675" width="12.5703125" style="68" customWidth="1"/>
    <col min="7676" max="7676" width="13.5703125" style="68" customWidth="1"/>
    <col min="7677" max="7677" width="13" style="68" customWidth="1"/>
    <col min="7678" max="7916" width="9.140625" style="68"/>
    <col min="7917" max="7917" width="3.7109375" style="68" customWidth="1"/>
    <col min="7918" max="7918" width="4" style="68" bestFit="1" customWidth="1"/>
    <col min="7919" max="7919" width="14.5703125" style="68" customWidth="1"/>
    <col min="7920" max="7920" width="11.140625" style="68" customWidth="1"/>
    <col min="7921" max="7921" width="8.7109375" style="68" customWidth="1"/>
    <col min="7922" max="7922" width="9.7109375" style="68" bestFit="1" customWidth="1"/>
    <col min="7923" max="7923" width="10.85546875" style="68" customWidth="1"/>
    <col min="7924" max="7924" width="10.42578125" style="68" customWidth="1"/>
    <col min="7925" max="7925" width="9.7109375" style="68" bestFit="1" customWidth="1"/>
    <col min="7926" max="7928" width="9.28515625" style="68" bestFit="1" customWidth="1"/>
    <col min="7929" max="7929" width="10.7109375" style="68" bestFit="1" customWidth="1"/>
    <col min="7930" max="7930" width="11.28515625" style="68" customWidth="1"/>
    <col min="7931" max="7931" width="12.5703125" style="68" customWidth="1"/>
    <col min="7932" max="7932" width="13.5703125" style="68" customWidth="1"/>
    <col min="7933" max="7933" width="13" style="68" customWidth="1"/>
    <col min="7934" max="8172" width="9.140625" style="68"/>
    <col min="8173" max="8173" width="3.7109375" style="68" customWidth="1"/>
    <col min="8174" max="8174" width="4" style="68" bestFit="1" customWidth="1"/>
    <col min="8175" max="8175" width="14.5703125" style="68" customWidth="1"/>
    <col min="8176" max="8176" width="11.140625" style="68" customWidth="1"/>
    <col min="8177" max="8177" width="8.7109375" style="68" customWidth="1"/>
    <col min="8178" max="8178" width="9.7109375" style="68" bestFit="1" customWidth="1"/>
    <col min="8179" max="8179" width="10.85546875" style="68" customWidth="1"/>
    <col min="8180" max="8180" width="10.42578125" style="68" customWidth="1"/>
    <col min="8181" max="8181" width="9.7109375" style="68" bestFit="1" customWidth="1"/>
    <col min="8182" max="8184" width="9.28515625" style="68" bestFit="1" customWidth="1"/>
    <col min="8185" max="8185" width="10.7109375" style="68" bestFit="1" customWidth="1"/>
    <col min="8186" max="8186" width="11.28515625" style="68" customWidth="1"/>
    <col min="8187" max="8187" width="12.5703125" style="68" customWidth="1"/>
    <col min="8188" max="8188" width="13.5703125" style="68" customWidth="1"/>
    <col min="8189" max="8189" width="13" style="68" customWidth="1"/>
    <col min="8190" max="8428" width="9.140625" style="68"/>
    <col min="8429" max="8429" width="3.7109375" style="68" customWidth="1"/>
    <col min="8430" max="8430" width="4" style="68" bestFit="1" customWidth="1"/>
    <col min="8431" max="8431" width="14.5703125" style="68" customWidth="1"/>
    <col min="8432" max="8432" width="11.140625" style="68" customWidth="1"/>
    <col min="8433" max="8433" width="8.7109375" style="68" customWidth="1"/>
    <col min="8434" max="8434" width="9.7109375" style="68" bestFit="1" customWidth="1"/>
    <col min="8435" max="8435" width="10.85546875" style="68" customWidth="1"/>
    <col min="8436" max="8436" width="10.42578125" style="68" customWidth="1"/>
    <col min="8437" max="8437" width="9.7109375" style="68" bestFit="1" customWidth="1"/>
    <col min="8438" max="8440" width="9.28515625" style="68" bestFit="1" customWidth="1"/>
    <col min="8441" max="8441" width="10.7109375" style="68" bestFit="1" customWidth="1"/>
    <col min="8442" max="8442" width="11.28515625" style="68" customWidth="1"/>
    <col min="8443" max="8443" width="12.5703125" style="68" customWidth="1"/>
    <col min="8444" max="8444" width="13.5703125" style="68" customWidth="1"/>
    <col min="8445" max="8445" width="13" style="68" customWidth="1"/>
    <col min="8446" max="8684" width="9.140625" style="68"/>
    <col min="8685" max="8685" width="3.7109375" style="68" customWidth="1"/>
    <col min="8686" max="8686" width="4" style="68" bestFit="1" customWidth="1"/>
    <col min="8687" max="8687" width="14.5703125" style="68" customWidth="1"/>
    <col min="8688" max="8688" width="11.140625" style="68" customWidth="1"/>
    <col min="8689" max="8689" width="8.7109375" style="68" customWidth="1"/>
    <col min="8690" max="8690" width="9.7109375" style="68" bestFit="1" customWidth="1"/>
    <col min="8691" max="8691" width="10.85546875" style="68" customWidth="1"/>
    <col min="8692" max="8692" width="10.42578125" style="68" customWidth="1"/>
    <col min="8693" max="8693" width="9.7109375" style="68" bestFit="1" customWidth="1"/>
    <col min="8694" max="8696" width="9.28515625" style="68" bestFit="1" customWidth="1"/>
    <col min="8697" max="8697" width="10.7109375" style="68" bestFit="1" customWidth="1"/>
    <col min="8698" max="8698" width="11.28515625" style="68" customWidth="1"/>
    <col min="8699" max="8699" width="12.5703125" style="68" customWidth="1"/>
    <col min="8700" max="8700" width="13.5703125" style="68" customWidth="1"/>
    <col min="8701" max="8701" width="13" style="68" customWidth="1"/>
    <col min="8702" max="8940" width="9.140625" style="68"/>
    <col min="8941" max="8941" width="3.7109375" style="68" customWidth="1"/>
    <col min="8942" max="8942" width="4" style="68" bestFit="1" customWidth="1"/>
    <col min="8943" max="8943" width="14.5703125" style="68" customWidth="1"/>
    <col min="8944" max="8944" width="11.140625" style="68" customWidth="1"/>
    <col min="8945" max="8945" width="8.7109375" style="68" customWidth="1"/>
    <col min="8946" max="8946" width="9.7109375" style="68" bestFit="1" customWidth="1"/>
    <col min="8947" max="8947" width="10.85546875" style="68" customWidth="1"/>
    <col min="8948" max="8948" width="10.42578125" style="68" customWidth="1"/>
    <col min="8949" max="8949" width="9.7109375" style="68" bestFit="1" customWidth="1"/>
    <col min="8950" max="8952" width="9.28515625" style="68" bestFit="1" customWidth="1"/>
    <col min="8953" max="8953" width="10.7109375" style="68" bestFit="1" customWidth="1"/>
    <col min="8954" max="8954" width="11.28515625" style="68" customWidth="1"/>
    <col min="8955" max="8955" width="12.5703125" style="68" customWidth="1"/>
    <col min="8956" max="8956" width="13.5703125" style="68" customWidth="1"/>
    <col min="8957" max="8957" width="13" style="68" customWidth="1"/>
    <col min="8958" max="9196" width="9.140625" style="68"/>
    <col min="9197" max="9197" width="3.7109375" style="68" customWidth="1"/>
    <col min="9198" max="9198" width="4" style="68" bestFit="1" customWidth="1"/>
    <col min="9199" max="9199" width="14.5703125" style="68" customWidth="1"/>
    <col min="9200" max="9200" width="11.140625" style="68" customWidth="1"/>
    <col min="9201" max="9201" width="8.7109375" style="68" customWidth="1"/>
    <col min="9202" max="9202" width="9.7109375" style="68" bestFit="1" customWidth="1"/>
    <col min="9203" max="9203" width="10.85546875" style="68" customWidth="1"/>
    <col min="9204" max="9204" width="10.42578125" style="68" customWidth="1"/>
    <col min="9205" max="9205" width="9.7109375" style="68" bestFit="1" customWidth="1"/>
    <col min="9206" max="9208" width="9.28515625" style="68" bestFit="1" customWidth="1"/>
    <col min="9209" max="9209" width="10.7109375" style="68" bestFit="1" customWidth="1"/>
    <col min="9210" max="9210" width="11.28515625" style="68" customWidth="1"/>
    <col min="9211" max="9211" width="12.5703125" style="68" customWidth="1"/>
    <col min="9212" max="9212" width="13.5703125" style="68" customWidth="1"/>
    <col min="9213" max="9213" width="13" style="68" customWidth="1"/>
    <col min="9214" max="9452" width="9.140625" style="68"/>
    <col min="9453" max="9453" width="3.7109375" style="68" customWidth="1"/>
    <col min="9454" max="9454" width="4" style="68" bestFit="1" customWidth="1"/>
    <col min="9455" max="9455" width="14.5703125" style="68" customWidth="1"/>
    <col min="9456" max="9456" width="11.140625" style="68" customWidth="1"/>
    <col min="9457" max="9457" width="8.7109375" style="68" customWidth="1"/>
    <col min="9458" max="9458" width="9.7109375" style="68" bestFit="1" customWidth="1"/>
    <col min="9459" max="9459" width="10.85546875" style="68" customWidth="1"/>
    <col min="9460" max="9460" width="10.42578125" style="68" customWidth="1"/>
    <col min="9461" max="9461" width="9.7109375" style="68" bestFit="1" customWidth="1"/>
    <col min="9462" max="9464" width="9.28515625" style="68" bestFit="1" customWidth="1"/>
    <col min="9465" max="9465" width="10.7109375" style="68" bestFit="1" customWidth="1"/>
    <col min="9466" max="9466" width="11.28515625" style="68" customWidth="1"/>
    <col min="9467" max="9467" width="12.5703125" style="68" customWidth="1"/>
    <col min="9468" max="9468" width="13.5703125" style="68" customWidth="1"/>
    <col min="9469" max="9469" width="13" style="68" customWidth="1"/>
    <col min="9470" max="9708" width="9.140625" style="68"/>
    <col min="9709" max="9709" width="3.7109375" style="68" customWidth="1"/>
    <col min="9710" max="9710" width="4" style="68" bestFit="1" customWidth="1"/>
    <col min="9711" max="9711" width="14.5703125" style="68" customWidth="1"/>
    <col min="9712" max="9712" width="11.140625" style="68" customWidth="1"/>
    <col min="9713" max="9713" width="8.7109375" style="68" customWidth="1"/>
    <col min="9714" max="9714" width="9.7109375" style="68" bestFit="1" customWidth="1"/>
    <col min="9715" max="9715" width="10.85546875" style="68" customWidth="1"/>
    <col min="9716" max="9716" width="10.42578125" style="68" customWidth="1"/>
    <col min="9717" max="9717" width="9.7109375" style="68" bestFit="1" customWidth="1"/>
    <col min="9718" max="9720" width="9.28515625" style="68" bestFit="1" customWidth="1"/>
    <col min="9721" max="9721" width="10.7109375" style="68" bestFit="1" customWidth="1"/>
    <col min="9722" max="9722" width="11.28515625" style="68" customWidth="1"/>
    <col min="9723" max="9723" width="12.5703125" style="68" customWidth="1"/>
    <col min="9724" max="9724" width="13.5703125" style="68" customWidth="1"/>
    <col min="9725" max="9725" width="13" style="68" customWidth="1"/>
    <col min="9726" max="9964" width="9.140625" style="68"/>
    <col min="9965" max="9965" width="3.7109375" style="68" customWidth="1"/>
    <col min="9966" max="9966" width="4" style="68" bestFit="1" customWidth="1"/>
    <col min="9967" max="9967" width="14.5703125" style="68" customWidth="1"/>
    <col min="9968" max="9968" width="11.140625" style="68" customWidth="1"/>
    <col min="9969" max="9969" width="8.7109375" style="68" customWidth="1"/>
    <col min="9970" max="9970" width="9.7109375" style="68" bestFit="1" customWidth="1"/>
    <col min="9971" max="9971" width="10.85546875" style="68" customWidth="1"/>
    <col min="9972" max="9972" width="10.42578125" style="68" customWidth="1"/>
    <col min="9973" max="9973" width="9.7109375" style="68" bestFit="1" customWidth="1"/>
    <col min="9974" max="9976" width="9.28515625" style="68" bestFit="1" customWidth="1"/>
    <col min="9977" max="9977" width="10.7109375" style="68" bestFit="1" customWidth="1"/>
    <col min="9978" max="9978" width="11.28515625" style="68" customWidth="1"/>
    <col min="9979" max="9979" width="12.5703125" style="68" customWidth="1"/>
    <col min="9980" max="9980" width="13.5703125" style="68" customWidth="1"/>
    <col min="9981" max="9981" width="13" style="68" customWidth="1"/>
    <col min="9982" max="10220" width="9.140625" style="68"/>
    <col min="10221" max="10221" width="3.7109375" style="68" customWidth="1"/>
    <col min="10222" max="10222" width="4" style="68" bestFit="1" customWidth="1"/>
    <col min="10223" max="10223" width="14.5703125" style="68" customWidth="1"/>
    <col min="10224" max="10224" width="11.140625" style="68" customWidth="1"/>
    <col min="10225" max="10225" width="8.7109375" style="68" customWidth="1"/>
    <col min="10226" max="10226" width="9.7109375" style="68" bestFit="1" customWidth="1"/>
    <col min="10227" max="10227" width="10.85546875" style="68" customWidth="1"/>
    <col min="10228" max="10228" width="10.42578125" style="68" customWidth="1"/>
    <col min="10229" max="10229" width="9.7109375" style="68" bestFit="1" customWidth="1"/>
    <col min="10230" max="10232" width="9.28515625" style="68" bestFit="1" customWidth="1"/>
    <col min="10233" max="10233" width="10.7109375" style="68" bestFit="1" customWidth="1"/>
    <col min="10234" max="10234" width="11.28515625" style="68" customWidth="1"/>
    <col min="10235" max="10235" width="12.5703125" style="68" customWidth="1"/>
    <col min="10236" max="10236" width="13.5703125" style="68" customWidth="1"/>
    <col min="10237" max="10237" width="13" style="68" customWidth="1"/>
    <col min="10238" max="10476" width="9.140625" style="68"/>
    <col min="10477" max="10477" width="3.7109375" style="68" customWidth="1"/>
    <col min="10478" max="10478" width="4" style="68" bestFit="1" customWidth="1"/>
    <col min="10479" max="10479" width="14.5703125" style="68" customWidth="1"/>
    <col min="10480" max="10480" width="11.140625" style="68" customWidth="1"/>
    <col min="10481" max="10481" width="8.7109375" style="68" customWidth="1"/>
    <col min="10482" max="10482" width="9.7109375" style="68" bestFit="1" customWidth="1"/>
    <col min="10483" max="10483" width="10.85546875" style="68" customWidth="1"/>
    <col min="10484" max="10484" width="10.42578125" style="68" customWidth="1"/>
    <col min="10485" max="10485" width="9.7109375" style="68" bestFit="1" customWidth="1"/>
    <col min="10486" max="10488" width="9.28515625" style="68" bestFit="1" customWidth="1"/>
    <col min="10489" max="10489" width="10.7109375" style="68" bestFit="1" customWidth="1"/>
    <col min="10490" max="10490" width="11.28515625" style="68" customWidth="1"/>
    <col min="10491" max="10491" width="12.5703125" style="68" customWidth="1"/>
    <col min="10492" max="10492" width="13.5703125" style="68" customWidth="1"/>
    <col min="10493" max="10493" width="13" style="68" customWidth="1"/>
    <col min="10494" max="10732" width="9.140625" style="68"/>
    <col min="10733" max="10733" width="3.7109375" style="68" customWidth="1"/>
    <col min="10734" max="10734" width="4" style="68" bestFit="1" customWidth="1"/>
    <col min="10735" max="10735" width="14.5703125" style="68" customWidth="1"/>
    <col min="10736" max="10736" width="11.140625" style="68" customWidth="1"/>
    <col min="10737" max="10737" width="8.7109375" style="68" customWidth="1"/>
    <col min="10738" max="10738" width="9.7109375" style="68" bestFit="1" customWidth="1"/>
    <col min="10739" max="10739" width="10.85546875" style="68" customWidth="1"/>
    <col min="10740" max="10740" width="10.42578125" style="68" customWidth="1"/>
    <col min="10741" max="10741" width="9.7109375" style="68" bestFit="1" customWidth="1"/>
    <col min="10742" max="10744" width="9.28515625" style="68" bestFit="1" customWidth="1"/>
    <col min="10745" max="10745" width="10.7109375" style="68" bestFit="1" customWidth="1"/>
    <col min="10746" max="10746" width="11.28515625" style="68" customWidth="1"/>
    <col min="10747" max="10747" width="12.5703125" style="68" customWidth="1"/>
    <col min="10748" max="10748" width="13.5703125" style="68" customWidth="1"/>
    <col min="10749" max="10749" width="13" style="68" customWidth="1"/>
    <col min="10750" max="10988" width="9.140625" style="68"/>
    <col min="10989" max="10989" width="3.7109375" style="68" customWidth="1"/>
    <col min="10990" max="10990" width="4" style="68" bestFit="1" customWidth="1"/>
    <col min="10991" max="10991" width="14.5703125" style="68" customWidth="1"/>
    <col min="10992" max="10992" width="11.140625" style="68" customWidth="1"/>
    <col min="10993" max="10993" width="8.7109375" style="68" customWidth="1"/>
    <col min="10994" max="10994" width="9.7109375" style="68" bestFit="1" customWidth="1"/>
    <col min="10995" max="10995" width="10.85546875" style="68" customWidth="1"/>
    <col min="10996" max="10996" width="10.42578125" style="68" customWidth="1"/>
    <col min="10997" max="10997" width="9.7109375" style="68" bestFit="1" customWidth="1"/>
    <col min="10998" max="11000" width="9.28515625" style="68" bestFit="1" customWidth="1"/>
    <col min="11001" max="11001" width="10.7109375" style="68" bestFit="1" customWidth="1"/>
    <col min="11002" max="11002" width="11.28515625" style="68" customWidth="1"/>
    <col min="11003" max="11003" width="12.5703125" style="68" customWidth="1"/>
    <col min="11004" max="11004" width="13.5703125" style="68" customWidth="1"/>
    <col min="11005" max="11005" width="13" style="68" customWidth="1"/>
    <col min="11006" max="11244" width="9.140625" style="68"/>
    <col min="11245" max="11245" width="3.7109375" style="68" customWidth="1"/>
    <col min="11246" max="11246" width="4" style="68" bestFit="1" customWidth="1"/>
    <col min="11247" max="11247" width="14.5703125" style="68" customWidth="1"/>
    <col min="11248" max="11248" width="11.140625" style="68" customWidth="1"/>
    <col min="11249" max="11249" width="8.7109375" style="68" customWidth="1"/>
    <col min="11250" max="11250" width="9.7109375" style="68" bestFit="1" customWidth="1"/>
    <col min="11251" max="11251" width="10.85546875" style="68" customWidth="1"/>
    <col min="11252" max="11252" width="10.42578125" style="68" customWidth="1"/>
    <col min="11253" max="11253" width="9.7109375" style="68" bestFit="1" customWidth="1"/>
    <col min="11254" max="11256" width="9.28515625" style="68" bestFit="1" customWidth="1"/>
    <col min="11257" max="11257" width="10.7109375" style="68" bestFit="1" customWidth="1"/>
    <col min="11258" max="11258" width="11.28515625" style="68" customWidth="1"/>
    <col min="11259" max="11259" width="12.5703125" style="68" customWidth="1"/>
    <col min="11260" max="11260" width="13.5703125" style="68" customWidth="1"/>
    <col min="11261" max="11261" width="13" style="68" customWidth="1"/>
    <col min="11262" max="11500" width="9.140625" style="68"/>
    <col min="11501" max="11501" width="3.7109375" style="68" customWidth="1"/>
    <col min="11502" max="11502" width="4" style="68" bestFit="1" customWidth="1"/>
    <col min="11503" max="11503" width="14.5703125" style="68" customWidth="1"/>
    <col min="11504" max="11504" width="11.140625" style="68" customWidth="1"/>
    <col min="11505" max="11505" width="8.7109375" style="68" customWidth="1"/>
    <col min="11506" max="11506" width="9.7109375" style="68" bestFit="1" customWidth="1"/>
    <col min="11507" max="11507" width="10.85546875" style="68" customWidth="1"/>
    <col min="11508" max="11508" width="10.42578125" style="68" customWidth="1"/>
    <col min="11509" max="11509" width="9.7109375" style="68" bestFit="1" customWidth="1"/>
    <col min="11510" max="11512" width="9.28515625" style="68" bestFit="1" customWidth="1"/>
    <col min="11513" max="11513" width="10.7109375" style="68" bestFit="1" customWidth="1"/>
    <col min="11514" max="11514" width="11.28515625" style="68" customWidth="1"/>
    <col min="11515" max="11515" width="12.5703125" style="68" customWidth="1"/>
    <col min="11516" max="11516" width="13.5703125" style="68" customWidth="1"/>
    <col min="11517" max="11517" width="13" style="68" customWidth="1"/>
    <col min="11518" max="11756" width="9.140625" style="68"/>
    <col min="11757" max="11757" width="3.7109375" style="68" customWidth="1"/>
    <col min="11758" max="11758" width="4" style="68" bestFit="1" customWidth="1"/>
    <col min="11759" max="11759" width="14.5703125" style="68" customWidth="1"/>
    <col min="11760" max="11760" width="11.140625" style="68" customWidth="1"/>
    <col min="11761" max="11761" width="8.7109375" style="68" customWidth="1"/>
    <col min="11762" max="11762" width="9.7109375" style="68" bestFit="1" customWidth="1"/>
    <col min="11763" max="11763" width="10.85546875" style="68" customWidth="1"/>
    <col min="11764" max="11764" width="10.42578125" style="68" customWidth="1"/>
    <col min="11765" max="11765" width="9.7109375" style="68" bestFit="1" customWidth="1"/>
    <col min="11766" max="11768" width="9.28515625" style="68" bestFit="1" customWidth="1"/>
    <col min="11769" max="11769" width="10.7109375" style="68" bestFit="1" customWidth="1"/>
    <col min="11770" max="11770" width="11.28515625" style="68" customWidth="1"/>
    <col min="11771" max="11771" width="12.5703125" style="68" customWidth="1"/>
    <col min="11772" max="11772" width="13.5703125" style="68" customWidth="1"/>
    <col min="11773" max="11773" width="13" style="68" customWidth="1"/>
    <col min="11774" max="12012" width="9.140625" style="68"/>
    <col min="12013" max="12013" width="3.7109375" style="68" customWidth="1"/>
    <col min="12014" max="12014" width="4" style="68" bestFit="1" customWidth="1"/>
    <col min="12015" max="12015" width="14.5703125" style="68" customWidth="1"/>
    <col min="12016" max="12016" width="11.140625" style="68" customWidth="1"/>
    <col min="12017" max="12017" width="8.7109375" style="68" customWidth="1"/>
    <col min="12018" max="12018" width="9.7109375" style="68" bestFit="1" customWidth="1"/>
    <col min="12019" max="12019" width="10.85546875" style="68" customWidth="1"/>
    <col min="12020" max="12020" width="10.42578125" style="68" customWidth="1"/>
    <col min="12021" max="12021" width="9.7109375" style="68" bestFit="1" customWidth="1"/>
    <col min="12022" max="12024" width="9.28515625" style="68" bestFit="1" customWidth="1"/>
    <col min="12025" max="12025" width="10.7109375" style="68" bestFit="1" customWidth="1"/>
    <col min="12026" max="12026" width="11.28515625" style="68" customWidth="1"/>
    <col min="12027" max="12027" width="12.5703125" style="68" customWidth="1"/>
    <col min="12028" max="12028" width="13.5703125" style="68" customWidth="1"/>
    <col min="12029" max="12029" width="13" style="68" customWidth="1"/>
    <col min="12030" max="12268" width="9.140625" style="68"/>
    <col min="12269" max="12269" width="3.7109375" style="68" customWidth="1"/>
    <col min="12270" max="12270" width="4" style="68" bestFit="1" customWidth="1"/>
    <col min="12271" max="12271" width="14.5703125" style="68" customWidth="1"/>
    <col min="12272" max="12272" width="11.140625" style="68" customWidth="1"/>
    <col min="12273" max="12273" width="8.7109375" style="68" customWidth="1"/>
    <col min="12274" max="12274" width="9.7109375" style="68" bestFit="1" customWidth="1"/>
    <col min="12275" max="12275" width="10.85546875" style="68" customWidth="1"/>
    <col min="12276" max="12276" width="10.42578125" style="68" customWidth="1"/>
    <col min="12277" max="12277" width="9.7109375" style="68" bestFit="1" customWidth="1"/>
    <col min="12278" max="12280" width="9.28515625" style="68" bestFit="1" customWidth="1"/>
    <col min="12281" max="12281" width="10.7109375" style="68" bestFit="1" customWidth="1"/>
    <col min="12282" max="12282" width="11.28515625" style="68" customWidth="1"/>
    <col min="12283" max="12283" width="12.5703125" style="68" customWidth="1"/>
    <col min="12284" max="12284" width="13.5703125" style="68" customWidth="1"/>
    <col min="12285" max="12285" width="13" style="68" customWidth="1"/>
    <col min="12286" max="12524" width="9.140625" style="68"/>
    <col min="12525" max="12525" width="3.7109375" style="68" customWidth="1"/>
    <col min="12526" max="12526" width="4" style="68" bestFit="1" customWidth="1"/>
    <col min="12527" max="12527" width="14.5703125" style="68" customWidth="1"/>
    <col min="12528" max="12528" width="11.140625" style="68" customWidth="1"/>
    <col min="12529" max="12529" width="8.7109375" style="68" customWidth="1"/>
    <col min="12530" max="12530" width="9.7109375" style="68" bestFit="1" customWidth="1"/>
    <col min="12531" max="12531" width="10.85546875" style="68" customWidth="1"/>
    <col min="12532" max="12532" width="10.42578125" style="68" customWidth="1"/>
    <col min="12533" max="12533" width="9.7109375" style="68" bestFit="1" customWidth="1"/>
    <col min="12534" max="12536" width="9.28515625" style="68" bestFit="1" customWidth="1"/>
    <col min="12537" max="12537" width="10.7109375" style="68" bestFit="1" customWidth="1"/>
    <col min="12538" max="12538" width="11.28515625" style="68" customWidth="1"/>
    <col min="12539" max="12539" width="12.5703125" style="68" customWidth="1"/>
    <col min="12540" max="12540" width="13.5703125" style="68" customWidth="1"/>
    <col min="12541" max="12541" width="13" style="68" customWidth="1"/>
    <col min="12542" max="12780" width="9.140625" style="68"/>
    <col min="12781" max="12781" width="3.7109375" style="68" customWidth="1"/>
    <col min="12782" max="12782" width="4" style="68" bestFit="1" customWidth="1"/>
    <col min="12783" max="12783" width="14.5703125" style="68" customWidth="1"/>
    <col min="12784" max="12784" width="11.140625" style="68" customWidth="1"/>
    <col min="12785" max="12785" width="8.7109375" style="68" customWidth="1"/>
    <col min="12786" max="12786" width="9.7109375" style="68" bestFit="1" customWidth="1"/>
    <col min="12787" max="12787" width="10.85546875" style="68" customWidth="1"/>
    <col min="12788" max="12788" width="10.42578125" style="68" customWidth="1"/>
    <col min="12789" max="12789" width="9.7109375" style="68" bestFit="1" customWidth="1"/>
    <col min="12790" max="12792" width="9.28515625" style="68" bestFit="1" customWidth="1"/>
    <col min="12793" max="12793" width="10.7109375" style="68" bestFit="1" customWidth="1"/>
    <col min="12794" max="12794" width="11.28515625" style="68" customWidth="1"/>
    <col min="12795" max="12795" width="12.5703125" style="68" customWidth="1"/>
    <col min="12796" max="12796" width="13.5703125" style="68" customWidth="1"/>
    <col min="12797" max="12797" width="13" style="68" customWidth="1"/>
    <col min="12798" max="13036" width="9.140625" style="68"/>
    <col min="13037" max="13037" width="3.7109375" style="68" customWidth="1"/>
    <col min="13038" max="13038" width="4" style="68" bestFit="1" customWidth="1"/>
    <col min="13039" max="13039" width="14.5703125" style="68" customWidth="1"/>
    <col min="13040" max="13040" width="11.140625" style="68" customWidth="1"/>
    <col min="13041" max="13041" width="8.7109375" style="68" customWidth="1"/>
    <col min="13042" max="13042" width="9.7109375" style="68" bestFit="1" customWidth="1"/>
    <col min="13043" max="13043" width="10.85546875" style="68" customWidth="1"/>
    <col min="13044" max="13044" width="10.42578125" style="68" customWidth="1"/>
    <col min="13045" max="13045" width="9.7109375" style="68" bestFit="1" customWidth="1"/>
    <col min="13046" max="13048" width="9.28515625" style="68" bestFit="1" customWidth="1"/>
    <col min="13049" max="13049" width="10.7109375" style="68" bestFit="1" customWidth="1"/>
    <col min="13050" max="13050" width="11.28515625" style="68" customWidth="1"/>
    <col min="13051" max="13051" width="12.5703125" style="68" customWidth="1"/>
    <col min="13052" max="13052" width="13.5703125" style="68" customWidth="1"/>
    <col min="13053" max="13053" width="13" style="68" customWidth="1"/>
    <col min="13054" max="13292" width="9.140625" style="68"/>
    <col min="13293" max="13293" width="3.7109375" style="68" customWidth="1"/>
    <col min="13294" max="13294" width="4" style="68" bestFit="1" customWidth="1"/>
    <col min="13295" max="13295" width="14.5703125" style="68" customWidth="1"/>
    <col min="13296" max="13296" width="11.140625" style="68" customWidth="1"/>
    <col min="13297" max="13297" width="8.7109375" style="68" customWidth="1"/>
    <col min="13298" max="13298" width="9.7109375" style="68" bestFit="1" customWidth="1"/>
    <col min="13299" max="13299" width="10.85546875" style="68" customWidth="1"/>
    <col min="13300" max="13300" width="10.42578125" style="68" customWidth="1"/>
    <col min="13301" max="13301" width="9.7109375" style="68" bestFit="1" customWidth="1"/>
    <col min="13302" max="13304" width="9.28515625" style="68" bestFit="1" customWidth="1"/>
    <col min="13305" max="13305" width="10.7109375" style="68" bestFit="1" customWidth="1"/>
    <col min="13306" max="13306" width="11.28515625" style="68" customWidth="1"/>
    <col min="13307" max="13307" width="12.5703125" style="68" customWidth="1"/>
    <col min="13308" max="13308" width="13.5703125" style="68" customWidth="1"/>
    <col min="13309" max="13309" width="13" style="68" customWidth="1"/>
    <col min="13310" max="13548" width="9.140625" style="68"/>
    <col min="13549" max="13549" width="3.7109375" style="68" customWidth="1"/>
    <col min="13550" max="13550" width="4" style="68" bestFit="1" customWidth="1"/>
    <col min="13551" max="13551" width="14.5703125" style="68" customWidth="1"/>
    <col min="13552" max="13552" width="11.140625" style="68" customWidth="1"/>
    <col min="13553" max="13553" width="8.7109375" style="68" customWidth="1"/>
    <col min="13554" max="13554" width="9.7109375" style="68" bestFit="1" customWidth="1"/>
    <col min="13555" max="13555" width="10.85546875" style="68" customWidth="1"/>
    <col min="13556" max="13556" width="10.42578125" style="68" customWidth="1"/>
    <col min="13557" max="13557" width="9.7109375" style="68" bestFit="1" customWidth="1"/>
    <col min="13558" max="13560" width="9.28515625" style="68" bestFit="1" customWidth="1"/>
    <col min="13561" max="13561" width="10.7109375" style="68" bestFit="1" customWidth="1"/>
    <col min="13562" max="13562" width="11.28515625" style="68" customWidth="1"/>
    <col min="13563" max="13563" width="12.5703125" style="68" customWidth="1"/>
    <col min="13564" max="13564" width="13.5703125" style="68" customWidth="1"/>
    <col min="13565" max="13565" width="13" style="68" customWidth="1"/>
    <col min="13566" max="13804" width="9.140625" style="68"/>
    <col min="13805" max="13805" width="3.7109375" style="68" customWidth="1"/>
    <col min="13806" max="13806" width="4" style="68" bestFit="1" customWidth="1"/>
    <col min="13807" max="13807" width="14.5703125" style="68" customWidth="1"/>
    <col min="13808" max="13808" width="11.140625" style="68" customWidth="1"/>
    <col min="13809" max="13809" width="8.7109375" style="68" customWidth="1"/>
    <col min="13810" max="13810" width="9.7109375" style="68" bestFit="1" customWidth="1"/>
    <col min="13811" max="13811" width="10.85546875" style="68" customWidth="1"/>
    <col min="13812" max="13812" width="10.42578125" style="68" customWidth="1"/>
    <col min="13813" max="13813" width="9.7109375" style="68" bestFit="1" customWidth="1"/>
    <col min="13814" max="13816" width="9.28515625" style="68" bestFit="1" customWidth="1"/>
    <col min="13817" max="13817" width="10.7109375" style="68" bestFit="1" customWidth="1"/>
    <col min="13818" max="13818" width="11.28515625" style="68" customWidth="1"/>
    <col min="13819" max="13819" width="12.5703125" style="68" customWidth="1"/>
    <col min="13820" max="13820" width="13.5703125" style="68" customWidth="1"/>
    <col min="13821" max="13821" width="13" style="68" customWidth="1"/>
    <col min="13822" max="14060" width="9.140625" style="68"/>
    <col min="14061" max="14061" width="3.7109375" style="68" customWidth="1"/>
    <col min="14062" max="14062" width="4" style="68" bestFit="1" customWidth="1"/>
    <col min="14063" max="14063" width="14.5703125" style="68" customWidth="1"/>
    <col min="14064" max="14064" width="11.140625" style="68" customWidth="1"/>
    <col min="14065" max="14065" width="8.7109375" style="68" customWidth="1"/>
    <col min="14066" max="14066" width="9.7109375" style="68" bestFit="1" customWidth="1"/>
    <col min="14067" max="14067" width="10.85546875" style="68" customWidth="1"/>
    <col min="14068" max="14068" width="10.42578125" style="68" customWidth="1"/>
    <col min="14069" max="14069" width="9.7109375" style="68" bestFit="1" customWidth="1"/>
    <col min="14070" max="14072" width="9.28515625" style="68" bestFit="1" customWidth="1"/>
    <col min="14073" max="14073" width="10.7109375" style="68" bestFit="1" customWidth="1"/>
    <col min="14074" max="14074" width="11.28515625" style="68" customWidth="1"/>
    <col min="14075" max="14075" width="12.5703125" style="68" customWidth="1"/>
    <col min="14076" max="14076" width="13.5703125" style="68" customWidth="1"/>
    <col min="14077" max="14077" width="13" style="68" customWidth="1"/>
    <col min="14078" max="14316" width="9.140625" style="68"/>
    <col min="14317" max="14317" width="3.7109375" style="68" customWidth="1"/>
    <col min="14318" max="14318" width="4" style="68" bestFit="1" customWidth="1"/>
    <col min="14319" max="14319" width="14.5703125" style="68" customWidth="1"/>
    <col min="14320" max="14320" width="11.140625" style="68" customWidth="1"/>
    <col min="14321" max="14321" width="8.7109375" style="68" customWidth="1"/>
    <col min="14322" max="14322" width="9.7109375" style="68" bestFit="1" customWidth="1"/>
    <col min="14323" max="14323" width="10.85546875" style="68" customWidth="1"/>
    <col min="14324" max="14324" width="10.42578125" style="68" customWidth="1"/>
    <col min="14325" max="14325" width="9.7109375" style="68" bestFit="1" customWidth="1"/>
    <col min="14326" max="14328" width="9.28515625" style="68" bestFit="1" customWidth="1"/>
    <col min="14329" max="14329" width="10.7109375" style="68" bestFit="1" customWidth="1"/>
    <col min="14330" max="14330" width="11.28515625" style="68" customWidth="1"/>
    <col min="14331" max="14331" width="12.5703125" style="68" customWidth="1"/>
    <col min="14332" max="14332" width="13.5703125" style="68" customWidth="1"/>
    <col min="14333" max="14333" width="13" style="68" customWidth="1"/>
    <col min="14334" max="14572" width="9.140625" style="68"/>
    <col min="14573" max="14573" width="3.7109375" style="68" customWidth="1"/>
    <col min="14574" max="14574" width="4" style="68" bestFit="1" customWidth="1"/>
    <col min="14575" max="14575" width="14.5703125" style="68" customWidth="1"/>
    <col min="14576" max="14576" width="11.140625" style="68" customWidth="1"/>
    <col min="14577" max="14577" width="8.7109375" style="68" customWidth="1"/>
    <col min="14578" max="14578" width="9.7109375" style="68" bestFit="1" customWidth="1"/>
    <col min="14579" max="14579" width="10.85546875" style="68" customWidth="1"/>
    <col min="14580" max="14580" width="10.42578125" style="68" customWidth="1"/>
    <col min="14581" max="14581" width="9.7109375" style="68" bestFit="1" customWidth="1"/>
    <col min="14582" max="14584" width="9.28515625" style="68" bestFit="1" customWidth="1"/>
    <col min="14585" max="14585" width="10.7109375" style="68" bestFit="1" customWidth="1"/>
    <col min="14586" max="14586" width="11.28515625" style="68" customWidth="1"/>
    <col min="14587" max="14587" width="12.5703125" style="68" customWidth="1"/>
    <col min="14588" max="14588" width="13.5703125" style="68" customWidth="1"/>
    <col min="14589" max="14589" width="13" style="68" customWidth="1"/>
    <col min="14590" max="14828" width="9.140625" style="68"/>
    <col min="14829" max="14829" width="3.7109375" style="68" customWidth="1"/>
    <col min="14830" max="14830" width="4" style="68" bestFit="1" customWidth="1"/>
    <col min="14831" max="14831" width="14.5703125" style="68" customWidth="1"/>
    <col min="14832" max="14832" width="11.140625" style="68" customWidth="1"/>
    <col min="14833" max="14833" width="8.7109375" style="68" customWidth="1"/>
    <col min="14834" max="14834" width="9.7109375" style="68" bestFit="1" customWidth="1"/>
    <col min="14835" max="14835" width="10.85546875" style="68" customWidth="1"/>
    <col min="14836" max="14836" width="10.42578125" style="68" customWidth="1"/>
    <col min="14837" max="14837" width="9.7109375" style="68" bestFit="1" customWidth="1"/>
    <col min="14838" max="14840" width="9.28515625" style="68" bestFit="1" customWidth="1"/>
    <col min="14841" max="14841" width="10.7109375" style="68" bestFit="1" customWidth="1"/>
    <col min="14842" max="14842" width="11.28515625" style="68" customWidth="1"/>
    <col min="14843" max="14843" width="12.5703125" style="68" customWidth="1"/>
    <col min="14844" max="14844" width="13.5703125" style="68" customWidth="1"/>
    <col min="14845" max="14845" width="13" style="68" customWidth="1"/>
    <col min="14846" max="15084" width="9.140625" style="68"/>
    <col min="15085" max="15085" width="3.7109375" style="68" customWidth="1"/>
    <col min="15086" max="15086" width="4" style="68" bestFit="1" customWidth="1"/>
    <col min="15087" max="15087" width="14.5703125" style="68" customWidth="1"/>
    <col min="15088" max="15088" width="11.140625" style="68" customWidth="1"/>
    <col min="15089" max="15089" width="8.7109375" style="68" customWidth="1"/>
    <col min="15090" max="15090" width="9.7109375" style="68" bestFit="1" customWidth="1"/>
    <col min="15091" max="15091" width="10.85546875" style="68" customWidth="1"/>
    <col min="15092" max="15092" width="10.42578125" style="68" customWidth="1"/>
    <col min="15093" max="15093" width="9.7109375" style="68" bestFit="1" customWidth="1"/>
    <col min="15094" max="15096" width="9.28515625" style="68" bestFit="1" customWidth="1"/>
    <col min="15097" max="15097" width="10.7109375" style="68" bestFit="1" customWidth="1"/>
    <col min="15098" max="15098" width="11.28515625" style="68" customWidth="1"/>
    <col min="15099" max="15099" width="12.5703125" style="68" customWidth="1"/>
    <col min="15100" max="15100" width="13.5703125" style="68" customWidth="1"/>
    <col min="15101" max="15101" width="13" style="68" customWidth="1"/>
    <col min="15102" max="15340" width="9.140625" style="68"/>
    <col min="15341" max="15341" width="3.7109375" style="68" customWidth="1"/>
    <col min="15342" max="15342" width="4" style="68" bestFit="1" customWidth="1"/>
    <col min="15343" max="15343" width="14.5703125" style="68" customWidth="1"/>
    <col min="15344" max="15344" width="11.140625" style="68" customWidth="1"/>
    <col min="15345" max="15345" width="8.7109375" style="68" customWidth="1"/>
    <col min="15346" max="15346" width="9.7109375" style="68" bestFit="1" customWidth="1"/>
    <col min="15347" max="15347" width="10.85546875" style="68" customWidth="1"/>
    <col min="15348" max="15348" width="10.42578125" style="68" customWidth="1"/>
    <col min="15349" max="15349" width="9.7109375" style="68" bestFit="1" customWidth="1"/>
    <col min="15350" max="15352" width="9.28515625" style="68" bestFit="1" customWidth="1"/>
    <col min="15353" max="15353" width="10.7109375" style="68" bestFit="1" customWidth="1"/>
    <col min="15354" max="15354" width="11.28515625" style="68" customWidth="1"/>
    <col min="15355" max="15355" width="12.5703125" style="68" customWidth="1"/>
    <col min="15356" max="15356" width="13.5703125" style="68" customWidth="1"/>
    <col min="15357" max="15357" width="13" style="68" customWidth="1"/>
    <col min="15358" max="15596" width="9.140625" style="68"/>
    <col min="15597" max="15597" width="3.7109375" style="68" customWidth="1"/>
    <col min="15598" max="15598" width="4" style="68" bestFit="1" customWidth="1"/>
    <col min="15599" max="15599" width="14.5703125" style="68" customWidth="1"/>
    <col min="15600" max="15600" width="11.140625" style="68" customWidth="1"/>
    <col min="15601" max="15601" width="8.7109375" style="68" customWidth="1"/>
    <col min="15602" max="15602" width="9.7109375" style="68" bestFit="1" customWidth="1"/>
    <col min="15603" max="15603" width="10.85546875" style="68" customWidth="1"/>
    <col min="15604" max="15604" width="10.42578125" style="68" customWidth="1"/>
    <col min="15605" max="15605" width="9.7109375" style="68" bestFit="1" customWidth="1"/>
    <col min="15606" max="15608" width="9.28515625" style="68" bestFit="1" customWidth="1"/>
    <col min="15609" max="15609" width="10.7109375" style="68" bestFit="1" customWidth="1"/>
    <col min="15610" max="15610" width="11.28515625" style="68" customWidth="1"/>
    <col min="15611" max="15611" width="12.5703125" style="68" customWidth="1"/>
    <col min="15612" max="15612" width="13.5703125" style="68" customWidth="1"/>
    <col min="15613" max="15613" width="13" style="68" customWidth="1"/>
    <col min="15614" max="15852" width="9.140625" style="68"/>
    <col min="15853" max="15853" width="3.7109375" style="68" customWidth="1"/>
    <col min="15854" max="15854" width="4" style="68" bestFit="1" customWidth="1"/>
    <col min="15855" max="15855" width="14.5703125" style="68" customWidth="1"/>
    <col min="15856" max="15856" width="11.140625" style="68" customWidth="1"/>
    <col min="15857" max="15857" width="8.7109375" style="68" customWidth="1"/>
    <col min="15858" max="15858" width="9.7109375" style="68" bestFit="1" customWidth="1"/>
    <col min="15859" max="15859" width="10.85546875" style="68" customWidth="1"/>
    <col min="15860" max="15860" width="10.42578125" style="68" customWidth="1"/>
    <col min="15861" max="15861" width="9.7109375" style="68" bestFit="1" customWidth="1"/>
    <col min="15862" max="15864" width="9.28515625" style="68" bestFit="1" customWidth="1"/>
    <col min="15865" max="15865" width="10.7109375" style="68" bestFit="1" customWidth="1"/>
    <col min="15866" max="15866" width="11.28515625" style="68" customWidth="1"/>
    <col min="15867" max="15867" width="12.5703125" style="68" customWidth="1"/>
    <col min="15868" max="15868" width="13.5703125" style="68" customWidth="1"/>
    <col min="15869" max="15869" width="13" style="68" customWidth="1"/>
    <col min="15870" max="16108" width="9.140625" style="68"/>
    <col min="16109" max="16109" width="3.7109375" style="68" customWidth="1"/>
    <col min="16110" max="16110" width="4" style="68" bestFit="1" customWidth="1"/>
    <col min="16111" max="16111" width="14.5703125" style="68" customWidth="1"/>
    <col min="16112" max="16112" width="11.140625" style="68" customWidth="1"/>
    <col min="16113" max="16113" width="8.7109375" style="68" customWidth="1"/>
    <col min="16114" max="16114" width="9.7109375" style="68" bestFit="1" customWidth="1"/>
    <col min="16115" max="16115" width="10.85546875" style="68" customWidth="1"/>
    <col min="16116" max="16116" width="10.42578125" style="68" customWidth="1"/>
    <col min="16117" max="16117" width="9.7109375" style="68" bestFit="1" customWidth="1"/>
    <col min="16118" max="16120" width="9.28515625" style="68" bestFit="1" customWidth="1"/>
    <col min="16121" max="16121" width="10.7109375" style="68" bestFit="1" customWidth="1"/>
    <col min="16122" max="16122" width="11.28515625" style="68" customWidth="1"/>
    <col min="16123" max="16123" width="12.5703125" style="68" customWidth="1"/>
    <col min="16124" max="16124" width="13.5703125" style="68" customWidth="1"/>
    <col min="16125" max="16125" width="13" style="68" customWidth="1"/>
    <col min="1612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332</v>
      </c>
      <c r="R4" s="67"/>
      <c r="S4" s="67"/>
    </row>
    <row r="5" spans="2:21" s="70" customFormat="1" x14ac:dyDescent="0.25">
      <c r="B5" s="71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47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848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849" t="s">
        <v>244</v>
      </c>
      <c r="D9" s="850"/>
      <c r="E9" s="74">
        <f>'19'!L9</f>
        <v>18463.311704118816</v>
      </c>
      <c r="F9" s="74">
        <f>Production2!D22</f>
        <v>2806.92</v>
      </c>
      <c r="G9" s="74">
        <f>F9+'19'!G9</f>
        <v>44814.94</v>
      </c>
      <c r="H9" s="74">
        <f>F9+'19'!H9</f>
        <v>44814.94</v>
      </c>
      <c r="I9" s="74">
        <f>Production2!E22</f>
        <v>1979</v>
      </c>
      <c r="J9" s="74">
        <f>I9+'19'!J9</f>
        <v>42194</v>
      </c>
      <c r="K9" s="74">
        <f>I9+'19'!K9</f>
        <v>42194</v>
      </c>
      <c r="L9" s="74">
        <f>E9+F9-I9-I21</f>
        <v>19115.921704118813</v>
      </c>
      <c r="M9" s="75">
        <f>I9</f>
        <v>1979</v>
      </c>
      <c r="N9" s="75">
        <f>(I9/I13)*100</f>
        <v>96.962273395394419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(2)'!L22</f>
        <v>502.93999999999983</v>
      </c>
      <c r="F10" s="77">
        <f>'Mines (2)'!M22</f>
        <v>0</v>
      </c>
      <c r="G10" s="74">
        <f>F10+'19'!G10</f>
        <v>475.90000000000009</v>
      </c>
      <c r="H10" s="74">
        <f>F10+'19'!H10</f>
        <v>475.90000000000009</v>
      </c>
      <c r="I10" s="77">
        <f>'Mines (2)'!N22</f>
        <v>0</v>
      </c>
      <c r="J10" s="74">
        <f>I10+'19'!J10</f>
        <v>97</v>
      </c>
      <c r="K10" s="74">
        <f>I10+'19'!K10</f>
        <v>97</v>
      </c>
      <c r="L10" s="77">
        <f t="shared" ref="L10:L16" si="0">E10+F10-I10</f>
        <v>502.93999999999983</v>
      </c>
      <c r="M10" s="75">
        <f t="shared" ref="M10:M12" si="1">I10</f>
        <v>0</v>
      </c>
      <c r="N10" s="75">
        <f>(I10/I13)*100</f>
        <v>0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Clinker!C22</f>
        <v>4521.6399999999994</v>
      </c>
      <c r="F11" s="77">
        <f>Clinker!D22</f>
        <v>0</v>
      </c>
      <c r="G11" s="74">
        <f>F11+'19'!G11</f>
        <v>0</v>
      </c>
      <c r="H11" s="74">
        <f>F11+'19'!H11</f>
        <v>0</v>
      </c>
      <c r="I11" s="77">
        <f>Clinker!E22</f>
        <v>41</v>
      </c>
      <c r="J11" s="74">
        <f>I11+'19'!J11</f>
        <v>885</v>
      </c>
      <c r="K11" s="74">
        <f>I11+'19'!K11</f>
        <v>885</v>
      </c>
      <c r="L11" s="77">
        <f t="shared" si="0"/>
        <v>4480.6399999999994</v>
      </c>
      <c r="M11" s="75">
        <f t="shared" si="1"/>
        <v>41</v>
      </c>
      <c r="N11" s="75">
        <f>(I11/I13)*100</f>
        <v>2.0088192062714354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(2)'!Q22</f>
        <v>605.81999999999994</v>
      </c>
      <c r="F12" s="77">
        <f>'Mines (2)'!R22</f>
        <v>0</v>
      </c>
      <c r="G12" s="74">
        <f>F12+'19'!G12</f>
        <v>92.54</v>
      </c>
      <c r="H12" s="74">
        <f>F12+'19'!H12</f>
        <v>92.54</v>
      </c>
      <c r="I12" s="77">
        <f>'Mines (2)'!S22</f>
        <v>21</v>
      </c>
      <c r="J12" s="74">
        <f>I12+'19'!J12</f>
        <v>108</v>
      </c>
      <c r="K12" s="74">
        <f>I12+'19'!K12</f>
        <v>108</v>
      </c>
      <c r="L12" s="77">
        <f t="shared" si="0"/>
        <v>584.81999999999994</v>
      </c>
      <c r="M12" s="75">
        <f t="shared" si="1"/>
        <v>21</v>
      </c>
      <c r="N12" s="75">
        <f>(I12/I13)*100</f>
        <v>1.0289073983341499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24093.711704118814</v>
      </c>
      <c r="F13" s="127">
        <f t="shared" si="2"/>
        <v>2806.92</v>
      </c>
      <c r="G13" s="127">
        <f t="shared" si="2"/>
        <v>45383.380000000005</v>
      </c>
      <c r="H13" s="127">
        <f t="shared" si="2"/>
        <v>45383.380000000005</v>
      </c>
      <c r="I13" s="127">
        <f t="shared" si="2"/>
        <v>2041</v>
      </c>
      <c r="J13" s="127">
        <f t="shared" si="2"/>
        <v>43284</v>
      </c>
      <c r="K13" s="127">
        <f t="shared" si="2"/>
        <v>43284</v>
      </c>
      <c r="L13" s="127">
        <f t="shared" si="0"/>
        <v>24859.631704118816</v>
      </c>
      <c r="M13" s="128">
        <f>SUM(M9:M12)</f>
        <v>2041</v>
      </c>
      <c r="N13" s="128">
        <f>SUM(N9:N12)</f>
        <v>100.00000000000001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Clinker!EA22</f>
        <v>11634.456999999991</v>
      </c>
      <c r="F14" s="77">
        <f>Clinker!EB22</f>
        <v>0</v>
      </c>
      <c r="G14" s="77">
        <f>F14+'19'!G14</f>
        <v>181.5</v>
      </c>
      <c r="H14" s="77">
        <f>F14+'19'!H14</f>
        <v>181.5</v>
      </c>
      <c r="I14" s="77">
        <f>Clinker!EC22</f>
        <v>203.32999999999998</v>
      </c>
      <c r="J14" s="77">
        <f>I14+'19'!J14</f>
        <v>4421.6400000000003</v>
      </c>
      <c r="K14" s="77">
        <f>I14+'19'!K14</f>
        <v>4421.6400000000003</v>
      </c>
      <c r="L14" s="77">
        <f>E14+F14-I14-Clinker!N22-Clinker!Z22-Clinker!AR22-Clinker!AW22-Clinker!BB22-Clinker!BV22-Clinker!BG22-Clinker!BL22-Clinker!BQ22-Clinker!CU22-Clinker!DO22</f>
        <v>11366.126999999991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Clinker!EE22</f>
        <v>10639.699999999997</v>
      </c>
      <c r="F15" s="77">
        <f>Clinker!EF22</f>
        <v>0</v>
      </c>
      <c r="G15" s="77">
        <f>F15+'19'!G15</f>
        <v>155.05000000000001</v>
      </c>
      <c r="H15" s="77">
        <f>F15+'19'!H15</f>
        <v>155.05000000000001</v>
      </c>
      <c r="I15" s="77">
        <f>Clinker!EG22</f>
        <v>130</v>
      </c>
      <c r="J15" s="77">
        <f>I15+'19'!J15</f>
        <v>2594</v>
      </c>
      <c r="K15" s="77">
        <f>I15+'19'!K15</f>
        <v>2594</v>
      </c>
      <c r="L15" s="77">
        <f>E15+F15-Clinker!T22-Clinker!AE22-Clinker!AI22-Clinker!CK22-Clinker!CP22-Clinker!CF22</f>
        <v>10574.699999999997</v>
      </c>
      <c r="M15" s="81"/>
      <c r="N15" s="81"/>
      <c r="O15" s="667"/>
      <c r="P15" s="53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22274.156999999988</v>
      </c>
      <c r="F16" s="125">
        <f t="shared" ref="F16:K16" si="3">F14+F15</f>
        <v>0</v>
      </c>
      <c r="G16" s="125">
        <f t="shared" si="3"/>
        <v>336.55</v>
      </c>
      <c r="H16" s="125">
        <f t="shared" si="3"/>
        <v>336.55</v>
      </c>
      <c r="I16" s="125">
        <f t="shared" si="3"/>
        <v>333.33</v>
      </c>
      <c r="J16" s="125">
        <f>J14+J15</f>
        <v>7015.64</v>
      </c>
      <c r="K16" s="125">
        <f t="shared" si="3"/>
        <v>7015.64</v>
      </c>
      <c r="L16" s="125">
        <f t="shared" si="0"/>
        <v>21940.826999999987</v>
      </c>
      <c r="M16" s="126"/>
      <c r="N16" s="126"/>
      <c r="O16" s="667"/>
      <c r="P16" s="131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Clinker!EI22</f>
        <v>18336.670088243245</v>
      </c>
      <c r="F18" s="74">
        <f>Clinker!EJ22</f>
        <v>1230</v>
      </c>
      <c r="G18" s="74">
        <f>F18+'19'!G18</f>
        <v>26025</v>
      </c>
      <c r="H18" s="74">
        <f>F18+'19'!H18</f>
        <v>26025</v>
      </c>
      <c r="I18" s="74">
        <f>Clinker!EK22</f>
        <v>622.69000000000017</v>
      </c>
      <c r="J18" s="74">
        <f>I18+'19'!J18</f>
        <v>10362.560011383484</v>
      </c>
      <c r="K18" s="74">
        <f>I18+'19'!K18</f>
        <v>10362.560011383484</v>
      </c>
      <c r="L18" s="74">
        <f>E18+F18-I18-I20</f>
        <v>18943.980088243246</v>
      </c>
      <c r="M18" s="704">
        <f>((I18+I19)/(J40+J46))*100</f>
        <v>74.129761904761921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Clinker!EN22</f>
        <v>2165.8690080001361</v>
      </c>
      <c r="F19" s="74">
        <f>Clinker!EO22</f>
        <v>419.57</v>
      </c>
      <c r="G19" s="74">
        <f>F19+'19'!G19</f>
        <v>10669.990000000002</v>
      </c>
      <c r="H19" s="74">
        <f>F19+'19'!H19</f>
        <v>10669.990000000002</v>
      </c>
      <c r="I19" s="74">
        <f>Clinker!EP22</f>
        <v>0</v>
      </c>
      <c r="J19" s="74">
        <f>I19+'19'!J19</f>
        <v>16934.099999999999</v>
      </c>
      <c r="K19" s="74">
        <f>I19+'19'!K19</f>
        <v>16934.099999999999</v>
      </c>
      <c r="L19" s="74">
        <f>E19+F19-I19</f>
        <v>2585.4390080001363</v>
      </c>
      <c r="M19" s="705"/>
      <c r="N19" s="687"/>
      <c r="O19" s="689"/>
      <c r="P19" s="691"/>
      <c r="Q19" s="692"/>
      <c r="R19" s="2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Clinker!EM22</f>
        <v>0</v>
      </c>
      <c r="G20" s="74">
        <f>F20+'19'!G20</f>
        <v>0</v>
      </c>
      <c r="H20" s="74">
        <f>F20+'19'!H20</f>
        <v>0</v>
      </c>
      <c r="I20" s="77">
        <f>Clinker!EM22</f>
        <v>0</v>
      </c>
      <c r="J20" s="74">
        <f>I20+'19'!J20</f>
        <v>0</v>
      </c>
      <c r="K20" s="74">
        <f>I20+'19'!K20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>
        <f>Cement!O22</f>
        <v>0</v>
      </c>
      <c r="F21" s="77">
        <f>Cement!P22</f>
        <v>0</v>
      </c>
      <c r="G21" s="74">
        <f>F21+'19'!G21</f>
        <v>0</v>
      </c>
      <c r="H21" s="74">
        <f>F21+'19'!H21</f>
        <v>0</v>
      </c>
      <c r="I21" s="77">
        <f>Cement!Q22</f>
        <v>175.30999999999977</v>
      </c>
      <c r="J21" s="74">
        <f>I21+'19'!J21</f>
        <v>6609.8899930650168</v>
      </c>
      <c r="K21" s="74">
        <f>I21+'19'!K21</f>
        <v>6609.8899930650168</v>
      </c>
      <c r="L21" s="74"/>
      <c r="M21" s="78">
        <f>(I21/(J40+J46))*100</f>
        <v>20.870238095238069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Cement!C22</f>
        <v>7437.7100635982797</v>
      </c>
      <c r="F22" s="77">
        <f>Cement!D22</f>
        <v>120.68</v>
      </c>
      <c r="G22" s="74">
        <f>F22+'19'!G22</f>
        <v>1856.46</v>
      </c>
      <c r="H22" s="74">
        <f>F22+'19'!H22</f>
        <v>1856.46</v>
      </c>
      <c r="I22" s="77">
        <f>Cement!E22</f>
        <v>42</v>
      </c>
      <c r="J22" s="74">
        <f>I22+'19'!J22</f>
        <v>1785.4499955514996</v>
      </c>
      <c r="K22" s="74">
        <f>I22+'19'!K22</f>
        <v>1785.4499955514996</v>
      </c>
      <c r="L22" s="74">
        <f t="shared" ref="L22:L24" si="4">E22+F22-I22</f>
        <v>7516.39006359828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Cement!G22</f>
        <v>0.23999999999796273</v>
      </c>
      <c r="F23" s="77">
        <f>Cement!H22</f>
        <v>0</v>
      </c>
      <c r="G23" s="74">
        <f>F23+'19'!G23</f>
        <v>0</v>
      </c>
      <c r="H23" s="74">
        <f>F23+'19'!H23</f>
        <v>0</v>
      </c>
      <c r="I23" s="77">
        <f>Cement!I22</f>
        <v>0</v>
      </c>
      <c r="J23" s="74">
        <f>I23+'19'!J23</f>
        <v>0</v>
      </c>
      <c r="K23" s="74">
        <f>I23+'19'!K23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v>0</v>
      </c>
      <c r="F24" s="77">
        <v>0</v>
      </c>
      <c r="G24" s="74">
        <f>F24+'19'!G24</f>
        <v>0</v>
      </c>
      <c r="H24" s="74">
        <f>F24+'19'!H24</f>
        <v>0</v>
      </c>
      <c r="I24" s="77">
        <v>0</v>
      </c>
      <c r="J24" s="74">
        <f>I24+'19'!J24</f>
        <v>0</v>
      </c>
      <c r="K24" s="74">
        <f>I24+'19'!K24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27940.489159841658</v>
      </c>
      <c r="F25" s="122">
        <f t="shared" ref="F25:L25" si="5">F18+F19+F21+F22+F23+F24</f>
        <v>1770.25</v>
      </c>
      <c r="G25" s="122">
        <f t="shared" si="5"/>
        <v>38551.450000000004</v>
      </c>
      <c r="H25" s="122">
        <f t="shared" si="5"/>
        <v>38551.450000000004</v>
      </c>
      <c r="I25" s="122">
        <f t="shared" si="5"/>
        <v>840</v>
      </c>
      <c r="J25" s="122">
        <f t="shared" si="5"/>
        <v>35692</v>
      </c>
      <c r="K25" s="122">
        <f t="shared" si="5"/>
        <v>35692</v>
      </c>
      <c r="L25" s="122">
        <f t="shared" si="5"/>
        <v>29046.049159841659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Production2!C22</f>
        <v>21.08</v>
      </c>
      <c r="G30" s="75">
        <f>F30+'19'!G30</f>
        <v>272.68</v>
      </c>
      <c r="H30" s="75">
        <f>F30+'19'!H30</f>
        <v>272.68</v>
      </c>
      <c r="I30" s="74">
        <f>'Mines (2)'!C22+'Mines (2)'!H22+'Mines (2)'!V22+'Mines (2)'!Z22+'Mines (2)'!AD22</f>
        <v>18463.311704118823</v>
      </c>
      <c r="J30" s="74">
        <f>Production2!D22</f>
        <v>2806.92</v>
      </c>
      <c r="K30" s="74">
        <f>J30+'19'!K30</f>
        <v>44814.94</v>
      </c>
      <c r="L30" s="74">
        <f>J30+'19'!L30</f>
        <v>44814.94</v>
      </c>
      <c r="M30" s="74">
        <f>I9+I21</f>
        <v>2154.31</v>
      </c>
      <c r="N30" s="74">
        <f>M30+'19'!N30</f>
        <v>48803.889993065015</v>
      </c>
      <c r="O30" s="74">
        <f>M30+'19'!O30</f>
        <v>48803.889993065015</v>
      </c>
      <c r="P30" s="74">
        <f>I30+J30-M30</f>
        <v>19115.92170411882</v>
      </c>
      <c r="Q30" s="93">
        <f>J30/F30</f>
        <v>133.15559772296015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Production2!G22</f>
        <v>18</v>
      </c>
      <c r="G31" s="75">
        <f>F31+'19'!G31</f>
        <v>298.83</v>
      </c>
      <c r="H31" s="75">
        <f>F31+'19'!H31</f>
        <v>298.83</v>
      </c>
      <c r="I31" s="747">
        <f>Production2!H22</f>
        <v>701.78001683751927</v>
      </c>
      <c r="J31" s="78">
        <f>Production2!N22</f>
        <v>1760</v>
      </c>
      <c r="K31" s="74">
        <f>J31+'19'!K31</f>
        <v>36624.29</v>
      </c>
      <c r="L31" s="74">
        <f>J31+'19'!L31</f>
        <v>36624.29</v>
      </c>
      <c r="M31" s="747">
        <f>Production2!K22</f>
        <v>1906.5</v>
      </c>
      <c r="N31" s="747">
        <f>M31+'19'!N31</f>
        <v>40338.75</v>
      </c>
      <c r="O31" s="747">
        <f>M31+'19'!O31</f>
        <v>40338.75</v>
      </c>
      <c r="P31" s="747">
        <f>I31+J31+J32-M31</f>
        <v>633.41001683751938</v>
      </c>
      <c r="Q31" s="96">
        <f t="shared" ref="Q31:Q46" si="6">J31/F31</f>
        <v>97.777777777777771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Production2!P22</f>
        <v>9.75</v>
      </c>
      <c r="G32" s="75">
        <f>F32+'19'!G32</f>
        <v>254.91</v>
      </c>
      <c r="H32" s="75">
        <f>F32+'19'!H32</f>
        <v>254.91</v>
      </c>
      <c r="I32" s="748"/>
      <c r="J32" s="78">
        <f>Production2!Q22</f>
        <v>78.13</v>
      </c>
      <c r="K32" s="74">
        <f>J32+'19'!K32</f>
        <v>2354.14</v>
      </c>
      <c r="L32" s="74">
        <f>J32+'19'!L32</f>
        <v>2354.14</v>
      </c>
      <c r="M32" s="748"/>
      <c r="N32" s="748"/>
      <c r="O32" s="748"/>
      <c r="P32" s="748"/>
      <c r="Q32" s="96">
        <f>J32/F32</f>
        <v>8.0133333333333336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Production2!S22</f>
        <v>13.5</v>
      </c>
      <c r="G33" s="75">
        <f>F33+'19'!G33</f>
        <v>289.25</v>
      </c>
      <c r="H33" s="75">
        <f>F33+'19'!H33</f>
        <v>289.25</v>
      </c>
      <c r="I33" s="77">
        <f>Production2!T22</f>
        <v>54.009999999999991</v>
      </c>
      <c r="J33" s="77">
        <f>Production2!U22</f>
        <v>183</v>
      </c>
      <c r="K33" s="74">
        <f>J33+'19'!K33</f>
        <v>3979.5</v>
      </c>
      <c r="L33" s="74">
        <f>J33+'19'!L33</f>
        <v>3979.5</v>
      </c>
      <c r="M33" s="77">
        <f>Production2!V22</f>
        <v>185</v>
      </c>
      <c r="N33" s="74">
        <f>M33+'19'!N33</f>
        <v>3943</v>
      </c>
      <c r="O33" s="74">
        <f>M33+'19'!O33</f>
        <v>3943</v>
      </c>
      <c r="P33" s="74">
        <f t="shared" ref="P33" si="7">I33+J33-M33</f>
        <v>52.009999999999991</v>
      </c>
      <c r="Q33" s="96">
        <f t="shared" si="6"/>
        <v>13.555555555555555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Production2!Y22</f>
        <v>24</v>
      </c>
      <c r="G34" s="75">
        <f>F34+'19'!G34</f>
        <v>378.27</v>
      </c>
      <c r="H34" s="75">
        <f>F34+'19'!H34</f>
        <v>378.27</v>
      </c>
      <c r="I34" s="77">
        <f>Clinker!EI22</f>
        <v>18336.670088243245</v>
      </c>
      <c r="J34" s="77">
        <f>Clinker!EJ22</f>
        <v>1230</v>
      </c>
      <c r="K34" s="74">
        <f>J34+'19'!K34</f>
        <v>26025</v>
      </c>
      <c r="L34" s="74">
        <f>J34+'19'!L34</f>
        <v>26025</v>
      </c>
      <c r="M34" s="77">
        <f>Clinker!EK22</f>
        <v>622.69000000000017</v>
      </c>
      <c r="N34" s="74">
        <f>M34+'19'!N34</f>
        <v>10362.560011383484</v>
      </c>
      <c r="O34" s="74">
        <f>M34+'19'!O34</f>
        <v>10362.560011383484</v>
      </c>
      <c r="P34" s="74">
        <f>I34+J34-M34-I20</f>
        <v>18943.980088243246</v>
      </c>
      <c r="Q34" s="96">
        <f t="shared" si="6"/>
        <v>51.25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'Daily CEM-1'!I23</f>
        <v>0</v>
      </c>
      <c r="G35" s="75">
        <f>F35+'19'!G35</f>
        <v>9</v>
      </c>
      <c r="H35" s="75">
        <f>F35+'19'!H35</f>
        <v>9</v>
      </c>
      <c r="I35" s="77">
        <f>Production2!BJ22</f>
        <v>277.79999999999995</v>
      </c>
      <c r="J35" s="77">
        <f>'Daily CEM-1'!D23</f>
        <v>0</v>
      </c>
      <c r="K35" s="74">
        <f>J35+'19'!K35</f>
        <v>574</v>
      </c>
      <c r="L35" s="74">
        <f>J35+'19'!L35</f>
        <v>574</v>
      </c>
      <c r="M35" s="77">
        <f>Production2!BL22</f>
        <v>20</v>
      </c>
      <c r="N35" s="74">
        <f>M35+'19'!N35</f>
        <v>1548.5</v>
      </c>
      <c r="O35" s="74">
        <f>M35+'19'!O35</f>
        <v>1548.5</v>
      </c>
      <c r="P35" s="74">
        <f>I35+J35+J41-M35-F59</f>
        <v>257.79999999999995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'Daily CEM-1'!H23</f>
        <v>8.6</v>
      </c>
      <c r="G36" s="75">
        <f>F36+'19'!G36</f>
        <v>197.43</v>
      </c>
      <c r="H36" s="75">
        <f>F36+'19'!H36</f>
        <v>197.43</v>
      </c>
      <c r="I36" s="77">
        <f>Production2!BF22</f>
        <v>2745.5279999999798</v>
      </c>
      <c r="J36" s="77">
        <f>'Daily CEM-1'!C23</f>
        <v>542</v>
      </c>
      <c r="K36" s="74">
        <f>J36+'19'!K36</f>
        <v>11919</v>
      </c>
      <c r="L36" s="74">
        <f>J36+'19'!L36</f>
        <v>11919</v>
      </c>
      <c r="M36" s="77">
        <f>Production2!BH22</f>
        <v>515.5</v>
      </c>
      <c r="N36" s="74">
        <f>M36+'19'!N36</f>
        <v>26640.529999999995</v>
      </c>
      <c r="O36" s="538">
        <f>M36+'19'!O36</f>
        <v>26640.529999999995</v>
      </c>
      <c r="P36" s="74">
        <f>I36+J36+J42-M36-F57</f>
        <v>2772.0279999999798</v>
      </c>
      <c r="Q36" s="96">
        <f t="shared" si="6"/>
        <v>63.02325581395349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'Daily CEM-1'!J23</f>
        <v>0</v>
      </c>
      <c r="G37" s="75">
        <f>F37+'19'!G37</f>
        <v>0</v>
      </c>
      <c r="H37" s="75">
        <f>F37+'19'!H37</f>
        <v>0</v>
      </c>
      <c r="I37" s="77">
        <f>Production2!BN22</f>
        <v>2.0900000000008498</v>
      </c>
      <c r="J37" s="77">
        <f>'Daily CEM-1'!E23</f>
        <v>0</v>
      </c>
      <c r="K37" s="74">
        <f>J37+'19'!K37</f>
        <v>0</v>
      </c>
      <c r="L37" s="74">
        <f>J37+'19'!L37</f>
        <v>0</v>
      </c>
      <c r="M37" s="77">
        <f>Production2!BP22</f>
        <v>0</v>
      </c>
      <c r="N37" s="538">
        <f>M37+'19'!N37</f>
        <v>-0.15</v>
      </c>
      <c r="O37" s="538">
        <f>M37+'19'!O37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Production2!AK22</f>
        <v>0</v>
      </c>
      <c r="G38" s="536">
        <f>F38+'19'!G38</f>
        <v>0</v>
      </c>
      <c r="H38" s="536">
        <f>F38+'19'!H38</f>
        <v>0</v>
      </c>
      <c r="I38" s="195">
        <f>Production2!BR22</f>
        <v>188.3</v>
      </c>
      <c r="J38" s="195">
        <f>Production2!AL22</f>
        <v>0</v>
      </c>
      <c r="K38" s="538">
        <f>J38+'19'!K38</f>
        <v>0</v>
      </c>
      <c r="L38" s="538">
        <f>J38+'19'!L38</f>
        <v>0</v>
      </c>
      <c r="M38" s="195">
        <f>Production2!BT22</f>
        <v>30</v>
      </c>
      <c r="N38" s="538">
        <f>M38+'19'!N38</f>
        <v>1545</v>
      </c>
      <c r="O38" s="538">
        <f>M38+'19'!O38</f>
        <v>1545</v>
      </c>
      <c r="P38" s="74">
        <f>I38+J38+J44-M38</f>
        <v>158.30000000000001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33" t="s">
        <v>306</v>
      </c>
      <c r="E39" s="539">
        <v>78</v>
      </c>
      <c r="F39" s="535">
        <f>Production2!AN22</f>
        <v>0</v>
      </c>
      <c r="G39" s="536">
        <f>F39+'19'!G39</f>
        <v>33.85</v>
      </c>
      <c r="H39" s="536">
        <f>F39+'19'!H39</f>
        <v>33.85</v>
      </c>
      <c r="I39" s="537">
        <f>Production2!BV22</f>
        <v>611.51000000000022</v>
      </c>
      <c r="J39" s="537">
        <f>Production2!AO22</f>
        <v>0</v>
      </c>
      <c r="K39" s="538">
        <f>J39+'19'!K39</f>
        <v>2132</v>
      </c>
      <c r="L39" s="538">
        <f>J39+'19'!L39</f>
        <v>2132</v>
      </c>
      <c r="M39" s="77">
        <f>Production2!BX22</f>
        <v>118.98</v>
      </c>
      <c r="N39" s="538">
        <f>M39+'19'!N39</f>
        <v>4077.1800000000007</v>
      </c>
      <c r="O39" s="538">
        <f>M39+'19'!O39</f>
        <v>4077.1800000000007</v>
      </c>
      <c r="P39" s="538">
        <f>I39+J39+J45-M39</f>
        <v>790.5300000000002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8.6</v>
      </c>
      <c r="G40" s="132">
        <f t="shared" ref="G40:H40" si="8">G35+G36+G37+G38+G39</f>
        <v>240.28</v>
      </c>
      <c r="H40" s="132">
        <f t="shared" si="8"/>
        <v>240.28</v>
      </c>
      <c r="I40" s="122">
        <f>I35+I36+I37+I38+I39</f>
        <v>3825.227999999981</v>
      </c>
      <c r="J40" s="534">
        <f t="shared" ref="J40:O40" si="9">J35+J36+J37+J38+J39</f>
        <v>542</v>
      </c>
      <c r="K40" s="534">
        <f t="shared" si="9"/>
        <v>14625</v>
      </c>
      <c r="L40" s="534">
        <f t="shared" si="9"/>
        <v>14625</v>
      </c>
      <c r="M40" s="534">
        <f t="shared" si="9"/>
        <v>684.48</v>
      </c>
      <c r="N40" s="534">
        <f t="shared" si="9"/>
        <v>33811.06</v>
      </c>
      <c r="O40" s="534">
        <f t="shared" si="9"/>
        <v>33811.06</v>
      </c>
      <c r="P40" s="534">
        <f>P35+P36+P37+P38+P39</f>
        <v>3980.7479999999809</v>
      </c>
      <c r="Q40" s="123">
        <f t="shared" si="6"/>
        <v>63.02325581395349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Production2!AT22</f>
        <v>0</v>
      </c>
      <c r="G41" s="75">
        <f>F41+'19'!G41</f>
        <v>16.399999999999999</v>
      </c>
      <c r="H41" s="75">
        <f>F41+'19'!H41</f>
        <v>16.399999999999999</v>
      </c>
      <c r="I41" s="764"/>
      <c r="J41" s="77">
        <f>Production2!AU22</f>
        <v>0</v>
      </c>
      <c r="K41" s="74">
        <f>J41+'19'!K41</f>
        <v>1000</v>
      </c>
      <c r="L41" s="74">
        <f>J41+'19'!L41</f>
        <v>1000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Production2!AQ22</f>
        <v>0</v>
      </c>
      <c r="G42" s="75">
        <f>F42+'19'!G42</f>
        <v>278.02000000000004</v>
      </c>
      <c r="H42" s="75">
        <f>F42+'19'!H42</f>
        <v>278.02000000000004</v>
      </c>
      <c r="I42" s="765"/>
      <c r="J42" s="77">
        <f>Production2!AR22</f>
        <v>0</v>
      </c>
      <c r="K42" s="74">
        <f>J42+'19'!K42</f>
        <v>16215</v>
      </c>
      <c r="L42" s="74">
        <f>J42+'19'!L42</f>
        <v>16215</v>
      </c>
      <c r="M42" s="769"/>
      <c r="N42" s="829"/>
      <c r="O42" s="829"/>
      <c r="P42" s="771"/>
      <c r="Q42" s="96" t="e">
        <f t="shared" si="6"/>
        <v>#DIV/0!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Production2!AW22</f>
        <v>0</v>
      </c>
      <c r="G43" s="75">
        <f>F43+'19'!G43</f>
        <v>0</v>
      </c>
      <c r="H43" s="75">
        <f>F43+'19'!H43</f>
        <v>0</v>
      </c>
      <c r="I43" s="765"/>
      <c r="J43" s="77">
        <f>Production2!AX22</f>
        <v>0</v>
      </c>
      <c r="K43" s="74">
        <f>J43+'19'!K43</f>
        <v>0</v>
      </c>
      <c r="L43" s="74">
        <f>J43+'19'!L43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Production2!AZ22</f>
        <v>0</v>
      </c>
      <c r="G44" s="536">
        <f>F44+'19'!G44</f>
        <v>26.880000000000003</v>
      </c>
      <c r="H44" s="536">
        <f>F44+'19'!H44</f>
        <v>26.880000000000003</v>
      </c>
      <c r="I44" s="765"/>
      <c r="J44" s="195">
        <f>Production2!BA22</f>
        <v>0</v>
      </c>
      <c r="K44" s="74">
        <f>J44+'19'!K44</f>
        <v>1490</v>
      </c>
      <c r="L44" s="74">
        <f>J44+'19'!L44</f>
        <v>1490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33" t="s">
        <v>306</v>
      </c>
      <c r="E45" s="539">
        <v>70</v>
      </c>
      <c r="F45" s="535">
        <f>Production2!BC22</f>
        <v>5.48</v>
      </c>
      <c r="G45" s="536">
        <f>F45+'19'!G45</f>
        <v>39.870000000000005</v>
      </c>
      <c r="H45" s="536">
        <f>F45+'19'!H45</f>
        <v>39.870000000000005</v>
      </c>
      <c r="I45" s="748"/>
      <c r="J45" s="537">
        <f>Production2!BD22</f>
        <v>298</v>
      </c>
      <c r="K45" s="538">
        <f>J45+'18'!K45</f>
        <v>2362</v>
      </c>
      <c r="L45" s="538">
        <f>J45+'18'!L45</f>
        <v>2362</v>
      </c>
      <c r="M45" s="772"/>
      <c r="N45" s="773"/>
      <c r="O45" s="773"/>
      <c r="P45" s="774"/>
      <c r="Q45" s="96">
        <f t="shared" si="6"/>
        <v>54.379562043795616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5.48</v>
      </c>
      <c r="G46" s="132">
        <f>G41+G42+G43+G44+G45</f>
        <v>361.17</v>
      </c>
      <c r="H46" s="132">
        <f t="shared" ref="H46" si="10">H41+H42+H43+H44+H45</f>
        <v>361.17</v>
      </c>
      <c r="I46" s="122"/>
      <c r="J46" s="122">
        <f>J41+J42+J43+J44+J45</f>
        <v>298</v>
      </c>
      <c r="K46" s="534">
        <f t="shared" ref="K46" si="11">K41+K42+K43+K44+K45</f>
        <v>21067</v>
      </c>
      <c r="L46" s="534">
        <f>L41+L42+L43+L44+L45</f>
        <v>21067</v>
      </c>
      <c r="M46" s="836"/>
      <c r="N46" s="837"/>
      <c r="O46" s="837"/>
      <c r="P46" s="838"/>
      <c r="Q46" s="123">
        <f t="shared" si="6"/>
        <v>54.379562043795616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0.43677767802431133</v>
      </c>
      <c r="F50" s="99">
        <f>F53/(J31+J32)</f>
        <v>20.964784862876943</v>
      </c>
      <c r="G50" s="99">
        <f>G53/J32</f>
        <v>0</v>
      </c>
      <c r="H50" s="99">
        <f>H53/J34</f>
        <v>35.932520325203249</v>
      </c>
      <c r="I50" s="99">
        <f>I53/J33</f>
        <v>62.743169398907106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15.040650406504067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0.70275042667488785</v>
      </c>
      <c r="F51" s="102">
        <f>F50*1.55</f>
        <v>32.495416537459263</v>
      </c>
      <c r="G51" s="102">
        <f>G50*1.55</f>
        <v>0</v>
      </c>
      <c r="H51" s="102">
        <f>H50</f>
        <v>35.932520325203249</v>
      </c>
      <c r="I51" s="102">
        <f>I50*(Q50/100)</f>
        <v>9.436980763250256</v>
      </c>
      <c r="J51" s="102"/>
      <c r="K51" s="102"/>
      <c r="L51" s="102"/>
      <c r="M51" s="96"/>
      <c r="N51" s="310">
        <f>SUM(E51:F51,H51:I51)</f>
        <v>78.567668052587663</v>
      </c>
      <c r="O51" s="668" t="s">
        <v>279</v>
      </c>
      <c r="P51" s="668"/>
      <c r="Q51" s="104">
        <v>5388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0.52094721807879285</v>
      </c>
      <c r="F52" s="102">
        <f>F51*M18/100</f>
        <v>24.088774909179183</v>
      </c>
      <c r="G52" s="102">
        <f>G51*M18/100</f>
        <v>0</v>
      </c>
      <c r="H52" s="102">
        <f>H51*M18/100</f>
        <v>26.636691763453356</v>
      </c>
      <c r="I52" s="102">
        <f>I51*M18/100</f>
        <v>6.9956113707955989</v>
      </c>
      <c r="J52" s="99">
        <f>J53/(J40+J46)</f>
        <v>58.705952380952382</v>
      </c>
      <c r="K52" s="99">
        <f>K53/(J46+J40)</f>
        <v>1.5857142857142856</v>
      </c>
      <c r="L52" s="99">
        <f>L53/(M40)</f>
        <v>7.6919705469845718</v>
      </c>
      <c r="M52" s="96">
        <f>M53/(J46+J40)</f>
        <v>6.7488095238095234</v>
      </c>
      <c r="N52" s="310">
        <f>SUM(E52:F52,H52:M52)</f>
        <v>132.97447199896769</v>
      </c>
      <c r="O52" s="668" t="s">
        <v>281</v>
      </c>
      <c r="P52" s="668"/>
      <c r="Q52" s="104">
        <f>Q51*Q50/100</f>
        <v>810.39024390243912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unit'!B22</f>
        <v>1226</v>
      </c>
      <c r="F53" s="118">
        <f>'Daily unit'!C22</f>
        <v>38536</v>
      </c>
      <c r="G53" s="118">
        <f>'Daily unit'!D22</f>
        <v>0</v>
      </c>
      <c r="H53" s="118">
        <f>'Daily unit'!E22</f>
        <v>44197</v>
      </c>
      <c r="I53" s="118">
        <f>'Daily unit'!F22</f>
        <v>11482</v>
      </c>
      <c r="J53" s="118">
        <f>'Daily unit'!G22</f>
        <v>49313</v>
      </c>
      <c r="K53" s="118">
        <f>'Daily unit'!H22</f>
        <v>1332</v>
      </c>
      <c r="L53" s="118">
        <f>'Daily unit'!I22</f>
        <v>5265</v>
      </c>
      <c r="M53" s="119">
        <f>'Daily unit'!J22</f>
        <v>5669</v>
      </c>
      <c r="N53" s="321">
        <f>SUM(E53:M53)</f>
        <v>157020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14" t="s">
        <v>231</v>
      </c>
      <c r="C56" s="820" t="s">
        <v>285</v>
      </c>
      <c r="D56" s="820"/>
      <c r="E56" s="820"/>
      <c r="F56" s="215" t="s">
        <v>286</v>
      </c>
      <c r="G56" s="215" t="s">
        <v>26</v>
      </c>
      <c r="H56" s="233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thickBot="1" x14ac:dyDescent="0.3">
      <c r="B57" s="852">
        <v>1</v>
      </c>
      <c r="C57" s="851" t="s">
        <v>287</v>
      </c>
      <c r="D57" s="851"/>
      <c r="E57" s="217" t="s">
        <v>298</v>
      </c>
      <c r="F57" s="218">
        <f>'Internal use cement'!F22</f>
        <v>0</v>
      </c>
      <c r="G57" s="218">
        <f>F57+'19'!G57</f>
        <v>0</v>
      </c>
      <c r="H57" s="219">
        <f>F57+'19'!H57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thickBot="1" x14ac:dyDescent="0.3">
      <c r="B58" s="677"/>
      <c r="C58" s="760"/>
      <c r="D58" s="760"/>
      <c r="E58" s="80" t="s">
        <v>197</v>
      </c>
      <c r="F58" s="53">
        <f>'Internal use cement'!Q22</f>
        <v>0</v>
      </c>
      <c r="G58" s="218">
        <f>F58+'19'!G58</f>
        <v>0</v>
      </c>
      <c r="H58" s="219">
        <f>F58+'19'!H58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thickBot="1" x14ac:dyDescent="0.3">
      <c r="B59" s="677"/>
      <c r="C59" s="760"/>
      <c r="D59" s="760"/>
      <c r="E59" s="80">
        <v>32.5</v>
      </c>
      <c r="F59" s="53">
        <f>'Internal use cement'!Y22</f>
        <v>0</v>
      </c>
      <c r="G59" s="218">
        <f>F59+'19'!G59</f>
        <v>0</v>
      </c>
      <c r="H59" s="219">
        <f>F59+'19'!H59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0"/>
      <c r="C60" s="839"/>
      <c r="D60" s="839"/>
      <c r="E60" s="112" t="s">
        <v>177</v>
      </c>
      <c r="F60" s="113">
        <f>'Internal use cement'!AJ22</f>
        <v>0</v>
      </c>
      <c r="G60" s="218">
        <f>F60+'19'!G60</f>
        <v>0</v>
      </c>
      <c r="H60" s="219">
        <f>F60+'19'!H60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6">
    <mergeCell ref="B48:N48"/>
    <mergeCell ref="O48:Q48"/>
    <mergeCell ref="B47:Q47"/>
    <mergeCell ref="M46:P46"/>
    <mergeCell ref="B41:B46"/>
    <mergeCell ref="C41:C46"/>
    <mergeCell ref="I41:I45"/>
    <mergeCell ref="M41:P45"/>
    <mergeCell ref="C52:D52"/>
    <mergeCell ref="O52:P52"/>
    <mergeCell ref="C53:D53"/>
    <mergeCell ref="C49:D49"/>
    <mergeCell ref="O49:P49"/>
    <mergeCell ref="C50:D50"/>
    <mergeCell ref="O50:P50"/>
    <mergeCell ref="C51:D51"/>
    <mergeCell ref="O51:P51"/>
    <mergeCell ref="B54:Q54"/>
    <mergeCell ref="B55:H55"/>
    <mergeCell ref="C56:E56"/>
    <mergeCell ref="C57:D60"/>
    <mergeCell ref="B57:B60"/>
    <mergeCell ref="I55:Q60"/>
    <mergeCell ref="C30:D30"/>
    <mergeCell ref="C31:D31"/>
    <mergeCell ref="C33:D33"/>
    <mergeCell ref="C34:D34"/>
    <mergeCell ref="B35:B40"/>
    <mergeCell ref="C35:C40"/>
    <mergeCell ref="C32:D32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B26:Q26"/>
    <mergeCell ref="M18:M19"/>
    <mergeCell ref="P18:Q20"/>
    <mergeCell ref="B23:B24"/>
    <mergeCell ref="C23:C24"/>
    <mergeCell ref="M23:N24"/>
    <mergeCell ref="P23:Q25"/>
    <mergeCell ref="C25:D25"/>
    <mergeCell ref="M25:N25"/>
    <mergeCell ref="P13:Q13"/>
    <mergeCell ref="C9:D9"/>
    <mergeCell ref="L6:L7"/>
    <mergeCell ref="M6:M7"/>
    <mergeCell ref="Q21:Q22"/>
    <mergeCell ref="C22:D22"/>
    <mergeCell ref="C21:D21"/>
    <mergeCell ref="C17:Q17"/>
    <mergeCell ref="O9:O16"/>
    <mergeCell ref="C10:D10"/>
    <mergeCell ref="C11:D11"/>
    <mergeCell ref="C12:D12"/>
    <mergeCell ref="C13:D13"/>
    <mergeCell ref="B14:B16"/>
    <mergeCell ref="C14:C16"/>
    <mergeCell ref="B2:Q2"/>
    <mergeCell ref="B3:Q3"/>
    <mergeCell ref="N6:N7"/>
    <mergeCell ref="O6:O7"/>
    <mergeCell ref="P6:P7"/>
    <mergeCell ref="Q6:Q7"/>
    <mergeCell ref="B4:O4"/>
    <mergeCell ref="B6:B7"/>
    <mergeCell ref="C6:C7"/>
    <mergeCell ref="D6:D7"/>
    <mergeCell ref="E6:E7"/>
    <mergeCell ref="F6:H6"/>
    <mergeCell ref="I6:K6"/>
    <mergeCell ref="C8:Q8"/>
    <mergeCell ref="I31:I32"/>
    <mergeCell ref="M31:M32"/>
    <mergeCell ref="N31:N32"/>
    <mergeCell ref="O31:O32"/>
    <mergeCell ref="P31:P32"/>
  </mergeCells>
  <pageMargins left="0" right="0" top="0.75" bottom="0.75" header="0.3" footer="0.3"/>
  <pageSetup paperSize="9" scale="5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4" sqref="U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37" t="s">
        <v>333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295</v>
      </c>
      <c r="N5" s="140" t="s">
        <v>296</v>
      </c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'20'!L9</f>
        <v>19115.921704118813</v>
      </c>
      <c r="F9" s="74">
        <f>Production2!D23</f>
        <v>3247.9</v>
      </c>
      <c r="G9" s="74">
        <f>F9+'20'!G9</f>
        <v>48062.840000000004</v>
      </c>
      <c r="H9" s="74">
        <f>F9+'20'!H9</f>
        <v>48062.840000000004</v>
      </c>
      <c r="I9" s="74">
        <f>Production2!E23</f>
        <v>1894</v>
      </c>
      <c r="J9" s="74">
        <f>I9+'20'!J9</f>
        <v>44088</v>
      </c>
      <c r="K9" s="74">
        <f>I9+'20'!K9</f>
        <v>44088</v>
      </c>
      <c r="L9" s="74">
        <f>E9+F9-I9-I21</f>
        <v>20253.171704118817</v>
      </c>
      <c r="M9" s="75">
        <f>I9</f>
        <v>1894</v>
      </c>
      <c r="N9" s="75">
        <f>(I9/I13)*100</f>
        <v>93.53086419753086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(2)'!L23</f>
        <v>502.93999999999983</v>
      </c>
      <c r="F10" s="77">
        <f>'Mines (2)'!M23</f>
        <v>118.24</v>
      </c>
      <c r="G10" s="74">
        <f>F10+'20'!G10</f>
        <v>594.1400000000001</v>
      </c>
      <c r="H10" s="74">
        <f>F10+'20'!H10</f>
        <v>594.1400000000001</v>
      </c>
      <c r="I10" s="77">
        <f>'Mines (2)'!N23</f>
        <v>3</v>
      </c>
      <c r="J10" s="74">
        <f>I10+'20'!J10</f>
        <v>100</v>
      </c>
      <c r="K10" s="74">
        <f>I10+'20'!K10</f>
        <v>100</v>
      </c>
      <c r="L10" s="77">
        <f t="shared" ref="L10:L16" si="0">E10+F10-I10</f>
        <v>618.17999999999984</v>
      </c>
      <c r="M10" s="75">
        <f t="shared" ref="M10:M12" si="1">I10</f>
        <v>3</v>
      </c>
      <c r="N10" s="75">
        <f>(I10/I13)*100</f>
        <v>0.14814814814814814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Clinker!C23</f>
        <v>4480.6399999999994</v>
      </c>
      <c r="F11" s="77">
        <f>Clinker!D23</f>
        <v>0</v>
      </c>
      <c r="G11" s="74">
        <f>F11+'20'!G11</f>
        <v>0</v>
      </c>
      <c r="H11" s="74">
        <f>F11+'20'!H11</f>
        <v>0</v>
      </c>
      <c r="I11" s="77">
        <f>Clinker!E23</f>
        <v>47</v>
      </c>
      <c r="J11" s="74">
        <f>I11+'20'!J11</f>
        <v>932</v>
      </c>
      <c r="K11" s="74">
        <f>I11+'20'!K11</f>
        <v>932</v>
      </c>
      <c r="L11" s="77">
        <f t="shared" si="0"/>
        <v>4433.6399999999994</v>
      </c>
      <c r="M11" s="75">
        <f t="shared" si="1"/>
        <v>47</v>
      </c>
      <c r="N11" s="75">
        <f>(I11/I13)*100</f>
        <v>2.3209876543209877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(2)'!Q23</f>
        <v>584.81999999999994</v>
      </c>
      <c r="F12" s="77">
        <f>'Mines (2)'!R23</f>
        <v>45.22</v>
      </c>
      <c r="G12" s="74">
        <f>F12+'20'!G12</f>
        <v>137.76</v>
      </c>
      <c r="H12" s="74">
        <f>F12+'20'!H12</f>
        <v>137.76</v>
      </c>
      <c r="I12" s="77">
        <f>'Mines (2)'!S23</f>
        <v>81</v>
      </c>
      <c r="J12" s="74">
        <f>I12+'20'!J12</f>
        <v>189</v>
      </c>
      <c r="K12" s="74">
        <f>I12+'20'!K12</f>
        <v>189</v>
      </c>
      <c r="L12" s="77">
        <f t="shared" si="0"/>
        <v>549.04</v>
      </c>
      <c r="M12" s="75">
        <f t="shared" si="1"/>
        <v>81</v>
      </c>
      <c r="N12" s="75">
        <f>(I12/I13)*100</f>
        <v>4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24684.321704118811</v>
      </c>
      <c r="F13" s="127">
        <f t="shared" si="2"/>
        <v>3411.3599999999997</v>
      </c>
      <c r="G13" s="127">
        <f t="shared" si="2"/>
        <v>48794.740000000005</v>
      </c>
      <c r="H13" s="127">
        <f t="shared" si="2"/>
        <v>48794.740000000005</v>
      </c>
      <c r="I13" s="127">
        <f t="shared" si="2"/>
        <v>2025</v>
      </c>
      <c r="J13" s="127">
        <f t="shared" si="2"/>
        <v>45309</v>
      </c>
      <c r="K13" s="127">
        <f t="shared" si="2"/>
        <v>45309</v>
      </c>
      <c r="L13" s="127">
        <f t="shared" si="0"/>
        <v>26070.681704118811</v>
      </c>
      <c r="M13" s="128">
        <f>SUM(M9:M12)</f>
        <v>2025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Clinker!EA23</f>
        <v>11366.126999999989</v>
      </c>
      <c r="F14" s="77">
        <f>Clinker!EB23</f>
        <v>0</v>
      </c>
      <c r="G14" s="77">
        <f>F14+'20'!G14</f>
        <v>181.5</v>
      </c>
      <c r="H14" s="77">
        <f>F14+'20'!H14</f>
        <v>181.5</v>
      </c>
      <c r="I14" s="77">
        <f>Clinker!EC23</f>
        <v>204</v>
      </c>
      <c r="J14" s="77">
        <f>I14+'20'!J14</f>
        <v>4625.6400000000003</v>
      </c>
      <c r="K14" s="77">
        <f>I14+'20'!K14</f>
        <v>4625.6400000000003</v>
      </c>
      <c r="L14" s="77">
        <f>E14+F14-I14-Clinker!N23-Clinker!Z23-Clinker!AR23-Clinker!AW23-Clinker!BB23-Clinker!BV23-Clinker!BG23-Clinker!BL23-Clinker!BQ23-Clinker!CU23-Clinker!DO23</f>
        <v>11096.126999999989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Clinker!EE23</f>
        <v>10574.699999999997</v>
      </c>
      <c r="F15" s="77">
        <f>Clinker!EF23</f>
        <v>0</v>
      </c>
      <c r="G15" s="77">
        <f>F15+'20'!G15</f>
        <v>155.05000000000001</v>
      </c>
      <c r="H15" s="77">
        <f>F15+'20'!H15</f>
        <v>155.05000000000001</v>
      </c>
      <c r="I15" s="77">
        <f>Clinker!EG23</f>
        <v>132</v>
      </c>
      <c r="J15" s="77">
        <f>I15+'20'!J15</f>
        <v>2726</v>
      </c>
      <c r="K15" s="77">
        <f>I15+'20'!K15</f>
        <v>2726</v>
      </c>
      <c r="L15" s="77">
        <f>E15+F15-Clinker!T23-Clinker!AE23-Clinker!AI23-Clinker!CK23-Clinker!CP23-Clinker!CF23</f>
        <v>10508.699999999997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21940.826999999987</v>
      </c>
      <c r="F16" s="125">
        <f t="shared" ref="F16:K16" si="3">F14+F15</f>
        <v>0</v>
      </c>
      <c r="G16" s="125">
        <f t="shared" si="3"/>
        <v>336.55</v>
      </c>
      <c r="H16" s="125">
        <f t="shared" si="3"/>
        <v>336.55</v>
      </c>
      <c r="I16" s="125">
        <f t="shared" si="3"/>
        <v>336</v>
      </c>
      <c r="J16" s="125">
        <f>J14+J15</f>
        <v>7351.64</v>
      </c>
      <c r="K16" s="125">
        <f t="shared" si="3"/>
        <v>7351.64</v>
      </c>
      <c r="L16" s="125">
        <f t="shared" si="0"/>
        <v>21604.826999999987</v>
      </c>
      <c r="M16" s="126"/>
      <c r="N16" s="126"/>
      <c r="O16" s="667"/>
      <c r="P16" s="131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Clinker!EI23</f>
        <v>18943.980088243246</v>
      </c>
      <c r="F18" s="74">
        <f>Clinker!EJ23</f>
        <v>1210</v>
      </c>
      <c r="G18" s="74">
        <f>F18+'20'!G18</f>
        <v>27235</v>
      </c>
      <c r="H18" s="74">
        <f>F18+'20'!H18</f>
        <v>27235</v>
      </c>
      <c r="I18" s="74">
        <f>Clinker!EK23</f>
        <v>728.60000000000059</v>
      </c>
      <c r="J18" s="74">
        <f>I18+'20'!J18</f>
        <v>11091.160011383485</v>
      </c>
      <c r="K18" s="74">
        <f>I18+'20'!K18</f>
        <v>11091.160011383485</v>
      </c>
      <c r="L18" s="74">
        <f>E18+F18-I18-I20</f>
        <v>19425.380088243244</v>
      </c>
      <c r="M18" s="75">
        <f>((I18+I19)/(J40+J46))*100</f>
        <v>73.226130653266381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Clinker!EN23</f>
        <v>2585.4390080001363</v>
      </c>
      <c r="F19" s="74">
        <f>Clinker!EO23</f>
        <v>455.42</v>
      </c>
      <c r="G19" s="74">
        <f>F19+'20'!G19</f>
        <v>11125.410000000002</v>
      </c>
      <c r="H19" s="74">
        <f>F19+'20'!H19</f>
        <v>11125.410000000002</v>
      </c>
      <c r="I19" s="74">
        <f>Clinker!EP23</f>
        <v>0</v>
      </c>
      <c r="J19" s="74">
        <f>I19+'20'!J19</f>
        <v>16934.099999999999</v>
      </c>
      <c r="K19" s="74">
        <f>I19+'20'!K19</f>
        <v>16934.099999999999</v>
      </c>
      <c r="L19" s="74">
        <f>E19+F19-I19</f>
        <v>3040.8590080001363</v>
      </c>
      <c r="M19" s="7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Clinker!EM23</f>
        <v>0</v>
      </c>
      <c r="G20" s="74">
        <f>F20+'20'!G20</f>
        <v>0</v>
      </c>
      <c r="H20" s="74">
        <f>F20+'20'!H20</f>
        <v>0</v>
      </c>
      <c r="I20" s="77">
        <f>Clinker!EM23</f>
        <v>0</v>
      </c>
      <c r="J20" s="77">
        <f>I20+'20'!J20</f>
        <v>0</v>
      </c>
      <c r="K20" s="77">
        <f>I20+'20'!K20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222" t="s">
        <v>244</v>
      </c>
      <c r="D21" s="223"/>
      <c r="E21" s="77">
        <f>Cement!O23</f>
        <v>0</v>
      </c>
      <c r="F21" s="77">
        <f>Cement!P23</f>
        <v>0</v>
      </c>
      <c r="G21" s="74">
        <f>F21+'20'!G21</f>
        <v>0</v>
      </c>
      <c r="H21" s="74">
        <f>F21+'20'!H21</f>
        <v>0</v>
      </c>
      <c r="I21" s="77">
        <f>Cement!Q23</f>
        <v>216.64999999999941</v>
      </c>
      <c r="J21" s="77">
        <f>I21+'20'!J21</f>
        <v>6826.5399930650165</v>
      </c>
      <c r="K21" s="77">
        <f>I21+'20'!K21</f>
        <v>6826.5399930650165</v>
      </c>
      <c r="L21" s="74"/>
      <c r="M21" s="78">
        <f>(I21/(J40+J46))*100</f>
        <v>21.773869346733608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Cement!C23</f>
        <v>7516.39006359828</v>
      </c>
      <c r="F22" s="77">
        <f>Cement!D23</f>
        <v>22.96</v>
      </c>
      <c r="G22" s="74">
        <f>F22+'20'!G22</f>
        <v>1879.42</v>
      </c>
      <c r="H22" s="74">
        <f>F22+'20'!H22</f>
        <v>1879.42</v>
      </c>
      <c r="I22" s="77">
        <f>Cement!E23</f>
        <v>49.75</v>
      </c>
      <c r="J22" s="77">
        <f>I22+'20'!J22</f>
        <v>1835.1999955514996</v>
      </c>
      <c r="K22" s="77">
        <f>I22+'20'!K22</f>
        <v>1835.1999955514996</v>
      </c>
      <c r="L22" s="74">
        <f t="shared" ref="L22:L24" si="4">E22+F22-I22</f>
        <v>7489.60006359828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Cement!G23</f>
        <v>0.23999999999796273</v>
      </c>
      <c r="F23" s="77">
        <f>Cement!H23</f>
        <v>0</v>
      </c>
      <c r="G23" s="77">
        <f>F23+'20'!G23</f>
        <v>0</v>
      </c>
      <c r="H23" s="77">
        <f>F23+'20'!H23</f>
        <v>0</v>
      </c>
      <c r="I23" s="77">
        <f>Cement!I23</f>
        <v>0</v>
      </c>
      <c r="J23" s="77">
        <f>I23+'20'!J23</f>
        <v>0</v>
      </c>
      <c r="K23" s="77">
        <f>I23+'20'!K23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v>0</v>
      </c>
      <c r="F24" s="77">
        <v>0</v>
      </c>
      <c r="G24" s="77">
        <f>F24+'20'!G24</f>
        <v>0</v>
      </c>
      <c r="H24" s="77">
        <f>F24+'20'!H24</f>
        <v>0</v>
      </c>
      <c r="I24" s="77">
        <v>0</v>
      </c>
      <c r="J24" s="77">
        <f>I24+'20'!J24</f>
        <v>0</v>
      </c>
      <c r="K24" s="77">
        <f>I24+'20'!K24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29046.049159841659</v>
      </c>
      <c r="F25" s="122">
        <f t="shared" ref="F25:L25" si="5">F18+F19+F21+F22+F23+F24</f>
        <v>1688.38</v>
      </c>
      <c r="G25" s="122">
        <f t="shared" si="5"/>
        <v>40239.83</v>
      </c>
      <c r="H25" s="122">
        <f t="shared" si="5"/>
        <v>40239.83</v>
      </c>
      <c r="I25" s="122">
        <f t="shared" si="5"/>
        <v>995</v>
      </c>
      <c r="J25" s="122">
        <f t="shared" si="5"/>
        <v>36687</v>
      </c>
      <c r="K25" s="122">
        <f t="shared" si="5"/>
        <v>36687</v>
      </c>
      <c r="L25" s="122">
        <f t="shared" si="5"/>
        <v>29956.079159841662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Production2!C23</f>
        <v>19.170000000000002</v>
      </c>
      <c r="G30" s="75">
        <f>F30+'20'!G30</f>
        <v>291.85000000000002</v>
      </c>
      <c r="H30" s="75">
        <f>F30+'20'!H30</f>
        <v>291.85000000000002</v>
      </c>
      <c r="I30" s="74">
        <f>'Mines (2)'!C23+'Mines (2)'!H23+'Mines (2)'!V23+'Mines (2)'!Z23+'Mines (2)'!AD23</f>
        <v>19115.921704118824</v>
      </c>
      <c r="J30" s="74">
        <f>Production2!D23</f>
        <v>3247.9</v>
      </c>
      <c r="K30" s="74">
        <f>J30+'20'!K30</f>
        <v>48062.840000000004</v>
      </c>
      <c r="L30" s="74">
        <f>J30+'20'!L30</f>
        <v>48062.840000000004</v>
      </c>
      <c r="M30" s="74">
        <f>I9+I21</f>
        <v>2110.6499999999996</v>
      </c>
      <c r="N30" s="74">
        <f>M30+'20'!N30</f>
        <v>50914.539993065016</v>
      </c>
      <c r="O30" s="74">
        <f>M30+'20'!O30</f>
        <v>50914.539993065016</v>
      </c>
      <c r="P30" s="74">
        <f>I30+J30-M30</f>
        <v>20253.171704118824</v>
      </c>
      <c r="Q30" s="93">
        <f>J30/F30</f>
        <v>169.4261867501304</v>
      </c>
      <c r="R30" s="94"/>
      <c r="S30" s="94"/>
    </row>
    <row r="31" spans="2:19" x14ac:dyDescent="0.25">
      <c r="B31" s="79">
        <v>2</v>
      </c>
      <c r="C31" s="680" t="s">
        <v>292</v>
      </c>
      <c r="D31" s="681"/>
      <c r="E31" s="95">
        <v>120</v>
      </c>
      <c r="F31" s="78">
        <f>Production2!G23</f>
        <v>17</v>
      </c>
      <c r="G31" s="75">
        <f>F31+'20'!G31</f>
        <v>315.83</v>
      </c>
      <c r="H31" s="75">
        <f>F31+'20'!H31</f>
        <v>315.83</v>
      </c>
      <c r="I31" s="747">
        <f>Production2!H23</f>
        <v>633.41001683751938</v>
      </c>
      <c r="J31" s="77">
        <f>Production2!N23</f>
        <v>1720</v>
      </c>
      <c r="K31" s="74">
        <f>J31+'20'!K31</f>
        <v>38344.29</v>
      </c>
      <c r="L31" s="74">
        <f>J31+'20'!L31</f>
        <v>38344.29</v>
      </c>
      <c r="M31" s="747">
        <f>Production2!K23</f>
        <v>1875.5</v>
      </c>
      <c r="N31" s="747">
        <f>M31+'20'!N31</f>
        <v>42214.25</v>
      </c>
      <c r="O31" s="747">
        <f>M31+'20'!O31</f>
        <v>42214.25</v>
      </c>
      <c r="P31" s="704">
        <f>I31+J31+J32-M31</f>
        <v>581.82001683751923</v>
      </c>
      <c r="Q31" s="96">
        <f t="shared" ref="Q31:Q46" si="6">J31/F31</f>
        <v>101.17647058823529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Production2!P23</f>
        <v>13</v>
      </c>
      <c r="G32" s="75">
        <f>F32+'20'!G32</f>
        <v>267.90999999999997</v>
      </c>
      <c r="H32" s="75">
        <f>F32+'20'!H32</f>
        <v>267.90999999999997</v>
      </c>
      <c r="I32" s="748"/>
      <c r="J32" s="78">
        <f>Production2!Q23</f>
        <v>103.91</v>
      </c>
      <c r="K32" s="74">
        <f>J32+'20'!K32</f>
        <v>2458.0499999999997</v>
      </c>
      <c r="L32" s="74">
        <f>J32+'20'!L32</f>
        <v>2458.0499999999997</v>
      </c>
      <c r="M32" s="748"/>
      <c r="N32" s="748"/>
      <c r="O32" s="748"/>
      <c r="P32" s="705"/>
      <c r="Q32" s="96">
        <f>J32/F32</f>
        <v>7.9930769230769227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Production2!S23</f>
        <v>13.5</v>
      </c>
      <c r="G33" s="75">
        <f>F33+'20'!G33</f>
        <v>302.75</v>
      </c>
      <c r="H33" s="75">
        <f>F33+'20'!H33</f>
        <v>302.75</v>
      </c>
      <c r="I33" s="77">
        <f>Production2!T23</f>
        <v>52.009999999999991</v>
      </c>
      <c r="J33" s="77">
        <f>Production2!U23</f>
        <v>183.6</v>
      </c>
      <c r="K33" s="74">
        <f>J33+'20'!K33</f>
        <v>4163.1000000000004</v>
      </c>
      <c r="L33" s="74">
        <f>J33+'20'!L33</f>
        <v>4163.1000000000004</v>
      </c>
      <c r="M33" s="77">
        <f>Production2!V23</f>
        <v>183</v>
      </c>
      <c r="N33" s="74">
        <f>M33+'20'!N33</f>
        <v>4126</v>
      </c>
      <c r="O33" s="74">
        <f>M33+'20'!O33</f>
        <v>4126</v>
      </c>
      <c r="P33" s="75">
        <f t="shared" ref="P33" si="7">I33+J33-M33</f>
        <v>52.609999999999985</v>
      </c>
      <c r="Q33" s="96">
        <f t="shared" si="6"/>
        <v>13.6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Production2!Y23</f>
        <v>24</v>
      </c>
      <c r="G34" s="75">
        <f>F34+'20'!G34</f>
        <v>402.27</v>
      </c>
      <c r="H34" s="75">
        <f>F34+'20'!H34</f>
        <v>402.27</v>
      </c>
      <c r="I34" s="77">
        <f>Clinker!EI23</f>
        <v>18943.980088243246</v>
      </c>
      <c r="J34" s="77">
        <f>Clinker!EJ23</f>
        <v>1210</v>
      </c>
      <c r="K34" s="74">
        <f>J34+'20'!K34</f>
        <v>27235</v>
      </c>
      <c r="L34" s="74">
        <f>J34+'20'!L34</f>
        <v>27235</v>
      </c>
      <c r="M34" s="77">
        <f>Clinker!EK23</f>
        <v>728.60000000000059</v>
      </c>
      <c r="N34" s="74">
        <f>M34+'20'!N34</f>
        <v>11091.160011383485</v>
      </c>
      <c r="O34" s="74">
        <f>M34+'20'!O34</f>
        <v>11091.160011383485</v>
      </c>
      <c r="P34" s="74">
        <f>I34+J34-M34-I20</f>
        <v>19425.380088243244</v>
      </c>
      <c r="Q34" s="96">
        <f t="shared" si="6"/>
        <v>50.416666666666664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'Daily CEM-1'!I24</f>
        <v>0</v>
      </c>
      <c r="G35" s="75">
        <f>F35+'20'!G35</f>
        <v>9</v>
      </c>
      <c r="H35" s="75">
        <f>F35+'20'!H35</f>
        <v>9</v>
      </c>
      <c r="I35" s="77">
        <f>Production2!BJ23</f>
        <v>257.79999999999995</v>
      </c>
      <c r="J35" s="77">
        <f>'Daily CEM-1'!D24</f>
        <v>0</v>
      </c>
      <c r="K35" s="74">
        <f>J35+'20'!K35</f>
        <v>574</v>
      </c>
      <c r="L35" s="74">
        <f>J35+'20'!L35</f>
        <v>574</v>
      </c>
      <c r="M35" s="77">
        <f>Production2!BL23</f>
        <v>0</v>
      </c>
      <c r="N35" s="74">
        <f>M35+'20'!N35</f>
        <v>1548.5</v>
      </c>
      <c r="O35" s="74">
        <f>M35+'20'!O35</f>
        <v>1548.5</v>
      </c>
      <c r="P35" s="74">
        <f>I35+J35+J41-M35-F59</f>
        <v>507.79999999999995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'Daily CEM-1'!H24</f>
        <v>0</v>
      </c>
      <c r="G36" s="75">
        <f>F36+'20'!G36</f>
        <v>197.43</v>
      </c>
      <c r="H36" s="75">
        <f>F36+'20'!H36</f>
        <v>197.43</v>
      </c>
      <c r="I36" s="77">
        <f>Production2!BF23</f>
        <v>2772.0279999999798</v>
      </c>
      <c r="J36" s="77">
        <f>'Daily CEM-1'!C24</f>
        <v>0</v>
      </c>
      <c r="K36" s="74">
        <f>J36+'20'!K36</f>
        <v>11919</v>
      </c>
      <c r="L36" s="74">
        <f>J36+'20'!L36</f>
        <v>11919</v>
      </c>
      <c r="M36" s="77">
        <f>Production2!BH23</f>
        <v>346.5</v>
      </c>
      <c r="N36" s="545">
        <f>M36+'20'!N36</f>
        <v>26987.029999999995</v>
      </c>
      <c r="O36" s="545">
        <f>M36+'20'!O36</f>
        <v>26987.029999999995</v>
      </c>
      <c r="P36" s="74">
        <f>I36+J36+J42-M36-F57</f>
        <v>2920.5279999999798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'Daily CEM-1'!J24</f>
        <v>0</v>
      </c>
      <c r="G37" s="543">
        <f>F37+'20'!G37</f>
        <v>0</v>
      </c>
      <c r="H37" s="543">
        <f>F37+'20'!H37</f>
        <v>0</v>
      </c>
      <c r="I37" s="77">
        <f>Production2!BN23</f>
        <v>2.0900000000008498</v>
      </c>
      <c r="J37" s="77">
        <f>'Daily CEM-1'!E24</f>
        <v>0</v>
      </c>
      <c r="K37" s="74">
        <f>J37+'20'!K37</f>
        <v>0</v>
      </c>
      <c r="L37" s="74">
        <f>J37+'20'!L37</f>
        <v>0</v>
      </c>
      <c r="M37" s="77">
        <f>Production2!BP23</f>
        <v>0</v>
      </c>
      <c r="N37" s="545">
        <f>M37+'20'!N37</f>
        <v>-0.15</v>
      </c>
      <c r="O37" s="545">
        <f>M37+'20'!O37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Production2!AK23</f>
        <v>0</v>
      </c>
      <c r="G38" s="543">
        <f>F38+'20'!G38</f>
        <v>0</v>
      </c>
      <c r="H38" s="543">
        <f>F38+'20'!H38</f>
        <v>0</v>
      </c>
      <c r="I38" s="195">
        <f>Production2!BR23</f>
        <v>158.30000000000001</v>
      </c>
      <c r="J38" s="195">
        <f>Production2!AL23</f>
        <v>0</v>
      </c>
      <c r="K38" s="545">
        <f>J38+'20'!K38</f>
        <v>0</v>
      </c>
      <c r="L38" s="545">
        <f>J38+'20'!L38</f>
        <v>0</v>
      </c>
      <c r="M38" s="195">
        <f>Production2!BT23</f>
        <v>0</v>
      </c>
      <c r="N38" s="545">
        <f>M38+'20'!N38</f>
        <v>1545</v>
      </c>
      <c r="O38" s="545">
        <f>M38+'20'!O38</f>
        <v>1545</v>
      </c>
      <c r="P38" s="74">
        <f>I38+J38+J44-M38-F60</f>
        <v>158.30000000000001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40" t="s">
        <v>306</v>
      </c>
      <c r="E39" s="548">
        <v>78</v>
      </c>
      <c r="F39" s="542">
        <f>Production2!AN23</f>
        <v>0</v>
      </c>
      <c r="G39" s="543">
        <f>F39+'20'!G39</f>
        <v>33.85</v>
      </c>
      <c r="H39" s="543">
        <f>F39+'20'!H39</f>
        <v>33.85</v>
      </c>
      <c r="I39" s="544">
        <f>Production2!BV23</f>
        <v>790.5300000000002</v>
      </c>
      <c r="J39" s="544">
        <f>Production2!AO23</f>
        <v>0</v>
      </c>
      <c r="K39" s="545">
        <f>J39+'20'!K39</f>
        <v>2132</v>
      </c>
      <c r="L39" s="545">
        <f>J39+'20'!L39</f>
        <v>2132</v>
      </c>
      <c r="M39" s="77">
        <f>Production2!BX23</f>
        <v>30</v>
      </c>
      <c r="N39" s="545">
        <f>M39+'20'!N39</f>
        <v>4107.18</v>
      </c>
      <c r="O39" s="545">
        <f>M39+'20'!O39</f>
        <v>4107.18</v>
      </c>
      <c r="P39" s="545">
        <f>I39+J39+J45-M39</f>
        <v>1010.5300000000002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240.28</v>
      </c>
      <c r="H40" s="132">
        <f t="shared" si="8"/>
        <v>240.28</v>
      </c>
      <c r="I40" s="122">
        <f>I35+I36+I37+I38+I39</f>
        <v>3980.7479999999809</v>
      </c>
      <c r="J40" s="541">
        <f t="shared" ref="J40:P40" si="9">J35+J36+J37+J38+J39</f>
        <v>0</v>
      </c>
      <c r="K40" s="541">
        <f t="shared" si="9"/>
        <v>14625</v>
      </c>
      <c r="L40" s="541">
        <f t="shared" si="9"/>
        <v>14625</v>
      </c>
      <c r="M40" s="541">
        <f t="shared" si="9"/>
        <v>376.5</v>
      </c>
      <c r="N40" s="541">
        <f t="shared" si="9"/>
        <v>34187.56</v>
      </c>
      <c r="O40" s="541">
        <f t="shared" si="9"/>
        <v>34187.56</v>
      </c>
      <c r="P40" s="541">
        <f t="shared" si="9"/>
        <v>4599.2479999999814</v>
      </c>
      <c r="Q40" s="123" t="e">
        <f t="shared" si="6"/>
        <v>#DIV/0!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Production2!AT23</f>
        <v>4.5</v>
      </c>
      <c r="G41" s="75">
        <f>F41+'20'!G41</f>
        <v>20.9</v>
      </c>
      <c r="H41" s="75">
        <f>F41+'20'!H41</f>
        <v>20.9</v>
      </c>
      <c r="I41" s="764"/>
      <c r="J41" s="77">
        <f>Production2!AU23</f>
        <v>250</v>
      </c>
      <c r="K41" s="74">
        <f>J41+'20'!K41</f>
        <v>1250</v>
      </c>
      <c r="L41" s="74">
        <f>J41+'20'!L41</f>
        <v>1250</v>
      </c>
      <c r="M41" s="766"/>
      <c r="N41" s="767"/>
      <c r="O41" s="767"/>
      <c r="P41" s="768"/>
      <c r="Q41" s="96">
        <f t="shared" si="6"/>
        <v>55.555555555555557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Production2!AQ23</f>
        <v>10.1</v>
      </c>
      <c r="G42" s="75">
        <f>F42+'20'!G42</f>
        <v>288.12000000000006</v>
      </c>
      <c r="H42" s="543">
        <f>F42+'20'!H42</f>
        <v>288.12000000000006</v>
      </c>
      <c r="I42" s="765"/>
      <c r="J42" s="77">
        <f>Production2!AR23</f>
        <v>495</v>
      </c>
      <c r="K42" s="74">
        <f>J42+'20'!K42</f>
        <v>16710</v>
      </c>
      <c r="L42" s="74">
        <f>J42+'20'!L42</f>
        <v>16710</v>
      </c>
      <c r="M42" s="769"/>
      <c r="N42" s="770"/>
      <c r="O42" s="770"/>
      <c r="P42" s="771"/>
      <c r="Q42" s="96">
        <f t="shared" si="6"/>
        <v>49.009900990099013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Production2!AW23</f>
        <v>0</v>
      </c>
      <c r="G43" s="543">
        <f>F43+'20'!G43</f>
        <v>0</v>
      </c>
      <c r="H43" s="543">
        <f>F43+'20'!H43</f>
        <v>0</v>
      </c>
      <c r="I43" s="765"/>
      <c r="J43" s="77">
        <f>Production2!AX23</f>
        <v>0</v>
      </c>
      <c r="K43" s="545">
        <f>J43+'20'!K43</f>
        <v>0</v>
      </c>
      <c r="L43" s="545">
        <f>J43+'20'!L43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Production2!AZ23</f>
        <v>0</v>
      </c>
      <c r="G44" s="543">
        <f>F44+'20'!G44</f>
        <v>26.880000000000003</v>
      </c>
      <c r="H44" s="543">
        <f>F44+'20'!H44</f>
        <v>26.880000000000003</v>
      </c>
      <c r="I44" s="765"/>
      <c r="J44" s="195">
        <f>Production2!BA23</f>
        <v>0</v>
      </c>
      <c r="K44" s="545">
        <f>J44+'20'!K44</f>
        <v>1490</v>
      </c>
      <c r="L44" s="545">
        <f>J44+'20'!L44</f>
        <v>1490</v>
      </c>
      <c r="M44" s="772"/>
      <c r="N44" s="773"/>
      <c r="O44" s="773"/>
      <c r="P44" s="774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40" t="s">
        <v>306</v>
      </c>
      <c r="E45" s="548">
        <v>70</v>
      </c>
      <c r="F45" s="542">
        <f>Production2!BC23</f>
        <v>4.5</v>
      </c>
      <c r="G45" s="543">
        <f>F45+'20'!G45</f>
        <v>44.370000000000005</v>
      </c>
      <c r="H45" s="543">
        <f>F45+'20'!H45</f>
        <v>44.370000000000005</v>
      </c>
      <c r="I45" s="748"/>
      <c r="J45" s="544">
        <f>Production2!BD23</f>
        <v>250</v>
      </c>
      <c r="K45" s="545">
        <f>J45+'20'!K45</f>
        <v>2612</v>
      </c>
      <c r="L45" s="545">
        <f>J45+'20'!L45</f>
        <v>2612</v>
      </c>
      <c r="M45" s="546"/>
      <c r="N45" s="549"/>
      <c r="O45" s="549"/>
      <c r="P45" s="547"/>
      <c r="Q45" s="96">
        <f t="shared" si="6"/>
        <v>55.555555555555557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19.100000000000001</v>
      </c>
      <c r="G46" s="132">
        <f t="shared" ref="G46:H46" si="10">G41+G42+G43+G44+G45</f>
        <v>380.27000000000004</v>
      </c>
      <c r="H46" s="132">
        <f t="shared" si="10"/>
        <v>380.27000000000004</v>
      </c>
      <c r="I46" s="122">
        <f t="shared" ref="I46" si="11">I41+I42+I43+I44</f>
        <v>0</v>
      </c>
      <c r="J46" s="122">
        <f>J41+J42+J43+J44+J45</f>
        <v>995</v>
      </c>
      <c r="K46" s="541">
        <f t="shared" ref="K46:L46" si="12">K41+K42+K43+K44+K45</f>
        <v>22062</v>
      </c>
      <c r="L46" s="541">
        <f t="shared" si="12"/>
        <v>22062</v>
      </c>
      <c r="M46" s="836"/>
      <c r="N46" s="837"/>
      <c r="O46" s="837"/>
      <c r="P46" s="838"/>
      <c r="Q46" s="123">
        <f t="shared" si="6"/>
        <v>52.094240837696333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0.50001539456264044</v>
      </c>
      <c r="F50" s="99">
        <f>F53/J31</f>
        <v>30.416860465116279</v>
      </c>
      <c r="G50" s="99">
        <f>G53/J32</f>
        <v>0</v>
      </c>
      <c r="H50" s="99">
        <f>H53/J34</f>
        <v>35.558677685950414</v>
      </c>
      <c r="I50" s="99">
        <f>I53/J33</f>
        <v>60.359477124183009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15.123966942148762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0.78266872504267848</v>
      </c>
      <c r="F51" s="102">
        <f>F50*1.55</f>
        <v>47.146133720930237</v>
      </c>
      <c r="G51" s="102">
        <f>G50*1.55</f>
        <v>0</v>
      </c>
      <c r="H51" s="102">
        <f>H50</f>
        <v>35.558677685950414</v>
      </c>
      <c r="I51" s="102">
        <f>I50*(Q50/100)</f>
        <v>9.1287473667152828</v>
      </c>
      <c r="J51" s="102"/>
      <c r="K51" s="102"/>
      <c r="L51" s="102"/>
      <c r="M51" s="96"/>
      <c r="N51" s="310">
        <f>SUM(E51:I51)</f>
        <v>92.616227498638608</v>
      </c>
      <c r="O51" s="668" t="s">
        <v>279</v>
      </c>
      <c r="P51" s="668"/>
      <c r="Q51" s="104">
        <v>5436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0.573118023182006</v>
      </c>
      <c r="F52" s="102">
        <f>F51*M18/100</f>
        <v>34.523289476452057</v>
      </c>
      <c r="G52" s="102">
        <f>G51*M18/100</f>
        <v>0</v>
      </c>
      <c r="H52" s="102">
        <f>H51*M18/100</f>
        <v>26.038243780887928</v>
      </c>
      <c r="I52" s="102">
        <f>I51*M18/100</f>
        <v>6.684628473757547</v>
      </c>
      <c r="J52" s="99">
        <f>J53/(J40+J46)</f>
        <v>55.591959798994978</v>
      </c>
      <c r="K52" s="99">
        <f>K53/(J46+J40)</f>
        <v>1.499497487437186</v>
      </c>
      <c r="L52" s="99">
        <f>L53/(M40)</f>
        <v>14.225763612217795</v>
      </c>
      <c r="M52" s="96">
        <f>M53/(J46+J40)</f>
        <v>5.3708542713567837</v>
      </c>
      <c r="N52" s="310">
        <f>SUM(E52:M52)</f>
        <v>144.50735492428629</v>
      </c>
      <c r="O52" s="668" t="s">
        <v>281</v>
      </c>
      <c r="P52" s="668"/>
      <c r="Q52" s="104">
        <f>Q51*Q50/100</f>
        <v>822.13884297520667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unit'!B23</f>
        <v>1624</v>
      </c>
      <c r="F53" s="118">
        <f>'Daily unit'!C23</f>
        <v>52317</v>
      </c>
      <c r="G53" s="118">
        <f>'Daily unit'!D23</f>
        <v>0</v>
      </c>
      <c r="H53" s="118">
        <f>'Daily unit'!E23</f>
        <v>43026</v>
      </c>
      <c r="I53" s="118">
        <f>'Daily unit'!F23</f>
        <v>11082</v>
      </c>
      <c r="J53" s="118">
        <f>'Daily unit'!G23</f>
        <v>55314</v>
      </c>
      <c r="K53" s="118">
        <f>'Daily unit'!H23</f>
        <v>1492</v>
      </c>
      <c r="L53" s="118">
        <f>'Daily unit'!I23</f>
        <v>5356</v>
      </c>
      <c r="M53" s="119">
        <f>'Daily unit'!J23</f>
        <v>5344</v>
      </c>
      <c r="N53" s="321">
        <f>SUM(E53:M53)</f>
        <v>175555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677">
        <v>1</v>
      </c>
      <c r="C57" s="757" t="s">
        <v>287</v>
      </c>
      <c r="D57" s="798"/>
      <c r="E57" s="80">
        <v>42.5</v>
      </c>
      <c r="F57" s="53">
        <f>'Internal use cement'!F23</f>
        <v>0</v>
      </c>
      <c r="G57" s="53">
        <f>F57+'20'!G57</f>
        <v>0</v>
      </c>
      <c r="H57" s="104">
        <f>F57+'20'!H57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677"/>
      <c r="C58" s="758"/>
      <c r="D58" s="800"/>
      <c r="E58" s="80" t="s">
        <v>197</v>
      </c>
      <c r="F58" s="53">
        <f>'Internal use cement'!Q23</f>
        <v>0</v>
      </c>
      <c r="G58" s="53">
        <f>F58+'20'!G58</f>
        <v>0</v>
      </c>
      <c r="H58" s="104">
        <f>F58+'20'!H58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677"/>
      <c r="C59" s="758"/>
      <c r="D59" s="800"/>
      <c r="E59" s="80">
        <v>32.5</v>
      </c>
      <c r="F59" s="53">
        <f>'Internal use cement'!Y23</f>
        <v>0</v>
      </c>
      <c r="G59" s="53">
        <f>F59+'20'!G59</f>
        <v>0</v>
      </c>
      <c r="H59" s="104">
        <f>F59+'20'!H59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0"/>
      <c r="C60" s="759"/>
      <c r="D60" s="802"/>
      <c r="E60" s="112" t="s">
        <v>177</v>
      </c>
      <c r="F60" s="113">
        <f>'Internal use cement'!AJ23</f>
        <v>0</v>
      </c>
      <c r="G60" s="53">
        <f>F60+'20'!G60</f>
        <v>0</v>
      </c>
      <c r="H60" s="104">
        <f>F60+'20'!H60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B57:B60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B35:B40"/>
    <mergeCell ref="B27:Q27"/>
    <mergeCell ref="P6:P7"/>
    <mergeCell ref="Q6:Q7"/>
    <mergeCell ref="C8:Q8"/>
    <mergeCell ref="C11:D11"/>
    <mergeCell ref="I55:Q60"/>
    <mergeCell ref="C57:D60"/>
    <mergeCell ref="C12:D12"/>
    <mergeCell ref="C13:D13"/>
    <mergeCell ref="P13:Q13"/>
    <mergeCell ref="O9:O16"/>
    <mergeCell ref="C10:D10"/>
    <mergeCell ref="C9:D9"/>
    <mergeCell ref="C25:D25"/>
    <mergeCell ref="M25:N25"/>
    <mergeCell ref="C35:C40"/>
    <mergeCell ref="B26:Q26"/>
    <mergeCell ref="J28:L2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B28:B29"/>
    <mergeCell ref="C28:D29"/>
    <mergeCell ref="F28:H28"/>
    <mergeCell ref="I28:I29"/>
    <mergeCell ref="N31:N32"/>
    <mergeCell ref="O31:O32"/>
    <mergeCell ref="P31:P32"/>
    <mergeCell ref="C33:D33"/>
    <mergeCell ref="C31:D31"/>
    <mergeCell ref="C34:D34"/>
    <mergeCell ref="C32:D32"/>
    <mergeCell ref="B48:N48"/>
    <mergeCell ref="B2:Q2"/>
    <mergeCell ref="B3:Q3"/>
    <mergeCell ref="B41:B46"/>
    <mergeCell ref="C41:C46"/>
    <mergeCell ref="C30:D30"/>
    <mergeCell ref="M28:O28"/>
    <mergeCell ref="P28:P29"/>
    <mergeCell ref="Q28:Q29"/>
    <mergeCell ref="P23:Q25"/>
    <mergeCell ref="M41:P44"/>
    <mergeCell ref="M46:P46"/>
    <mergeCell ref="M31:M32"/>
    <mergeCell ref="I31:I32"/>
    <mergeCell ref="I41:I45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3:D53"/>
    <mergeCell ref="C52:D52"/>
    <mergeCell ref="O52:P52"/>
    <mergeCell ref="O48:Q48"/>
  </mergeCells>
  <pageMargins left="0" right="0" top="0.5" bottom="0.5" header="0.3" footer="0.3"/>
  <pageSetup paperSize="9" scale="5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B2:U153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A45" sqref="A45:XFD4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334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'21'!L9</f>
        <v>20253.171704118817</v>
      </c>
      <c r="F9" s="74">
        <f>Production2!D24</f>
        <v>1054.56</v>
      </c>
      <c r="G9" s="74">
        <f>F9+'21'!G9</f>
        <v>49117.4</v>
      </c>
      <c r="H9" s="74">
        <f>F9+'21'!H9</f>
        <v>49117.4</v>
      </c>
      <c r="I9" s="74">
        <f>Production2!E24</f>
        <v>2419</v>
      </c>
      <c r="J9" s="74">
        <f>I9+'21'!J9</f>
        <v>46507</v>
      </c>
      <c r="K9" s="74">
        <f>I9+'21'!K9</f>
        <v>46507</v>
      </c>
      <c r="L9" s="74">
        <f>E9+F9-I9-I21</f>
        <v>18850.931704118819</v>
      </c>
      <c r="M9" s="75">
        <f>I9</f>
        <v>2419</v>
      </c>
      <c r="N9" s="75">
        <f>(I9/I13)*100</f>
        <v>95.877923107411817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(2)'!L24</f>
        <v>618.17999999999984</v>
      </c>
      <c r="F10" s="77">
        <f>'Mines (2)'!M24</f>
        <v>0</v>
      </c>
      <c r="G10" s="74">
        <f>F10+'21'!G10</f>
        <v>594.1400000000001</v>
      </c>
      <c r="H10" s="74">
        <f>F10+'21'!H10</f>
        <v>594.1400000000001</v>
      </c>
      <c r="I10" s="77">
        <f>'Mines (2)'!N24</f>
        <v>15</v>
      </c>
      <c r="J10" s="74">
        <f>I10+'21'!J10</f>
        <v>115</v>
      </c>
      <c r="K10" s="74">
        <f>I10+'21'!K10</f>
        <v>115</v>
      </c>
      <c r="L10" s="77">
        <f t="shared" ref="L10:L16" si="0">E10+F10-I10</f>
        <v>603.17999999999984</v>
      </c>
      <c r="M10" s="75">
        <f t="shared" ref="M10:M12" si="1">I10</f>
        <v>15</v>
      </c>
      <c r="N10" s="75">
        <f>(I10/I13)*100</f>
        <v>0.59453032104637338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Clinker!C24</f>
        <v>4433.6399999999994</v>
      </c>
      <c r="F11" s="77">
        <f>Clinker!D24</f>
        <v>0</v>
      </c>
      <c r="G11" s="74">
        <f>F11+'21'!G11</f>
        <v>0</v>
      </c>
      <c r="H11" s="74">
        <f>F11+'21'!H11</f>
        <v>0</v>
      </c>
      <c r="I11" s="77">
        <f>Clinker!E24</f>
        <v>53</v>
      </c>
      <c r="J11" s="74">
        <f>I11+'21'!J11</f>
        <v>985</v>
      </c>
      <c r="K11" s="74">
        <f>I11+'21'!K11</f>
        <v>985</v>
      </c>
      <c r="L11" s="77">
        <f t="shared" si="0"/>
        <v>4380.6399999999994</v>
      </c>
      <c r="M11" s="75">
        <f t="shared" si="1"/>
        <v>53</v>
      </c>
      <c r="N11" s="75">
        <f>(I11/I13)*100</f>
        <v>2.1006738010305193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(2)'!Q24</f>
        <v>549.04</v>
      </c>
      <c r="F12" s="77">
        <f>'Mines (2)'!R24</f>
        <v>0</v>
      </c>
      <c r="G12" s="74">
        <f>F12+'21'!G12</f>
        <v>137.76</v>
      </c>
      <c r="H12" s="74">
        <f>F12+'21'!H12</f>
        <v>137.76</v>
      </c>
      <c r="I12" s="77">
        <f>'Mines (2)'!S24</f>
        <v>36</v>
      </c>
      <c r="J12" s="74">
        <f>I12+'21'!J12</f>
        <v>225</v>
      </c>
      <c r="K12" s="74">
        <f>I12+'21'!K12</f>
        <v>225</v>
      </c>
      <c r="L12" s="77">
        <f t="shared" si="0"/>
        <v>513.04</v>
      </c>
      <c r="M12" s="75">
        <f t="shared" si="1"/>
        <v>36</v>
      </c>
      <c r="N12" s="75">
        <f>(I12/I13)*100</f>
        <v>1.426872770511296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25854.031704118817</v>
      </c>
      <c r="F13" s="127">
        <f t="shared" si="2"/>
        <v>1054.56</v>
      </c>
      <c r="G13" s="127">
        <f t="shared" si="2"/>
        <v>49849.3</v>
      </c>
      <c r="H13" s="127">
        <f t="shared" si="2"/>
        <v>49849.3</v>
      </c>
      <c r="I13" s="127">
        <f t="shared" si="2"/>
        <v>2523</v>
      </c>
      <c r="J13" s="127">
        <f t="shared" si="2"/>
        <v>47832</v>
      </c>
      <c r="K13" s="127">
        <f t="shared" si="2"/>
        <v>47832</v>
      </c>
      <c r="L13" s="127">
        <f t="shared" si="0"/>
        <v>24385.591704118819</v>
      </c>
      <c r="M13" s="128">
        <f>SUM(M9:M12)</f>
        <v>2523</v>
      </c>
      <c r="N13" s="128"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Clinker!EA24</f>
        <v>11096.126999999989</v>
      </c>
      <c r="F14" s="77">
        <f>Clinker!EB24</f>
        <v>0</v>
      </c>
      <c r="G14" s="77">
        <f>F14+'21'!G14</f>
        <v>181.5</v>
      </c>
      <c r="H14" s="77">
        <f>F14+'21'!H14</f>
        <v>181.5</v>
      </c>
      <c r="I14" s="77">
        <f>Clinker!EC24</f>
        <v>200</v>
      </c>
      <c r="J14" s="77">
        <f>I14+'21'!J14</f>
        <v>4825.6400000000003</v>
      </c>
      <c r="K14" s="77">
        <f>I14+'21'!K14</f>
        <v>4825.6400000000003</v>
      </c>
      <c r="L14" s="77">
        <f>E14+F14-I14-Clinker!N24-Clinker!Z24-Clinker!AR24-Clinker!AW24-Clinker!BB24-Clinker!BV24-Clinker!BG24-Clinker!BL24-Clinker!BQ24-Clinker!CU24-Clinker!DO24</f>
        <v>10817.126999999989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Clinker!EE24</f>
        <v>10508.699999999997</v>
      </c>
      <c r="F15" s="77">
        <f>Clinker!EF24</f>
        <v>0</v>
      </c>
      <c r="G15" s="77">
        <f>F15+'21'!G15</f>
        <v>155.05000000000001</v>
      </c>
      <c r="H15" s="77">
        <f>F15+'21'!H15</f>
        <v>155.05000000000001</v>
      </c>
      <c r="I15" s="77">
        <f>Clinker!EG24</f>
        <v>122</v>
      </c>
      <c r="J15" s="77">
        <f>I15+'21'!J15</f>
        <v>2848</v>
      </c>
      <c r="K15" s="77">
        <f>I15+'21'!K15</f>
        <v>2848</v>
      </c>
      <c r="L15" s="77">
        <f>E15+F15-Clinker!T24-Clinker!AE24-Clinker!AI24-Clinker!CK24-Clinker!CP24-Clinker!CF24</f>
        <v>10465.699999999997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21604.826999999987</v>
      </c>
      <c r="F16" s="125">
        <f t="shared" ref="F16:K16" si="3">F14+F15</f>
        <v>0</v>
      </c>
      <c r="G16" s="125">
        <f t="shared" si="3"/>
        <v>336.55</v>
      </c>
      <c r="H16" s="125">
        <f t="shared" si="3"/>
        <v>336.55</v>
      </c>
      <c r="I16" s="125">
        <f t="shared" si="3"/>
        <v>322</v>
      </c>
      <c r="J16" s="125">
        <f>J14+J15</f>
        <v>7673.64</v>
      </c>
      <c r="K16" s="125">
        <f t="shared" si="3"/>
        <v>7673.64</v>
      </c>
      <c r="L16" s="125">
        <f t="shared" si="0"/>
        <v>21282.826999999987</v>
      </c>
      <c r="M16" s="126"/>
      <c r="N16" s="126"/>
      <c r="O16" s="667"/>
      <c r="P16" s="131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Clinker!EI24</f>
        <v>19425.380088243244</v>
      </c>
      <c r="F18" s="74">
        <f>Clinker!EJ24</f>
        <v>1150</v>
      </c>
      <c r="G18" s="74">
        <f>F18+'21'!G18</f>
        <v>28385</v>
      </c>
      <c r="H18" s="74">
        <f>F18+'21'!H18</f>
        <v>28385</v>
      </c>
      <c r="I18" s="74">
        <f>Clinker!EK24</f>
        <v>161.69999999999999</v>
      </c>
      <c r="J18" s="74">
        <f>I18+'21'!J18</f>
        <v>11252.860011383485</v>
      </c>
      <c r="K18" s="74">
        <f>I18+'21'!K18</f>
        <v>11252.860011383485</v>
      </c>
      <c r="L18" s="74">
        <f>E18+F18-I18-I20</f>
        <v>20413.680088243244</v>
      </c>
      <c r="M18" s="704">
        <f>((I18+I19)/(J40+J46))*100</f>
        <v>76.999999999999986</v>
      </c>
      <c r="N18" s="687"/>
      <c r="O18" s="689"/>
      <c r="P18" s="691"/>
      <c r="Q18" s="692"/>
      <c r="R18" s="190"/>
      <c r="S18" s="20"/>
    </row>
    <row r="19" spans="2:19" ht="45" x14ac:dyDescent="0.25">
      <c r="B19" s="677"/>
      <c r="C19" s="685"/>
      <c r="D19" s="85" t="s">
        <v>75</v>
      </c>
      <c r="E19" s="74">
        <f>Clinker!EN24</f>
        <v>3040.8590080001363</v>
      </c>
      <c r="F19" s="74">
        <f>Clinker!EO24</f>
        <v>0</v>
      </c>
      <c r="G19" s="74">
        <f>F19+'21'!G19</f>
        <v>11125.410000000002</v>
      </c>
      <c r="H19" s="74">
        <f>F19+'21'!H19</f>
        <v>11125.410000000002</v>
      </c>
      <c r="I19" s="74">
        <f>Clinker!EP24</f>
        <v>0</v>
      </c>
      <c r="J19" s="74">
        <f>I19+'21'!J19</f>
        <v>16934.099999999999</v>
      </c>
      <c r="K19" s="74">
        <f>I19+'21'!K19</f>
        <v>16934.099999999999</v>
      </c>
      <c r="L19" s="74">
        <f>E19+F19-I19</f>
        <v>3040.8590080001363</v>
      </c>
      <c r="M19" s="705"/>
      <c r="N19" s="687"/>
      <c r="O19" s="689"/>
      <c r="P19" s="691"/>
      <c r="Q19" s="692"/>
      <c r="R19" s="190"/>
      <c r="S19" s="190"/>
    </row>
    <row r="20" spans="2:19" ht="30" x14ac:dyDescent="0.25">
      <c r="B20" s="677"/>
      <c r="C20" s="686"/>
      <c r="D20" s="86" t="s">
        <v>251</v>
      </c>
      <c r="E20" s="77"/>
      <c r="F20" s="77">
        <f>Clinker!EM24</f>
        <v>0</v>
      </c>
      <c r="G20" s="74">
        <f>F20+'21'!G20</f>
        <v>0</v>
      </c>
      <c r="H20" s="74">
        <f>F20+'21'!H20</f>
        <v>0</v>
      </c>
      <c r="I20" s="77">
        <f>Clinker!EM24</f>
        <v>0</v>
      </c>
      <c r="J20" s="77">
        <f>I20+'21'!J20</f>
        <v>0</v>
      </c>
      <c r="K20" s="77">
        <f>I20+'21'!K20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>
        <v>8</v>
      </c>
      <c r="C21" s="776" t="s">
        <v>244</v>
      </c>
      <c r="D21" s="777"/>
      <c r="E21" s="77">
        <f>Cement!O24</f>
        <v>0</v>
      </c>
      <c r="F21" s="77">
        <f>Cement!P24</f>
        <v>0</v>
      </c>
      <c r="G21" s="74">
        <f>F21+'21'!G21</f>
        <v>0</v>
      </c>
      <c r="H21" s="74">
        <f>F21+'21'!H21</f>
        <v>0</v>
      </c>
      <c r="I21" s="77">
        <f>Cement!Q24</f>
        <v>37.800000000000004</v>
      </c>
      <c r="J21" s="77">
        <f>I21+'21'!J21</f>
        <v>6864.3399930650166</v>
      </c>
      <c r="K21" s="77">
        <f>I21+'21'!K21</f>
        <v>6864.3399930650166</v>
      </c>
      <c r="L21" s="74"/>
      <c r="M21" s="78">
        <f>(I21/(J40+J46))*100</f>
        <v>18.000000000000004</v>
      </c>
      <c r="N21" s="78"/>
      <c r="O21" s="689"/>
      <c r="P21" s="87">
        <v>10</v>
      </c>
      <c r="Q21" s="695"/>
      <c r="R21" s="20"/>
      <c r="S21" s="190"/>
    </row>
    <row r="22" spans="2:19" x14ac:dyDescent="0.25">
      <c r="B22" s="89">
        <v>9</v>
      </c>
      <c r="C22" s="678" t="s">
        <v>252</v>
      </c>
      <c r="D22" s="678"/>
      <c r="E22" s="77">
        <f>Cement!C24</f>
        <v>7489.60006359828</v>
      </c>
      <c r="F22" s="77">
        <f>Cement!D24</f>
        <v>0</v>
      </c>
      <c r="G22" s="75">
        <f>F22+'21'!G22</f>
        <v>1879.42</v>
      </c>
      <c r="H22" s="74">
        <f>F22+'21'!H22</f>
        <v>1879.42</v>
      </c>
      <c r="I22" s="77">
        <f>Cement!E24</f>
        <v>10.5</v>
      </c>
      <c r="J22" s="77">
        <f>I22+'21'!J22</f>
        <v>1845.6999955514996</v>
      </c>
      <c r="K22" s="77">
        <f>I22+'21'!K22</f>
        <v>1845.6999955514996</v>
      </c>
      <c r="L22" s="74">
        <f t="shared" ref="L22:L24" si="4">E22+F22-I22</f>
        <v>7479.10006359828</v>
      </c>
      <c r="M22" s="78">
        <f>(I22/(J40+J46))*100</f>
        <v>5</v>
      </c>
      <c r="N22" s="78"/>
      <c r="O22" s="689"/>
      <c r="P22" s="87">
        <v>4</v>
      </c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Cement!G24</f>
        <v>0.23999999999796273</v>
      </c>
      <c r="F23" s="77">
        <f>Cement!H24</f>
        <v>0</v>
      </c>
      <c r="G23" s="77">
        <f>F23+'21'!G23</f>
        <v>0</v>
      </c>
      <c r="H23" s="77">
        <f>F23+'21'!H23</f>
        <v>0</v>
      </c>
      <c r="I23" s="77">
        <f>Cement!I24</f>
        <v>0</v>
      </c>
      <c r="J23" s="77">
        <f>I23+'21'!J23</f>
        <v>0</v>
      </c>
      <c r="K23" s="77">
        <f>I23+'21'!K23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Cement!K24</f>
        <v>0</v>
      </c>
      <c r="F24" s="77">
        <f>Cement!L24</f>
        <v>0</v>
      </c>
      <c r="G24" s="77">
        <f>F24+'21'!G24</f>
        <v>0</v>
      </c>
      <c r="H24" s="77">
        <f>F24+'21'!H24</f>
        <v>0</v>
      </c>
      <c r="I24" s="77">
        <f>Cement!M24</f>
        <v>0</v>
      </c>
      <c r="J24" s="77">
        <f>I24+'21'!J24</f>
        <v>0</v>
      </c>
      <c r="K24" s="77">
        <f>I24+'21'!K24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E18+E19++E21+E22+E23+E24</f>
        <v>29956.079159841662</v>
      </c>
      <c r="F25" s="122">
        <f t="shared" ref="F25:L25" si="5">F18+F19++F21+F22+F23+F24</f>
        <v>1150</v>
      </c>
      <c r="G25" s="122">
        <f t="shared" si="5"/>
        <v>41389.83</v>
      </c>
      <c r="H25" s="122">
        <f t="shared" si="5"/>
        <v>41389.83</v>
      </c>
      <c r="I25" s="122">
        <f>I18+I19++I21+I22+I23+I24</f>
        <v>210</v>
      </c>
      <c r="J25" s="122">
        <f t="shared" si="5"/>
        <v>36897</v>
      </c>
      <c r="K25" s="122">
        <f t="shared" si="5"/>
        <v>36897</v>
      </c>
      <c r="L25" s="122">
        <f t="shared" si="5"/>
        <v>30933.879159841657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Production2!C24</f>
        <v>4.05</v>
      </c>
      <c r="G30" s="75">
        <f>F30+'21'!G30</f>
        <v>295.90000000000003</v>
      </c>
      <c r="H30" s="75">
        <f>F30+'21'!H30</f>
        <v>295.90000000000003</v>
      </c>
      <c r="I30" s="74">
        <f>'Mines (2)'!C24+'Mines (2)'!H24+'Mines (2)'!V24+'Mines (2)'!Z24+'Mines (2)'!AD24</f>
        <v>20253.171704118824</v>
      </c>
      <c r="J30" s="74">
        <f>Production2!D24</f>
        <v>1054.56</v>
      </c>
      <c r="K30" s="74">
        <f>J30+'21'!K30</f>
        <v>49117.4</v>
      </c>
      <c r="L30" s="74">
        <f>J30+'21'!L30</f>
        <v>49117.4</v>
      </c>
      <c r="M30" s="74">
        <f>I9+I21</f>
        <v>2456.8000000000002</v>
      </c>
      <c r="N30" s="75">
        <f>M30+'21'!N30</f>
        <v>53371.339993065019</v>
      </c>
      <c r="O30" s="74">
        <f>M30+'21'!O30</f>
        <v>53371.339993065019</v>
      </c>
      <c r="P30" s="74">
        <f>I30+J30-M30</f>
        <v>18850.931704118826</v>
      </c>
      <c r="Q30" s="93">
        <f>J30/F30</f>
        <v>260.38518518518521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Production2!G24</f>
        <v>20.58</v>
      </c>
      <c r="G31" s="75">
        <f>F31+'21'!G31</f>
        <v>336.40999999999997</v>
      </c>
      <c r="H31" s="75">
        <f>F31+'21'!H31</f>
        <v>336.40999999999997</v>
      </c>
      <c r="I31" s="747">
        <f>Production2!H24</f>
        <v>581.82001683751923</v>
      </c>
      <c r="J31" s="78">
        <f>Production2!N24</f>
        <v>2099</v>
      </c>
      <c r="K31" s="74">
        <f>J31+'21'!K31</f>
        <v>40443.29</v>
      </c>
      <c r="L31" s="74">
        <f>J31+'21'!L31</f>
        <v>40443.29</v>
      </c>
      <c r="M31" s="747">
        <f>Production2!K24</f>
        <v>1782.5</v>
      </c>
      <c r="N31" s="747">
        <f>M31+'21'!N31</f>
        <v>43996.75</v>
      </c>
      <c r="O31" s="747">
        <f>M31+'21'!O31</f>
        <v>43996.75</v>
      </c>
      <c r="P31" s="747">
        <f>I31+J31+J32-M31</f>
        <v>1071.6100168375192</v>
      </c>
      <c r="Q31" s="96">
        <f t="shared" ref="Q31:Q46" si="6">J31/F31</f>
        <v>101.99222546161323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Production2!P24</f>
        <v>21.78</v>
      </c>
      <c r="G32" s="75">
        <f>F32+'21'!G32</f>
        <v>289.68999999999994</v>
      </c>
      <c r="H32" s="75">
        <f>F32+'21'!H32</f>
        <v>289.68999999999994</v>
      </c>
      <c r="I32" s="748"/>
      <c r="J32" s="77">
        <f>Production2!Q24</f>
        <v>173.29</v>
      </c>
      <c r="K32" s="74">
        <f>J32+'21'!K32</f>
        <v>2631.3399999999997</v>
      </c>
      <c r="L32" s="74">
        <f>J32+'21'!L32</f>
        <v>2631.3399999999997</v>
      </c>
      <c r="M32" s="748"/>
      <c r="N32" s="748"/>
      <c r="O32" s="748"/>
      <c r="P32" s="748"/>
      <c r="Q32" s="96">
        <f>J32/F32</f>
        <v>7.9563820018365465</v>
      </c>
      <c r="R32" s="94"/>
      <c r="S32" s="94"/>
    </row>
    <row r="33" spans="2:20" x14ac:dyDescent="0.25">
      <c r="B33" s="79">
        <v>4</v>
      </c>
      <c r="C33" s="680" t="s">
        <v>147</v>
      </c>
      <c r="D33" s="681"/>
      <c r="E33" s="95">
        <v>10</v>
      </c>
      <c r="F33" s="78">
        <f>Production2!S24</f>
        <v>13</v>
      </c>
      <c r="G33" s="75">
        <f>F33+'21'!G33</f>
        <v>315.75</v>
      </c>
      <c r="H33" s="75">
        <f>F33+'21'!H33</f>
        <v>315.75</v>
      </c>
      <c r="I33" s="77">
        <f>Production2!T24</f>
        <v>52.609999999999985</v>
      </c>
      <c r="J33" s="77">
        <f>Production2!U24</f>
        <v>180</v>
      </c>
      <c r="K33" s="74">
        <f>J33+'21'!K33</f>
        <v>4343.1000000000004</v>
      </c>
      <c r="L33" s="74">
        <f>J33+'21'!L33</f>
        <v>4343.1000000000004</v>
      </c>
      <c r="M33" s="77">
        <f>Production2!V24</f>
        <v>181</v>
      </c>
      <c r="N33" s="74">
        <f>M33+'21'!N33</f>
        <v>4307</v>
      </c>
      <c r="O33" s="74">
        <f>M33+'21'!O33</f>
        <v>4307</v>
      </c>
      <c r="P33" s="74">
        <f t="shared" ref="P33:P34" si="7">I33+J33-M33</f>
        <v>51.609999999999985</v>
      </c>
      <c r="Q33" s="96">
        <f t="shared" si="6"/>
        <v>13.846153846153847</v>
      </c>
      <c r="R33" s="94"/>
      <c r="S33" s="94"/>
    </row>
    <row r="34" spans="2:20" x14ac:dyDescent="0.25">
      <c r="B34" s="91">
        <v>5</v>
      </c>
      <c r="C34" s="680" t="s">
        <v>69</v>
      </c>
      <c r="D34" s="681"/>
      <c r="E34" s="95">
        <v>50</v>
      </c>
      <c r="F34" s="78">
        <f>Production2!Y24</f>
        <v>24</v>
      </c>
      <c r="G34" s="75">
        <f>F34+'21'!G34</f>
        <v>426.27</v>
      </c>
      <c r="H34" s="75">
        <f>F34+'21'!H34</f>
        <v>426.27</v>
      </c>
      <c r="I34" s="77">
        <f>Clinker!EI24</f>
        <v>19425.380088243244</v>
      </c>
      <c r="J34" s="77">
        <f>Clinker!EJ24</f>
        <v>1150</v>
      </c>
      <c r="K34" s="74">
        <f>J34+'21'!K34</f>
        <v>28385</v>
      </c>
      <c r="L34" s="74">
        <f>J34+'21'!L34</f>
        <v>28385</v>
      </c>
      <c r="M34" s="77">
        <f>Clinker!EK24</f>
        <v>161.69999999999999</v>
      </c>
      <c r="N34" s="74">
        <f>M34+'21'!N34</f>
        <v>11252.860011383485</v>
      </c>
      <c r="O34" s="74">
        <f>M34+'21'!O34</f>
        <v>11252.860011383485</v>
      </c>
      <c r="P34" s="74">
        <f t="shared" si="7"/>
        <v>20413.680088243244</v>
      </c>
      <c r="Q34" s="96">
        <f t="shared" si="6"/>
        <v>47.916666666666664</v>
      </c>
      <c r="R34" s="94"/>
      <c r="S34" s="94"/>
    </row>
    <row r="35" spans="2:20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Production2!AE24</f>
        <v>0</v>
      </c>
      <c r="G35" s="75">
        <f>F35+'21'!G35</f>
        <v>9</v>
      </c>
      <c r="H35" s="75">
        <f>F35+'21'!H35</f>
        <v>9</v>
      </c>
      <c r="I35" s="77">
        <f>Production2!BJ24</f>
        <v>507.79999999999995</v>
      </c>
      <c r="J35" s="77">
        <f>Production2!AF24</f>
        <v>0</v>
      </c>
      <c r="K35" s="74">
        <f>J35+'21'!K35</f>
        <v>574</v>
      </c>
      <c r="L35" s="74">
        <f>J35+'21'!L35</f>
        <v>574</v>
      </c>
      <c r="M35" s="77">
        <f>Production2!BL24</f>
        <v>0</v>
      </c>
      <c r="N35" s="74">
        <f>M35+'21'!N35</f>
        <v>1548.5</v>
      </c>
      <c r="O35" s="74">
        <f>M35+'21'!O35</f>
        <v>1548.5</v>
      </c>
      <c r="P35" s="74">
        <f>I35+J35+J41-M35</f>
        <v>507.79999999999995</v>
      </c>
      <c r="Q35" s="96" t="e">
        <f t="shared" si="6"/>
        <v>#DIV/0!</v>
      </c>
      <c r="R35" s="94"/>
      <c r="S35" s="94"/>
    </row>
    <row r="36" spans="2:20" x14ac:dyDescent="0.25">
      <c r="B36" s="754"/>
      <c r="C36" s="685"/>
      <c r="D36" s="80" t="s">
        <v>268</v>
      </c>
      <c r="E36" s="97">
        <v>78</v>
      </c>
      <c r="F36" s="78">
        <f>Production2!AB24</f>
        <v>0</v>
      </c>
      <c r="G36" s="75">
        <f>F36+'21'!G36</f>
        <v>197.43</v>
      </c>
      <c r="H36" s="75">
        <f>F36+'21'!H36</f>
        <v>197.43</v>
      </c>
      <c r="I36" s="77">
        <f>Production2!BF24</f>
        <v>2920.5279999999798</v>
      </c>
      <c r="J36" s="77">
        <f>Production2!AC24</f>
        <v>0</v>
      </c>
      <c r="K36" s="74">
        <f>J36+'21'!K36</f>
        <v>11919</v>
      </c>
      <c r="L36" s="74">
        <f>J36+'21'!L36</f>
        <v>11919</v>
      </c>
      <c r="M36" s="77">
        <f>Production2!BH24</f>
        <v>668.5</v>
      </c>
      <c r="N36" s="555">
        <f>M36+'21'!N36</f>
        <v>27655.529999999995</v>
      </c>
      <c r="O36" s="555">
        <f>M36+'21'!O36</f>
        <v>27655.529999999995</v>
      </c>
      <c r="P36" s="74">
        <f>I36+J36+J42-M36-F57</f>
        <v>2462.0279999999798</v>
      </c>
      <c r="Q36" s="96" t="e">
        <f t="shared" si="6"/>
        <v>#DIV/0!</v>
      </c>
      <c r="R36" s="94"/>
      <c r="S36" s="94"/>
    </row>
    <row r="37" spans="2:20" x14ac:dyDescent="0.25">
      <c r="B37" s="754"/>
      <c r="C37" s="685"/>
      <c r="D37" s="80" t="s">
        <v>269</v>
      </c>
      <c r="E37" s="97">
        <v>78</v>
      </c>
      <c r="F37" s="78">
        <f>Production2!AH24</f>
        <v>0</v>
      </c>
      <c r="G37" s="75">
        <f>F37+'21'!G37</f>
        <v>0</v>
      </c>
      <c r="H37" s="75">
        <f>F37+'21'!H37</f>
        <v>0</v>
      </c>
      <c r="I37" s="77">
        <f>Production2!BN24</f>
        <v>2.0900000000008498</v>
      </c>
      <c r="J37" s="77">
        <f>Production2!AI24</f>
        <v>0</v>
      </c>
      <c r="K37" s="555">
        <f>J37+'21'!K37</f>
        <v>0</v>
      </c>
      <c r="L37" s="555">
        <f>J37+'21'!L37</f>
        <v>0</v>
      </c>
      <c r="M37" s="77">
        <f>Production2!BP24</f>
        <v>0</v>
      </c>
      <c r="N37" s="555">
        <f>M37+'21'!N37</f>
        <v>-0.15</v>
      </c>
      <c r="O37" s="555">
        <f>M37+'21'!O37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20" x14ac:dyDescent="0.25">
      <c r="B38" s="754"/>
      <c r="C38" s="685"/>
      <c r="D38" s="194" t="s">
        <v>177</v>
      </c>
      <c r="E38" s="97">
        <v>65</v>
      </c>
      <c r="F38" s="84">
        <f>Production2!AK24</f>
        <v>0</v>
      </c>
      <c r="G38" s="553">
        <f>F38+'21'!G38</f>
        <v>0</v>
      </c>
      <c r="H38" s="553">
        <f>F38+'21'!H38</f>
        <v>0</v>
      </c>
      <c r="I38" s="195">
        <f>Production2!BR24</f>
        <v>158.30000000000001</v>
      </c>
      <c r="J38" s="195">
        <f>Production2!AL24</f>
        <v>0</v>
      </c>
      <c r="K38" s="555">
        <f>J38+'21'!K38</f>
        <v>0</v>
      </c>
      <c r="L38" s="555">
        <f>J38+'21'!L38</f>
        <v>0</v>
      </c>
      <c r="M38" s="195">
        <f>Production2!BT24</f>
        <v>0</v>
      </c>
      <c r="N38" s="555">
        <f>M38+'21'!N38</f>
        <v>1545</v>
      </c>
      <c r="O38" s="555">
        <f>M38+'21'!O38</f>
        <v>1545</v>
      </c>
      <c r="P38" s="74">
        <f>I38+J38+J44-M38-F59</f>
        <v>158.30000000000001</v>
      </c>
      <c r="Q38" s="96" t="e">
        <f t="shared" si="6"/>
        <v>#DIV/0!</v>
      </c>
      <c r="R38" s="94"/>
      <c r="S38" s="94"/>
    </row>
    <row r="39" spans="2:20" x14ac:dyDescent="0.25">
      <c r="B39" s="754"/>
      <c r="C39" s="685"/>
      <c r="D39" s="550" t="s">
        <v>306</v>
      </c>
      <c r="E39" s="556">
        <v>78</v>
      </c>
      <c r="F39" s="552">
        <f>Production2!AN24</f>
        <v>0</v>
      </c>
      <c r="G39" s="553">
        <f>F39+'21'!G39</f>
        <v>33.85</v>
      </c>
      <c r="H39" s="553">
        <f>F39+'21'!H39</f>
        <v>33.85</v>
      </c>
      <c r="I39" s="554">
        <f>Production2!BV24</f>
        <v>1010.5300000000002</v>
      </c>
      <c r="J39" s="554">
        <f>Production2!AO24</f>
        <v>0</v>
      </c>
      <c r="K39" s="555">
        <f>J39+'21'!K39</f>
        <v>2132</v>
      </c>
      <c r="L39" s="555">
        <f>J39+'21'!L39</f>
        <v>2132</v>
      </c>
      <c r="M39" s="77">
        <f>Production2!BX24</f>
        <v>119.96</v>
      </c>
      <c r="N39" s="555">
        <f>M39+'21'!N39</f>
        <v>4227.1400000000003</v>
      </c>
      <c r="O39" s="555">
        <f>M39+'21'!O39</f>
        <v>4227.1400000000003</v>
      </c>
      <c r="P39" s="555">
        <f>I39+J39+J45-M39</f>
        <v>890.57000000000016</v>
      </c>
      <c r="Q39" s="96" t="e">
        <f t="shared" si="6"/>
        <v>#DIV/0!</v>
      </c>
      <c r="R39" s="94"/>
      <c r="S39" s="94"/>
    </row>
    <row r="40" spans="2:20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240.28</v>
      </c>
      <c r="H40" s="132">
        <f t="shared" si="8"/>
        <v>240.28</v>
      </c>
      <c r="I40" s="122">
        <f>I35+I36+I37+I38+I39</f>
        <v>4599.2479999999814</v>
      </c>
      <c r="J40" s="551">
        <f t="shared" ref="J40:O40" si="9">J35+J36+J37+J38+J39</f>
        <v>0</v>
      </c>
      <c r="K40" s="551">
        <f t="shared" si="9"/>
        <v>14625</v>
      </c>
      <c r="L40" s="551">
        <f t="shared" si="9"/>
        <v>14625</v>
      </c>
      <c r="M40" s="551">
        <f t="shared" si="9"/>
        <v>788.46</v>
      </c>
      <c r="N40" s="551">
        <f t="shared" si="9"/>
        <v>34976.019999999997</v>
      </c>
      <c r="O40" s="551">
        <f t="shared" si="9"/>
        <v>34976.019999999997</v>
      </c>
      <c r="P40" s="551">
        <f>P35+P36+P37+P38+P39</f>
        <v>4020.7879999999809</v>
      </c>
      <c r="Q40" s="123" t="e">
        <f t="shared" si="6"/>
        <v>#DIV/0!</v>
      </c>
      <c r="R40" s="94"/>
      <c r="S40" s="94"/>
    </row>
    <row r="41" spans="2:20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Production2!AT24</f>
        <v>0</v>
      </c>
      <c r="G41" s="75">
        <f>F41+'21'!G41</f>
        <v>20.9</v>
      </c>
      <c r="H41" s="75">
        <f>F41+'21'!H41</f>
        <v>20.9</v>
      </c>
      <c r="I41" s="764"/>
      <c r="J41" s="77">
        <f>Production2!AU24</f>
        <v>0</v>
      </c>
      <c r="K41" s="74">
        <f>J41+'21'!K41</f>
        <v>1250</v>
      </c>
      <c r="L41" s="74">
        <f>J41+'21'!L41</f>
        <v>1250</v>
      </c>
      <c r="M41" s="766"/>
      <c r="N41" s="767"/>
      <c r="O41" s="767"/>
      <c r="P41" s="768"/>
      <c r="Q41" s="96" t="e">
        <f t="shared" si="6"/>
        <v>#DIV/0!</v>
      </c>
      <c r="R41" s="94"/>
      <c r="S41" s="94"/>
      <c r="T41" s="176"/>
    </row>
    <row r="42" spans="2:20" x14ac:dyDescent="0.25">
      <c r="B42" s="754"/>
      <c r="C42" s="685"/>
      <c r="D42" s="80" t="s">
        <v>268</v>
      </c>
      <c r="E42" s="97">
        <v>70</v>
      </c>
      <c r="F42" s="78">
        <f>Production2!AQ24</f>
        <v>4.0999999999999996</v>
      </c>
      <c r="G42" s="75">
        <f>F42+'21'!G42</f>
        <v>292.22000000000008</v>
      </c>
      <c r="H42" s="75">
        <f>F42+'21'!H42</f>
        <v>292.22000000000008</v>
      </c>
      <c r="I42" s="765"/>
      <c r="J42" s="77">
        <f>Production2!AR24</f>
        <v>210</v>
      </c>
      <c r="K42" s="74">
        <f>J42+'21'!K42</f>
        <v>16920</v>
      </c>
      <c r="L42" s="74">
        <f>J42+'21'!L42</f>
        <v>16920</v>
      </c>
      <c r="M42" s="769"/>
      <c r="N42" s="829"/>
      <c r="O42" s="829"/>
      <c r="P42" s="771"/>
      <c r="Q42" s="96">
        <f t="shared" si="6"/>
        <v>51.219512195121958</v>
      </c>
      <c r="R42" s="94"/>
      <c r="S42" s="94"/>
    </row>
    <row r="43" spans="2:20" x14ac:dyDescent="0.25">
      <c r="B43" s="754"/>
      <c r="C43" s="685"/>
      <c r="D43" s="80" t="s">
        <v>269</v>
      </c>
      <c r="E43" s="97">
        <v>70</v>
      </c>
      <c r="F43" s="78">
        <f>Production2!AW24</f>
        <v>0</v>
      </c>
      <c r="G43" s="553">
        <f>F43+'21'!G43</f>
        <v>0</v>
      </c>
      <c r="H43" s="553">
        <f>F43+'21'!H43</f>
        <v>0</v>
      </c>
      <c r="I43" s="765"/>
      <c r="J43" s="77">
        <f>Production2!AX24</f>
        <v>0</v>
      </c>
      <c r="K43" s="555">
        <f>J43+'21'!K43</f>
        <v>0</v>
      </c>
      <c r="L43" s="555">
        <f>J43+'21'!L43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20" x14ac:dyDescent="0.25">
      <c r="B44" s="754"/>
      <c r="C44" s="685"/>
      <c r="D44" s="194" t="s">
        <v>177</v>
      </c>
      <c r="E44" s="97">
        <v>60</v>
      </c>
      <c r="F44" s="84">
        <f>Production2!AZ24</f>
        <v>0</v>
      </c>
      <c r="G44" s="553">
        <f>F44+'21'!G44</f>
        <v>26.880000000000003</v>
      </c>
      <c r="H44" s="553">
        <f>F44+'21'!H44</f>
        <v>26.880000000000003</v>
      </c>
      <c r="I44" s="765"/>
      <c r="J44" s="195">
        <f>Production2!BA24</f>
        <v>0</v>
      </c>
      <c r="K44" s="555">
        <f>J44+'21'!K44</f>
        <v>1490</v>
      </c>
      <c r="L44" s="555">
        <f>J44+'21'!L44</f>
        <v>1490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20" x14ac:dyDescent="0.25">
      <c r="B45" s="754"/>
      <c r="C45" s="685"/>
      <c r="D45" s="550" t="s">
        <v>306</v>
      </c>
      <c r="E45" s="556">
        <v>70</v>
      </c>
      <c r="F45" s="552">
        <f>Production2!BC24</f>
        <v>0</v>
      </c>
      <c r="G45" s="553">
        <f>F45+'21'!G45</f>
        <v>44.370000000000005</v>
      </c>
      <c r="H45" s="553">
        <f>F45+'21'!H45</f>
        <v>44.370000000000005</v>
      </c>
      <c r="I45" s="748"/>
      <c r="J45" s="554">
        <f>Production2!BD24</f>
        <v>0</v>
      </c>
      <c r="K45" s="555">
        <f>J45+'21'!K45</f>
        <v>2612</v>
      </c>
      <c r="L45" s="555">
        <f>J45+'21'!L45</f>
        <v>2612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20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4.0999999999999996</v>
      </c>
      <c r="G46" s="132">
        <f t="shared" ref="G46:H46" si="10">G41+G42+G43+G44+G45</f>
        <v>384.37000000000006</v>
      </c>
      <c r="H46" s="132">
        <f t="shared" si="10"/>
        <v>384.37000000000006</v>
      </c>
      <c r="I46" s="122">
        <f t="shared" ref="I46" si="11">I41+I42+I43+I44</f>
        <v>0</v>
      </c>
      <c r="J46" s="122">
        <f>J41+J42+J43+J44+J45</f>
        <v>210</v>
      </c>
      <c r="K46" s="557">
        <f t="shared" ref="K46:L46" si="12">K41+K42+K43+K44+K45</f>
        <v>22272</v>
      </c>
      <c r="L46" s="557">
        <f t="shared" si="12"/>
        <v>22272</v>
      </c>
      <c r="M46" s="836"/>
      <c r="N46" s="837"/>
      <c r="O46" s="837"/>
      <c r="P46" s="838"/>
      <c r="Q46" s="123">
        <f t="shared" si="6"/>
        <v>51.219512195121958</v>
      </c>
      <c r="R46" s="94"/>
      <c r="S46" s="94"/>
    </row>
    <row r="47" spans="2:20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20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1.6926490669094221</v>
      </c>
      <c r="F50" s="99">
        <f>F53/(J31+J32)</f>
        <v>26.542386755211702</v>
      </c>
      <c r="G50" s="99">
        <f>G53/J32</f>
        <v>0</v>
      </c>
      <c r="H50" s="99">
        <f>H53/J34</f>
        <v>37.926956521739129</v>
      </c>
      <c r="I50" s="99">
        <f>I53/J33</f>
        <v>62.93888888888889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15.739130434782608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3.5604505155251229</v>
      </c>
      <c r="F51" s="102">
        <f>F50*1.55</f>
        <v>41.140699470578141</v>
      </c>
      <c r="G51" s="102">
        <f>G50*1.55</f>
        <v>0</v>
      </c>
      <c r="H51" s="102">
        <f>H50</f>
        <v>37.926956521739129</v>
      </c>
      <c r="I51" s="102">
        <f>I50*(Q50/100)</f>
        <v>9.9060338164251203</v>
      </c>
      <c r="J51" s="102"/>
      <c r="K51" s="102"/>
      <c r="L51" s="102"/>
      <c r="M51" s="96"/>
      <c r="N51" s="310">
        <f>SUM(E51:I51)</f>
        <v>92.534140324267526</v>
      </c>
      <c r="O51" s="668" t="s">
        <v>279</v>
      </c>
      <c r="P51" s="668"/>
      <c r="Q51" s="104">
        <v>5438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2.7415468969543442</v>
      </c>
      <c r="F52" s="102">
        <f>F51*M18/100</f>
        <v>31.678338592345163</v>
      </c>
      <c r="G52" s="102">
        <f>G51*M18/100</f>
        <v>0</v>
      </c>
      <c r="H52" s="102">
        <f>H51*M18/100</f>
        <v>29.203756521739123</v>
      </c>
      <c r="I52" s="102">
        <f>I51*M18/100</f>
        <v>7.6276460386473408</v>
      </c>
      <c r="J52" s="99">
        <f>J53/(J40+J46)</f>
        <v>77.280952380952385</v>
      </c>
      <c r="K52" s="99">
        <f>K53/(J46+J40)</f>
        <v>5.8666666666666663</v>
      </c>
      <c r="L52" s="99">
        <f>L53/(M40)</f>
        <v>6.5469396037845922</v>
      </c>
      <c r="M52" s="96">
        <f>M53/(J46+J40)</f>
        <v>25.804761904761904</v>
      </c>
      <c r="N52" s="310">
        <f>SUM(E52:M52)</f>
        <v>186.75060860585151</v>
      </c>
      <c r="O52" s="668" t="s">
        <v>281</v>
      </c>
      <c r="P52" s="668"/>
      <c r="Q52" s="104">
        <f>Q51*Q50/100</f>
        <v>855.89391304347828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unit'!B24</f>
        <v>1785</v>
      </c>
      <c r="F53" s="118">
        <f>'Daily unit'!C24</f>
        <v>60312</v>
      </c>
      <c r="G53" s="118">
        <f>'Daily unit'!D24</f>
        <v>0</v>
      </c>
      <c r="H53" s="118">
        <f>'Daily unit'!E24</f>
        <v>43616</v>
      </c>
      <c r="I53" s="118">
        <f>'Daily unit'!F24</f>
        <v>11329</v>
      </c>
      <c r="J53" s="118">
        <f>'Daily unit'!G24</f>
        <v>16229</v>
      </c>
      <c r="K53" s="118">
        <f>'Daily unit'!H24</f>
        <v>1232</v>
      </c>
      <c r="L53" s="118">
        <f>'Daily unit'!I24</f>
        <v>5162</v>
      </c>
      <c r="M53" s="119">
        <f>'Daily unit'!J24</f>
        <v>5419</v>
      </c>
      <c r="N53" s="321">
        <f>SUM(E53:M53)</f>
        <v>145084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14" t="s">
        <v>231</v>
      </c>
      <c r="C56" s="820" t="s">
        <v>285</v>
      </c>
      <c r="D56" s="820"/>
      <c r="E56" s="820"/>
      <c r="F56" s="215" t="s">
        <v>286</v>
      </c>
      <c r="G56" s="215" t="s">
        <v>26</v>
      </c>
      <c r="H56" s="216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cement'!F24</f>
        <v>0</v>
      </c>
      <c r="G57" s="53">
        <f>F57+'21'!G57</f>
        <v>0</v>
      </c>
      <c r="H57" s="104">
        <f>F57+'21'!H57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cement'!Q24</f>
        <v>0</v>
      </c>
      <c r="G58" s="53">
        <f>F58+'21'!G58</f>
        <v>0</v>
      </c>
      <c r="H58" s="104">
        <f>F58+'21'!H58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99"/>
      <c r="D59" s="800"/>
      <c r="E59" s="80">
        <v>32.5</v>
      </c>
      <c r="F59" s="53">
        <f>'Internal use cement'!Y24</f>
        <v>0</v>
      </c>
      <c r="G59" s="53">
        <f>F59+'21'!G59</f>
        <v>0</v>
      </c>
      <c r="H59" s="104">
        <f>F59+'21'!H59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cement'!AJ24</f>
        <v>0</v>
      </c>
      <c r="G60" s="53">
        <f>F60+'21'!G60</f>
        <v>0</v>
      </c>
      <c r="H60" s="104">
        <f>F60+'21'!H60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6">
    <mergeCell ref="C25:D25"/>
    <mergeCell ref="M25:N25"/>
    <mergeCell ref="M23:N24"/>
    <mergeCell ref="B35:B40"/>
    <mergeCell ref="C9:D9"/>
    <mergeCell ref="C21:D21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B23:B24"/>
    <mergeCell ref="P6:P7"/>
    <mergeCell ref="B26:Q26"/>
    <mergeCell ref="B27:Q27"/>
    <mergeCell ref="B28:B29"/>
    <mergeCell ref="Q6:Q7"/>
    <mergeCell ref="M18:M19"/>
    <mergeCell ref="C23:C24"/>
    <mergeCell ref="C8:Q8"/>
    <mergeCell ref="C22:D22"/>
    <mergeCell ref="C11:D11"/>
    <mergeCell ref="C12:D12"/>
    <mergeCell ref="C13:D13"/>
    <mergeCell ref="P13:Q13"/>
    <mergeCell ref="O9:O16"/>
    <mergeCell ref="C10:D10"/>
    <mergeCell ref="P23:Q25"/>
    <mergeCell ref="B47:Q47"/>
    <mergeCell ref="B57:B60"/>
    <mergeCell ref="C57:D60"/>
    <mergeCell ref="B48:N48"/>
    <mergeCell ref="O48:Q48"/>
    <mergeCell ref="B55:H55"/>
    <mergeCell ref="C56:E56"/>
    <mergeCell ref="B54:Q54"/>
    <mergeCell ref="C49:D49"/>
    <mergeCell ref="O49:P49"/>
    <mergeCell ref="C50:D50"/>
    <mergeCell ref="O50:P50"/>
    <mergeCell ref="C51:D51"/>
    <mergeCell ref="O51:P51"/>
    <mergeCell ref="C52:D52"/>
    <mergeCell ref="O52:P52"/>
    <mergeCell ref="P31:P32"/>
    <mergeCell ref="M31:M32"/>
    <mergeCell ref="N31:N32"/>
    <mergeCell ref="C32:D32"/>
    <mergeCell ref="O31:O32"/>
    <mergeCell ref="I31:I32"/>
    <mergeCell ref="B4:O4"/>
    <mergeCell ref="B6:B7"/>
    <mergeCell ref="C28:D29"/>
    <mergeCell ref="F28:H28"/>
    <mergeCell ref="I28:I29"/>
    <mergeCell ref="J28:L28"/>
    <mergeCell ref="M28:O28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M41:P45"/>
    <mergeCell ref="I41:I45"/>
    <mergeCell ref="C53:D53"/>
    <mergeCell ref="I55:Q60"/>
    <mergeCell ref="B2:Q2"/>
    <mergeCell ref="B3:Q3"/>
    <mergeCell ref="B41:B46"/>
    <mergeCell ref="C41:C46"/>
    <mergeCell ref="C30:D30"/>
    <mergeCell ref="C31:D31"/>
    <mergeCell ref="C33:D33"/>
    <mergeCell ref="C34:D34"/>
    <mergeCell ref="M46:P46"/>
    <mergeCell ref="C35:C40"/>
    <mergeCell ref="P28:P29"/>
    <mergeCell ref="Q28:Q29"/>
  </mergeCells>
  <pageMargins left="0.25" right="0.25" top="0.75" bottom="0.75" header="0.3" footer="0.3"/>
  <pageSetup paperSize="9" scale="5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2:T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A45" sqref="A45:XFD4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0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0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335</v>
      </c>
      <c r="R4" s="67"/>
      <c r="S4" s="67"/>
    </row>
    <row r="5" spans="2:20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0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0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0" ht="14.2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T8" s="68" t="s">
        <v>243</v>
      </c>
    </row>
    <row r="9" spans="2:20" x14ac:dyDescent="0.25">
      <c r="B9" s="199">
        <v>1</v>
      </c>
      <c r="C9" s="680" t="s">
        <v>244</v>
      </c>
      <c r="D9" s="681"/>
      <c r="E9" s="74">
        <f>'22'!L9</f>
        <v>18850.931704118819</v>
      </c>
      <c r="F9" s="74">
        <f>Production2!D25</f>
        <v>2007.16</v>
      </c>
      <c r="G9" s="74">
        <f>F9+'22'!G9</f>
        <v>51124.560000000005</v>
      </c>
      <c r="H9" s="74">
        <f>F9+'22'!H9</f>
        <v>51124.560000000005</v>
      </c>
      <c r="I9" s="74">
        <f>Production2!E25</f>
        <v>2013</v>
      </c>
      <c r="J9" s="74">
        <f>I9+'22'!J9</f>
        <v>48520</v>
      </c>
      <c r="K9" s="74">
        <f>I9+'22'!K9</f>
        <v>48520</v>
      </c>
      <c r="L9" s="74">
        <f>E9+F9-I9-I21</f>
        <v>18806.511704134798</v>
      </c>
      <c r="M9" s="74">
        <f>I9</f>
        <v>2013</v>
      </c>
      <c r="N9" s="75">
        <f>(I9/I13)*100</f>
        <v>89.11022576361222</v>
      </c>
      <c r="O9" s="667"/>
      <c r="P9" s="289">
        <v>10</v>
      </c>
      <c r="Q9" s="263">
        <f>'Raw mill moisture content'!L35</f>
        <v>0.10000000000000006</v>
      </c>
    </row>
    <row r="10" spans="2:20" ht="13.9" customHeight="1" x14ac:dyDescent="0.25">
      <c r="B10" s="79">
        <v>2</v>
      </c>
      <c r="C10" s="668" t="s">
        <v>30</v>
      </c>
      <c r="D10" s="668"/>
      <c r="E10" s="77">
        <f>'Mines (2)'!L25</f>
        <v>603.17999999999984</v>
      </c>
      <c r="F10" s="77">
        <f>'Mines (2)'!M25</f>
        <v>196.2</v>
      </c>
      <c r="G10" s="74">
        <f>F10+'22'!G10</f>
        <v>790.34000000000015</v>
      </c>
      <c r="H10" s="74">
        <f>F10+'22'!H10</f>
        <v>790.34000000000015</v>
      </c>
      <c r="I10" s="77">
        <f>'Mines (2)'!N25</f>
        <v>90</v>
      </c>
      <c r="J10" s="74">
        <f>I10+'22'!J10</f>
        <v>205</v>
      </c>
      <c r="K10" s="74">
        <f>I10+'22'!K10</f>
        <v>205</v>
      </c>
      <c r="L10" s="77">
        <f t="shared" ref="L10:L16" si="0">E10+F10-I10</f>
        <v>709.37999999999988</v>
      </c>
      <c r="M10" s="74">
        <f t="shared" ref="M10:M12" si="1">I10</f>
        <v>90</v>
      </c>
      <c r="N10" s="75">
        <f>(I10/I13)*100</f>
        <v>3.9840637450199203</v>
      </c>
      <c r="O10" s="667"/>
      <c r="P10" s="53">
        <v>10</v>
      </c>
      <c r="Q10" s="264">
        <f>'Raw mill moisture content'!M35</f>
        <v>9.9999999999999964E-2</v>
      </c>
    </row>
    <row r="11" spans="2:20" x14ac:dyDescent="0.25">
      <c r="B11" s="79">
        <v>3</v>
      </c>
      <c r="C11" s="668" t="s">
        <v>32</v>
      </c>
      <c r="D11" s="668"/>
      <c r="E11" s="77">
        <f>Clinker!C25</f>
        <v>4380.6399999999994</v>
      </c>
      <c r="F11" s="77">
        <f>Clinker!D25</f>
        <v>0</v>
      </c>
      <c r="G11" s="74">
        <f>F11+'22'!G11</f>
        <v>0</v>
      </c>
      <c r="H11" s="74">
        <f>F11+'22'!H11</f>
        <v>0</v>
      </c>
      <c r="I11" s="77">
        <f>Clinker!E25</f>
        <v>68</v>
      </c>
      <c r="J11" s="74">
        <f>I11+'22'!J11</f>
        <v>1053</v>
      </c>
      <c r="K11" s="74">
        <f>I11+'22'!K11</f>
        <v>1053</v>
      </c>
      <c r="L11" s="77">
        <f>E11+F11-I11</f>
        <v>4312.6399999999994</v>
      </c>
      <c r="M11" s="74">
        <f t="shared" si="1"/>
        <v>68</v>
      </c>
      <c r="N11" s="75">
        <f>(I11/I13)*100</f>
        <v>3.0101814962372733</v>
      </c>
      <c r="O11" s="667"/>
      <c r="P11" s="53">
        <v>7</v>
      </c>
      <c r="Q11" s="264">
        <f>'Raw mill moisture content'!N35</f>
        <v>6.9999999999999937E-2</v>
      </c>
    </row>
    <row r="12" spans="2:20" ht="13.9" customHeight="1" x14ac:dyDescent="0.25">
      <c r="B12" s="79">
        <v>4</v>
      </c>
      <c r="C12" s="668" t="s">
        <v>245</v>
      </c>
      <c r="D12" s="668"/>
      <c r="E12" s="77">
        <f>'Mines (2)'!Q25</f>
        <v>513.04</v>
      </c>
      <c r="F12" s="77">
        <f>'Mines (2)'!R25</f>
        <v>0</v>
      </c>
      <c r="G12" s="74">
        <f>F12+'22'!G12</f>
        <v>137.76</v>
      </c>
      <c r="H12" s="74">
        <f>F12+'22'!H12</f>
        <v>137.76</v>
      </c>
      <c r="I12" s="77">
        <f>'Mines (2)'!S25</f>
        <v>88</v>
      </c>
      <c r="J12" s="74">
        <f>I12+'22'!J12</f>
        <v>313</v>
      </c>
      <c r="K12" s="74">
        <f>I12+'22'!K12</f>
        <v>313</v>
      </c>
      <c r="L12" s="77">
        <f t="shared" si="0"/>
        <v>425.03999999999996</v>
      </c>
      <c r="M12" s="75">
        <f t="shared" si="1"/>
        <v>88</v>
      </c>
      <c r="N12" s="75">
        <f>(I12/I13)*100</f>
        <v>3.8955289951305887</v>
      </c>
      <c r="O12" s="667"/>
      <c r="P12" s="53">
        <v>10</v>
      </c>
      <c r="Q12" s="264">
        <f>'Raw mill moisture content'!O35</f>
        <v>9.9999999999999881E-2</v>
      </c>
    </row>
    <row r="13" spans="2:20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24347.791704118819</v>
      </c>
      <c r="F13" s="127">
        <f t="shared" si="2"/>
        <v>2203.36</v>
      </c>
      <c r="G13" s="127">
        <f t="shared" si="2"/>
        <v>52052.660000000011</v>
      </c>
      <c r="H13" s="127">
        <f t="shared" si="2"/>
        <v>52052.660000000011</v>
      </c>
      <c r="I13" s="127">
        <f t="shared" si="2"/>
        <v>2259</v>
      </c>
      <c r="J13" s="127">
        <f t="shared" si="2"/>
        <v>50091</v>
      </c>
      <c r="K13" s="127">
        <f t="shared" si="2"/>
        <v>50091</v>
      </c>
      <c r="L13" s="127">
        <f t="shared" si="0"/>
        <v>24292.15170411882</v>
      </c>
      <c r="M13" s="128">
        <f>SUM(M9:M12)</f>
        <v>2259</v>
      </c>
      <c r="N13" s="128">
        <v>99.999999999999986</v>
      </c>
      <c r="O13" s="667"/>
      <c r="P13" s="665"/>
      <c r="Q13" s="666"/>
    </row>
    <row r="14" spans="2:20" x14ac:dyDescent="0.25">
      <c r="B14" s="677">
        <v>6</v>
      </c>
      <c r="C14" s="678" t="s">
        <v>247</v>
      </c>
      <c r="D14" s="80" t="s">
        <v>69</v>
      </c>
      <c r="E14" s="77">
        <f>Clinker!EA25</f>
        <v>10817.126999999989</v>
      </c>
      <c r="F14" s="77">
        <f>Clinker!EB25</f>
        <v>0</v>
      </c>
      <c r="G14" s="77">
        <f>F14+'22'!G14</f>
        <v>181.5</v>
      </c>
      <c r="H14" s="77">
        <f>F14+'22'!H14</f>
        <v>181.5</v>
      </c>
      <c r="I14" s="77">
        <f>Clinker!EC25</f>
        <v>201</v>
      </c>
      <c r="J14" s="77">
        <f>I14+'22'!J14</f>
        <v>5026.6400000000003</v>
      </c>
      <c r="K14" s="77">
        <f>I14+'22'!K14</f>
        <v>5026.6400000000003</v>
      </c>
      <c r="L14" s="77">
        <f>E14+F14-I14-Clinker!N25-Clinker!Z25-Clinker!AR25-Clinker!AW25-Clinker!BB25-Clinker!BV25-Clinker!BG25-Clinker!BL25-Clinker!BQ25-Clinker!CU25-Clinker!DO25</f>
        <v>10552.126999999989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0" x14ac:dyDescent="0.25">
      <c r="B15" s="677"/>
      <c r="C15" s="678"/>
      <c r="D15" s="80" t="s">
        <v>68</v>
      </c>
      <c r="E15" s="77">
        <f>Clinker!EE25</f>
        <v>10465.699999999997</v>
      </c>
      <c r="F15" s="77">
        <f>Clinker!EF25</f>
        <v>0</v>
      </c>
      <c r="G15" s="77">
        <f>F15+'22'!G15</f>
        <v>155.05000000000001</v>
      </c>
      <c r="H15" s="77">
        <f>F15+'22'!H15</f>
        <v>155.05000000000001</v>
      </c>
      <c r="I15" s="77">
        <f>Clinker!EG25</f>
        <v>99</v>
      </c>
      <c r="J15" s="77">
        <f>I15+'22'!J15</f>
        <v>2947</v>
      </c>
      <c r="K15" s="77">
        <f>I15+'22'!K15</f>
        <v>2947</v>
      </c>
      <c r="L15" s="77">
        <f>E15+F15-Clinker!T25-Clinker!AE25-Clinker!AI25-Clinker!CK25-Clinker!CP25-Clinker!CF25</f>
        <v>10430.699999999997</v>
      </c>
      <c r="M15" s="81"/>
      <c r="N15" s="81"/>
      <c r="O15" s="667"/>
      <c r="P15" s="82"/>
      <c r="Q15" s="82"/>
      <c r="R15" s="83"/>
      <c r="S15" s="83"/>
    </row>
    <row r="16" spans="2:20" x14ac:dyDescent="0.25">
      <c r="B16" s="677"/>
      <c r="C16" s="679"/>
      <c r="D16" s="124" t="s">
        <v>152</v>
      </c>
      <c r="E16" s="125">
        <f>E14+E15</f>
        <v>21282.826999999987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 t="shared" si="3"/>
        <v>300</v>
      </c>
      <c r="J16" s="125">
        <f>J14+J15</f>
        <v>7973.64</v>
      </c>
      <c r="K16" s="125">
        <f t="shared" si="3"/>
        <v>7973.64</v>
      </c>
      <c r="L16" s="125">
        <f t="shared" si="0"/>
        <v>20982.826999999987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Clinker!EI25</f>
        <v>20413.680088243244</v>
      </c>
      <c r="F18" s="74">
        <f>Clinker!EJ25</f>
        <v>1200</v>
      </c>
      <c r="G18" s="74">
        <f>F18+'22'!G18</f>
        <v>29585</v>
      </c>
      <c r="H18" s="74">
        <f>F18+'22'!H18</f>
        <v>29585</v>
      </c>
      <c r="I18" s="74">
        <f>Clinker!EK25</f>
        <v>162.82000001597879</v>
      </c>
      <c r="J18" s="74">
        <f>I18+'22'!J18</f>
        <v>11415.680011399465</v>
      </c>
      <c r="K18" s="74">
        <f>I18+'22'!K18</f>
        <v>11415.680011399465</v>
      </c>
      <c r="L18" s="74">
        <f>E18+F18-I18-I20</f>
        <v>21450.860088227266</v>
      </c>
      <c r="M18" s="853">
        <f>((I18+I19)/(J40+J46))*100</f>
        <v>76.801886799989987</v>
      </c>
      <c r="N18" s="687"/>
      <c r="O18" s="689"/>
      <c r="P18" s="691"/>
      <c r="Q18" s="692"/>
      <c r="R18" s="20"/>
      <c r="S18" s="190"/>
    </row>
    <row r="19" spans="2:19" ht="45" x14ac:dyDescent="0.25">
      <c r="B19" s="677"/>
      <c r="C19" s="685"/>
      <c r="D19" s="85" t="s">
        <v>75</v>
      </c>
      <c r="E19" s="74">
        <f>Clinker!EN25</f>
        <v>3040.8590080001363</v>
      </c>
      <c r="F19" s="74">
        <f>Clinker!EO25</f>
        <v>0</v>
      </c>
      <c r="G19" s="74">
        <f>F19+'22'!G19</f>
        <v>11125.410000000002</v>
      </c>
      <c r="H19" s="74">
        <f>F19+'22'!H19</f>
        <v>11125.410000000002</v>
      </c>
      <c r="I19" s="74">
        <f>Clinker!EP25</f>
        <v>0</v>
      </c>
      <c r="J19" s="74">
        <f>I19+'22'!J19</f>
        <v>16934.099999999999</v>
      </c>
      <c r="K19" s="74">
        <f>I19+'22'!K19</f>
        <v>16934.099999999999</v>
      </c>
      <c r="L19" s="74">
        <f>E19+F19-I19</f>
        <v>3040.8590080001363</v>
      </c>
      <c r="M19" s="854"/>
      <c r="N19" s="687"/>
      <c r="O19" s="689"/>
      <c r="P19" s="691"/>
      <c r="Q19" s="692"/>
      <c r="R19" s="20"/>
      <c r="S19" s="20"/>
    </row>
    <row r="20" spans="2:19" ht="30" x14ac:dyDescent="0.25">
      <c r="B20" s="677"/>
      <c r="C20" s="686"/>
      <c r="D20" s="86" t="s">
        <v>251</v>
      </c>
      <c r="E20" s="77"/>
      <c r="F20" s="77">
        <f>Clinker!EM25</f>
        <v>0</v>
      </c>
      <c r="G20" s="74">
        <f>F20+'22'!G20</f>
        <v>0</v>
      </c>
      <c r="H20" s="74">
        <f>F20+'22'!H20</f>
        <v>0</v>
      </c>
      <c r="I20" s="77">
        <f>Clinker!EM25</f>
        <v>0</v>
      </c>
      <c r="J20" s="74">
        <f>I20+'22'!J20</f>
        <v>0</v>
      </c>
      <c r="K20" s="74">
        <f>I20+'22'!K20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299</v>
      </c>
      <c r="D21" s="777"/>
      <c r="E21" s="77"/>
      <c r="F21" s="77"/>
      <c r="G21" s="74"/>
      <c r="H21" s="74"/>
      <c r="I21" s="77">
        <f>Cement!Q25</f>
        <v>38.579999984021221</v>
      </c>
      <c r="J21" s="74">
        <f>I21+'22'!J21</f>
        <v>6902.9199930490377</v>
      </c>
      <c r="K21" s="74">
        <f>I21+'22'!K21</f>
        <v>6902.9199930490377</v>
      </c>
      <c r="L21" s="74"/>
      <c r="M21" s="78">
        <f>(I21/(J40+J46))*100</f>
        <v>18.19811320001001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Cement!C25</f>
        <v>7479.10006359828</v>
      </c>
      <c r="F22" s="77">
        <f>Cement!D25</f>
        <v>0</v>
      </c>
      <c r="G22" s="74">
        <f>F22+'22'!G22</f>
        <v>1879.42</v>
      </c>
      <c r="H22" s="74">
        <f>F22+'22'!H22</f>
        <v>1879.42</v>
      </c>
      <c r="I22" s="77">
        <f>Cement!E25</f>
        <v>10.600000000000001</v>
      </c>
      <c r="J22" s="74">
        <f>I22+'22'!J22</f>
        <v>1856.2999955514995</v>
      </c>
      <c r="K22" s="74">
        <f>I22+'22'!K22</f>
        <v>1856.2999955514995</v>
      </c>
      <c r="L22" s="74">
        <f t="shared" ref="L22:L24" si="4">E22+F22-I22</f>
        <v>7468.5000635982797</v>
      </c>
      <c r="M22" s="78">
        <f>(I22/(J40+J46))*100</f>
        <v>5.0000000000000009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Cement!G25</f>
        <v>0.23999999999796273</v>
      </c>
      <c r="F23" s="77">
        <f>Cement!H25</f>
        <v>0</v>
      </c>
      <c r="G23" s="74">
        <f>F23+'22'!G23</f>
        <v>0</v>
      </c>
      <c r="H23" s="74">
        <f>F23+'22'!H23</f>
        <v>0</v>
      </c>
      <c r="I23" s="77">
        <f>Cement!I25</f>
        <v>0</v>
      </c>
      <c r="J23" s="74">
        <f>I23+'22'!J23</f>
        <v>0</v>
      </c>
      <c r="K23" s="74">
        <f>I23+'22'!K23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Cement!K25</f>
        <v>0</v>
      </c>
      <c r="F24" s="77">
        <f>Cement!L25</f>
        <v>0</v>
      </c>
      <c r="G24" s="74">
        <f>F24+'22'!G24</f>
        <v>0</v>
      </c>
      <c r="H24" s="74">
        <f>F24+'22'!H24</f>
        <v>0</v>
      </c>
      <c r="I24" s="77">
        <f>Cement!M25</f>
        <v>0</v>
      </c>
      <c r="J24" s="74">
        <f>I24+'22'!J24</f>
        <v>0</v>
      </c>
      <c r="K24" s="74">
        <f>I24+'22'!K24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30933.879159841657</v>
      </c>
      <c r="F25" s="122">
        <f t="shared" ref="F25:L25" si="5">F18+F19+F21+F22+F23+F24</f>
        <v>1200</v>
      </c>
      <c r="G25" s="122">
        <f t="shared" si="5"/>
        <v>42589.83</v>
      </c>
      <c r="H25" s="122">
        <f t="shared" si="5"/>
        <v>42589.83</v>
      </c>
      <c r="I25" s="122">
        <f t="shared" si="5"/>
        <v>212</v>
      </c>
      <c r="J25" s="122">
        <f t="shared" si="5"/>
        <v>37109</v>
      </c>
      <c r="K25" s="122">
        <f t="shared" si="5"/>
        <v>37109</v>
      </c>
      <c r="L25" s="122">
        <f t="shared" si="5"/>
        <v>31960.459159825681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Production2!C25</f>
        <v>3.83</v>
      </c>
      <c r="G30" s="75">
        <f>F30+'22'!G30</f>
        <v>299.73</v>
      </c>
      <c r="H30" s="75">
        <f>F30+'22'!H30</f>
        <v>299.73</v>
      </c>
      <c r="I30" s="74">
        <f>'Mines (2)'!C25+'Mines (2)'!H25+'Mines (2)'!V25+'Mines (2)'!Z25+'Mines (2)'!AD25</f>
        <v>18850.931704118822</v>
      </c>
      <c r="J30" s="74">
        <f>Production2!D25</f>
        <v>2007.16</v>
      </c>
      <c r="K30" s="74">
        <f>J30+'22'!K30</f>
        <v>51124.560000000005</v>
      </c>
      <c r="L30" s="74">
        <f>J30+'22'!L30</f>
        <v>51124.560000000005</v>
      </c>
      <c r="M30" s="74">
        <f>I9+I21</f>
        <v>2051.579999984021</v>
      </c>
      <c r="N30" s="75">
        <f>M30+'22'!N30</f>
        <v>55422.919993049043</v>
      </c>
      <c r="O30" s="74">
        <f>M30+'22'!O30</f>
        <v>55422.919993049043</v>
      </c>
      <c r="P30" s="74">
        <f>I30+J30-M30</f>
        <v>18806.511704134802</v>
      </c>
      <c r="Q30" s="93">
        <f>J30/F30</f>
        <v>524.0626631853786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Production2!G25</f>
        <v>17.100000000000001</v>
      </c>
      <c r="G31" s="75">
        <f>F31+'22'!G31</f>
        <v>353.51</v>
      </c>
      <c r="H31" s="75">
        <f>F31+'22'!H31</f>
        <v>353.51</v>
      </c>
      <c r="I31" s="747">
        <f>Production2!H25</f>
        <v>1071.6100168375192</v>
      </c>
      <c r="J31" s="78">
        <f>Production2!N25</f>
        <v>1915</v>
      </c>
      <c r="K31" s="74">
        <f>J31+'22'!K31</f>
        <v>42358.29</v>
      </c>
      <c r="L31" s="74">
        <f>J31+'22'!L31</f>
        <v>42358.29</v>
      </c>
      <c r="M31" s="747">
        <f>Production2!K25</f>
        <v>1860</v>
      </c>
      <c r="N31" s="747">
        <f>M31+'22'!N31</f>
        <v>45856.75</v>
      </c>
      <c r="O31" s="747">
        <f>M31+'22'!O31</f>
        <v>45856.75</v>
      </c>
      <c r="P31" s="747">
        <f>I31+J31+J32-M31</f>
        <v>1246.7500168375191</v>
      </c>
      <c r="Q31" s="96">
        <f t="shared" ref="Q31:Q46" si="6">J31/F31</f>
        <v>111.98830409356724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Production2!P25</f>
        <v>15</v>
      </c>
      <c r="G32" s="75">
        <f>F32+'22'!G32</f>
        <v>304.68999999999994</v>
      </c>
      <c r="H32" s="75">
        <f>F32+'22'!H32</f>
        <v>304.68999999999994</v>
      </c>
      <c r="I32" s="748"/>
      <c r="J32" s="78">
        <f>Production2!Q25</f>
        <v>120.14</v>
      </c>
      <c r="K32" s="74">
        <f>J32+'22'!K32</f>
        <v>2751.4799999999996</v>
      </c>
      <c r="L32" s="74">
        <f>J32+'22'!L32</f>
        <v>2751.4799999999996</v>
      </c>
      <c r="M32" s="748"/>
      <c r="N32" s="748"/>
      <c r="O32" s="748"/>
      <c r="P32" s="748"/>
      <c r="Q32" s="96">
        <f>J32/F32</f>
        <v>8.0093333333333341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Production2!S25</f>
        <v>13.3</v>
      </c>
      <c r="G33" s="75">
        <f>F33+'22'!G33</f>
        <v>329.05</v>
      </c>
      <c r="H33" s="75">
        <f>F33+'22'!H33</f>
        <v>329.05</v>
      </c>
      <c r="I33" s="77">
        <f>Production2!T25</f>
        <v>51.609999999999985</v>
      </c>
      <c r="J33" s="77">
        <f>Production2!U25</f>
        <v>180.9</v>
      </c>
      <c r="K33" s="74">
        <f>J33+'22'!K33</f>
        <v>4524</v>
      </c>
      <c r="L33" s="74">
        <f>J33+'22'!L33</f>
        <v>4524</v>
      </c>
      <c r="M33" s="77">
        <f>Production2!V25</f>
        <v>183</v>
      </c>
      <c r="N33" s="74">
        <f>M33+'22'!N33</f>
        <v>4490</v>
      </c>
      <c r="O33" s="74">
        <f>M33+'22'!O33</f>
        <v>4490</v>
      </c>
      <c r="P33" s="74">
        <f t="shared" ref="P33" si="7">I33+J33-M33</f>
        <v>49.509999999999991</v>
      </c>
      <c r="Q33" s="96">
        <f t="shared" si="6"/>
        <v>13.601503759398495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Production2!Y25</f>
        <v>24</v>
      </c>
      <c r="G34" s="75">
        <f>F34+'22'!G34</f>
        <v>450.27</v>
      </c>
      <c r="H34" s="75">
        <f>F34+'22'!H34</f>
        <v>450.27</v>
      </c>
      <c r="I34" s="77">
        <f>Clinker!EI25</f>
        <v>20413.680088243244</v>
      </c>
      <c r="J34" s="77">
        <f>Clinker!EJ25</f>
        <v>1200</v>
      </c>
      <c r="K34" s="74">
        <f>J34+'22'!K34</f>
        <v>29585</v>
      </c>
      <c r="L34" s="74">
        <f>J34+'22'!L34</f>
        <v>29585</v>
      </c>
      <c r="M34" s="77">
        <f>Clinker!EK25</f>
        <v>162.82000001597879</v>
      </c>
      <c r="N34" s="74">
        <f>M34+'22'!N34</f>
        <v>11415.680011399465</v>
      </c>
      <c r="O34" s="74">
        <f>M34+'22'!O34</f>
        <v>11415.680011399465</v>
      </c>
      <c r="P34" s="74">
        <f>I34+J34-M34-I20</f>
        <v>21450.860088227266</v>
      </c>
      <c r="Q34" s="96">
        <f t="shared" si="6"/>
        <v>50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Production2!AE25</f>
        <v>0</v>
      </c>
      <c r="G35" s="75">
        <f>F35+'22'!G35</f>
        <v>9</v>
      </c>
      <c r="H35" s="75">
        <f>F35+'22'!H35</f>
        <v>9</v>
      </c>
      <c r="I35" s="77">
        <f>Production2!BJ25</f>
        <v>507.79999999999995</v>
      </c>
      <c r="J35" s="77">
        <f>Production2!AF25</f>
        <v>0</v>
      </c>
      <c r="K35" s="74">
        <f>J35+'22'!K35</f>
        <v>574</v>
      </c>
      <c r="L35" s="74">
        <f>J35+'22'!L35</f>
        <v>574</v>
      </c>
      <c r="M35" s="77">
        <f>Production2!BL25</f>
        <v>0</v>
      </c>
      <c r="N35" s="74">
        <f>M35+'22'!N35</f>
        <v>1548.5</v>
      </c>
      <c r="O35" s="74">
        <f>M35+'22'!O35</f>
        <v>1548.5</v>
      </c>
      <c r="P35" s="74">
        <f>I35+J35+J41-M35-F59</f>
        <v>507.79999999999995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Production2!AB25</f>
        <v>0</v>
      </c>
      <c r="G36" s="75">
        <f>F36+'22'!G36</f>
        <v>197.43</v>
      </c>
      <c r="H36" s="75">
        <f>F36+'22'!H36</f>
        <v>197.43</v>
      </c>
      <c r="I36" s="77">
        <f>Production2!BF25</f>
        <v>2462.0279999999798</v>
      </c>
      <c r="J36" s="77">
        <f>Production2!AC25</f>
        <v>0</v>
      </c>
      <c r="K36" s="74">
        <f>J36+'22'!K36</f>
        <v>11919</v>
      </c>
      <c r="L36" s="74">
        <f>J36+'22'!L36</f>
        <v>11919</v>
      </c>
      <c r="M36" s="77">
        <f>Production2!BH25</f>
        <v>528.5</v>
      </c>
      <c r="N36" s="559">
        <f>M36+'22'!N36</f>
        <v>28184.029999999995</v>
      </c>
      <c r="O36" s="559">
        <f>M36+'22'!O36</f>
        <v>28184.029999999995</v>
      </c>
      <c r="P36" s="74">
        <f>I36+J36+J42-M36-F57</f>
        <v>2145.5279999999798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Production2!AH25</f>
        <v>0</v>
      </c>
      <c r="G37" s="75">
        <f>F37+'22'!G37</f>
        <v>0</v>
      </c>
      <c r="H37" s="75">
        <f>F37+'22'!H37</f>
        <v>0</v>
      </c>
      <c r="I37" s="77">
        <f>Production2!BN25</f>
        <v>2.0900000000008498</v>
      </c>
      <c r="J37" s="77">
        <f>Production2!AI25</f>
        <v>0</v>
      </c>
      <c r="K37" s="74">
        <f>J37+'22'!K37</f>
        <v>0</v>
      </c>
      <c r="L37" s="559">
        <f>J37+'22'!L37</f>
        <v>0</v>
      </c>
      <c r="M37" s="77">
        <f>Production2!BP25</f>
        <v>0</v>
      </c>
      <c r="N37" s="559">
        <f>M37+'22'!N37</f>
        <v>-0.15</v>
      </c>
      <c r="O37" s="559">
        <f>M37+'22'!O37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Production2!AK25</f>
        <v>0</v>
      </c>
      <c r="G38" s="564">
        <f>F38+'22'!G38</f>
        <v>0</v>
      </c>
      <c r="H38" s="564">
        <f>F38+'22'!H38</f>
        <v>0</v>
      </c>
      <c r="I38" s="195">
        <f>Production2!BR25</f>
        <v>158.30000000000001</v>
      </c>
      <c r="J38" s="195">
        <f>Production2!AL25</f>
        <v>0</v>
      </c>
      <c r="K38" s="559">
        <f>J38+'22'!K38</f>
        <v>0</v>
      </c>
      <c r="L38" s="559">
        <f>J38+'22'!L38</f>
        <v>0</v>
      </c>
      <c r="M38" s="195">
        <f>Production2!BT25</f>
        <v>0</v>
      </c>
      <c r="N38" s="559">
        <f>M38+'22'!N38</f>
        <v>1545</v>
      </c>
      <c r="O38" s="559">
        <f>M38+'22'!O38</f>
        <v>1545</v>
      </c>
      <c r="P38" s="74">
        <f>I38+J38+J44-M38-F59</f>
        <v>158.30000000000001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61" t="s">
        <v>306</v>
      </c>
      <c r="E39" s="565">
        <v>78</v>
      </c>
      <c r="F39" s="563">
        <f>Production2!AN25</f>
        <v>0</v>
      </c>
      <c r="G39" s="564">
        <f>F39+'22'!G39</f>
        <v>33.85</v>
      </c>
      <c r="H39" s="564">
        <f>F39+'22'!H39</f>
        <v>33.85</v>
      </c>
      <c r="I39" s="560">
        <f>Production2!BV25</f>
        <v>890.57000000000016</v>
      </c>
      <c r="J39" s="560">
        <f>Production2!AO25</f>
        <v>0</v>
      </c>
      <c r="K39" s="559">
        <f>J39+'22'!K39</f>
        <v>2132</v>
      </c>
      <c r="L39" s="559">
        <f>J39+'22'!L39</f>
        <v>2132</v>
      </c>
      <c r="M39" s="77">
        <f>Production2!BX25</f>
        <v>119.98</v>
      </c>
      <c r="N39" s="559">
        <f>M39+'22'!N39</f>
        <v>4347.12</v>
      </c>
      <c r="O39" s="559">
        <f>M39+'22'!O39</f>
        <v>4347.12</v>
      </c>
      <c r="P39" s="559">
        <f>I39+J39+J45-M39</f>
        <v>770.59000000000015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240.28</v>
      </c>
      <c r="H40" s="132">
        <f t="shared" si="8"/>
        <v>240.28</v>
      </c>
      <c r="I40" s="122">
        <f>I35+I36+I37+I38+I39</f>
        <v>4020.7879999999809</v>
      </c>
      <c r="J40" s="562">
        <f t="shared" ref="J40:P40" si="9">J35+J36+J37+J38+J39</f>
        <v>0</v>
      </c>
      <c r="K40" s="562">
        <f t="shared" si="9"/>
        <v>14625</v>
      </c>
      <c r="L40" s="562">
        <f t="shared" si="9"/>
        <v>14625</v>
      </c>
      <c r="M40" s="562">
        <f t="shared" si="9"/>
        <v>648.48</v>
      </c>
      <c r="N40" s="562">
        <f t="shared" si="9"/>
        <v>35624.499999999993</v>
      </c>
      <c r="O40" s="562">
        <f t="shared" si="9"/>
        <v>35624.499999999993</v>
      </c>
      <c r="P40" s="562">
        <f t="shared" si="9"/>
        <v>3584.3079999999809</v>
      </c>
      <c r="Q40" s="123" t="e">
        <f t="shared" si="6"/>
        <v>#DIV/0!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Production2!AT25</f>
        <v>0</v>
      </c>
      <c r="G41" s="75">
        <f>F41+'22'!G41</f>
        <v>20.9</v>
      </c>
      <c r="H41" s="75">
        <f>F41+'22'!H41</f>
        <v>20.9</v>
      </c>
      <c r="I41" s="764"/>
      <c r="J41" s="77">
        <f>Production2!AU25</f>
        <v>0</v>
      </c>
      <c r="K41" s="74">
        <f>J41+'22'!K41</f>
        <v>1250</v>
      </c>
      <c r="L41" s="74">
        <f>J41+'22'!L41</f>
        <v>1250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Production2!AQ25</f>
        <v>4.03</v>
      </c>
      <c r="G42" s="75">
        <f>F42+'22'!G42</f>
        <v>296.25000000000006</v>
      </c>
      <c r="H42" s="75">
        <f>F42+'22'!H42</f>
        <v>296.25000000000006</v>
      </c>
      <c r="I42" s="765"/>
      <c r="J42" s="77">
        <f>Production2!AR25</f>
        <v>212</v>
      </c>
      <c r="K42" s="74">
        <f>J42+'22'!K42</f>
        <v>17132</v>
      </c>
      <c r="L42" s="74">
        <f>J42+'22'!L42</f>
        <v>17132</v>
      </c>
      <c r="M42" s="769"/>
      <c r="N42" s="829"/>
      <c r="O42" s="829"/>
      <c r="P42" s="771"/>
      <c r="Q42" s="96">
        <f t="shared" si="6"/>
        <v>52.605459057071954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Production2!AW25</f>
        <v>0</v>
      </c>
      <c r="G43" s="564">
        <f>F43+'22'!G43</f>
        <v>0</v>
      </c>
      <c r="H43" s="564">
        <f>F43+'22'!H43</f>
        <v>0</v>
      </c>
      <c r="I43" s="765"/>
      <c r="J43" s="77">
        <f>Production2!AX25</f>
        <v>0</v>
      </c>
      <c r="K43" s="559">
        <f>J43+'22'!K43</f>
        <v>0</v>
      </c>
      <c r="L43" s="559">
        <f>J43+'22'!L43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Production2!AZ25</f>
        <v>0</v>
      </c>
      <c r="G44" s="564">
        <f>F44+'22'!G44</f>
        <v>26.880000000000003</v>
      </c>
      <c r="H44" s="564">
        <f>F44+'22'!H44</f>
        <v>26.880000000000003</v>
      </c>
      <c r="I44" s="748"/>
      <c r="J44" s="195">
        <f>Production2!BA25</f>
        <v>0</v>
      </c>
      <c r="K44" s="559">
        <f>J44+'22'!K44</f>
        <v>1490</v>
      </c>
      <c r="L44" s="559">
        <f>J44+'22'!L44</f>
        <v>1490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61" t="s">
        <v>306</v>
      </c>
      <c r="E45" s="565">
        <v>70</v>
      </c>
      <c r="F45" s="563">
        <f>Production2!BC25</f>
        <v>0</v>
      </c>
      <c r="G45" s="564">
        <f>F45+'22'!G45</f>
        <v>44.370000000000005</v>
      </c>
      <c r="H45" s="564">
        <f>F45+'22'!H45</f>
        <v>44.370000000000005</v>
      </c>
      <c r="I45" s="558"/>
      <c r="J45" s="560">
        <f>Production2!BD25</f>
        <v>0</v>
      </c>
      <c r="K45" s="559">
        <f>J45+'22'!K45</f>
        <v>2612</v>
      </c>
      <c r="L45" s="559">
        <f>J45+'22'!L45</f>
        <v>2612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4.03</v>
      </c>
      <c r="G46" s="132">
        <f>G41+G42+G43+G44+G45</f>
        <v>388.40000000000003</v>
      </c>
      <c r="H46" s="132">
        <f>H41+H42+H43+H44+H45</f>
        <v>388.40000000000003</v>
      </c>
      <c r="I46" s="122">
        <f>I41+I42+I43+I44</f>
        <v>0</v>
      </c>
      <c r="J46" s="122">
        <f>J41+J42+J43+J44+J45</f>
        <v>212</v>
      </c>
      <c r="K46" s="562">
        <f>K41+K42+K43+K44+K45</f>
        <v>22484</v>
      </c>
      <c r="L46" s="562">
        <f>L41+L42+L43+L44+L45</f>
        <v>22484</v>
      </c>
      <c r="M46" s="836"/>
      <c r="N46" s="837"/>
      <c r="O46" s="837"/>
      <c r="P46" s="838"/>
      <c r="Q46" s="123">
        <f t="shared" si="6"/>
        <v>52.605459057071954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0.8634089957950537</v>
      </c>
      <c r="F50" s="99">
        <f>F53/J31</f>
        <v>23.742558746736293</v>
      </c>
      <c r="G50" s="99">
        <f>G53/J32</f>
        <v>0</v>
      </c>
      <c r="H50" s="99">
        <f>H53/J34</f>
        <v>37.134999999999998</v>
      </c>
      <c r="I50" s="99">
        <f>I53/J33</f>
        <v>59.508015478164729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15.25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1.4483685904462025</v>
      </c>
      <c r="F51" s="102">
        <f>F50*1.55</f>
        <v>36.800966057441258</v>
      </c>
      <c r="G51" s="102">
        <f>G50*1.55</f>
        <v>0</v>
      </c>
      <c r="H51" s="102">
        <f>H50</f>
        <v>37.134999999999998</v>
      </c>
      <c r="I51" s="102">
        <f>I50*(Q50/100)</f>
        <v>9.0749723604201211</v>
      </c>
      <c r="J51" s="102"/>
      <c r="K51" s="102"/>
      <c r="L51" s="102"/>
      <c r="M51" s="96"/>
      <c r="N51" s="103"/>
      <c r="O51" s="668" t="s">
        <v>279</v>
      </c>
      <c r="P51" s="668"/>
      <c r="Q51" s="104">
        <v>5463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1.1123744052811029</v>
      </c>
      <c r="F52" s="102">
        <f>F51*M18/100</f>
        <v>28.263836292738773</v>
      </c>
      <c r="G52" s="102">
        <f>G51*M18/100</f>
        <v>0</v>
      </c>
      <c r="H52" s="102">
        <f>H51*M18/100</f>
        <v>28.52038066317628</v>
      </c>
      <c r="I52" s="102">
        <f>I51*M18/100</f>
        <v>6.969749999380241</v>
      </c>
      <c r="J52" s="99">
        <f>J53/(J40+J46)</f>
        <v>40.084905660377359</v>
      </c>
      <c r="K52" s="99">
        <f>K53/(J46+J40)</f>
        <v>4.9811320754716979</v>
      </c>
      <c r="L52" s="99">
        <f>L53/(M40)</f>
        <v>6.718788551690106</v>
      </c>
      <c r="M52" s="96">
        <f>M53/(J46+J40)</f>
        <v>26.297169811320753</v>
      </c>
      <c r="N52" s="310">
        <f>SUM(E52:M52)</f>
        <v>142.94833745943632</v>
      </c>
      <c r="O52" s="668" t="s">
        <v>281</v>
      </c>
      <c r="P52" s="668"/>
      <c r="Q52" s="104">
        <f>Q51*Q50/100</f>
        <v>833.10749999999996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unit'!B25</f>
        <v>1733</v>
      </c>
      <c r="F53" s="118">
        <f>'Daily unit'!C25</f>
        <v>45467</v>
      </c>
      <c r="G53" s="118">
        <f>'Daily unit'!D25</f>
        <v>0</v>
      </c>
      <c r="H53" s="118">
        <f>'Daily unit'!E25</f>
        <v>44562</v>
      </c>
      <c r="I53" s="118">
        <f>'Daily unit'!F25</f>
        <v>10765</v>
      </c>
      <c r="J53" s="118">
        <f>'Daily unit'!G25</f>
        <v>8498</v>
      </c>
      <c r="K53" s="118">
        <f>'Daily unit'!H25</f>
        <v>1056</v>
      </c>
      <c r="L53" s="118">
        <f>'Daily unit'!I25</f>
        <v>4357</v>
      </c>
      <c r="M53" s="119">
        <f>'Daily unit'!J25</f>
        <v>5575</v>
      </c>
      <c r="N53" s="321">
        <f>SUM(E53:M53)</f>
        <v>122013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14" t="s">
        <v>231</v>
      </c>
      <c r="C56" s="820" t="s">
        <v>285</v>
      </c>
      <c r="D56" s="820"/>
      <c r="E56" s="739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5">
        <v>1</v>
      </c>
      <c r="C57" s="824" t="s">
        <v>287</v>
      </c>
      <c r="D57" s="833"/>
      <c r="E57" s="211">
        <v>42.5</v>
      </c>
      <c r="F57" s="53">
        <f>'Internal use cement'!F25</f>
        <v>0</v>
      </c>
      <c r="G57" s="53">
        <f>F57+'22'!G57</f>
        <v>0</v>
      </c>
      <c r="H57" s="104">
        <f>F57+'22'!H57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26"/>
      <c r="C58" s="758"/>
      <c r="D58" s="758"/>
      <c r="E58" s="80" t="s">
        <v>197</v>
      </c>
      <c r="F58" s="53">
        <f>'Internal use cement'!Q25</f>
        <v>0</v>
      </c>
      <c r="G58" s="53">
        <f>F58+'22'!G58</f>
        <v>0</v>
      </c>
      <c r="H58" s="104">
        <f>F58+'22'!H58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26"/>
      <c r="C59" s="758"/>
      <c r="D59" s="758"/>
      <c r="E59" s="80">
        <v>32.5</v>
      </c>
      <c r="F59" s="53">
        <f>'Internal use cement'!Y25</f>
        <v>0</v>
      </c>
      <c r="G59" s="53">
        <f>F59+'22'!G59</f>
        <v>0</v>
      </c>
      <c r="H59" s="104">
        <f>F59+'22'!H59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27"/>
      <c r="C60" s="759"/>
      <c r="D60" s="835"/>
      <c r="E60" s="228" t="s">
        <v>177</v>
      </c>
      <c r="F60" s="229">
        <f>'Internal use cement'!AJ25</f>
        <v>0</v>
      </c>
      <c r="G60" s="53">
        <f>F60+'22'!G60</f>
        <v>0</v>
      </c>
      <c r="H60" s="104">
        <f>F60+'22'!H60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6">
    <mergeCell ref="B55:H55"/>
    <mergeCell ref="C56:E56"/>
    <mergeCell ref="C57:D60"/>
    <mergeCell ref="B57:B60"/>
    <mergeCell ref="I55:Q60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30:D30"/>
    <mergeCell ref="C31:D31"/>
    <mergeCell ref="C33:D33"/>
    <mergeCell ref="C34:D34"/>
    <mergeCell ref="B35:B40"/>
    <mergeCell ref="C35:C40"/>
    <mergeCell ref="C32:D32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M18:M1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B41:B46"/>
    <mergeCell ref="C41:C46"/>
    <mergeCell ref="I41:I44"/>
    <mergeCell ref="M46:P46"/>
    <mergeCell ref="M41:P45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I31:I32"/>
    <mergeCell ref="M31:M32"/>
    <mergeCell ref="N31:N32"/>
    <mergeCell ref="O31:O32"/>
    <mergeCell ref="P31:P32"/>
  </mergeCells>
  <pageMargins left="0" right="0" top="0.5" bottom="0.5" header="0.3" footer="0.3"/>
  <pageSetup paperSize="9" scale="5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B2:U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0" width="9.42578125" style="68" bestFit="1" customWidth="1"/>
    <col min="11" max="11" width="10.42578125" style="68" bestFit="1" customWidth="1"/>
    <col min="12" max="12" width="11.5703125" style="68" bestFit="1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343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9" t="s">
        <v>231</v>
      </c>
      <c r="C6" s="661" t="s">
        <v>232</v>
      </c>
      <c r="D6" s="661" t="s">
        <v>233</v>
      </c>
      <c r="E6" s="661" t="s">
        <v>234</v>
      </c>
      <c r="F6" s="874" t="s">
        <v>235</v>
      </c>
      <c r="G6" s="875"/>
      <c r="H6" s="803"/>
      <c r="I6" s="874" t="s">
        <v>236</v>
      </c>
      <c r="J6" s="875"/>
      <c r="K6" s="803"/>
      <c r="L6" s="661" t="s">
        <v>237</v>
      </c>
      <c r="M6" s="661" t="s">
        <v>238</v>
      </c>
      <c r="N6" s="661" t="s">
        <v>239</v>
      </c>
      <c r="O6" s="662"/>
      <c r="P6" s="661" t="s">
        <v>240</v>
      </c>
      <c r="Q6" s="676" t="s">
        <v>300</v>
      </c>
    </row>
    <row r="7" spans="2:21" ht="16.5" customHeight="1" thickBot="1" x14ac:dyDescent="0.3">
      <c r="B7" s="889"/>
      <c r="C7" s="726"/>
      <c r="D7" s="726"/>
      <c r="E7" s="726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726"/>
      <c r="M7" s="726"/>
      <c r="N7" s="726"/>
      <c r="O7" s="868"/>
      <c r="P7" s="726"/>
      <c r="Q7" s="731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'23'!L9</f>
        <v>18806.511704134798</v>
      </c>
      <c r="F9" s="74">
        <f>Production2!D26</f>
        <v>3234.38</v>
      </c>
      <c r="G9" s="74">
        <f>F9+'23'!G9</f>
        <v>54358.94</v>
      </c>
      <c r="H9" s="74">
        <f>F9+'23'!H9</f>
        <v>54358.94</v>
      </c>
      <c r="I9" s="74">
        <f>Production2!E26</f>
        <v>2375</v>
      </c>
      <c r="J9" s="74">
        <f>I9+'23'!J9</f>
        <v>50895</v>
      </c>
      <c r="K9" s="74">
        <f>I9+'23'!K9</f>
        <v>50895</v>
      </c>
      <c r="L9" s="74">
        <f>E9+F9-I9-I21</f>
        <v>19507.491704134798</v>
      </c>
      <c r="M9" s="75">
        <f>I9</f>
        <v>2375</v>
      </c>
      <c r="N9" s="75">
        <f>(I9/I13)*100</f>
        <v>95.843422114608558</v>
      </c>
      <c r="O9" s="866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80" t="s">
        <v>30</v>
      </c>
      <c r="D10" s="681"/>
      <c r="E10" s="77">
        <f>'Mines (2)'!L26</f>
        <v>709.37999999999988</v>
      </c>
      <c r="F10" s="77">
        <f>'Mines (2)'!M26</f>
        <v>253.46</v>
      </c>
      <c r="G10" s="74">
        <f>F10+'23'!G10</f>
        <v>1043.8000000000002</v>
      </c>
      <c r="H10" s="74">
        <f>F10+'23'!H10</f>
        <v>1043.8000000000002</v>
      </c>
      <c r="I10" s="77">
        <f>'Mines (2)'!N26</f>
        <v>16</v>
      </c>
      <c r="J10" s="74">
        <f>I10+'23'!J10</f>
        <v>221</v>
      </c>
      <c r="K10" s="74">
        <f>I10+'23'!K10</f>
        <v>221</v>
      </c>
      <c r="L10" s="77">
        <f t="shared" ref="L10:L16" si="0">E10+F10-I10</f>
        <v>946.83999999999992</v>
      </c>
      <c r="M10" s="75">
        <f t="shared" ref="M10:M12" si="1">I10</f>
        <v>16</v>
      </c>
      <c r="N10" s="75">
        <f>(I10/I13)*100</f>
        <v>0.64568200161420497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80" t="s">
        <v>32</v>
      </c>
      <c r="D11" s="681"/>
      <c r="E11" s="77">
        <f>Clinker!C26</f>
        <v>4312.6399999999994</v>
      </c>
      <c r="F11" s="77">
        <f>Clinker!D26</f>
        <v>32.840000000000003</v>
      </c>
      <c r="G11" s="74">
        <f>F11+'23'!G11</f>
        <v>32.840000000000003</v>
      </c>
      <c r="H11" s="74">
        <f>F11+'23'!H11</f>
        <v>32.840000000000003</v>
      </c>
      <c r="I11" s="77">
        <f>Clinker!E26</f>
        <v>52</v>
      </c>
      <c r="J11" s="74">
        <f>I11+'23'!J11</f>
        <v>1105</v>
      </c>
      <c r="K11" s="74">
        <f>I11+'23'!K11</f>
        <v>1105</v>
      </c>
      <c r="L11" s="77">
        <f t="shared" si="0"/>
        <v>4293.4799999999996</v>
      </c>
      <c r="M11" s="75">
        <f t="shared" si="1"/>
        <v>52</v>
      </c>
      <c r="N11" s="75">
        <f>(I11/I13)*100</f>
        <v>2.0984665052461664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80" t="s">
        <v>245</v>
      </c>
      <c r="D12" s="681"/>
      <c r="E12" s="77">
        <f>'Mines (2)'!Q26</f>
        <v>425.03999999999996</v>
      </c>
      <c r="F12" s="77">
        <f>'Mines (2)'!R26</f>
        <v>0</v>
      </c>
      <c r="G12" s="74">
        <f>F12+'23'!G12</f>
        <v>137.76</v>
      </c>
      <c r="H12" s="74">
        <f>F12+'23'!H12</f>
        <v>137.76</v>
      </c>
      <c r="I12" s="77">
        <f>'Mines (2)'!S26</f>
        <v>35</v>
      </c>
      <c r="J12" s="74">
        <f>I12+'23'!J12</f>
        <v>348</v>
      </c>
      <c r="K12" s="74">
        <f>I12+'23'!K12</f>
        <v>348</v>
      </c>
      <c r="L12" s="77">
        <f t="shared" si="0"/>
        <v>390.03999999999996</v>
      </c>
      <c r="M12" s="75">
        <f t="shared" si="1"/>
        <v>35</v>
      </c>
      <c r="N12" s="75">
        <f>(I12/I13)*100</f>
        <v>1.4124293785310735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864" t="s">
        <v>246</v>
      </c>
      <c r="D13" s="865"/>
      <c r="E13" s="127">
        <f t="shared" ref="E13:K13" si="2">SUM(E9:E12)</f>
        <v>24253.5717041348</v>
      </c>
      <c r="F13" s="127">
        <f t="shared" si="2"/>
        <v>3520.6800000000003</v>
      </c>
      <c r="G13" s="127">
        <f t="shared" si="2"/>
        <v>55573.340000000004</v>
      </c>
      <c r="H13" s="127">
        <f t="shared" si="2"/>
        <v>55573.340000000004</v>
      </c>
      <c r="I13" s="128">
        <f t="shared" si="2"/>
        <v>2478</v>
      </c>
      <c r="J13" s="127">
        <f t="shared" si="2"/>
        <v>52569</v>
      </c>
      <c r="K13" s="127">
        <f t="shared" si="2"/>
        <v>52569</v>
      </c>
      <c r="L13" s="127">
        <f t="shared" si="0"/>
        <v>25296.2517041348</v>
      </c>
      <c r="M13" s="128">
        <f>SUM(M9:M12)</f>
        <v>2478</v>
      </c>
      <c r="N13" s="128">
        <v>99.999999999999986</v>
      </c>
      <c r="O13" s="667"/>
      <c r="P13" s="665"/>
      <c r="Q13" s="666"/>
    </row>
    <row r="14" spans="2:21" x14ac:dyDescent="0.25">
      <c r="B14" s="753">
        <v>6</v>
      </c>
      <c r="C14" s="679" t="s">
        <v>247</v>
      </c>
      <c r="D14" s="80" t="s">
        <v>69</v>
      </c>
      <c r="E14" s="77">
        <f>Clinker!EA26</f>
        <v>10552.126999999989</v>
      </c>
      <c r="F14" s="77">
        <f>Clinker!EB26</f>
        <v>0</v>
      </c>
      <c r="G14" s="77">
        <f>F14+'23'!G14</f>
        <v>181.5</v>
      </c>
      <c r="H14" s="77">
        <f>F14+'23'!H14</f>
        <v>181.5</v>
      </c>
      <c r="I14" s="77">
        <f>Clinker!EC26</f>
        <v>222.22</v>
      </c>
      <c r="J14" s="77">
        <f>I14+'23'!J14</f>
        <v>5248.8600000000006</v>
      </c>
      <c r="K14" s="77">
        <f>I14+'23'!K14</f>
        <v>5248.8600000000006</v>
      </c>
      <c r="L14" s="77">
        <f>E14+F14-I14-Clinker!N26-Clinker!Z26-Clinker!AR26-Clinker!AW26-Clinker!BB26-Clinker!BV26-Clinker!BG26-Clinker!BL26-Clinker!BQ26-Clinker!CU26-Clinker!DE26-Clinker!DO26</f>
        <v>10276.90699999999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754"/>
      <c r="C15" s="685"/>
      <c r="D15" s="80" t="s">
        <v>68</v>
      </c>
      <c r="E15" s="77">
        <f>Clinker!EE26</f>
        <v>10430.699999999997</v>
      </c>
      <c r="F15" s="77">
        <f>Clinker!EF26</f>
        <v>0</v>
      </c>
      <c r="G15" s="77">
        <f>F15+'23'!G15</f>
        <v>155.05000000000001</v>
      </c>
      <c r="H15" s="77">
        <f>F15+'23'!H15</f>
        <v>155.05000000000001</v>
      </c>
      <c r="I15" s="77">
        <f>Clinker!EG26</f>
        <v>106</v>
      </c>
      <c r="J15" s="77">
        <f>I15+'23'!J15</f>
        <v>3053</v>
      </c>
      <c r="K15" s="77">
        <f>I15+'23'!K15</f>
        <v>3053</v>
      </c>
      <c r="L15" s="77">
        <f>E15+F15-Clinker!T26-Clinker!AE26-Clinker!AI26-Clinker!CK26-Clinker!CP26-Clinker!CF26</f>
        <v>10377.699999999997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855"/>
      <c r="C16" s="686"/>
      <c r="D16" s="124" t="s">
        <v>152</v>
      </c>
      <c r="E16" s="125">
        <f>E14+E15</f>
        <v>20982.826999999987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 t="shared" si="3"/>
        <v>328.22</v>
      </c>
      <c r="J16" s="125">
        <f>J14+J15</f>
        <v>8301.86</v>
      </c>
      <c r="K16" s="125">
        <f t="shared" si="3"/>
        <v>8301.86</v>
      </c>
      <c r="L16" s="125">
        <f t="shared" si="0"/>
        <v>20654.606999999985</v>
      </c>
      <c r="M16" s="126"/>
      <c r="N16" s="126"/>
      <c r="O16" s="8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753">
        <v>7</v>
      </c>
      <c r="C18" s="679" t="s">
        <v>249</v>
      </c>
      <c r="D18" s="85" t="s">
        <v>250</v>
      </c>
      <c r="E18" s="74">
        <f>Clinker!EI26</f>
        <v>21450.860088227266</v>
      </c>
      <c r="F18" s="74">
        <f>Clinker!EJ26</f>
        <v>1310</v>
      </c>
      <c r="G18" s="74">
        <f>F18+'23'!G18</f>
        <v>30895</v>
      </c>
      <c r="H18" s="74">
        <f>F18+'23'!H18</f>
        <v>30895</v>
      </c>
      <c r="I18" s="74">
        <f>Clinker!EK26</f>
        <v>677.6</v>
      </c>
      <c r="J18" s="74">
        <f>I18+'23'!J18</f>
        <v>12093.280011399465</v>
      </c>
      <c r="K18" s="74">
        <f>I18+'23'!K18</f>
        <v>12093.280011399465</v>
      </c>
      <c r="L18" s="74">
        <f>E18+F18-I18-I20</f>
        <v>22083.260088227267</v>
      </c>
      <c r="M18" s="704">
        <f>((I18+I19)/(J40+J46))*100</f>
        <v>77</v>
      </c>
      <c r="N18" s="876"/>
      <c r="O18" s="878"/>
      <c r="P18" s="698"/>
      <c r="Q18" s="699"/>
      <c r="R18" s="190"/>
      <c r="S18" s="190"/>
    </row>
    <row r="19" spans="2:19" ht="45" x14ac:dyDescent="0.25">
      <c r="B19" s="754"/>
      <c r="C19" s="685"/>
      <c r="D19" s="85" t="s">
        <v>75</v>
      </c>
      <c r="E19" s="74">
        <f>Clinker!EN26</f>
        <v>3040.8590080001363</v>
      </c>
      <c r="F19" s="74">
        <f>Clinker!EO26</f>
        <v>455.41</v>
      </c>
      <c r="G19" s="74">
        <f>F19+'23'!G19</f>
        <v>11580.820000000002</v>
      </c>
      <c r="H19" s="74">
        <f>F19+'23'!H19</f>
        <v>11580.820000000002</v>
      </c>
      <c r="I19" s="74">
        <f>Clinker!EP26</f>
        <v>0</v>
      </c>
      <c r="J19" s="74">
        <f>I19+'23'!J19</f>
        <v>16934.099999999999</v>
      </c>
      <c r="K19" s="74">
        <f>I19+'23'!K19</f>
        <v>16934.099999999999</v>
      </c>
      <c r="L19" s="74">
        <f>E19+F19-I19</f>
        <v>3496.2690080001362</v>
      </c>
      <c r="M19" s="705"/>
      <c r="N19" s="877"/>
      <c r="O19" s="689"/>
      <c r="P19" s="691"/>
      <c r="Q19" s="692"/>
      <c r="R19" s="20"/>
      <c r="S19" s="20"/>
    </row>
    <row r="20" spans="2:19" ht="30" x14ac:dyDescent="0.25">
      <c r="B20" s="855"/>
      <c r="C20" s="686"/>
      <c r="D20" s="86" t="s">
        <v>251</v>
      </c>
      <c r="E20" s="77"/>
      <c r="F20" s="77">
        <f>Clinker!EM26</f>
        <v>0</v>
      </c>
      <c r="G20" s="74">
        <f>F20+'23'!G20</f>
        <v>0</v>
      </c>
      <c r="H20" s="74">
        <f>F20+'23'!H20</f>
        <v>0</v>
      </c>
      <c r="I20" s="77">
        <f>Clinker!EM26</f>
        <v>0</v>
      </c>
      <c r="J20" s="74">
        <f>I20+'23'!J20</f>
        <v>0</v>
      </c>
      <c r="K20" s="74">
        <f>I20+'23'!K20</f>
        <v>0</v>
      </c>
      <c r="L20" s="74"/>
      <c r="M20" s="78"/>
      <c r="N20" s="687"/>
      <c r="O20" s="689"/>
      <c r="P20" s="693"/>
      <c r="Q20" s="694"/>
      <c r="R20" s="20"/>
      <c r="S20" s="20"/>
    </row>
    <row r="21" spans="2:19" x14ac:dyDescent="0.25">
      <c r="B21" s="230"/>
      <c r="C21" s="776" t="s">
        <v>244</v>
      </c>
      <c r="D21" s="777"/>
      <c r="E21" s="77"/>
      <c r="F21" s="77"/>
      <c r="G21" s="74"/>
      <c r="H21" s="74"/>
      <c r="I21" s="77">
        <f>Cement!Q26</f>
        <v>158.4</v>
      </c>
      <c r="J21" s="74">
        <f>I21+'23'!J21</f>
        <v>7061.3199930490373</v>
      </c>
      <c r="K21" s="74">
        <f>I21+'23'!K21</f>
        <v>7061.3199930490373</v>
      </c>
      <c r="L21" s="74"/>
      <c r="M21" s="78">
        <f>(I21/(J40+J46))*100</f>
        <v>18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776" t="s">
        <v>252</v>
      </c>
      <c r="D22" s="777"/>
      <c r="E22" s="77">
        <f>Cement!C26</f>
        <v>7468.5000635982797</v>
      </c>
      <c r="F22" s="77">
        <f>Cement!D26</f>
        <v>30.84</v>
      </c>
      <c r="G22" s="74">
        <f>F22+'23'!G22</f>
        <v>1910.26</v>
      </c>
      <c r="H22" s="74">
        <f>F22+'23'!H22</f>
        <v>1910.26</v>
      </c>
      <c r="I22" s="77">
        <f>Cement!E26</f>
        <v>44</v>
      </c>
      <c r="J22" s="74">
        <f>I22+'23'!J22</f>
        <v>1900.2999955514995</v>
      </c>
      <c r="K22" s="74">
        <f>I22+'23'!K22</f>
        <v>1900.2999955514995</v>
      </c>
      <c r="L22" s="74">
        <f t="shared" ref="L22:L24" si="4">E22+F22-I22</f>
        <v>7455.3400635982798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753">
        <v>10</v>
      </c>
      <c r="C23" s="679" t="s">
        <v>253</v>
      </c>
      <c r="D23" s="76" t="s">
        <v>254</v>
      </c>
      <c r="E23" s="77">
        <f>Cement!G26</f>
        <v>0.23999999999796273</v>
      </c>
      <c r="F23" s="77">
        <f>Cement!H26</f>
        <v>0</v>
      </c>
      <c r="G23" s="74">
        <f>F23+'23'!G23</f>
        <v>0</v>
      </c>
      <c r="H23" s="74">
        <f>F23+'23'!H23</f>
        <v>0</v>
      </c>
      <c r="I23" s="77">
        <f>Cement!I26</f>
        <v>0</v>
      </c>
      <c r="J23" s="74">
        <f>I23+'23'!J23</f>
        <v>0</v>
      </c>
      <c r="K23" s="74">
        <f>I23+'23'!K23</f>
        <v>0</v>
      </c>
      <c r="L23" s="74">
        <f t="shared" si="4"/>
        <v>0.23999999999796273</v>
      </c>
      <c r="M23" s="856"/>
      <c r="N23" s="857"/>
      <c r="O23" s="689"/>
      <c r="P23" s="698"/>
      <c r="Q23" s="699"/>
      <c r="R23" s="83"/>
      <c r="S23" s="83"/>
    </row>
    <row r="24" spans="2:19" x14ac:dyDescent="0.25">
      <c r="B24" s="855"/>
      <c r="C24" s="686"/>
      <c r="D24" s="76" t="s">
        <v>255</v>
      </c>
      <c r="E24" s="77">
        <f>Cement!K26</f>
        <v>0</v>
      </c>
      <c r="F24" s="77">
        <f>Cement!L26</f>
        <v>0</v>
      </c>
      <c r="G24" s="74">
        <f>F24+'23'!G24</f>
        <v>0</v>
      </c>
      <c r="H24" s="74">
        <f>F24+'23'!H24</f>
        <v>0</v>
      </c>
      <c r="I24" s="77">
        <f>Cement!M26</f>
        <v>0</v>
      </c>
      <c r="J24" s="74">
        <f>I24+'23'!J24</f>
        <v>0</v>
      </c>
      <c r="K24" s="74">
        <f>I24+'23'!K24</f>
        <v>0</v>
      </c>
      <c r="L24" s="74">
        <f t="shared" si="4"/>
        <v>0</v>
      </c>
      <c r="M24" s="858"/>
      <c r="N24" s="859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860" t="s">
        <v>256</v>
      </c>
      <c r="D25" s="861"/>
      <c r="E25" s="122">
        <f>E18+E19+E21+E22+E23+E24</f>
        <v>31960.459159825681</v>
      </c>
      <c r="F25" s="122">
        <f t="shared" ref="F25:L25" si="5">F18+F19+F21+F22+F23+F24</f>
        <v>1796.25</v>
      </c>
      <c r="G25" s="122">
        <f t="shared" si="5"/>
        <v>44386.080000000002</v>
      </c>
      <c r="H25" s="122">
        <f t="shared" si="5"/>
        <v>44386.080000000002</v>
      </c>
      <c r="I25" s="122">
        <f t="shared" si="5"/>
        <v>880</v>
      </c>
      <c r="J25" s="122">
        <f t="shared" si="5"/>
        <v>37989</v>
      </c>
      <c r="K25" s="122">
        <f t="shared" si="5"/>
        <v>37989</v>
      </c>
      <c r="L25" s="122">
        <f t="shared" si="5"/>
        <v>33035.109159825683</v>
      </c>
      <c r="M25" s="862"/>
      <c r="N25" s="863"/>
      <c r="O25" s="690"/>
      <c r="P25" s="700"/>
      <c r="Q25" s="701"/>
      <c r="R25" s="83"/>
      <c r="S25" s="83"/>
    </row>
    <row r="26" spans="2:19" ht="14.45" customHeight="1" thickBot="1" x14ac:dyDescent="0.3">
      <c r="B26" s="830"/>
      <c r="C26" s="831"/>
      <c r="D26" s="831"/>
      <c r="E26" s="831"/>
      <c r="F26" s="831"/>
      <c r="G26" s="831"/>
      <c r="H26" s="831"/>
      <c r="I26" s="831"/>
      <c r="J26" s="831"/>
      <c r="K26" s="831"/>
      <c r="L26" s="831"/>
      <c r="M26" s="831"/>
      <c r="N26" s="831"/>
      <c r="O26" s="831"/>
      <c r="P26" s="831"/>
      <c r="Q26" s="832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659" t="s">
        <v>231</v>
      </c>
      <c r="C28" s="869" t="s">
        <v>258</v>
      </c>
      <c r="D28" s="870"/>
      <c r="E28" s="134" t="s">
        <v>259</v>
      </c>
      <c r="F28" s="871" t="s">
        <v>260</v>
      </c>
      <c r="G28" s="872"/>
      <c r="H28" s="873"/>
      <c r="I28" s="661" t="s">
        <v>261</v>
      </c>
      <c r="J28" s="874" t="s">
        <v>35</v>
      </c>
      <c r="K28" s="875"/>
      <c r="L28" s="803"/>
      <c r="M28" s="874" t="s">
        <v>34</v>
      </c>
      <c r="N28" s="875"/>
      <c r="O28" s="803"/>
      <c r="P28" s="661" t="s">
        <v>237</v>
      </c>
      <c r="Q28" s="676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879" t="s">
        <v>263</v>
      </c>
      <c r="D30" s="880"/>
      <c r="E30" s="92">
        <v>250</v>
      </c>
      <c r="F30" s="75">
        <f>Production2!C26</f>
        <v>20.3</v>
      </c>
      <c r="G30" s="75">
        <f>F30+'23'!G30</f>
        <v>320.03000000000003</v>
      </c>
      <c r="H30" s="75">
        <f>F30+'23'!H30</f>
        <v>320.03000000000003</v>
      </c>
      <c r="I30" s="74">
        <f>'Mines (2)'!C26+'Mines (2)'!H26+'Mines (2)'!V26+'Mines (2)'!Z26+'Mines (2)'!AD26</f>
        <v>18806.511704134798</v>
      </c>
      <c r="J30" s="74">
        <f>Production2!D26</f>
        <v>3234.38</v>
      </c>
      <c r="K30" s="74">
        <f>J30+'23'!K30</f>
        <v>54358.94</v>
      </c>
      <c r="L30" s="74">
        <f>J30+'23'!L30</f>
        <v>54358.94</v>
      </c>
      <c r="M30" s="74">
        <f>I9+I21</f>
        <v>2533.4</v>
      </c>
      <c r="N30" s="74">
        <f>M30+'23'!N30</f>
        <v>57956.319993049045</v>
      </c>
      <c r="O30" s="74">
        <f>M30+'23'!O30</f>
        <v>57956.319993049045</v>
      </c>
      <c r="P30" s="74">
        <f>I30+J30-M30</f>
        <v>19507.491704134798</v>
      </c>
      <c r="Q30" s="93">
        <f t="shared" ref="Q30:Q36" si="6">J30/F30</f>
        <v>159.32906403940888</v>
      </c>
      <c r="R30" s="94"/>
      <c r="S30" s="94"/>
    </row>
    <row r="31" spans="2:19" x14ac:dyDescent="0.25">
      <c r="B31" s="79">
        <v>2</v>
      </c>
      <c r="C31" s="680" t="s">
        <v>144</v>
      </c>
      <c r="D31" s="681"/>
      <c r="E31" s="95">
        <v>120</v>
      </c>
      <c r="F31" s="78">
        <f>Production2!G26</f>
        <v>18.3</v>
      </c>
      <c r="G31" s="75">
        <f>F31+'23'!G31</f>
        <v>371.81</v>
      </c>
      <c r="H31" s="75">
        <f>F31+'23'!H31</f>
        <v>371.81</v>
      </c>
      <c r="I31" s="747">
        <f>Production2!H26</f>
        <v>1246.7500168375191</v>
      </c>
      <c r="J31" s="78">
        <f>Production2!N26</f>
        <v>2177</v>
      </c>
      <c r="K31" s="74">
        <f>J31+'23'!K31</f>
        <v>44535.29</v>
      </c>
      <c r="L31" s="74">
        <f>J31+'23'!L31</f>
        <v>44535.29</v>
      </c>
      <c r="M31" s="747">
        <f>Production2!K26</f>
        <v>2030.5</v>
      </c>
      <c r="N31" s="747">
        <f>M31+'23'!N31</f>
        <v>47887.25</v>
      </c>
      <c r="O31" s="747">
        <f>M31+'23'!O31</f>
        <v>47887.25</v>
      </c>
      <c r="P31" s="747">
        <f>I31+J31+J32-M31</f>
        <v>1448.0100168375193</v>
      </c>
      <c r="Q31" s="96">
        <f t="shared" si="6"/>
        <v>118.96174863387978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Production2!P26</f>
        <v>6.1</v>
      </c>
      <c r="G32" s="75">
        <f>F32+'23'!G32</f>
        <v>310.78999999999996</v>
      </c>
      <c r="H32" s="75">
        <f>F32+'23'!H32</f>
        <v>310.78999999999996</v>
      </c>
      <c r="I32" s="748"/>
      <c r="J32" s="78">
        <f>Production2!Q26</f>
        <v>54.76</v>
      </c>
      <c r="K32" s="74">
        <f>J32+'23'!K32</f>
        <v>2806.24</v>
      </c>
      <c r="L32" s="74">
        <f>J32+'23'!L32</f>
        <v>2806.24</v>
      </c>
      <c r="M32" s="748"/>
      <c r="N32" s="748"/>
      <c r="O32" s="748"/>
      <c r="P32" s="748"/>
      <c r="Q32" s="96">
        <f>J32/F32</f>
        <v>8.9770491803278691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Production2!S26</f>
        <v>14.5</v>
      </c>
      <c r="G33" s="75">
        <f>F33+'23'!G33</f>
        <v>343.55</v>
      </c>
      <c r="H33" s="75">
        <f>F33+'23'!H33</f>
        <v>343.55</v>
      </c>
      <c r="I33" s="77">
        <f>Production2!T26</f>
        <v>49.509999999999991</v>
      </c>
      <c r="J33" s="77">
        <f>Production2!U26</f>
        <v>200</v>
      </c>
      <c r="K33" s="74">
        <f>J33+'23'!K33</f>
        <v>4724</v>
      </c>
      <c r="L33" s="74">
        <f>J33+'23'!L33</f>
        <v>4724</v>
      </c>
      <c r="M33" s="77">
        <f>Production2!V26</f>
        <v>198</v>
      </c>
      <c r="N33" s="74">
        <f>M33+'23'!N33</f>
        <v>4688</v>
      </c>
      <c r="O33" s="74">
        <f>M33+'23'!O33</f>
        <v>4688</v>
      </c>
      <c r="P33" s="74">
        <f t="shared" ref="P33:P34" si="7">I33+J33-M33</f>
        <v>51.509999999999991</v>
      </c>
      <c r="Q33" s="96">
        <f t="shared" si="6"/>
        <v>13.793103448275861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Production2!Y26</f>
        <v>24</v>
      </c>
      <c r="G34" s="75">
        <f>F34+'23'!G34</f>
        <v>474.27</v>
      </c>
      <c r="H34" s="75">
        <f>F34+'23'!H34</f>
        <v>474.27</v>
      </c>
      <c r="I34" s="77">
        <f>Clinker!EI26</f>
        <v>21450.860088227266</v>
      </c>
      <c r="J34" s="77">
        <f>Clinker!EJ26</f>
        <v>1310</v>
      </c>
      <c r="K34" s="74">
        <f>J34+'23'!K34</f>
        <v>30895</v>
      </c>
      <c r="L34" s="74">
        <f>J34+'23'!L34</f>
        <v>30895</v>
      </c>
      <c r="M34" s="77">
        <f>Clinker!EK26</f>
        <v>677.6</v>
      </c>
      <c r="N34" s="74">
        <f>M34+'23'!N34</f>
        <v>12093.280011399465</v>
      </c>
      <c r="O34" s="74">
        <f>M34+'23'!O34</f>
        <v>12093.280011399465</v>
      </c>
      <c r="P34" s="74">
        <f t="shared" si="7"/>
        <v>22083.260088227267</v>
      </c>
      <c r="Q34" s="96">
        <f t="shared" si="6"/>
        <v>54.583333333333336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Production2!AE26</f>
        <v>0</v>
      </c>
      <c r="G35" s="75">
        <f>F35+'23'!G35</f>
        <v>9</v>
      </c>
      <c r="H35" s="75">
        <f>F35+'23'!H35</f>
        <v>9</v>
      </c>
      <c r="I35" s="77">
        <f>Production2!BJ26</f>
        <v>507.79999999999995</v>
      </c>
      <c r="J35" s="77">
        <f>Production2!AF26</f>
        <v>0</v>
      </c>
      <c r="K35" s="74">
        <f>J35+'23'!K35</f>
        <v>574</v>
      </c>
      <c r="L35" s="74">
        <f>J35+'23'!L35</f>
        <v>574</v>
      </c>
      <c r="M35" s="77">
        <f>Production2!BL26</f>
        <v>60</v>
      </c>
      <c r="N35" s="74">
        <f>M35+'23'!N35</f>
        <v>1608.5</v>
      </c>
      <c r="O35" s="74">
        <f>M35+'23'!O35</f>
        <v>1608.5</v>
      </c>
      <c r="P35" s="74">
        <f>I35+J35+J41-M35</f>
        <v>447.79999999999995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Production2!AB26</f>
        <v>0</v>
      </c>
      <c r="G36" s="75">
        <f>F36+'23'!G36</f>
        <v>197.43</v>
      </c>
      <c r="H36" s="75">
        <f>F36+'23'!H36</f>
        <v>197.43</v>
      </c>
      <c r="I36" s="77">
        <f>Production2!BF26</f>
        <v>2145.5279999999798</v>
      </c>
      <c r="J36" s="77">
        <f>Production2!AC26</f>
        <v>0</v>
      </c>
      <c r="K36" s="74">
        <f>J36+'23'!K36</f>
        <v>11919</v>
      </c>
      <c r="L36" s="74">
        <f>J36+'23'!L36</f>
        <v>11919</v>
      </c>
      <c r="M36" s="77">
        <f>Production2!BH26</f>
        <v>829</v>
      </c>
      <c r="N36" s="589">
        <f>M36+'23'!N36</f>
        <v>29013.029999999995</v>
      </c>
      <c r="O36" s="589">
        <f>M36+'23'!O36</f>
        <v>29013.029999999995</v>
      </c>
      <c r="P36" s="578">
        <f>I36+J36+J42-M36</f>
        <v>2196.5279999999798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Production2!AH26</f>
        <v>0</v>
      </c>
      <c r="G37" s="75">
        <f>F37+'23'!G37</f>
        <v>0</v>
      </c>
      <c r="H37" s="75">
        <f>F37+'23'!H37</f>
        <v>0</v>
      </c>
      <c r="I37" s="77">
        <f>Production2!BN26</f>
        <v>2.0900000000008498</v>
      </c>
      <c r="J37" s="77">
        <f>Production2!AI26</f>
        <v>0</v>
      </c>
      <c r="K37" s="74">
        <f>J37+'23'!K37</f>
        <v>0</v>
      </c>
      <c r="L37" s="74">
        <f>J37+'23'!L37</f>
        <v>0</v>
      </c>
      <c r="M37" s="77">
        <f>Production2!BP26</f>
        <v>0</v>
      </c>
      <c r="N37" s="589">
        <f>M37+'23'!N37</f>
        <v>-0.15</v>
      </c>
      <c r="O37" s="589">
        <f>M37+'23'!O37</f>
        <v>-0.15</v>
      </c>
      <c r="P37" s="74">
        <f>I37+J37+J43-M37</f>
        <v>2.0900000000008498</v>
      </c>
      <c r="Q37" s="96" t="e">
        <f t="shared" ref="Q37:Q45" si="8">J37/F37</f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Production2!AK26</f>
        <v>0</v>
      </c>
      <c r="G38" s="75">
        <f>F38+'23'!G38</f>
        <v>0</v>
      </c>
      <c r="H38" s="75">
        <f>F38+'23'!H38</f>
        <v>0</v>
      </c>
      <c r="I38" s="195">
        <f>Production2!BR26</f>
        <v>158.30000000000001</v>
      </c>
      <c r="J38" s="195">
        <v>0</v>
      </c>
      <c r="K38" s="74">
        <f>J38+'23'!K38</f>
        <v>0</v>
      </c>
      <c r="L38" s="74">
        <f>J38+'23'!L38</f>
        <v>0</v>
      </c>
      <c r="M38" s="195">
        <f>Production2!BT26</f>
        <v>0</v>
      </c>
      <c r="N38" s="589">
        <f>M38+'23'!N38</f>
        <v>1545</v>
      </c>
      <c r="O38" s="589">
        <f>M38+'23'!O38</f>
        <v>1545</v>
      </c>
      <c r="P38" s="74">
        <f>I38+J44-M38</f>
        <v>158.30000000000001</v>
      </c>
      <c r="Q38" s="96" t="e">
        <f t="shared" si="8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590">
        <f>Production2!AN26</f>
        <v>0</v>
      </c>
      <c r="G39" s="75">
        <f>F39+'23'!G39</f>
        <v>33.85</v>
      </c>
      <c r="H39" s="75">
        <f>F39+'23'!H39</f>
        <v>33.85</v>
      </c>
      <c r="I39" s="195">
        <f>Production2!BV26</f>
        <v>770.59000000000015</v>
      </c>
      <c r="J39" s="195">
        <f>Production2!BW26</f>
        <v>0</v>
      </c>
      <c r="K39" s="74">
        <f>J39+'23'!K39</f>
        <v>2132</v>
      </c>
      <c r="L39" s="74">
        <f>J39+'23'!L39</f>
        <v>2132</v>
      </c>
      <c r="M39" s="195">
        <f>Production2!BX26</f>
        <v>30</v>
      </c>
      <c r="N39" s="589">
        <f>M39+'23'!N39</f>
        <v>4377.12</v>
      </c>
      <c r="O39" s="589">
        <f>M39+'23'!O39</f>
        <v>4377.12</v>
      </c>
      <c r="P39" s="74">
        <f>I39+J39+J45-M39</f>
        <v>740.59000000000015</v>
      </c>
      <c r="Q39" s="96" t="e">
        <f t="shared" si="8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>G35+G36+G37+G38+G39</f>
        <v>240.28</v>
      </c>
      <c r="H40" s="132">
        <f t="shared" ref="H40" si="9">H35+H36+H37+H38+H39</f>
        <v>240.28</v>
      </c>
      <c r="I40" s="122">
        <f>I35+I36+I37+I38+I39</f>
        <v>3584.3079999999809</v>
      </c>
      <c r="J40" s="122">
        <f t="shared" ref="J40:O40" si="10">J35+J36+J37+J38+J39</f>
        <v>0</v>
      </c>
      <c r="K40" s="122">
        <f>K35+K36+K37+K38+K39</f>
        <v>14625</v>
      </c>
      <c r="L40" s="122">
        <f t="shared" si="10"/>
        <v>14625</v>
      </c>
      <c r="M40" s="122">
        <f>M35+M36+M37+M38+M39</f>
        <v>919</v>
      </c>
      <c r="N40" s="122">
        <f>N35+N36+N37+N38+N39</f>
        <v>36543.499999999993</v>
      </c>
      <c r="O40" s="122">
        <f t="shared" si="10"/>
        <v>36543.499999999993</v>
      </c>
      <c r="P40" s="122">
        <f>P35+P36+P37+P38+P39</f>
        <v>3545.3079999999809</v>
      </c>
      <c r="Q40" s="122" t="e">
        <f>J40/F40</f>
        <v>#DIV/0!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Production2!AT26</f>
        <v>0</v>
      </c>
      <c r="G41" s="75">
        <f>F41+'23'!G41</f>
        <v>20.9</v>
      </c>
      <c r="H41" s="75">
        <f>F41+'23'!H41</f>
        <v>20.9</v>
      </c>
      <c r="I41" s="764"/>
      <c r="J41" s="77">
        <f>Production2!AU26</f>
        <v>0</v>
      </c>
      <c r="K41" s="74">
        <f>J41+'23'!K41</f>
        <v>1250</v>
      </c>
      <c r="L41" s="74">
        <f>J41+'23'!L41</f>
        <v>1250</v>
      </c>
      <c r="M41" s="766"/>
      <c r="N41" s="767"/>
      <c r="O41" s="767"/>
      <c r="P41" s="768"/>
      <c r="Q41" s="96" t="e">
        <f t="shared" si="8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Production2!AQ26</f>
        <v>15</v>
      </c>
      <c r="G42" s="75">
        <f>F42+'23'!G42</f>
        <v>311.25000000000006</v>
      </c>
      <c r="H42" s="75">
        <f>F42+'23'!H42</f>
        <v>311.25000000000006</v>
      </c>
      <c r="I42" s="765"/>
      <c r="J42" s="77">
        <f>Production2!AR26</f>
        <v>880</v>
      </c>
      <c r="K42" s="74">
        <f>J42+'23'!K42</f>
        <v>18012</v>
      </c>
      <c r="L42" s="74">
        <f>J42+'23'!L42</f>
        <v>18012</v>
      </c>
      <c r="M42" s="769"/>
      <c r="N42" s="770"/>
      <c r="O42" s="770"/>
      <c r="P42" s="771"/>
      <c r="Q42" s="96">
        <f t="shared" si="8"/>
        <v>58.666666666666664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Production2!AW26</f>
        <v>0</v>
      </c>
      <c r="G43" s="75">
        <f>F43+'23'!G43</f>
        <v>0</v>
      </c>
      <c r="H43" s="75">
        <f>F43+'23'!H43</f>
        <v>0</v>
      </c>
      <c r="I43" s="765"/>
      <c r="J43" s="77">
        <f>Production2!AX26</f>
        <v>0</v>
      </c>
      <c r="K43" s="74">
        <f>J43+'23'!K43</f>
        <v>0</v>
      </c>
      <c r="L43" s="74">
        <f>J43+'23'!L43</f>
        <v>0</v>
      </c>
      <c r="M43" s="769"/>
      <c r="N43" s="770"/>
      <c r="O43" s="770"/>
      <c r="P43" s="771"/>
      <c r="Q43" s="96" t="e">
        <f t="shared" si="8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Production2!AZ26</f>
        <v>0</v>
      </c>
      <c r="G44" s="75">
        <f>F44+'23'!G44</f>
        <v>26.880000000000003</v>
      </c>
      <c r="H44" s="75">
        <f>F44+'23'!H44</f>
        <v>26.880000000000003</v>
      </c>
      <c r="I44" s="748"/>
      <c r="J44" s="195">
        <f>Production2!BA26</f>
        <v>0</v>
      </c>
      <c r="K44" s="74">
        <f>J44+'23'!K44</f>
        <v>1490</v>
      </c>
      <c r="L44" s="74">
        <f>J44+'23'!L44</f>
        <v>1490</v>
      </c>
      <c r="M44" s="772"/>
      <c r="N44" s="773"/>
      <c r="O44" s="773"/>
      <c r="P44" s="774"/>
      <c r="Q44" s="96" t="e">
        <f t="shared" si="8"/>
        <v>#DIV/0!</v>
      </c>
      <c r="R44" s="94"/>
      <c r="S44" s="94"/>
    </row>
    <row r="45" spans="2:19" x14ac:dyDescent="0.25">
      <c r="B45" s="754"/>
      <c r="C45" s="685"/>
      <c r="D45" s="566" t="s">
        <v>306</v>
      </c>
      <c r="E45" s="574">
        <v>70</v>
      </c>
      <c r="F45" s="567">
        <f>Production2!BC26</f>
        <v>0</v>
      </c>
      <c r="G45" s="568">
        <f>F45+'22'!G45</f>
        <v>44.370000000000005</v>
      </c>
      <c r="H45" s="568">
        <f>F45+'22'!H45</f>
        <v>44.370000000000005</v>
      </c>
      <c r="I45" s="571"/>
      <c r="J45" s="569">
        <f>Production2!BD26</f>
        <v>0</v>
      </c>
      <c r="K45" s="570">
        <f>J45+'22'!K45</f>
        <v>2612</v>
      </c>
      <c r="L45" s="570">
        <f>J45+'22'!L45</f>
        <v>2612</v>
      </c>
      <c r="M45" s="572"/>
      <c r="N45" s="575"/>
      <c r="O45" s="575"/>
      <c r="P45" s="573"/>
      <c r="Q45" s="96" t="e">
        <f t="shared" si="8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15</v>
      </c>
      <c r="G46" s="132">
        <f>G41+G42+G43+G44+G45</f>
        <v>403.40000000000003</v>
      </c>
      <c r="H46" s="132">
        <f>H41+H42+H43+H44+H45</f>
        <v>403.40000000000003</v>
      </c>
      <c r="I46" s="122">
        <f t="shared" ref="I46" si="11">I41+I42+I43+I44</f>
        <v>0</v>
      </c>
      <c r="J46" s="122">
        <f>J41+J42+J43+J44+J45</f>
        <v>880</v>
      </c>
      <c r="K46" s="122">
        <f>K41+K42+K43+K44+K45</f>
        <v>23364</v>
      </c>
      <c r="L46" s="122">
        <f>L41+L42+L43+L44</f>
        <v>20752</v>
      </c>
      <c r="M46" s="836"/>
      <c r="N46" s="837"/>
      <c r="O46" s="837"/>
      <c r="P46" s="838"/>
      <c r="Q46" s="123">
        <f>J46/F46</f>
        <v>58.666666666666664</v>
      </c>
      <c r="R46" s="94"/>
      <c r="S46" s="94"/>
    </row>
    <row r="47" spans="2:19" ht="15.75" thickBot="1" x14ac:dyDescent="0.3">
      <c r="B47" s="830"/>
      <c r="C47" s="831"/>
      <c r="D47" s="831"/>
      <c r="E47" s="831"/>
      <c r="F47" s="831"/>
      <c r="G47" s="831"/>
      <c r="H47" s="831"/>
      <c r="I47" s="831"/>
      <c r="J47" s="831"/>
      <c r="K47" s="831"/>
      <c r="L47" s="831"/>
      <c r="M47" s="831"/>
      <c r="N47" s="831"/>
      <c r="O47" s="831"/>
      <c r="P47" s="831"/>
      <c r="Q47" s="832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881" t="s">
        <v>276</v>
      </c>
      <c r="D50" s="882"/>
      <c r="E50" s="99">
        <f>E53/J30</f>
        <v>0.79675239149388755</v>
      </c>
      <c r="F50" s="99">
        <f>F53/(J31+J32)</f>
        <v>21.472290927339856</v>
      </c>
      <c r="G50" s="99">
        <f>G53/J32</f>
        <v>0</v>
      </c>
      <c r="H50" s="99">
        <f>H53/J34</f>
        <v>35.693129770992364</v>
      </c>
      <c r="I50" s="99">
        <f>I53/J33</f>
        <v>62.545000000000002</v>
      </c>
      <c r="J50" s="99"/>
      <c r="K50" s="99"/>
      <c r="L50" s="99"/>
      <c r="M50" s="100"/>
      <c r="N50" s="101"/>
      <c r="O50" s="879" t="s">
        <v>277</v>
      </c>
      <c r="P50" s="880"/>
      <c r="Q50" s="93">
        <f>(M33/J34)*100</f>
        <v>15.114503816793892</v>
      </c>
    </row>
    <row r="51" spans="2:19" ht="14.45" customHeight="1" x14ac:dyDescent="0.25">
      <c r="B51" s="79">
        <v>2</v>
      </c>
      <c r="C51" s="680" t="s">
        <v>278</v>
      </c>
      <c r="D51" s="681"/>
      <c r="E51" s="102">
        <f>E50*(I9/J34)</f>
        <v>1.444493839540445</v>
      </c>
      <c r="F51" s="102">
        <f>F50*1.55</f>
        <v>33.282050937376781</v>
      </c>
      <c r="G51" s="102">
        <f>G50*1.55</f>
        <v>0</v>
      </c>
      <c r="H51" s="102">
        <f>H50</f>
        <v>35.693129770992364</v>
      </c>
      <c r="I51" s="102">
        <f>I50*(Q50/100)</f>
        <v>9.4533664122137395</v>
      </c>
      <c r="J51" s="102"/>
      <c r="K51" s="102"/>
      <c r="L51" s="102"/>
      <c r="M51" s="96"/>
      <c r="N51" s="310">
        <f>SUM(E51:I51)</f>
        <v>79.873040960123319</v>
      </c>
      <c r="O51" s="680" t="s">
        <v>279</v>
      </c>
      <c r="P51" s="681"/>
      <c r="Q51" s="104">
        <v>5418</v>
      </c>
    </row>
    <row r="52" spans="2:19" ht="14.45" customHeight="1" x14ac:dyDescent="0.25">
      <c r="B52" s="79">
        <v>3</v>
      </c>
      <c r="C52" s="883" t="s">
        <v>280</v>
      </c>
      <c r="D52" s="884"/>
      <c r="E52" s="102">
        <f>E51*M18/100</f>
        <v>1.1122602564461426</v>
      </c>
      <c r="F52" s="102">
        <f>F51*M18/100</f>
        <v>25.627179221780121</v>
      </c>
      <c r="G52" s="102">
        <f>G51*M18/100</f>
        <v>0</v>
      </c>
      <c r="H52" s="102">
        <f>H51*M18/100</f>
        <v>27.483709923664119</v>
      </c>
      <c r="I52" s="102">
        <f>I51*M18/100</f>
        <v>7.2790921374045796</v>
      </c>
      <c r="J52" s="99">
        <f>J53/(J40+J46)</f>
        <v>44.451136363636365</v>
      </c>
      <c r="K52" s="99">
        <f>K53/(J46+J40)</f>
        <v>1.5511363636363635</v>
      </c>
      <c r="L52" s="99">
        <f>L53/(M40)</f>
        <v>5.2480957562568005</v>
      </c>
      <c r="M52" s="96">
        <f>M53/(J46+J40)</f>
        <v>6.3284090909090907</v>
      </c>
      <c r="N52" s="310">
        <f>SUM(E52:M52)</f>
        <v>119.08101911373357</v>
      </c>
      <c r="O52" s="680" t="s">
        <v>281</v>
      </c>
      <c r="P52" s="681"/>
      <c r="Q52" s="104">
        <f>Q51*Q50/100</f>
        <v>818.90381679389304</v>
      </c>
    </row>
    <row r="53" spans="2:19" ht="15" customHeight="1" thickBot="1" x14ac:dyDescent="0.3">
      <c r="B53" s="90" t="s">
        <v>243</v>
      </c>
      <c r="C53" s="887" t="s">
        <v>282</v>
      </c>
      <c r="D53" s="888"/>
      <c r="E53" s="118">
        <f>'Daily unit'!B26</f>
        <v>2577</v>
      </c>
      <c r="F53" s="118">
        <f>'Daily unit'!C26</f>
        <v>47921</v>
      </c>
      <c r="G53" s="118">
        <f>'Daily unit'!D26</f>
        <v>0</v>
      </c>
      <c r="H53" s="118">
        <f>'Daily unit'!E26</f>
        <v>46758</v>
      </c>
      <c r="I53" s="118">
        <f>'Daily unit'!F26</f>
        <v>12509</v>
      </c>
      <c r="J53" s="118">
        <f>'Daily unit'!G26</f>
        <v>39117</v>
      </c>
      <c r="K53" s="118">
        <f>'Daily unit'!H26</f>
        <v>1365</v>
      </c>
      <c r="L53" s="118">
        <f>'Daily unit'!I26</f>
        <v>4823</v>
      </c>
      <c r="M53" s="119">
        <f>'Daily unit'!J26</f>
        <v>5569</v>
      </c>
      <c r="N53" s="321">
        <f>SUM(E53:M53)</f>
        <v>160639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89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149" t="s">
        <v>231</v>
      </c>
      <c r="C56" s="885" t="s">
        <v>285</v>
      </c>
      <c r="D56" s="742"/>
      <c r="E56" s="886"/>
      <c r="F56" s="150" t="s">
        <v>286</v>
      </c>
      <c r="G56" s="150" t="s">
        <v>26</v>
      </c>
      <c r="H56" s="151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57" t="s">
        <v>287</v>
      </c>
      <c r="D57" s="798"/>
      <c r="E57" s="80" t="s">
        <v>268</v>
      </c>
      <c r="F57" s="53">
        <f>'Internal use cement'!F26</f>
        <v>0</v>
      </c>
      <c r="G57" s="53">
        <f>F57+'23'!G57</f>
        <v>0</v>
      </c>
      <c r="H57" s="96">
        <f>F57+'23'!H57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58"/>
      <c r="D58" s="800"/>
      <c r="E58" s="80" t="s">
        <v>197</v>
      </c>
      <c r="F58" s="53">
        <f>'Internal use cement'!Q26</f>
        <v>0</v>
      </c>
      <c r="G58" s="53">
        <f>F58+'23'!G58</f>
        <v>0</v>
      </c>
      <c r="H58" s="96">
        <f>F58+'23'!H58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58"/>
      <c r="D59" s="800"/>
      <c r="E59" s="80">
        <v>32.5</v>
      </c>
      <c r="F59" s="53">
        <f>'Internal use cement'!Y26</f>
        <v>0</v>
      </c>
      <c r="G59" s="53">
        <f>F59+'23'!G59</f>
        <v>0</v>
      </c>
      <c r="H59" s="96">
        <f>F59+'23'!H59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759"/>
      <c r="D60" s="802"/>
      <c r="E60" s="112" t="s">
        <v>177</v>
      </c>
      <c r="F60" s="113">
        <f>'Internal use cement'!AJ26</f>
        <v>0</v>
      </c>
      <c r="G60" s="53">
        <f>F60+'23'!G60</f>
        <v>0</v>
      </c>
      <c r="H60" s="96">
        <f>F60+'23'!H60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6">
    <mergeCell ref="N6:N7"/>
    <mergeCell ref="M6:M7"/>
    <mergeCell ref="C6:C7"/>
    <mergeCell ref="B6:B7"/>
    <mergeCell ref="L6:L7"/>
    <mergeCell ref="I6:K6"/>
    <mergeCell ref="F6:H6"/>
    <mergeCell ref="E6:E7"/>
    <mergeCell ref="D6:D7"/>
    <mergeCell ref="O51:P51"/>
    <mergeCell ref="C52:D52"/>
    <mergeCell ref="O52:P52"/>
    <mergeCell ref="I55:Q60"/>
    <mergeCell ref="B55:H55"/>
    <mergeCell ref="C56:E56"/>
    <mergeCell ref="B54:Q54"/>
    <mergeCell ref="C53:D53"/>
    <mergeCell ref="C51:D51"/>
    <mergeCell ref="C57:D60"/>
    <mergeCell ref="B57:B60"/>
    <mergeCell ref="C30:D30"/>
    <mergeCell ref="C31:D31"/>
    <mergeCell ref="C33:D33"/>
    <mergeCell ref="C34:D34"/>
    <mergeCell ref="C50:D50"/>
    <mergeCell ref="B47:Q47"/>
    <mergeCell ref="C49:D49"/>
    <mergeCell ref="O49:P49"/>
    <mergeCell ref="B35:B40"/>
    <mergeCell ref="C35:C40"/>
    <mergeCell ref="I41:I44"/>
    <mergeCell ref="M41:P44"/>
    <mergeCell ref="M46:P46"/>
    <mergeCell ref="O50:P50"/>
    <mergeCell ref="B41:B46"/>
    <mergeCell ref="C41:C46"/>
    <mergeCell ref="C17:Q17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P18:Q20"/>
    <mergeCell ref="B2:Q2"/>
    <mergeCell ref="B3:Q3"/>
    <mergeCell ref="B4:O4"/>
    <mergeCell ref="B14:B16"/>
    <mergeCell ref="C14:C16"/>
    <mergeCell ref="C8:Q8"/>
    <mergeCell ref="C11:D11"/>
    <mergeCell ref="C12:D12"/>
    <mergeCell ref="C13:D13"/>
    <mergeCell ref="P13:Q13"/>
    <mergeCell ref="O9:O16"/>
    <mergeCell ref="C9:D9"/>
    <mergeCell ref="C10:D10"/>
    <mergeCell ref="Q6:Q7"/>
    <mergeCell ref="P6:P7"/>
    <mergeCell ref="O6:O7"/>
    <mergeCell ref="Q21:Q22"/>
    <mergeCell ref="C22:D22"/>
    <mergeCell ref="B23:B24"/>
    <mergeCell ref="C21:D21"/>
    <mergeCell ref="M18:M19"/>
    <mergeCell ref="C23:C24"/>
    <mergeCell ref="M23:N24"/>
    <mergeCell ref="P23:Q25"/>
    <mergeCell ref="C25:D25"/>
    <mergeCell ref="M25:N25"/>
    <mergeCell ref="P31:P32"/>
    <mergeCell ref="B48:N48"/>
    <mergeCell ref="O48:Q48"/>
    <mergeCell ref="C32:D32"/>
    <mergeCell ref="I31:I32"/>
    <mergeCell ref="M31:M32"/>
    <mergeCell ref="N31:N32"/>
    <mergeCell ref="O31:O32"/>
  </mergeCells>
  <pageMargins left="0" right="0" top="0.5" bottom="0.5" header="0.3" footer="0.3"/>
  <pageSetup paperSize="9" scale="5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2:U154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11" sqref="R11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344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890" t="s">
        <v>244</v>
      </c>
      <c r="D9" s="891"/>
      <c r="E9" s="74">
        <f>'24'!L9</f>
        <v>19507.491704134798</v>
      </c>
      <c r="F9" s="74">
        <f>Production2!D27</f>
        <v>3709.94</v>
      </c>
      <c r="G9" s="74">
        <f>F9+'24'!G9</f>
        <v>58068.880000000005</v>
      </c>
      <c r="H9" s="74">
        <f>F9+'24'!H9</f>
        <v>58068.880000000005</v>
      </c>
      <c r="I9" s="74">
        <f>Production2!E27</f>
        <v>2356</v>
      </c>
      <c r="J9" s="74">
        <f>I9+'24'!J9</f>
        <v>53251</v>
      </c>
      <c r="K9" s="74">
        <f>I9+'24'!K9</f>
        <v>53251</v>
      </c>
      <c r="L9" s="74">
        <f>E9+F9-I9-I21</f>
        <v>20628.431704462299</v>
      </c>
      <c r="M9" s="74">
        <f>I9</f>
        <v>2356</v>
      </c>
      <c r="N9" s="75">
        <f>(I9/I13)*100</f>
        <v>95.889295889295894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(2)'!L27</f>
        <v>946.83999999999992</v>
      </c>
      <c r="F10" s="77">
        <f>'Mines (2)'!M27</f>
        <v>307.66000000000003</v>
      </c>
      <c r="G10" s="74">
        <f>F10+'24'!G10</f>
        <v>1351.4600000000003</v>
      </c>
      <c r="H10" s="74">
        <f>F10+'24'!H10</f>
        <v>1351.4600000000003</v>
      </c>
      <c r="I10" s="77">
        <f>'Mines (2)'!N27</f>
        <v>15</v>
      </c>
      <c r="J10" s="74">
        <f>I10+'24'!J10</f>
        <v>236</v>
      </c>
      <c r="K10" s="74">
        <f>I10+'24'!K10</f>
        <v>236</v>
      </c>
      <c r="L10" s="77">
        <f t="shared" ref="L10:L13" si="0">E10+F10-I10</f>
        <v>1239.5</v>
      </c>
      <c r="M10" s="74">
        <f t="shared" ref="M10:M12" si="1">I10</f>
        <v>15</v>
      </c>
      <c r="N10" s="75">
        <f>(I10/I13)*100</f>
        <v>0.61050061050061055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Clinker!C27</f>
        <v>4293.4799999999996</v>
      </c>
      <c r="F11" s="77">
        <f>Clinker!D27</f>
        <v>0</v>
      </c>
      <c r="G11" s="74">
        <f>F11+'24'!G11</f>
        <v>32.840000000000003</v>
      </c>
      <c r="H11" s="74">
        <f>F11+'24'!H11</f>
        <v>32.840000000000003</v>
      </c>
      <c r="I11" s="77">
        <f>Clinker!E27</f>
        <v>52</v>
      </c>
      <c r="J11" s="74">
        <f>I11+'24'!J11</f>
        <v>1157</v>
      </c>
      <c r="K11" s="74">
        <f>I11+'24'!K11</f>
        <v>1157</v>
      </c>
      <c r="L11" s="77">
        <f t="shared" si="0"/>
        <v>4241.4799999999996</v>
      </c>
      <c r="M11" s="74">
        <f t="shared" si="1"/>
        <v>52</v>
      </c>
      <c r="N11" s="75">
        <f>(I11/I13)*100</f>
        <v>2.1164021164021163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(2)'!Q27</f>
        <v>390.03999999999996</v>
      </c>
      <c r="F12" s="77">
        <f>'Mines (2)'!R27</f>
        <v>0</v>
      </c>
      <c r="G12" s="74">
        <f>F12+'24'!G12</f>
        <v>137.76</v>
      </c>
      <c r="H12" s="74">
        <f>F12+'24'!H12</f>
        <v>137.76</v>
      </c>
      <c r="I12" s="77">
        <f>'Mines (2)'!S27</f>
        <v>34</v>
      </c>
      <c r="J12" s="74">
        <f>I12+'24'!J12</f>
        <v>382</v>
      </c>
      <c r="K12" s="74">
        <f>I12+'24'!K12</f>
        <v>382</v>
      </c>
      <c r="L12" s="77">
        <f t="shared" si="0"/>
        <v>356.03999999999996</v>
      </c>
      <c r="M12" s="74">
        <f t="shared" si="1"/>
        <v>34</v>
      </c>
      <c r="N12" s="75">
        <f>(I12/I13)*100</f>
        <v>1.3838013838013838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25137.851704134799</v>
      </c>
      <c r="F13" s="127">
        <f t="shared" si="2"/>
        <v>4017.6</v>
      </c>
      <c r="G13" s="127">
        <f t="shared" si="2"/>
        <v>59590.94</v>
      </c>
      <c r="H13" s="127">
        <f t="shared" si="2"/>
        <v>59590.94</v>
      </c>
      <c r="I13" s="127">
        <f t="shared" si="2"/>
        <v>2457</v>
      </c>
      <c r="J13" s="127">
        <f t="shared" si="2"/>
        <v>55026</v>
      </c>
      <c r="K13" s="127">
        <f t="shared" si="2"/>
        <v>55026</v>
      </c>
      <c r="L13" s="127">
        <f t="shared" si="0"/>
        <v>26698.451704134797</v>
      </c>
      <c r="M13" s="127">
        <f>SUM(M9:M12)</f>
        <v>2457</v>
      </c>
      <c r="N13" s="128">
        <f>SUM(N9:N12)</f>
        <v>100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Clinker!EA27</f>
        <v>10276.90699999999</v>
      </c>
      <c r="F14" s="77">
        <f>Clinker!EB27</f>
        <v>0</v>
      </c>
      <c r="G14" s="77">
        <f>F14+'24'!G14</f>
        <v>181.5</v>
      </c>
      <c r="H14" s="77">
        <f>F14+'24'!H14</f>
        <v>181.5</v>
      </c>
      <c r="I14" s="77">
        <f>Clinker!EC27</f>
        <v>254.44</v>
      </c>
      <c r="J14" s="77">
        <f>I14+'24'!J14</f>
        <v>5503.3</v>
      </c>
      <c r="K14" s="77">
        <f>I14+'24'!K14</f>
        <v>5503.3</v>
      </c>
      <c r="L14" s="77">
        <f>E14+F14-I14-Clinker!N27-Clinker!Z27-Clinker!AR27-Clinker!AW27-Clinker!BB27-Clinker!BV27-Clinker!BG27-Clinker!BL27-Clinker!BQ27-Clinker!CU27-Clinker!DE27-Clinker!DO27</f>
        <v>9958.4669999999896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Clinker!EE27</f>
        <v>10377.699999999997</v>
      </c>
      <c r="F15" s="77">
        <f>Clinker!EF27</f>
        <v>0</v>
      </c>
      <c r="G15" s="77">
        <f>F15+'24'!G15</f>
        <v>155.05000000000001</v>
      </c>
      <c r="H15" s="77">
        <f>F15+'24'!H15</f>
        <v>155.05000000000001</v>
      </c>
      <c r="I15" s="77">
        <f>Clinker!EG27</f>
        <v>129</v>
      </c>
      <c r="J15" s="77">
        <f>I15+'24'!J15</f>
        <v>3182</v>
      </c>
      <c r="K15" s="77">
        <f>I15+'24'!K15</f>
        <v>3182</v>
      </c>
      <c r="L15" s="77">
        <f>E15+F15-Clinker!T27-Clinker!AE27-Clinker!AI27-Clinker!CK27-Clinker!CP27-Clinker!CF27</f>
        <v>10312.699999999997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20654.606999999989</v>
      </c>
      <c r="F16" s="125">
        <f>F14+F15</f>
        <v>0</v>
      </c>
      <c r="G16" s="125">
        <f t="shared" ref="G16:L16" si="3">G14+G15</f>
        <v>336.55</v>
      </c>
      <c r="H16" s="125">
        <f t="shared" si="3"/>
        <v>336.55</v>
      </c>
      <c r="I16" s="125">
        <f>I14+I15</f>
        <v>383.44</v>
      </c>
      <c r="J16" s="125">
        <f>J14+J15</f>
        <v>8685.2999999999993</v>
      </c>
      <c r="K16" s="125">
        <f t="shared" si="3"/>
        <v>8685.2999999999993</v>
      </c>
      <c r="L16" s="125">
        <f t="shared" si="3"/>
        <v>20271.166999999987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Clinker!EI27</f>
        <v>22083.260088227267</v>
      </c>
      <c r="F18" s="74">
        <f>Clinker!EJ27</f>
        <v>1460</v>
      </c>
      <c r="G18" s="74">
        <f>F18+'24'!G18</f>
        <v>32355</v>
      </c>
      <c r="H18" s="74">
        <f>F18+'24'!H18</f>
        <v>32355</v>
      </c>
      <c r="I18" s="74">
        <f>Clinker!EK27</f>
        <v>995.35000032749997</v>
      </c>
      <c r="J18" s="74">
        <f>I18+'24'!J18</f>
        <v>13088.630011726966</v>
      </c>
      <c r="K18" s="74">
        <f>I18+'24'!K18</f>
        <v>13088.630011726966</v>
      </c>
      <c r="L18" s="74">
        <f>E18+F18-I18-I20</f>
        <v>22547.910087899767</v>
      </c>
      <c r="M18" s="75">
        <f>((I18+I19)/(J40+J46))*100</f>
        <v>76.979891749999993</v>
      </c>
      <c r="N18" s="687"/>
      <c r="O18" s="689"/>
      <c r="P18" s="691"/>
      <c r="Q18" s="692"/>
      <c r="R18" s="190"/>
      <c r="S18" s="20"/>
    </row>
    <row r="19" spans="2:19" ht="45" x14ac:dyDescent="0.25">
      <c r="B19" s="677"/>
      <c r="C19" s="685"/>
      <c r="D19" s="85" t="s">
        <v>75</v>
      </c>
      <c r="E19" s="74">
        <f>Clinker!EN27</f>
        <v>3496.2690080001362</v>
      </c>
      <c r="F19" s="74">
        <f>Clinker!EO27</f>
        <v>0</v>
      </c>
      <c r="G19" s="74">
        <f>F19+'24'!G19</f>
        <v>11580.820000000002</v>
      </c>
      <c r="H19" s="74">
        <f>F19+'24'!H19</f>
        <v>11580.820000000002</v>
      </c>
      <c r="I19" s="74">
        <f>Clinker!EP27</f>
        <v>0</v>
      </c>
      <c r="J19" s="74">
        <f>I19+'24'!J19</f>
        <v>16934.099999999999</v>
      </c>
      <c r="K19" s="74">
        <f>I19+'24'!K19</f>
        <v>16934.099999999999</v>
      </c>
      <c r="L19" s="74">
        <f>E19+F19-I19</f>
        <v>3496.2690080001362</v>
      </c>
      <c r="M19" s="75"/>
      <c r="N19" s="687"/>
      <c r="O19" s="689"/>
      <c r="P19" s="691"/>
      <c r="Q19" s="692"/>
      <c r="R19" s="20"/>
      <c r="S19" s="190"/>
    </row>
    <row r="20" spans="2:19" ht="30" x14ac:dyDescent="0.25">
      <c r="B20" s="677"/>
      <c r="C20" s="686"/>
      <c r="D20" s="86" t="s">
        <v>251</v>
      </c>
      <c r="E20" s="77"/>
      <c r="F20" s="77">
        <v>0</v>
      </c>
      <c r="G20" s="74">
        <v>0</v>
      </c>
      <c r="H20" s="74">
        <f>F20+'24'!H20</f>
        <v>0</v>
      </c>
      <c r="I20" s="77">
        <f>Clinker!EM27</f>
        <v>0</v>
      </c>
      <c r="J20" s="74">
        <f>I20+'24'!J20</f>
        <v>0</v>
      </c>
      <c r="K20" s="74">
        <f>I20+'24'!K20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76" t="s">
        <v>244</v>
      </c>
      <c r="D21" s="777"/>
      <c r="E21" s="77">
        <f>Cement!O27</f>
        <v>0</v>
      </c>
      <c r="F21" s="77">
        <f>Cement!P27</f>
        <v>0</v>
      </c>
      <c r="G21" s="74">
        <f>F21+'24'!G21</f>
        <v>0</v>
      </c>
      <c r="H21" s="74">
        <f>F21+'24'!H21</f>
        <v>0</v>
      </c>
      <c r="I21" s="77">
        <f>Cement!Q27</f>
        <v>232.99999967250002</v>
      </c>
      <c r="J21" s="74">
        <f>I21+'24'!J21</f>
        <v>7294.3199927215373</v>
      </c>
      <c r="K21" s="74">
        <f>I21+'24'!K21</f>
        <v>7294.3199927215373</v>
      </c>
      <c r="L21" s="74"/>
      <c r="M21" s="78">
        <f>(I21/(J40+J46))*100</f>
        <v>18.020108250000003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Cement!C27</f>
        <v>7455.3400635982798</v>
      </c>
      <c r="F22" s="77">
        <f>Cement!D27</f>
        <v>0</v>
      </c>
      <c r="G22" s="74">
        <f>F22+'24'!G22</f>
        <v>1910.26</v>
      </c>
      <c r="H22" s="74">
        <f>F22+'24'!H22</f>
        <v>1910.26</v>
      </c>
      <c r="I22" s="77">
        <f>Cement!E27</f>
        <v>64.650000000000006</v>
      </c>
      <c r="J22" s="74">
        <f>I22+'24'!J22</f>
        <v>1964.9499955514996</v>
      </c>
      <c r="K22" s="74">
        <f>I22+'24'!K22</f>
        <v>1964.9499955514996</v>
      </c>
      <c r="L22" s="74">
        <f t="shared" ref="L22:L24" si="4">E22+F22-I22</f>
        <v>7390.6900635982802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Cement!G27</f>
        <v>0.23999999999796273</v>
      </c>
      <c r="F23" s="77">
        <f>Cement!H27</f>
        <v>0</v>
      </c>
      <c r="G23" s="74">
        <f>F23+'24'!G23</f>
        <v>0</v>
      </c>
      <c r="H23" s="74">
        <f>F23+'24'!H23</f>
        <v>0</v>
      </c>
      <c r="I23" s="77">
        <f>Cement!I27</f>
        <v>0</v>
      </c>
      <c r="J23" s="74">
        <f>I23+'24'!J23</f>
        <v>0</v>
      </c>
      <c r="K23" s="74">
        <f>I23+'24'!K23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Cement!K27</f>
        <v>0</v>
      </c>
      <c r="F24" s="77">
        <f>Cement!L27</f>
        <v>0</v>
      </c>
      <c r="G24" s="74">
        <f>F24+'24'!G24</f>
        <v>0</v>
      </c>
      <c r="H24" s="74">
        <f>F24+'24'!H24</f>
        <v>0</v>
      </c>
      <c r="I24" s="77">
        <f>Cement!M27</f>
        <v>0</v>
      </c>
      <c r="J24" s="74">
        <f>I24+'24'!J24</f>
        <v>0</v>
      </c>
      <c r="K24" s="74">
        <f>I24+'24'!K24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33035.109159825683</v>
      </c>
      <c r="F25" s="122">
        <f t="shared" ref="F25:L25" si="5">F18+F19+F21+F22+F23+F24</f>
        <v>1460</v>
      </c>
      <c r="G25" s="122">
        <f t="shared" si="5"/>
        <v>45846.080000000002</v>
      </c>
      <c r="H25" s="122">
        <f t="shared" si="5"/>
        <v>45846.080000000002</v>
      </c>
      <c r="I25" s="122">
        <f t="shared" si="5"/>
        <v>1293</v>
      </c>
      <c r="J25" s="122">
        <f t="shared" si="5"/>
        <v>39282</v>
      </c>
      <c r="K25" s="122">
        <f t="shared" si="5"/>
        <v>39282</v>
      </c>
      <c r="L25" s="122">
        <f t="shared" si="5"/>
        <v>33435.109159498184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Production2!C27</f>
        <v>21.37</v>
      </c>
      <c r="G30" s="75">
        <f>F30+'24'!G30</f>
        <v>341.40000000000003</v>
      </c>
      <c r="H30" s="75">
        <f>F30+'24'!H30</f>
        <v>341.40000000000003</v>
      </c>
      <c r="I30" s="74">
        <f>'Mines (2)'!C27+'Mines (2)'!H27+'Mines (2)'!V27+'Mines (2)'!Z27+'Mines (2)'!AD27</f>
        <v>19507.491704134802</v>
      </c>
      <c r="J30" s="74">
        <f>Production2!D27</f>
        <v>3709.94</v>
      </c>
      <c r="K30" s="74">
        <f>J30+'24'!K30</f>
        <v>58068.880000000005</v>
      </c>
      <c r="L30" s="74">
        <f>J30+'24'!L30</f>
        <v>58068.880000000005</v>
      </c>
      <c r="M30" s="74">
        <f>I9+I21</f>
        <v>2588.9999996725001</v>
      </c>
      <c r="N30" s="74">
        <f>M30+'24'!N30</f>
        <v>60545.319992721546</v>
      </c>
      <c r="O30" s="74">
        <f>M30+'24'!O30</f>
        <v>60545.319992721546</v>
      </c>
      <c r="P30" s="74">
        <f>I30+J30-M30</f>
        <v>20628.431704462302</v>
      </c>
      <c r="Q30" s="93">
        <f>J30/F30</f>
        <v>173.60505381375759</v>
      </c>
      <c r="R30" s="94"/>
      <c r="S30" s="94"/>
    </row>
    <row r="31" spans="2:19" x14ac:dyDescent="0.25">
      <c r="B31" s="79">
        <v>2</v>
      </c>
      <c r="C31" s="680" t="s">
        <v>144</v>
      </c>
      <c r="D31" s="681"/>
      <c r="E31" s="95">
        <v>120</v>
      </c>
      <c r="F31" s="78">
        <f>Production2!G27</f>
        <v>19.149999999999999</v>
      </c>
      <c r="G31" s="75">
        <f>F31+'24'!G31</f>
        <v>390.96</v>
      </c>
      <c r="H31" s="75">
        <f>F31+'24'!H31</f>
        <v>390.96</v>
      </c>
      <c r="I31" s="747">
        <f>Production2!H27</f>
        <v>1448.0100168375193</v>
      </c>
      <c r="J31" s="78">
        <f>Production2!N27</f>
        <v>2212.86</v>
      </c>
      <c r="K31" s="74">
        <f>J31+'24'!K31</f>
        <v>46748.15</v>
      </c>
      <c r="L31" s="74">
        <f>J31+'24'!L31</f>
        <v>46748.15</v>
      </c>
      <c r="M31" s="747">
        <f>Production2!K27</f>
        <v>2263</v>
      </c>
      <c r="N31" s="747">
        <f>M31+'24'!N31</f>
        <v>50150.25</v>
      </c>
      <c r="O31" s="747">
        <f>M31+'24'!O31</f>
        <v>50150.25</v>
      </c>
      <c r="P31" s="747">
        <f>I31+J31+J32-M31</f>
        <v>1397.8700168375194</v>
      </c>
      <c r="Q31" s="96">
        <f t="shared" ref="Q31:Q46" si="6">J31/F31</f>
        <v>115.55404699738905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Production2!P27</f>
        <v>0</v>
      </c>
      <c r="G32" s="75">
        <f>F32+'24'!G32</f>
        <v>310.78999999999996</v>
      </c>
      <c r="H32" s="75">
        <f>F32+'24'!H32</f>
        <v>310.78999999999996</v>
      </c>
      <c r="I32" s="748"/>
      <c r="J32" s="78">
        <f>Production2!Q27</f>
        <v>0</v>
      </c>
      <c r="K32" s="74">
        <f>J32+'24'!K32</f>
        <v>2806.24</v>
      </c>
      <c r="L32" s="74">
        <f>J32+'24'!L32</f>
        <v>2806.24</v>
      </c>
      <c r="M32" s="748"/>
      <c r="N32" s="748"/>
      <c r="O32" s="748"/>
      <c r="P32" s="748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Production2!S27</f>
        <v>16.149999999999999</v>
      </c>
      <c r="G33" s="75">
        <f>F33+'24'!G33</f>
        <v>359.7</v>
      </c>
      <c r="H33" s="75">
        <f>F33+'24'!H33</f>
        <v>359.7</v>
      </c>
      <c r="I33" s="77">
        <f>Production2!T27</f>
        <v>51.509999999999991</v>
      </c>
      <c r="J33" s="77">
        <f>Production2!U27</f>
        <v>229</v>
      </c>
      <c r="K33" s="74">
        <f>J33+'24'!K33</f>
        <v>4953</v>
      </c>
      <c r="L33" s="74">
        <f>J33+'24'!L33</f>
        <v>4953</v>
      </c>
      <c r="M33" s="77">
        <f>Production2!V27</f>
        <v>222</v>
      </c>
      <c r="N33" s="74">
        <f>M33+'24'!N33</f>
        <v>4910</v>
      </c>
      <c r="O33" s="74">
        <f>M33+'24'!O33</f>
        <v>4910</v>
      </c>
      <c r="P33" s="74">
        <f t="shared" ref="P33" si="7">I33+J33-M33</f>
        <v>58.509999999999991</v>
      </c>
      <c r="Q33" s="96">
        <f t="shared" si="6"/>
        <v>14.179566563467494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Production2!Y27</f>
        <v>24</v>
      </c>
      <c r="G34" s="75">
        <f>F34+'24'!G34</f>
        <v>498.27</v>
      </c>
      <c r="H34" s="75">
        <f>F34+'24'!H34</f>
        <v>498.27</v>
      </c>
      <c r="I34" s="77">
        <f>Clinker!EI27</f>
        <v>22083.260088227267</v>
      </c>
      <c r="J34" s="77">
        <f>Clinker!EJ27</f>
        <v>1460</v>
      </c>
      <c r="K34" s="74">
        <f>J34+'24'!K34</f>
        <v>32355</v>
      </c>
      <c r="L34" s="74">
        <f>J34+'24'!L34</f>
        <v>32355</v>
      </c>
      <c r="M34" s="77">
        <f>Clinker!EK27</f>
        <v>995.35000032749997</v>
      </c>
      <c r="N34" s="74">
        <f>M34+'24'!N34</f>
        <v>13088.630011726966</v>
      </c>
      <c r="O34" s="74">
        <f>M34+'24'!O34</f>
        <v>13088.630011726966</v>
      </c>
      <c r="P34" s="74">
        <f>I34+J34-M34-I20</f>
        <v>22547.910087899767</v>
      </c>
      <c r="Q34" s="96">
        <f t="shared" si="6"/>
        <v>60.833333333333336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Production2!AE27</f>
        <v>0</v>
      </c>
      <c r="G35" s="75">
        <f>F35+'24'!G35</f>
        <v>9</v>
      </c>
      <c r="H35" s="75">
        <f>F35+'24'!H35</f>
        <v>9</v>
      </c>
      <c r="I35" s="77">
        <f>Production2!BJ27</f>
        <v>447.79999999999995</v>
      </c>
      <c r="J35" s="77">
        <f>Production2!AF27</f>
        <v>0</v>
      </c>
      <c r="K35" s="74">
        <f>J35+'24'!K35</f>
        <v>574</v>
      </c>
      <c r="L35" s="74">
        <f>J35+'24'!L35</f>
        <v>574</v>
      </c>
      <c r="M35" s="77">
        <f>Production2!BL27</f>
        <v>62</v>
      </c>
      <c r="N35" s="74">
        <f>M35+'24'!N35</f>
        <v>1670.5</v>
      </c>
      <c r="O35" s="74">
        <f>M35+'24'!O35</f>
        <v>1670.5</v>
      </c>
      <c r="P35" s="74">
        <f>I35+J35+J41-M35-F59</f>
        <v>385.79999999999995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Production2!AB27</f>
        <v>0</v>
      </c>
      <c r="G36" s="75">
        <f>F36+'24'!G36</f>
        <v>197.43</v>
      </c>
      <c r="H36" s="75">
        <f>F36+'24'!H36</f>
        <v>197.43</v>
      </c>
      <c r="I36" s="77">
        <f>Production2!BF27</f>
        <v>2196.5279999999798</v>
      </c>
      <c r="J36" s="77">
        <f>Production2!AC27</f>
        <v>0</v>
      </c>
      <c r="K36" s="74">
        <f>J36+'24'!K36</f>
        <v>11919</v>
      </c>
      <c r="L36" s="74">
        <f>J36+'24'!L36</f>
        <v>11919</v>
      </c>
      <c r="M36" s="77">
        <f>Production2!BH27</f>
        <v>797.5</v>
      </c>
      <c r="N36" s="74">
        <f>M36+'24'!N36</f>
        <v>29810.529999999995</v>
      </c>
      <c r="O36" s="589">
        <f>M36+'24'!O36</f>
        <v>29810.529999999995</v>
      </c>
      <c r="P36" s="580">
        <f>I36+J36+J42-M36-F57</f>
        <v>2692.0279999999798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Production2!AH27</f>
        <v>0</v>
      </c>
      <c r="G37" s="75">
        <f>F37+'24'!G37</f>
        <v>0</v>
      </c>
      <c r="H37" s="75">
        <f>F37+'24'!H37</f>
        <v>0</v>
      </c>
      <c r="I37" s="77">
        <f>Production2!BN27</f>
        <v>2.0900000000008498</v>
      </c>
      <c r="J37" s="77">
        <f>Production2!AI27</f>
        <v>0</v>
      </c>
      <c r="K37" s="74">
        <f>J37+'24'!K37</f>
        <v>0</v>
      </c>
      <c r="L37" s="74">
        <f>J37+'24'!L37</f>
        <v>0</v>
      </c>
      <c r="M37" s="77">
        <f>Production2!BP27</f>
        <v>0</v>
      </c>
      <c r="N37" s="589">
        <f>M37+'24'!N37</f>
        <v>-0.15</v>
      </c>
      <c r="O37" s="589">
        <f>M37+'24'!O37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Production2!AK27</f>
        <v>0</v>
      </c>
      <c r="G38" s="75">
        <f>F38+'24'!G38</f>
        <v>0</v>
      </c>
      <c r="H38" s="75">
        <f>F38+'24'!H38</f>
        <v>0</v>
      </c>
      <c r="I38" s="195">
        <f>Production2!BR27</f>
        <v>158.30000000000001</v>
      </c>
      <c r="J38" s="195">
        <v>0</v>
      </c>
      <c r="K38" s="74">
        <f>J38+'24'!K38</f>
        <v>0</v>
      </c>
      <c r="L38" s="74">
        <f>J38+'24'!L38</f>
        <v>0</v>
      </c>
      <c r="M38" s="195">
        <f>Production2!BT27</f>
        <v>60</v>
      </c>
      <c r="N38" s="589">
        <f>M38+'24'!N38</f>
        <v>1605</v>
      </c>
      <c r="O38" s="589">
        <f>M38+'24'!O38</f>
        <v>1605</v>
      </c>
      <c r="P38" s="74">
        <f>I38+J38+J44-M38-F59</f>
        <v>98.300000000000011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82" t="s">
        <v>306</v>
      </c>
      <c r="E39" s="588"/>
      <c r="F39" s="590">
        <f>Production2!AN27</f>
        <v>0</v>
      </c>
      <c r="G39" s="585">
        <f>F39+'23'!G39</f>
        <v>33.85</v>
      </c>
      <c r="H39" s="585">
        <f>F39+'23'!H39</f>
        <v>33.85</v>
      </c>
      <c r="I39" s="586">
        <f>Production2!BV27</f>
        <v>740.59000000000015</v>
      </c>
      <c r="J39" s="586">
        <f>Production2!BW27</f>
        <v>0</v>
      </c>
      <c r="K39" s="587">
        <f>J39+'23'!K39</f>
        <v>2132</v>
      </c>
      <c r="L39" s="587">
        <f>J39+'23'!L39</f>
        <v>2132</v>
      </c>
      <c r="M39" s="586">
        <f>Production2!BX27</f>
        <v>91</v>
      </c>
      <c r="N39" s="589">
        <f>M39+'24'!N39</f>
        <v>4468.12</v>
      </c>
      <c r="O39" s="589">
        <f>M39+'24'!O39</f>
        <v>4468.12</v>
      </c>
      <c r="P39" s="587">
        <f>I39+J39+J45-M39</f>
        <v>649.59000000000015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240.28</v>
      </c>
      <c r="H40" s="132">
        <f t="shared" si="8"/>
        <v>240.28</v>
      </c>
      <c r="I40" s="122">
        <f>I35+I36+I37+I38+I39</f>
        <v>3545.3079999999809</v>
      </c>
      <c r="J40" s="583">
        <f t="shared" ref="J40:P40" si="9">J35+J36+J37+J38+J39</f>
        <v>0</v>
      </c>
      <c r="K40" s="583">
        <f t="shared" si="9"/>
        <v>14625</v>
      </c>
      <c r="L40" s="583">
        <f t="shared" si="9"/>
        <v>14625</v>
      </c>
      <c r="M40" s="583">
        <f t="shared" si="9"/>
        <v>1010.5</v>
      </c>
      <c r="N40" s="583">
        <f t="shared" si="9"/>
        <v>37553.999999999993</v>
      </c>
      <c r="O40" s="583">
        <f t="shared" si="9"/>
        <v>37553.999999999993</v>
      </c>
      <c r="P40" s="583">
        <f t="shared" si="9"/>
        <v>3827.8079999999809</v>
      </c>
      <c r="Q40" s="123" t="e">
        <f t="shared" si="6"/>
        <v>#DIV/0!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Production2!AT27</f>
        <v>0</v>
      </c>
      <c r="G41" s="75">
        <f>F41+'24'!G41</f>
        <v>20.9</v>
      </c>
      <c r="H41" s="75">
        <f>F41+'24'!H41</f>
        <v>20.9</v>
      </c>
      <c r="I41" s="764"/>
      <c r="J41" s="77">
        <f>Production2!AU27</f>
        <v>0</v>
      </c>
      <c r="K41" s="74">
        <f>J41+'24'!K41</f>
        <v>1250</v>
      </c>
      <c r="L41" s="74">
        <f>J41+'24'!L41</f>
        <v>1250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Production2!AQ27</f>
        <v>23.25</v>
      </c>
      <c r="G42" s="75">
        <f>F42+'24'!G42</f>
        <v>334.50000000000006</v>
      </c>
      <c r="H42" s="75">
        <f>F42+'24'!H42</f>
        <v>334.50000000000006</v>
      </c>
      <c r="I42" s="765"/>
      <c r="J42" s="77">
        <f>Production2!AR27</f>
        <v>1293</v>
      </c>
      <c r="K42" s="74">
        <f>J42+'24'!K42</f>
        <v>19305</v>
      </c>
      <c r="L42" s="74">
        <f>J42+'24'!L42</f>
        <v>19305</v>
      </c>
      <c r="M42" s="769"/>
      <c r="N42" s="829"/>
      <c r="O42" s="829"/>
      <c r="P42" s="771"/>
      <c r="Q42" s="96">
        <f t="shared" si="6"/>
        <v>55.612903225806448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Production2!AW27</f>
        <v>0</v>
      </c>
      <c r="G43" s="75">
        <f>F43+'24'!G43</f>
        <v>0</v>
      </c>
      <c r="H43" s="75">
        <f>F43+'24'!H43</f>
        <v>0</v>
      </c>
      <c r="I43" s="765"/>
      <c r="J43" s="77">
        <f>Production2!AX27</f>
        <v>0</v>
      </c>
      <c r="K43" s="74">
        <f>J43+'24'!K43</f>
        <v>0</v>
      </c>
      <c r="L43" s="74">
        <f>J43+'24'!L43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Production2!AZ27</f>
        <v>0</v>
      </c>
      <c r="G44" s="75">
        <f>F44+'24'!G44</f>
        <v>26.880000000000003</v>
      </c>
      <c r="H44" s="75">
        <f>F44+'24'!H44</f>
        <v>26.880000000000003</v>
      </c>
      <c r="I44" s="765"/>
      <c r="J44" s="195">
        <f>Production2!BA27</f>
        <v>0</v>
      </c>
      <c r="K44" s="74">
        <f>J44+'24'!K44</f>
        <v>1490</v>
      </c>
      <c r="L44" s="74">
        <f>J44+'24'!L44</f>
        <v>1490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76" t="s">
        <v>306</v>
      </c>
      <c r="E45" s="581">
        <v>70</v>
      </c>
      <c r="F45" s="577">
        <f>Production2!BC27</f>
        <v>0</v>
      </c>
      <c r="G45" s="578">
        <f>F45+'22'!G45</f>
        <v>44.370000000000005</v>
      </c>
      <c r="H45" s="578">
        <f>F45+'22'!H45</f>
        <v>44.370000000000005</v>
      </c>
      <c r="I45" s="748"/>
      <c r="J45" s="579">
        <f>Production2!BD27</f>
        <v>0</v>
      </c>
      <c r="K45" s="580">
        <f>J45+'22'!K45</f>
        <v>2612</v>
      </c>
      <c r="L45" s="580">
        <f>J45+'22'!L45</f>
        <v>2612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23.25</v>
      </c>
      <c r="G46" s="132">
        <f t="shared" ref="G46:H46" si="10">G41+G42+G43+G44+G45</f>
        <v>426.65000000000003</v>
      </c>
      <c r="H46" s="132">
        <f t="shared" si="10"/>
        <v>426.65000000000003</v>
      </c>
      <c r="I46" s="122"/>
      <c r="J46" s="122">
        <f>J41+J42+J43+J44+J45</f>
        <v>1293</v>
      </c>
      <c r="K46" s="583">
        <f t="shared" ref="K46:L46" si="11">K41+K42+K43+K44+K45</f>
        <v>24657</v>
      </c>
      <c r="L46" s="583">
        <f t="shared" si="11"/>
        <v>24657</v>
      </c>
      <c r="M46" s="836"/>
      <c r="N46" s="837"/>
      <c r="O46" s="837"/>
      <c r="P46" s="838"/>
      <c r="Q46" s="123">
        <f t="shared" si="6"/>
        <v>55.612903225806448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0.69515949044998027</v>
      </c>
      <c r="F50" s="99">
        <f>F53/(J31+J32)</f>
        <v>24.414106631237402</v>
      </c>
      <c r="G50" s="99">
        <v>0</v>
      </c>
      <c r="H50" s="99">
        <f>H53/J34</f>
        <v>35.847260273972601</v>
      </c>
      <c r="I50" s="99">
        <f>I53/J33</f>
        <v>54.633187772925766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15.205479452054796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1.1217779174658584</v>
      </c>
      <c r="F51" s="102">
        <f>F50*1.55</f>
        <v>37.841865278417977</v>
      </c>
      <c r="G51" s="102">
        <f>G50*1.55</f>
        <v>0</v>
      </c>
      <c r="H51" s="102">
        <f>H50</f>
        <v>35.847260273972601</v>
      </c>
      <c r="I51" s="102">
        <f>I50*(Q50/100)</f>
        <v>8.3072381408147411</v>
      </c>
      <c r="J51" s="102"/>
      <c r="K51" s="102"/>
      <c r="L51" s="102"/>
      <c r="M51" s="96"/>
      <c r="N51" s="310">
        <f>SUM(E51:I51)</f>
        <v>83.118141610671188</v>
      </c>
      <c r="O51" s="668" t="s">
        <v>279</v>
      </c>
      <c r="P51" s="668"/>
      <c r="Q51" s="104">
        <v>5360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0.86354342654062211</v>
      </c>
      <c r="F52" s="102">
        <f>F51*M18/100</f>
        <v>29.130626927506992</v>
      </c>
      <c r="G52" s="102">
        <f>G51*M18/100</f>
        <v>0</v>
      </c>
      <c r="H52" s="102">
        <f>H51*M18/100</f>
        <v>27.595182154244856</v>
      </c>
      <c r="I52" s="102">
        <f>I51*M18/100</f>
        <v>6.3949029282138996</v>
      </c>
      <c r="J52" s="99">
        <f>J53/(J40+J46)</f>
        <v>41.131477184841451</v>
      </c>
      <c r="K52" s="99">
        <f>K53/(J46+J40)</f>
        <v>1.2366589327146171</v>
      </c>
      <c r="L52" s="99">
        <f>L53/(M40)</f>
        <v>5.3171697179614048</v>
      </c>
      <c r="M52" s="96">
        <f>M53/(J46+J40)</f>
        <v>4.5467904098994589</v>
      </c>
      <c r="N52" s="310">
        <f>SUM(E52:M52)</f>
        <v>116.21635168192331</v>
      </c>
      <c r="O52" s="668" t="s">
        <v>281</v>
      </c>
      <c r="P52" s="668"/>
      <c r="Q52" s="104">
        <f>Q51*Q50/100</f>
        <v>815.01369863013713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unit'!B27</f>
        <v>2579</v>
      </c>
      <c r="F53" s="118">
        <f>'Daily unit'!C27</f>
        <v>54025</v>
      </c>
      <c r="G53" s="118">
        <f>'Daily unit'!D27</f>
        <v>0</v>
      </c>
      <c r="H53" s="118">
        <f>'Daily unit'!E27</f>
        <v>52337</v>
      </c>
      <c r="I53" s="118">
        <f>'Daily unit'!F27</f>
        <v>12511</v>
      </c>
      <c r="J53" s="118">
        <f>'Daily unit'!G27</f>
        <v>53183</v>
      </c>
      <c r="K53" s="118">
        <f>'Daily unit'!H27</f>
        <v>1599</v>
      </c>
      <c r="L53" s="118">
        <f>'Daily unit'!I27</f>
        <v>5373</v>
      </c>
      <c r="M53" s="119">
        <f>'Daily unit'!J27</f>
        <v>5879</v>
      </c>
      <c r="N53" s="321">
        <f>SUM(E53:M53)</f>
        <v>187486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738" t="s">
        <v>283</v>
      </c>
      <c r="C55" s="739"/>
      <c r="D55" s="739"/>
      <c r="E55" s="739"/>
      <c r="F55" s="739"/>
      <c r="G55" s="739"/>
      <c r="H55" s="740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224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cement'!F27</f>
        <v>0</v>
      </c>
      <c r="G57" s="53">
        <f>F57+'24'!G57</f>
        <v>0</v>
      </c>
      <c r="H57" s="104">
        <f>F57+'24'!H57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99"/>
      <c r="D58" s="800"/>
      <c r="E58" s="80" t="s">
        <v>197</v>
      </c>
      <c r="F58" s="53">
        <f>'Internal use cement'!Q27</f>
        <v>0</v>
      </c>
      <c r="G58" s="53">
        <f>F58+'24'!G58</f>
        <v>0</v>
      </c>
      <c r="H58" s="104">
        <f>F58+'24'!H58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99"/>
      <c r="D59" s="800"/>
      <c r="E59" s="80">
        <v>32.5</v>
      </c>
      <c r="F59" s="53">
        <f>'Internal use cement'!Y27</f>
        <v>0</v>
      </c>
      <c r="G59" s="53">
        <f>F59+'24'!G59</f>
        <v>0</v>
      </c>
      <c r="H59" s="104">
        <f>F59+'24'!H59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01"/>
      <c r="D60" s="802"/>
      <c r="E60" s="112" t="s">
        <v>177</v>
      </c>
      <c r="F60" s="113">
        <f>'Internal use cement'!AJ27</f>
        <v>0</v>
      </c>
      <c r="G60" s="53">
        <f>F60+'24'!G60</f>
        <v>0</v>
      </c>
      <c r="H60" s="104">
        <f>F60+'24'!H60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M41:P45"/>
    <mergeCell ref="I41:I45"/>
    <mergeCell ref="I55:Q60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41:B46"/>
    <mergeCell ref="C41:C46"/>
    <mergeCell ref="O51:P51"/>
    <mergeCell ref="C52:D52"/>
    <mergeCell ref="O52:P52"/>
    <mergeCell ref="C53:D53"/>
    <mergeCell ref="C30:D30"/>
    <mergeCell ref="C31:D31"/>
    <mergeCell ref="C33:D33"/>
    <mergeCell ref="C34:D34"/>
    <mergeCell ref="M46:P46"/>
    <mergeCell ref="O31:O32"/>
    <mergeCell ref="P31:P32"/>
    <mergeCell ref="B48:N48"/>
    <mergeCell ref="O48:Q48"/>
    <mergeCell ref="B35:B40"/>
    <mergeCell ref="C35:C40"/>
    <mergeCell ref="C32:D32"/>
    <mergeCell ref="I31:I32"/>
    <mergeCell ref="M31:M32"/>
    <mergeCell ref="N31:N32"/>
    <mergeCell ref="P6:P7"/>
    <mergeCell ref="Q6:Q7"/>
    <mergeCell ref="P23:Q25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25:D25"/>
    <mergeCell ref="M25:N25"/>
    <mergeCell ref="C8:Q8"/>
    <mergeCell ref="C11:D11"/>
    <mergeCell ref="C12:D12"/>
    <mergeCell ref="C13:D13"/>
    <mergeCell ref="P13:Q13"/>
    <mergeCell ref="O9:O16"/>
    <mergeCell ref="C10:D10"/>
    <mergeCell ref="C9:D9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7:D60"/>
    <mergeCell ref="B57:B60"/>
    <mergeCell ref="C21:D21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</mergeCells>
  <pageMargins left="0" right="0" top="0.75" bottom="0.75" header="0.3" footer="0.3"/>
  <pageSetup paperSize="9" scale="5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B2:U153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5" sqref="S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2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336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9" t="s">
        <v>231</v>
      </c>
      <c r="C6" s="661" t="s">
        <v>232</v>
      </c>
      <c r="D6" s="661" t="s">
        <v>233</v>
      </c>
      <c r="E6" s="661" t="s">
        <v>234</v>
      </c>
      <c r="F6" s="874" t="s">
        <v>235</v>
      </c>
      <c r="G6" s="875"/>
      <c r="H6" s="803"/>
      <c r="I6" s="874" t="s">
        <v>236</v>
      </c>
      <c r="J6" s="875"/>
      <c r="K6" s="803"/>
      <c r="L6" s="661" t="s">
        <v>237</v>
      </c>
      <c r="M6" s="661" t="s">
        <v>289</v>
      </c>
      <c r="N6" s="661" t="s">
        <v>239</v>
      </c>
      <c r="O6" s="662"/>
      <c r="P6" s="661" t="s">
        <v>240</v>
      </c>
      <c r="Q6" s="676"/>
    </row>
    <row r="7" spans="2:21" ht="15.75" thickBot="1" x14ac:dyDescent="0.3">
      <c r="B7" s="889"/>
      <c r="C7" s="726"/>
      <c r="D7" s="726"/>
      <c r="E7" s="726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726"/>
      <c r="M7" s="726"/>
      <c r="N7" s="726"/>
      <c r="O7" s="868"/>
      <c r="P7" s="726"/>
      <c r="Q7" s="731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680" t="s">
        <v>244</v>
      </c>
      <c r="D9" s="681"/>
      <c r="E9" s="74">
        <f>'25'!L9</f>
        <v>20628.431704462299</v>
      </c>
      <c r="F9" s="74">
        <f>Production2!D28</f>
        <v>3091</v>
      </c>
      <c r="G9" s="74">
        <f>F9+'25'!G9</f>
        <v>61159.880000000005</v>
      </c>
      <c r="H9" s="74">
        <f>F9+'25'!H9</f>
        <v>61159.880000000005</v>
      </c>
      <c r="I9" s="74">
        <f>Production2!E28</f>
        <v>2634</v>
      </c>
      <c r="J9" s="74">
        <f>I9+'25'!J9</f>
        <v>55885</v>
      </c>
      <c r="K9" s="74">
        <f>I9+'25'!K9</f>
        <v>55885</v>
      </c>
      <c r="L9" s="74">
        <f>E9+F9-I9-I21</f>
        <v>20726.681704462299</v>
      </c>
      <c r="M9" s="75">
        <f>I9</f>
        <v>2634</v>
      </c>
      <c r="N9" s="75">
        <f>(I9/I13)*100</f>
        <v>97.195571955719558</v>
      </c>
      <c r="O9" s="866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80" t="s">
        <v>30</v>
      </c>
      <c r="D10" s="681"/>
      <c r="E10" s="77">
        <f>'Mines (2)'!L28</f>
        <v>1239.5</v>
      </c>
      <c r="F10" s="77">
        <f>'Mines (2)'!M28</f>
        <v>0</v>
      </c>
      <c r="G10" s="74">
        <f>F10+'25'!G10</f>
        <v>1351.4600000000003</v>
      </c>
      <c r="H10" s="74">
        <f>F10+'25'!H10</f>
        <v>1351.4600000000003</v>
      </c>
      <c r="I10" s="77">
        <f>'Mines (2)'!N28</f>
        <v>27</v>
      </c>
      <c r="J10" s="74">
        <f>I10+'25'!J10</f>
        <v>263</v>
      </c>
      <c r="K10" s="74">
        <f>I10+'25'!K10</f>
        <v>263</v>
      </c>
      <c r="L10" s="77">
        <f t="shared" ref="L10:L13" si="0">E10+F10-I10</f>
        <v>1212.5</v>
      </c>
      <c r="M10" s="75">
        <f t="shared" ref="M10:M12" si="1">I10</f>
        <v>27</v>
      </c>
      <c r="N10" s="75">
        <f>(I10/I13)*100</f>
        <v>0.99630996309963105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80" t="s">
        <v>32</v>
      </c>
      <c r="D11" s="681"/>
      <c r="E11" s="77">
        <f>Clinker!C28</f>
        <v>4241.4799999999996</v>
      </c>
      <c r="F11" s="77">
        <f>Clinker!D28</f>
        <v>0</v>
      </c>
      <c r="G11" s="74">
        <f>F11+'25'!G11</f>
        <v>32.840000000000003</v>
      </c>
      <c r="H11" s="74">
        <f>F11+'25'!H11</f>
        <v>32.840000000000003</v>
      </c>
      <c r="I11" s="77">
        <f>Clinker!E28</f>
        <v>41</v>
      </c>
      <c r="J11" s="74">
        <f>I11+'25'!J11</f>
        <v>1198</v>
      </c>
      <c r="K11" s="74">
        <f>I11+'25'!K11</f>
        <v>1198</v>
      </c>
      <c r="L11" s="77">
        <f t="shared" si="0"/>
        <v>4200.4799999999996</v>
      </c>
      <c r="M11" s="75">
        <f t="shared" si="1"/>
        <v>41</v>
      </c>
      <c r="N11" s="75">
        <f>(I11/I13)*100</f>
        <v>1.5129151291512914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80" t="s">
        <v>245</v>
      </c>
      <c r="D12" s="681"/>
      <c r="E12" s="77">
        <f>'Mines (2)'!Q28</f>
        <v>356.03999999999996</v>
      </c>
      <c r="F12" s="77">
        <f>'Mines (2)'!R28</f>
        <v>0</v>
      </c>
      <c r="G12" s="74">
        <f>F12+'25'!G12</f>
        <v>137.76</v>
      </c>
      <c r="H12" s="74">
        <f>F12+'25'!H12</f>
        <v>137.76</v>
      </c>
      <c r="I12" s="77">
        <f>'Mines (2)'!S28</f>
        <v>8</v>
      </c>
      <c r="J12" s="74">
        <f>I12+'25'!J12</f>
        <v>390</v>
      </c>
      <c r="K12" s="74">
        <f>I12+'25'!K12</f>
        <v>390</v>
      </c>
      <c r="L12" s="77">
        <f t="shared" si="0"/>
        <v>348.03999999999996</v>
      </c>
      <c r="M12" s="75">
        <f t="shared" si="1"/>
        <v>8</v>
      </c>
      <c r="N12" s="75">
        <f>(I12/I13)*100</f>
        <v>0.29520295202952029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864" t="s">
        <v>246</v>
      </c>
      <c r="D13" s="865"/>
      <c r="E13" s="127">
        <f t="shared" ref="E13:K13" si="2">SUM(E9:E12)</f>
        <v>26465.451704462299</v>
      </c>
      <c r="F13" s="127">
        <f t="shared" si="2"/>
        <v>3091</v>
      </c>
      <c r="G13" s="127">
        <f t="shared" si="2"/>
        <v>62681.94</v>
      </c>
      <c r="H13" s="127">
        <f t="shared" si="2"/>
        <v>62681.94</v>
      </c>
      <c r="I13" s="127">
        <f t="shared" si="2"/>
        <v>2710</v>
      </c>
      <c r="J13" s="127">
        <f t="shared" si="2"/>
        <v>57736</v>
      </c>
      <c r="K13" s="127">
        <f t="shared" si="2"/>
        <v>57736</v>
      </c>
      <c r="L13" s="127">
        <f t="shared" si="0"/>
        <v>26846.451704462299</v>
      </c>
      <c r="M13" s="128">
        <f>SUM(M9:M12)</f>
        <v>2710</v>
      </c>
      <c r="N13" s="128">
        <f>SUM(N9:N12)</f>
        <v>100.00000000000001</v>
      </c>
      <c r="O13" s="667"/>
      <c r="P13" s="665"/>
      <c r="Q13" s="666"/>
    </row>
    <row r="14" spans="2:21" x14ac:dyDescent="0.25">
      <c r="B14" s="753">
        <v>6</v>
      </c>
      <c r="C14" s="679" t="s">
        <v>247</v>
      </c>
      <c r="D14" s="80" t="s">
        <v>69</v>
      </c>
      <c r="E14" s="77">
        <f>Clinker!EA28</f>
        <v>9958.4669999999896</v>
      </c>
      <c r="F14" s="77">
        <f>Clinker!EB28</f>
        <v>0</v>
      </c>
      <c r="G14" s="77">
        <f>F14+'25'!G14</f>
        <v>181.5</v>
      </c>
      <c r="H14" s="77">
        <f>F14+'25'!H14</f>
        <v>181.5</v>
      </c>
      <c r="I14" s="77">
        <f>Clinker!EC28</f>
        <v>268</v>
      </c>
      <c r="J14" s="77">
        <f>I14+'25'!J14</f>
        <v>5771.3</v>
      </c>
      <c r="K14" s="77">
        <f>I14+'25'!K14</f>
        <v>5771.3</v>
      </c>
      <c r="L14" s="77">
        <f>E14+F14-I14-Clinker!N28-Clinker!Z28-Clinker!AR28-Clinker!AW28-Clinker!BB28-Clinker!BV28-Clinker!BG28-Clinker!BL28-Clinker!BQ28-Clinker!CU28</f>
        <v>9613.4669999999896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754"/>
      <c r="C15" s="685"/>
      <c r="D15" s="80" t="s">
        <v>68</v>
      </c>
      <c r="E15" s="77">
        <f>Clinker!EE28</f>
        <v>10312.699999999997</v>
      </c>
      <c r="F15" s="77">
        <f>Clinker!EF28</f>
        <v>0</v>
      </c>
      <c r="G15" s="77">
        <f>F15+'25'!G15</f>
        <v>155.05000000000001</v>
      </c>
      <c r="H15" s="77">
        <f>F15+'25'!H15</f>
        <v>155.05000000000001</v>
      </c>
      <c r="I15" s="77">
        <f>Clinker!EG28</f>
        <v>140</v>
      </c>
      <c r="J15" s="77">
        <f>I15+'25'!J15</f>
        <v>3322</v>
      </c>
      <c r="K15" s="77">
        <f>I15+'25'!K15</f>
        <v>3322</v>
      </c>
      <c r="L15" s="77">
        <f>E15+F15-Clinker!AE28-Clinker!AI28-Clinker!CK28-Clinker!CP28-Clinker!CF28</f>
        <v>10249.699999999997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855"/>
      <c r="C16" s="686"/>
      <c r="D16" s="124" t="s">
        <v>152</v>
      </c>
      <c r="E16" s="125">
        <f>E14+E15</f>
        <v>20271.166999999987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 t="shared" si="3"/>
        <v>408</v>
      </c>
      <c r="J16" s="125">
        <f>J14+J15</f>
        <v>9093.2999999999993</v>
      </c>
      <c r="K16" s="125">
        <f t="shared" si="3"/>
        <v>9093.2999999999993</v>
      </c>
      <c r="L16" s="125">
        <f>E16+F16-I16</f>
        <v>19863.166999999987</v>
      </c>
      <c r="M16" s="126"/>
      <c r="N16" s="126"/>
      <c r="O16" s="8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753">
        <v>7</v>
      </c>
      <c r="C18" s="679" t="s">
        <v>249</v>
      </c>
      <c r="D18" s="85" t="s">
        <v>250</v>
      </c>
      <c r="E18" s="74">
        <f>Clinker!EI28</f>
        <v>22547.910087899767</v>
      </c>
      <c r="F18" s="74">
        <f>Clinker!EJ28</f>
        <v>1590</v>
      </c>
      <c r="G18" s="74">
        <f>F18+'25'!G18</f>
        <v>33945</v>
      </c>
      <c r="H18" s="74">
        <f>F18+'25'!H18</f>
        <v>33945</v>
      </c>
      <c r="I18" s="74">
        <f>Clinker!EK28</f>
        <v>1588.7500000000009</v>
      </c>
      <c r="J18" s="74">
        <f>I18+'25'!J18</f>
        <v>14677.380011726967</v>
      </c>
      <c r="K18" s="74">
        <f>I18+'25'!K18</f>
        <v>14677.380011726967</v>
      </c>
      <c r="L18" s="74">
        <f>E18+F18-I18-I20</f>
        <v>22549.160087899767</v>
      </c>
      <c r="M18" s="704">
        <f>((I18+I19)/(J40+J46))*100</f>
        <v>77.500000000000043</v>
      </c>
      <c r="N18" s="876"/>
      <c r="O18" s="878"/>
      <c r="P18" s="698"/>
      <c r="Q18" s="699"/>
      <c r="R18" s="190"/>
      <c r="S18" s="190"/>
    </row>
    <row r="19" spans="2:19" ht="30" x14ac:dyDescent="0.25">
      <c r="B19" s="754"/>
      <c r="C19" s="685"/>
      <c r="D19" s="85" t="s">
        <v>75</v>
      </c>
      <c r="E19" s="74">
        <f>Clinker!EN28</f>
        <v>3496.2690080001362</v>
      </c>
      <c r="F19" s="74">
        <f>Clinker!EO28</f>
        <v>0</v>
      </c>
      <c r="G19" s="74">
        <f>F19+'25'!G19</f>
        <v>11580.820000000002</v>
      </c>
      <c r="H19" s="74">
        <f>F19+'25'!H19</f>
        <v>11580.820000000002</v>
      </c>
      <c r="I19" s="74">
        <f>Clinker!EP28</f>
        <v>0</v>
      </c>
      <c r="J19" s="74">
        <f>I19+'25'!J19</f>
        <v>16934.099999999999</v>
      </c>
      <c r="K19" s="74">
        <f>I19+'25'!K19</f>
        <v>16934.099999999999</v>
      </c>
      <c r="L19" s="74">
        <f>E19+F19-I19</f>
        <v>3496.2690080001362</v>
      </c>
      <c r="M19" s="705"/>
      <c r="N19" s="877"/>
      <c r="O19" s="689"/>
      <c r="P19" s="691"/>
      <c r="Q19" s="692"/>
      <c r="R19" s="190"/>
      <c r="S19" s="20"/>
    </row>
    <row r="20" spans="2:19" ht="30" x14ac:dyDescent="0.25">
      <c r="B20" s="855"/>
      <c r="C20" s="686"/>
      <c r="D20" s="86" t="s">
        <v>251</v>
      </c>
      <c r="E20" s="77"/>
      <c r="F20" s="77">
        <v>0</v>
      </c>
      <c r="G20" s="74">
        <v>0</v>
      </c>
      <c r="H20" s="74">
        <f>F20+'25'!H20</f>
        <v>0</v>
      </c>
      <c r="I20" s="77">
        <f>Clinker!EM28</f>
        <v>0</v>
      </c>
      <c r="J20" s="74">
        <f>I20+'25'!J20</f>
        <v>0</v>
      </c>
      <c r="K20" s="74">
        <f>I20+'25'!K20</f>
        <v>0</v>
      </c>
      <c r="L20" s="74"/>
      <c r="M20" s="78"/>
      <c r="N20" s="687"/>
      <c r="O20" s="689"/>
      <c r="P20" s="693"/>
      <c r="Q20" s="694"/>
      <c r="R20" s="20"/>
      <c r="S20" s="20"/>
    </row>
    <row r="21" spans="2:19" x14ac:dyDescent="0.25">
      <c r="B21" s="230">
        <v>8</v>
      </c>
      <c r="C21" s="776" t="s">
        <v>244</v>
      </c>
      <c r="D21" s="777"/>
      <c r="E21" s="77">
        <f>Cement!O28</f>
        <v>0</v>
      </c>
      <c r="F21" s="77">
        <f>Cement!P28</f>
        <v>0</v>
      </c>
      <c r="G21" s="74">
        <f>F21+'25'!G21</f>
        <v>0</v>
      </c>
      <c r="H21" s="74">
        <f>F21+'25'!H21</f>
        <v>0</v>
      </c>
      <c r="I21" s="77">
        <f>Cement!Q28</f>
        <v>358.74999999999909</v>
      </c>
      <c r="J21" s="74">
        <f>I21+'25'!J21</f>
        <v>7653.0699927215364</v>
      </c>
      <c r="K21" s="74">
        <f>I21+'25'!K21</f>
        <v>7653.0699927215364</v>
      </c>
      <c r="L21" s="74"/>
      <c r="M21" s="78">
        <f>(I21/(J40+J46))*100</f>
        <v>17.499999999999954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776" t="s">
        <v>252</v>
      </c>
      <c r="D22" s="777"/>
      <c r="E22" s="77">
        <f>Cement!C28</f>
        <v>7390.6900635982802</v>
      </c>
      <c r="F22" s="77">
        <f>Cement!D28</f>
        <v>0</v>
      </c>
      <c r="G22" s="74">
        <f>F22+'25'!G22</f>
        <v>1910.26</v>
      </c>
      <c r="H22" s="74">
        <f>F22+'25'!H22</f>
        <v>1910.26</v>
      </c>
      <c r="I22" s="77">
        <f>Cement!E28</f>
        <v>102.5</v>
      </c>
      <c r="J22" s="74">
        <f>I22+'25'!J22</f>
        <v>2067.4499955514993</v>
      </c>
      <c r="K22" s="74">
        <f>I22+'25'!K22</f>
        <v>2067.4499955514993</v>
      </c>
      <c r="L22" s="74">
        <f t="shared" ref="L22:L24" si="4">E22+F22-I22</f>
        <v>7288.1900635982802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753">
        <v>10</v>
      </c>
      <c r="C23" s="679" t="s">
        <v>253</v>
      </c>
      <c r="D23" s="76" t="s">
        <v>254</v>
      </c>
      <c r="E23" s="77">
        <f>Cement!G28</f>
        <v>0.23999999999796273</v>
      </c>
      <c r="F23" s="77">
        <f>Cement!H28</f>
        <v>0</v>
      </c>
      <c r="G23" s="74">
        <f>F23+'25'!G23</f>
        <v>0</v>
      </c>
      <c r="H23" s="74">
        <f>F23+'25'!H23</f>
        <v>0</v>
      </c>
      <c r="I23" s="77">
        <f>Cement!I28</f>
        <v>0</v>
      </c>
      <c r="J23" s="74">
        <f>I23+'25'!J23</f>
        <v>0</v>
      </c>
      <c r="K23" s="74">
        <f>I23+'25'!K23</f>
        <v>0</v>
      </c>
      <c r="L23" s="74">
        <f t="shared" si="4"/>
        <v>0.23999999999796273</v>
      </c>
      <c r="M23" s="856"/>
      <c r="N23" s="857"/>
      <c r="O23" s="689"/>
      <c r="P23" s="698"/>
      <c r="Q23" s="699"/>
      <c r="R23" s="83"/>
      <c r="S23" s="236"/>
    </row>
    <row r="24" spans="2:19" x14ac:dyDescent="0.25">
      <c r="B24" s="855"/>
      <c r="C24" s="686"/>
      <c r="D24" s="76" t="s">
        <v>255</v>
      </c>
      <c r="E24" s="77">
        <f>Cement!K28</f>
        <v>0</v>
      </c>
      <c r="F24" s="77">
        <f>Cement!L28</f>
        <v>0</v>
      </c>
      <c r="G24" s="74">
        <f>F24+'25'!G24</f>
        <v>0</v>
      </c>
      <c r="H24" s="74">
        <f>F24+'25'!H24</f>
        <v>0</v>
      </c>
      <c r="I24" s="77">
        <f>Cement!M28</f>
        <v>0</v>
      </c>
      <c r="J24" s="74">
        <f>I24+'25'!J24</f>
        <v>0</v>
      </c>
      <c r="K24" s="74">
        <f>I24+'25'!K24</f>
        <v>0</v>
      </c>
      <c r="L24" s="74">
        <f t="shared" si="4"/>
        <v>0</v>
      </c>
      <c r="M24" s="858"/>
      <c r="N24" s="859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860" t="s">
        <v>256</v>
      </c>
      <c r="D25" s="861"/>
      <c r="E25" s="122">
        <f>E18+E19+E21+E22+E23+E24</f>
        <v>33435.109159498184</v>
      </c>
      <c r="F25" s="122">
        <f t="shared" ref="F25:I25" si="5">F18+F19+F21+F22+F23+F24</f>
        <v>1590</v>
      </c>
      <c r="G25" s="122">
        <f t="shared" si="5"/>
        <v>47436.08</v>
      </c>
      <c r="H25" s="122">
        <f t="shared" si="5"/>
        <v>47436.08</v>
      </c>
      <c r="I25" s="122">
        <f t="shared" si="5"/>
        <v>2050</v>
      </c>
      <c r="J25" s="122">
        <f>J18+J19+J21+J22+J23+J24</f>
        <v>41332</v>
      </c>
      <c r="K25" s="122">
        <f>K18+K19+K21+K22+K23+K24</f>
        <v>41332</v>
      </c>
      <c r="L25" s="122">
        <f>L18+L19+L21+L22+L23+L24</f>
        <v>33333.859159498184</v>
      </c>
      <c r="M25" s="862"/>
      <c r="N25" s="863"/>
      <c r="O25" s="690"/>
      <c r="P25" s="700"/>
      <c r="Q25" s="701"/>
      <c r="R25" s="83"/>
      <c r="S25" s="83"/>
    </row>
    <row r="26" spans="2:19" ht="14.45" customHeight="1" thickBot="1" x14ac:dyDescent="0.3">
      <c r="B26" s="830"/>
      <c r="C26" s="831"/>
      <c r="D26" s="831"/>
      <c r="E26" s="831"/>
      <c r="F26" s="831"/>
      <c r="G26" s="831"/>
      <c r="H26" s="831"/>
      <c r="I26" s="831"/>
      <c r="J26" s="831"/>
      <c r="K26" s="831"/>
      <c r="L26" s="831"/>
      <c r="M26" s="831"/>
      <c r="N26" s="831"/>
      <c r="O26" s="831"/>
      <c r="P26" s="831"/>
      <c r="Q26" s="832"/>
      <c r="R26" s="83"/>
      <c r="S26" s="83"/>
    </row>
    <row r="27" spans="2:19" ht="15" customHeight="1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659" t="s">
        <v>231</v>
      </c>
      <c r="C28" s="869" t="s">
        <v>258</v>
      </c>
      <c r="D28" s="870"/>
      <c r="E28" s="134" t="s">
        <v>259</v>
      </c>
      <c r="F28" s="871" t="s">
        <v>260</v>
      </c>
      <c r="G28" s="872"/>
      <c r="H28" s="873"/>
      <c r="I28" s="661" t="s">
        <v>261</v>
      </c>
      <c r="J28" s="874" t="s">
        <v>35</v>
      </c>
      <c r="K28" s="875"/>
      <c r="L28" s="803"/>
      <c r="M28" s="874" t="s">
        <v>34</v>
      </c>
      <c r="N28" s="875"/>
      <c r="O28" s="803"/>
      <c r="P28" s="661" t="s">
        <v>237</v>
      </c>
      <c r="Q28" s="676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879" t="s">
        <v>263</v>
      </c>
      <c r="D30" s="880"/>
      <c r="E30" s="92">
        <v>250</v>
      </c>
      <c r="F30" s="75">
        <f>Production2!C28</f>
        <v>21.8</v>
      </c>
      <c r="G30" s="75">
        <f>F30+'25'!G30</f>
        <v>363.20000000000005</v>
      </c>
      <c r="H30" s="75">
        <f>F30+'25'!H30</f>
        <v>363.20000000000005</v>
      </c>
      <c r="I30" s="74">
        <f>'Mines (2)'!C28+'Mines (2)'!H28+'Mines (2)'!V28+'Mines (2)'!Z28+'Mines (2)'!AD28</f>
        <v>20628.431704462302</v>
      </c>
      <c r="J30" s="74">
        <f>Production2!D28</f>
        <v>3091</v>
      </c>
      <c r="K30" s="74">
        <f>J30+'25'!K30</f>
        <v>61159.880000000005</v>
      </c>
      <c r="L30" s="74">
        <f>J30+'25'!L30</f>
        <v>61159.880000000005</v>
      </c>
      <c r="M30" s="74">
        <f>I9+I21</f>
        <v>2992.7499999999991</v>
      </c>
      <c r="N30" s="75">
        <f>M30+'25'!N30</f>
        <v>63538.069992721546</v>
      </c>
      <c r="O30" s="74">
        <f>M30+'25'!O30</f>
        <v>63538.069992721546</v>
      </c>
      <c r="P30" s="74">
        <f>I30+J30-M30</f>
        <v>20726.681704462302</v>
      </c>
      <c r="Q30" s="93">
        <f>J30/F30</f>
        <v>141.78899082568807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Production2!G28</f>
        <v>19.22</v>
      </c>
      <c r="G31" s="75">
        <f>F31+'25'!G31</f>
        <v>410.17999999999995</v>
      </c>
      <c r="H31" s="75">
        <f>F31+'25'!H31</f>
        <v>410.17999999999995</v>
      </c>
      <c r="I31" s="747">
        <f>Production2!H28</f>
        <v>1397.8700168375194</v>
      </c>
      <c r="J31" s="78">
        <f>Production2!N28</f>
        <v>2325</v>
      </c>
      <c r="K31" s="74">
        <f>J31+'25'!K31</f>
        <v>49073.15</v>
      </c>
      <c r="L31" s="74">
        <f>J31+'25'!L31</f>
        <v>49073.15</v>
      </c>
      <c r="M31" s="747">
        <f>Production2!K28</f>
        <v>2464.5</v>
      </c>
      <c r="N31" s="747">
        <f>M31+'25'!N31</f>
        <v>52614.75</v>
      </c>
      <c r="O31" s="747">
        <f>M31+'25'!O31</f>
        <v>52614.75</v>
      </c>
      <c r="P31" s="747">
        <f>I31+J31+J32-M31</f>
        <v>1373.6000168375194</v>
      </c>
      <c r="Q31" s="96">
        <f t="shared" ref="Q31:Q46" si="6">J31/F31</f>
        <v>120.96774193548387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Production2!P28</f>
        <v>14</v>
      </c>
      <c r="G32" s="75">
        <f>F32+'25'!G32</f>
        <v>324.78999999999996</v>
      </c>
      <c r="H32" s="75">
        <f>F32+'25'!H32</f>
        <v>324.78999999999996</v>
      </c>
      <c r="I32" s="748"/>
      <c r="J32" s="78">
        <f>Production2!Q28</f>
        <v>115.23</v>
      </c>
      <c r="K32" s="74">
        <f>J32+'25'!K32</f>
        <v>2921.47</v>
      </c>
      <c r="L32" s="74">
        <f>J32+'25'!L32</f>
        <v>2921.47</v>
      </c>
      <c r="M32" s="748"/>
      <c r="N32" s="748"/>
      <c r="O32" s="748"/>
      <c r="P32" s="748"/>
      <c r="Q32" s="96">
        <f>J32/F32</f>
        <v>8.2307142857142868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Production2!S28</f>
        <v>16.37</v>
      </c>
      <c r="G33" s="75">
        <f>F33+'25'!G33</f>
        <v>376.07</v>
      </c>
      <c r="H33" s="75">
        <f>F33+'25'!H33</f>
        <v>376.07</v>
      </c>
      <c r="I33" s="77">
        <f>Production2!T28</f>
        <v>58.509999999999991</v>
      </c>
      <c r="J33" s="77">
        <f>Production2!U28</f>
        <v>241.2</v>
      </c>
      <c r="K33" s="74">
        <f>J33+'25'!K33</f>
        <v>5194.2</v>
      </c>
      <c r="L33" s="74">
        <f>J33+'25'!L33</f>
        <v>5194.2</v>
      </c>
      <c r="M33" s="77">
        <f>Production2!V28</f>
        <v>240</v>
      </c>
      <c r="N33" s="74">
        <f>M33+'25'!N33</f>
        <v>5150</v>
      </c>
      <c r="O33" s="74">
        <f>M33+'25'!O33</f>
        <v>5150</v>
      </c>
      <c r="P33" s="74">
        <f t="shared" ref="P33" si="7">I33+J33-M33</f>
        <v>59.70999999999998</v>
      </c>
      <c r="Q33" s="96">
        <f t="shared" si="6"/>
        <v>14.734270006108733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Production2!Y28</f>
        <v>24</v>
      </c>
      <c r="G34" s="75">
        <f>F34+'25'!G34</f>
        <v>522.27</v>
      </c>
      <c r="H34" s="75">
        <f>F34+'25'!H34</f>
        <v>522.27</v>
      </c>
      <c r="I34" s="77">
        <f>Clinker!EI28</f>
        <v>22547.910087899767</v>
      </c>
      <c r="J34" s="77">
        <f>Clinker!EJ28</f>
        <v>1590</v>
      </c>
      <c r="K34" s="74">
        <f>J34+'25'!K34</f>
        <v>33945</v>
      </c>
      <c r="L34" s="74">
        <f>J34+'25'!L34</f>
        <v>33945</v>
      </c>
      <c r="M34" s="77">
        <f>Clinker!EK28</f>
        <v>1588.7500000000009</v>
      </c>
      <c r="N34" s="74">
        <f>M34+'25'!N34</f>
        <v>14677.380011726967</v>
      </c>
      <c r="O34" s="74">
        <f>M34+'25'!O34</f>
        <v>14677.380011726967</v>
      </c>
      <c r="P34" s="74">
        <f>I34+J34-M34-I20</f>
        <v>22549.160087899767</v>
      </c>
      <c r="Q34" s="96">
        <f t="shared" si="6"/>
        <v>66.25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Production2!AE28</f>
        <v>0</v>
      </c>
      <c r="G35" s="75">
        <f>F35+'25'!G35</f>
        <v>9</v>
      </c>
      <c r="H35" s="75">
        <f>F35+'25'!H35</f>
        <v>9</v>
      </c>
      <c r="I35" s="77">
        <f>Production2!BJ28</f>
        <v>385.79999999999995</v>
      </c>
      <c r="J35" s="77">
        <f>Production2!AF28</f>
        <v>0</v>
      </c>
      <c r="K35" s="74">
        <f>J35+'25'!K35</f>
        <v>574</v>
      </c>
      <c r="L35" s="74">
        <f>J35+'25'!L35</f>
        <v>574</v>
      </c>
      <c r="M35" s="77">
        <f>Production2!BL28</f>
        <v>350</v>
      </c>
      <c r="N35" s="74">
        <f>M35+'25'!N35</f>
        <v>2020.5</v>
      </c>
      <c r="O35" s="74">
        <f>M35+'25'!O35</f>
        <v>2020.5</v>
      </c>
      <c r="P35" s="74">
        <f>I35+J35+J41-M35-F59</f>
        <v>335.79999999999995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Production2!AB28</f>
        <v>4.3</v>
      </c>
      <c r="G36" s="75">
        <f>F36+'25'!G36</f>
        <v>201.73000000000002</v>
      </c>
      <c r="H36" s="75">
        <f>F36+'25'!H36</f>
        <v>201.73000000000002</v>
      </c>
      <c r="I36" s="77">
        <f>Production2!BF28</f>
        <v>2692.0279999999798</v>
      </c>
      <c r="J36" s="77">
        <f>Production2!AC28</f>
        <v>240</v>
      </c>
      <c r="K36" s="74">
        <f>J36+'25'!K36</f>
        <v>12159</v>
      </c>
      <c r="L36" s="74">
        <f>J36+'25'!L36</f>
        <v>12159</v>
      </c>
      <c r="M36" s="77">
        <f>Production2!BH28</f>
        <v>1375.5</v>
      </c>
      <c r="N36" s="74">
        <f>M36+'25'!N36</f>
        <v>31186.029999999995</v>
      </c>
      <c r="O36" s="589">
        <f>M36+'25'!O36</f>
        <v>31186.029999999995</v>
      </c>
      <c r="P36" s="74">
        <f>I36+J36+J42-M36-F57</f>
        <v>2446.5279999999798</v>
      </c>
      <c r="Q36" s="96">
        <f t="shared" si="6"/>
        <v>55.813953488372093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Production2!AH28</f>
        <v>0</v>
      </c>
      <c r="G37" s="75">
        <f>F37+'25'!G37</f>
        <v>0</v>
      </c>
      <c r="H37" s="75">
        <f>F37+'25'!H37</f>
        <v>0</v>
      </c>
      <c r="I37" s="77">
        <f>Production2!BN28</f>
        <v>2.0900000000008498</v>
      </c>
      <c r="J37" s="77">
        <f>Production2!AI28</f>
        <v>0</v>
      </c>
      <c r="K37" s="74">
        <f>J37+'25'!K37</f>
        <v>0</v>
      </c>
      <c r="L37" s="74">
        <f>J37+'25'!L37</f>
        <v>0</v>
      </c>
      <c r="M37" s="77">
        <f>Production2!BP28</f>
        <v>0</v>
      </c>
      <c r="N37" s="589">
        <f>M37+'25'!N37</f>
        <v>-0.15</v>
      </c>
      <c r="O37" s="589">
        <f>M37+'25'!O37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Production2!AK28</f>
        <v>0</v>
      </c>
      <c r="G38" s="75">
        <f>F38+'25'!G38</f>
        <v>0</v>
      </c>
      <c r="H38" s="75">
        <f>F38+'25'!H38</f>
        <v>0</v>
      </c>
      <c r="I38" s="195">
        <f>Production2!BR28</f>
        <v>98.300000000000011</v>
      </c>
      <c r="J38" s="77">
        <v>0</v>
      </c>
      <c r="K38" s="74">
        <f>J38+'25'!K38</f>
        <v>0</v>
      </c>
      <c r="L38" s="74">
        <f>J38+'25'!L38</f>
        <v>0</v>
      </c>
      <c r="M38" s="195">
        <f>Production2!BT28</f>
        <v>61</v>
      </c>
      <c r="N38" s="589">
        <f>M38+'25'!N38</f>
        <v>1666</v>
      </c>
      <c r="O38" s="589">
        <f>M38+'25'!O38</f>
        <v>1666</v>
      </c>
      <c r="P38" s="74">
        <f>I38+J38+J44-M38-F59</f>
        <v>257.3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82" t="s">
        <v>306</v>
      </c>
      <c r="E39" s="588"/>
      <c r="F39" s="590">
        <f>Production2!AN28</f>
        <v>6.8</v>
      </c>
      <c r="G39" s="585">
        <f>F39+'23'!G39</f>
        <v>40.65</v>
      </c>
      <c r="H39" s="585">
        <f>F39+'23'!H39</f>
        <v>40.65</v>
      </c>
      <c r="I39" s="586">
        <f>Production2!BV28</f>
        <v>649.59000000000015</v>
      </c>
      <c r="J39" s="586">
        <f>Production2!BW28</f>
        <v>400</v>
      </c>
      <c r="K39" s="587">
        <f>J39+'23'!K39</f>
        <v>2532</v>
      </c>
      <c r="L39" s="587">
        <f>J39+'23'!L39</f>
        <v>2532</v>
      </c>
      <c r="M39" s="586">
        <f>Production2!BX28</f>
        <v>239.88</v>
      </c>
      <c r="N39" s="589">
        <f>M39+'25'!N39</f>
        <v>4708</v>
      </c>
      <c r="O39" s="589">
        <f>M39+'25'!O39</f>
        <v>4708</v>
      </c>
      <c r="P39" s="587">
        <f>I39+J39+J45-M39</f>
        <v>809.71000000000015</v>
      </c>
      <c r="Q39" s="96">
        <f t="shared" si="6"/>
        <v>58.82352941176471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11.1</v>
      </c>
      <c r="G40" s="132">
        <f t="shared" ref="G40:H40" si="8">G35+G36+G37+G38+G39</f>
        <v>251.38000000000002</v>
      </c>
      <c r="H40" s="132">
        <f t="shared" si="8"/>
        <v>251.38000000000002</v>
      </c>
      <c r="I40" s="122">
        <f>I35+I36+I37+I38+I39</f>
        <v>3827.8079999999809</v>
      </c>
      <c r="J40" s="583">
        <f t="shared" ref="J40:P40" si="9">J35+J36+J37+J38+J39</f>
        <v>640</v>
      </c>
      <c r="K40" s="583">
        <f t="shared" si="9"/>
        <v>15265</v>
      </c>
      <c r="L40" s="583">
        <f t="shared" si="9"/>
        <v>15265</v>
      </c>
      <c r="M40" s="583">
        <f t="shared" si="9"/>
        <v>2026.38</v>
      </c>
      <c r="N40" s="583">
        <f t="shared" si="9"/>
        <v>39580.379999999997</v>
      </c>
      <c r="O40" s="583">
        <f t="shared" si="9"/>
        <v>39580.379999999997</v>
      </c>
      <c r="P40" s="583">
        <f t="shared" si="9"/>
        <v>3851.4279999999808</v>
      </c>
      <c r="Q40" s="123">
        <f t="shared" si="6"/>
        <v>57.657657657657658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Production2!AT28</f>
        <v>5</v>
      </c>
      <c r="G41" s="75">
        <f>F41+'25'!G41</f>
        <v>25.9</v>
      </c>
      <c r="H41" s="75">
        <f>F41+'25'!H41</f>
        <v>25.9</v>
      </c>
      <c r="I41" s="764"/>
      <c r="J41" s="77">
        <f>Production2!AU28</f>
        <v>300</v>
      </c>
      <c r="K41" s="74">
        <f>J41+'25'!K41</f>
        <v>1550</v>
      </c>
      <c r="L41" s="74">
        <f>J41+'25'!L41</f>
        <v>1550</v>
      </c>
      <c r="M41" s="766"/>
      <c r="N41" s="767"/>
      <c r="O41" s="767"/>
      <c r="P41" s="768"/>
      <c r="Q41" s="96">
        <f t="shared" si="6"/>
        <v>60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Production2!AQ28</f>
        <v>15</v>
      </c>
      <c r="G42" s="75">
        <f>F42+'25'!G42</f>
        <v>349.50000000000006</v>
      </c>
      <c r="H42" s="75">
        <f>F42+'25'!H42</f>
        <v>349.50000000000006</v>
      </c>
      <c r="I42" s="765"/>
      <c r="J42" s="77">
        <f>Production2!AR28</f>
        <v>890</v>
      </c>
      <c r="K42" s="74">
        <f>J42+'25'!K42</f>
        <v>20195</v>
      </c>
      <c r="L42" s="74">
        <f>J42+'25'!L42</f>
        <v>20195</v>
      </c>
      <c r="M42" s="769"/>
      <c r="N42" s="829"/>
      <c r="O42" s="829"/>
      <c r="P42" s="771"/>
      <c r="Q42" s="96">
        <f t="shared" si="6"/>
        <v>59.333333333333336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Production2!AW28</f>
        <v>0</v>
      </c>
      <c r="G43" s="75">
        <f>F43+'25'!G43</f>
        <v>0</v>
      </c>
      <c r="H43" s="75">
        <f>F43+'25'!H43</f>
        <v>0</v>
      </c>
      <c r="I43" s="765"/>
      <c r="J43" s="77">
        <f>Production2!AX28</f>
        <v>0</v>
      </c>
      <c r="K43" s="74">
        <f>J43+'25'!K43</f>
        <v>0</v>
      </c>
      <c r="L43" s="74">
        <f>J43+'25'!L43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Production2!AZ28</f>
        <v>4</v>
      </c>
      <c r="G44" s="75">
        <f>F44+'25'!G44</f>
        <v>30.880000000000003</v>
      </c>
      <c r="H44" s="75">
        <f>F44+'25'!H44</f>
        <v>30.880000000000003</v>
      </c>
      <c r="I44" s="765"/>
      <c r="J44" s="195">
        <f>Production2!BA28</f>
        <v>220</v>
      </c>
      <c r="K44" s="74">
        <f>J44+'25'!K44</f>
        <v>1710</v>
      </c>
      <c r="L44" s="74">
        <f>J44+'25'!L44</f>
        <v>1710</v>
      </c>
      <c r="M44" s="769"/>
      <c r="N44" s="829"/>
      <c r="O44" s="829"/>
      <c r="P44" s="771"/>
      <c r="Q44" s="96">
        <f t="shared" si="6"/>
        <v>55</v>
      </c>
      <c r="R44" s="94"/>
      <c r="S44" s="94"/>
    </row>
    <row r="45" spans="2:19" x14ac:dyDescent="0.25">
      <c r="B45" s="754"/>
      <c r="C45" s="685"/>
      <c r="D45" s="582" t="s">
        <v>306</v>
      </c>
      <c r="E45" s="588">
        <v>70</v>
      </c>
      <c r="F45" s="584">
        <f>Production2!BC28</f>
        <v>0</v>
      </c>
      <c r="G45" s="585">
        <f>F45+'22'!G45</f>
        <v>44.370000000000005</v>
      </c>
      <c r="H45" s="585">
        <f>F45+'22'!H45</f>
        <v>44.370000000000005</v>
      </c>
      <c r="I45" s="748"/>
      <c r="J45" s="586">
        <f>Production2!BD28</f>
        <v>0</v>
      </c>
      <c r="K45" s="587">
        <f>J45+'22'!K45</f>
        <v>2612</v>
      </c>
      <c r="L45" s="587">
        <f>J45+'22'!L45</f>
        <v>2612</v>
      </c>
      <c r="M45" s="772"/>
      <c r="N45" s="773"/>
      <c r="O45" s="773"/>
      <c r="P45" s="774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450.65000000000003</v>
      </c>
      <c r="H46" s="132">
        <f t="shared" si="10"/>
        <v>450.65000000000003</v>
      </c>
      <c r="I46" s="122"/>
      <c r="J46" s="122">
        <f>J41+J42+J43+J44+J45</f>
        <v>1410</v>
      </c>
      <c r="K46" s="583">
        <f>K41+K42+K43+K44+K45</f>
        <v>26067</v>
      </c>
      <c r="L46" s="583">
        <f>L41+L42+L43+L44+L45</f>
        <v>26067</v>
      </c>
      <c r="M46" s="836"/>
      <c r="N46" s="837"/>
      <c r="O46" s="837"/>
      <c r="P46" s="838"/>
      <c r="Q46" s="123">
        <f t="shared" si="6"/>
        <v>58.75</v>
      </c>
      <c r="R46" s="94"/>
      <c r="S46" s="94"/>
    </row>
    <row r="47" spans="2:19" ht="15.75" thickBot="1" x14ac:dyDescent="0.3">
      <c r="B47" s="830"/>
      <c r="C47" s="831"/>
      <c r="D47" s="831"/>
      <c r="E47" s="831"/>
      <c r="F47" s="831"/>
      <c r="G47" s="831"/>
      <c r="H47" s="831"/>
      <c r="I47" s="831"/>
      <c r="J47" s="831"/>
      <c r="K47" s="831"/>
      <c r="L47" s="831"/>
      <c r="M47" s="831"/>
      <c r="N47" s="831"/>
      <c r="O47" s="831"/>
      <c r="P47" s="831"/>
      <c r="Q47" s="832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881" t="s">
        <v>276</v>
      </c>
      <c r="D50" s="882"/>
      <c r="E50" s="99">
        <f>E53/J30</f>
        <v>0.88094467809770305</v>
      </c>
      <c r="F50" s="99">
        <f>F53/(J31+J32)</f>
        <v>24.010441638697991</v>
      </c>
      <c r="G50" s="99">
        <v>0</v>
      </c>
      <c r="H50" s="99">
        <f>H53/J34</f>
        <v>34.213207547169809</v>
      </c>
      <c r="I50" s="99">
        <f>I53/J33</f>
        <v>55.497512437810947</v>
      </c>
      <c r="J50" s="99"/>
      <c r="K50" s="99"/>
      <c r="L50" s="99"/>
      <c r="M50" s="100"/>
      <c r="N50" s="101"/>
      <c r="O50" s="879" t="s">
        <v>277</v>
      </c>
      <c r="P50" s="880"/>
      <c r="Q50" s="93">
        <f>(M33/J34)*100</f>
        <v>15.09433962264151</v>
      </c>
    </row>
    <row r="51" spans="2:19" ht="14.45" customHeight="1" x14ac:dyDescent="0.25">
      <c r="B51" s="79">
        <v>2</v>
      </c>
      <c r="C51" s="680" t="s">
        <v>278</v>
      </c>
      <c r="D51" s="681"/>
      <c r="E51" s="102">
        <f>E50*(I9/J34)</f>
        <v>1.459376278056195</v>
      </c>
      <c r="F51" s="102">
        <f>F50*1.55</f>
        <v>37.216184539981889</v>
      </c>
      <c r="G51" s="102">
        <f>G50*1.55</f>
        <v>0</v>
      </c>
      <c r="H51" s="102">
        <f>H50</f>
        <v>34.213207547169809</v>
      </c>
      <c r="I51" s="102">
        <f>I50*(Q50/100)</f>
        <v>8.376983009480897</v>
      </c>
      <c r="J51" s="102"/>
      <c r="K51" s="102"/>
      <c r="L51" s="102"/>
      <c r="M51" s="96"/>
      <c r="N51" s="310">
        <f>SUM(E51:I51)</f>
        <v>81.26575137468879</v>
      </c>
      <c r="O51" s="680" t="s">
        <v>279</v>
      </c>
      <c r="P51" s="681"/>
      <c r="Q51" s="104">
        <v>5432</v>
      </c>
    </row>
    <row r="52" spans="2:19" ht="14.45" customHeight="1" x14ac:dyDescent="0.25">
      <c r="B52" s="79">
        <v>3</v>
      </c>
      <c r="C52" s="883" t="s">
        <v>280</v>
      </c>
      <c r="D52" s="884"/>
      <c r="E52" s="102">
        <f>E51*M18/100</f>
        <v>1.1310166154935517</v>
      </c>
      <c r="F52" s="102">
        <f>F51*M18/100</f>
        <v>28.84254301848598</v>
      </c>
      <c r="G52" s="102">
        <f>G51*M18/100</f>
        <v>0</v>
      </c>
      <c r="H52" s="102">
        <f>H51*M18/100</f>
        <v>26.515235849056616</v>
      </c>
      <c r="I52" s="102">
        <f>I51*M18/100</f>
        <v>6.4921618323476995</v>
      </c>
      <c r="J52" s="99">
        <f>J53/(J40+J46)</f>
        <v>37.078536585365853</v>
      </c>
      <c r="K52" s="99">
        <f>K53/(J46+J40)</f>
        <v>0.92439024390243907</v>
      </c>
      <c r="L52" s="99">
        <f>L53/(M40)</f>
        <v>3.5008241297288758</v>
      </c>
      <c r="M52" s="96">
        <f>M53/(J46+J40)</f>
        <v>2.3643902439024389</v>
      </c>
      <c r="N52" s="310">
        <f>SUM(E52:M52)</f>
        <v>106.84909851828343</v>
      </c>
      <c r="O52" s="680" t="s">
        <v>281</v>
      </c>
      <c r="P52" s="681"/>
      <c r="Q52" s="104">
        <f>Q51*Q50/100</f>
        <v>819.92452830188677</v>
      </c>
    </row>
    <row r="53" spans="2:19" ht="15" customHeight="1" thickBot="1" x14ac:dyDescent="0.3">
      <c r="B53" s="90" t="s">
        <v>243</v>
      </c>
      <c r="C53" s="887" t="s">
        <v>282</v>
      </c>
      <c r="D53" s="888"/>
      <c r="E53" s="118">
        <f>'Daily unit'!B28</f>
        <v>2723</v>
      </c>
      <c r="F53" s="118">
        <f>'Daily unit'!C28</f>
        <v>58591</v>
      </c>
      <c r="G53" s="118">
        <f>'Daily unit'!D28</f>
        <v>0</v>
      </c>
      <c r="H53" s="118">
        <f>'Daily unit'!E28</f>
        <v>54399</v>
      </c>
      <c r="I53" s="118">
        <f>'Daily unit'!F28</f>
        <v>13386</v>
      </c>
      <c r="J53" s="118">
        <f>'Daily unit'!G28</f>
        <v>76011</v>
      </c>
      <c r="K53" s="118">
        <f>'Daily unit'!H28</f>
        <v>1895</v>
      </c>
      <c r="L53" s="118">
        <f>'Daily unit'!I28</f>
        <v>7094</v>
      </c>
      <c r="M53" s="119">
        <f>'Daily unit'!J28</f>
        <v>4847</v>
      </c>
      <c r="N53" s="321">
        <f>SUM(E53:M53)</f>
        <v>218946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892" t="s">
        <v>283</v>
      </c>
      <c r="C55" s="763"/>
      <c r="D55" s="763"/>
      <c r="E55" s="763"/>
      <c r="F55" s="763"/>
      <c r="G55" s="763"/>
      <c r="H55" s="844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224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753">
        <v>1</v>
      </c>
      <c r="C57" s="760" t="s">
        <v>287</v>
      </c>
      <c r="D57" s="760"/>
      <c r="E57" s="80">
        <v>42.5</v>
      </c>
      <c r="F57" s="53">
        <f>'Internal use cement'!F28</f>
        <v>0</v>
      </c>
      <c r="G57" s="53">
        <f>F57+'25'!G57</f>
        <v>0</v>
      </c>
      <c r="H57" s="104">
        <f>F57+'25'!H57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754"/>
      <c r="C58" s="760"/>
      <c r="D58" s="760"/>
      <c r="E58" s="80" t="s">
        <v>197</v>
      </c>
      <c r="F58" s="53">
        <f>'Internal use cement'!Q28</f>
        <v>0</v>
      </c>
      <c r="G58" s="53">
        <f>F58+'25'!G58</f>
        <v>0</v>
      </c>
      <c r="H58" s="104">
        <f>F58+'25'!H58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754"/>
      <c r="C59" s="760"/>
      <c r="D59" s="760"/>
      <c r="E59" s="80">
        <v>32.5</v>
      </c>
      <c r="F59" s="53">
        <f>'Internal use cement'!Y28</f>
        <v>0</v>
      </c>
      <c r="G59" s="53">
        <f>F59+'25'!G59</f>
        <v>0</v>
      </c>
      <c r="H59" s="104">
        <f>F59+'25'!H59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755"/>
      <c r="C60" s="839"/>
      <c r="D60" s="839"/>
      <c r="E60" s="112" t="s">
        <v>177</v>
      </c>
      <c r="F60" s="113">
        <f>'Internal use cement'!AJ28</f>
        <v>0</v>
      </c>
      <c r="G60" s="53">
        <f>F60+'25'!G60</f>
        <v>0</v>
      </c>
      <c r="H60" s="104">
        <f>F60+'25'!H60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6">
    <mergeCell ref="O51:P51"/>
    <mergeCell ref="C52:D52"/>
    <mergeCell ref="C35:C40"/>
    <mergeCell ref="C32:D32"/>
    <mergeCell ref="I55:Q60"/>
    <mergeCell ref="O52:P52"/>
    <mergeCell ref="C53:D53"/>
    <mergeCell ref="M46:P46"/>
    <mergeCell ref="B48:N48"/>
    <mergeCell ref="O48:Q48"/>
    <mergeCell ref="B35:B40"/>
    <mergeCell ref="C57:D60"/>
    <mergeCell ref="B57:B60"/>
    <mergeCell ref="P31:P32"/>
    <mergeCell ref="I41:I45"/>
    <mergeCell ref="I31:I32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41:B46"/>
    <mergeCell ref="C41:C46"/>
    <mergeCell ref="M28:O28"/>
    <mergeCell ref="P28:P29"/>
    <mergeCell ref="Q28:Q29"/>
    <mergeCell ref="M31:M32"/>
    <mergeCell ref="N31:N32"/>
    <mergeCell ref="M41:P45"/>
    <mergeCell ref="C30:D30"/>
    <mergeCell ref="C31:D31"/>
    <mergeCell ref="C33:D33"/>
    <mergeCell ref="C34:D34"/>
    <mergeCell ref="O31:O32"/>
    <mergeCell ref="B26:Q26"/>
    <mergeCell ref="B27:Q27"/>
    <mergeCell ref="B28:B29"/>
    <mergeCell ref="C28:D29"/>
    <mergeCell ref="F28:H28"/>
    <mergeCell ref="I28:I29"/>
    <mergeCell ref="J28:L28"/>
    <mergeCell ref="P6:P7"/>
    <mergeCell ref="Q6:Q7"/>
    <mergeCell ref="P18:Q20"/>
    <mergeCell ref="Q21:Q22"/>
    <mergeCell ref="C22:D22"/>
    <mergeCell ref="C21:D21"/>
    <mergeCell ref="M18:M19"/>
    <mergeCell ref="C9:D9"/>
    <mergeCell ref="C8:Q8"/>
    <mergeCell ref="C11:D11"/>
    <mergeCell ref="C12:D12"/>
    <mergeCell ref="C13:D13"/>
    <mergeCell ref="P13:Q13"/>
    <mergeCell ref="O9:O16"/>
    <mergeCell ref="C10:D10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B14:B16"/>
    <mergeCell ref="C14:C16"/>
    <mergeCell ref="C17:Q17"/>
    <mergeCell ref="B18:B20"/>
    <mergeCell ref="C18:C20"/>
    <mergeCell ref="N18:N20"/>
    <mergeCell ref="O18:O25"/>
    <mergeCell ref="P23:Q25"/>
    <mergeCell ref="C25:D25"/>
    <mergeCell ref="M25:N25"/>
    <mergeCell ref="B23:B24"/>
    <mergeCell ref="C23:C24"/>
    <mergeCell ref="M23:N24"/>
  </mergeCells>
  <pageMargins left="0" right="0" top="0.75" bottom="0.75" header="0.3" footer="0.3"/>
  <pageSetup paperSize="9" scale="5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B2:U154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6" sqref="T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337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89">
        <v>1</v>
      </c>
      <c r="C9" s="776" t="s">
        <v>244</v>
      </c>
      <c r="D9" s="777"/>
      <c r="E9" s="74">
        <f>'26'!L9</f>
        <v>20726.681704462299</v>
      </c>
      <c r="F9" s="74">
        <f>Production2!D29</f>
        <v>3825.8199999999997</v>
      </c>
      <c r="G9" s="74">
        <f>F9+'26'!G9</f>
        <v>64985.700000000004</v>
      </c>
      <c r="H9" s="74">
        <f>F9+'26'!H9</f>
        <v>64985.700000000004</v>
      </c>
      <c r="I9" s="74">
        <f>Production2!E29</f>
        <v>2871</v>
      </c>
      <c r="J9" s="74">
        <f>I9+'26'!J9</f>
        <v>58756</v>
      </c>
      <c r="K9" s="74">
        <f>I9+'26'!K9</f>
        <v>58756</v>
      </c>
      <c r="L9" s="74">
        <f>E9+F9-I9-I21</f>
        <v>21378.951704462299</v>
      </c>
      <c r="M9" s="75">
        <f>I9</f>
        <v>2871</v>
      </c>
      <c r="N9" s="75">
        <f>(I9/I13)*100</f>
        <v>97.190250507786061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(2)'!L29</f>
        <v>1212.5</v>
      </c>
      <c r="F10" s="77">
        <f>'Mines (2)'!M29</f>
        <v>0</v>
      </c>
      <c r="G10" s="74">
        <f>F10+'26'!G10</f>
        <v>1351.4600000000003</v>
      </c>
      <c r="H10" s="74">
        <f>F10+'26'!H10</f>
        <v>1351.4600000000003</v>
      </c>
      <c r="I10" s="77">
        <f>'Mines (2)'!N29</f>
        <v>12</v>
      </c>
      <c r="J10" s="74">
        <f>I10+'26'!J10</f>
        <v>275</v>
      </c>
      <c r="K10" s="74">
        <f>I10+'26'!K10</f>
        <v>275</v>
      </c>
      <c r="L10" s="77">
        <f t="shared" ref="L10:L13" si="0">E10+F10-I10</f>
        <v>1200.5</v>
      </c>
      <c r="M10" s="75">
        <f t="shared" ref="M10:M12" si="1">I10</f>
        <v>12</v>
      </c>
      <c r="N10" s="75">
        <f>(I10/I13)*100</f>
        <v>0.40622884224779959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Clinker!C29</f>
        <v>4200.4799999999996</v>
      </c>
      <c r="F11" s="77">
        <f>Clinker!D29</f>
        <v>0</v>
      </c>
      <c r="G11" s="74">
        <f>F11+'26'!G11</f>
        <v>32.840000000000003</v>
      </c>
      <c r="H11" s="74">
        <f>F11+'26'!H11</f>
        <v>32.840000000000003</v>
      </c>
      <c r="I11" s="77">
        <f>Clinker!E29</f>
        <v>59</v>
      </c>
      <c r="J11" s="74">
        <f>I11+'26'!J11</f>
        <v>1257</v>
      </c>
      <c r="K11" s="74">
        <f>I11+'26'!K11</f>
        <v>1257</v>
      </c>
      <c r="L11" s="77">
        <f t="shared" si="0"/>
        <v>4141.4799999999996</v>
      </c>
      <c r="M11" s="75">
        <f t="shared" si="1"/>
        <v>59</v>
      </c>
      <c r="N11" s="75">
        <f>(I11/I13)*100</f>
        <v>1.9972918077183481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(2)'!Q29</f>
        <v>348.03999999999996</v>
      </c>
      <c r="F12" s="77">
        <f>'Mines (2)'!R29</f>
        <v>0</v>
      </c>
      <c r="G12" s="74">
        <f>F12+'26'!G12</f>
        <v>137.76</v>
      </c>
      <c r="H12" s="74">
        <f>F12+'26'!H12</f>
        <v>137.76</v>
      </c>
      <c r="I12" s="77">
        <f>'Mines (2)'!S29</f>
        <v>12</v>
      </c>
      <c r="J12" s="74">
        <f>I12+'26'!J12</f>
        <v>402</v>
      </c>
      <c r="K12" s="74">
        <f>I12+'26'!K12</f>
        <v>402</v>
      </c>
      <c r="L12" s="77">
        <f t="shared" si="0"/>
        <v>336.03999999999996</v>
      </c>
      <c r="M12" s="75">
        <f t="shared" si="1"/>
        <v>12</v>
      </c>
      <c r="N12" s="75">
        <f>(I12/I13)*100</f>
        <v>0.40622884224779959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26487.701704462299</v>
      </c>
      <c r="F13" s="127">
        <f t="shared" si="2"/>
        <v>3825.8199999999997</v>
      </c>
      <c r="G13" s="127">
        <f t="shared" si="2"/>
        <v>66507.759999999995</v>
      </c>
      <c r="H13" s="127">
        <f t="shared" si="2"/>
        <v>66507.759999999995</v>
      </c>
      <c r="I13" s="127">
        <f t="shared" si="2"/>
        <v>2954</v>
      </c>
      <c r="J13" s="127">
        <f t="shared" si="2"/>
        <v>60690</v>
      </c>
      <c r="K13" s="127">
        <f t="shared" si="2"/>
        <v>60690</v>
      </c>
      <c r="L13" s="127">
        <f t="shared" si="0"/>
        <v>27359.521704462299</v>
      </c>
      <c r="M13" s="128">
        <f>SUM(M9:M12)</f>
        <v>2954</v>
      </c>
      <c r="N13" s="128">
        <f>SUM(N9:N12)</f>
        <v>100.00000000000001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Clinker!EA29</f>
        <v>9613.4669999999896</v>
      </c>
      <c r="F14" s="77">
        <f>Clinker!EB29</f>
        <v>0</v>
      </c>
      <c r="G14" s="77">
        <f>F14+'26'!G14</f>
        <v>181.5</v>
      </c>
      <c r="H14" s="77">
        <f>F14+'26'!H14</f>
        <v>181.5</v>
      </c>
      <c r="I14" s="77">
        <f>Clinker!EC29</f>
        <v>264</v>
      </c>
      <c r="J14" s="77">
        <f>I14+'26'!J14</f>
        <v>6035.3</v>
      </c>
      <c r="K14" s="77">
        <f>I14+'26'!K14</f>
        <v>6035.3</v>
      </c>
      <c r="L14" s="77">
        <f>E14+F14-I14-Clinker!N29-Clinker!Z29-Clinker!AR29-Clinker!AW29-Clinker!BB29-Clinker!BV29-Clinker!BG29-Clinker!BL29-Clinker!BQ29-Clinker!CU29-Clinker!DE29-Clinker!DO29</f>
        <v>9269.4669999999896</v>
      </c>
      <c r="M14" s="81"/>
      <c r="N14" s="81"/>
      <c r="O14" s="667"/>
      <c r="P14" s="82">
        <v>10</v>
      </c>
      <c r="Q14" s="266">
        <v>0.1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Clinker!EE29</f>
        <v>10249.699999999997</v>
      </c>
      <c r="F15" s="77">
        <f>Clinker!EF29</f>
        <v>0</v>
      </c>
      <c r="G15" s="77">
        <f>F15+'26'!G15</f>
        <v>155.05000000000001</v>
      </c>
      <c r="H15" s="77">
        <f>F15+'26'!H15</f>
        <v>155.05000000000001</v>
      </c>
      <c r="I15" s="77">
        <f>Clinker!EG29</f>
        <v>138</v>
      </c>
      <c r="J15" s="77">
        <f>I15+'26'!J15</f>
        <v>3460</v>
      </c>
      <c r="K15" s="77">
        <f>I15+'26'!K15</f>
        <v>3460</v>
      </c>
      <c r="L15" s="77">
        <f>E15+F15-Clinker!AE29-Clinker!AI29-Clinker!CK29-Clinker!CP29-Clinker!CF29</f>
        <v>10191.699999999997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19863.166999999987</v>
      </c>
      <c r="F16" s="125">
        <f>F14+F15</f>
        <v>0</v>
      </c>
      <c r="G16" s="125">
        <f t="shared" ref="G16:L16" si="3">G14+G15</f>
        <v>336.55</v>
      </c>
      <c r="H16" s="125">
        <f t="shared" si="3"/>
        <v>336.55</v>
      </c>
      <c r="I16" s="125">
        <f t="shared" si="3"/>
        <v>402</v>
      </c>
      <c r="J16" s="125">
        <f>J14+J15</f>
        <v>9495.2999999999993</v>
      </c>
      <c r="K16" s="125">
        <f t="shared" si="3"/>
        <v>9495.2999999999993</v>
      </c>
      <c r="L16" s="125">
        <f t="shared" si="3"/>
        <v>19461.166999999987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2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Clinker!EI29</f>
        <v>22549.160087899767</v>
      </c>
      <c r="F18" s="74">
        <f>Clinker!EJ29</f>
        <v>1610</v>
      </c>
      <c r="G18" s="74">
        <f>F18+'26'!G18</f>
        <v>35555</v>
      </c>
      <c r="H18" s="74">
        <f>F18+'26'!H18</f>
        <v>35555</v>
      </c>
      <c r="I18" s="74">
        <f>Clinker!EK29</f>
        <v>1293.4500000000003</v>
      </c>
      <c r="J18" s="74">
        <f>I18+'26'!J18</f>
        <v>15970.830011726968</v>
      </c>
      <c r="K18" s="74">
        <f>I18+'26'!K18</f>
        <v>15970.830011726968</v>
      </c>
      <c r="L18" s="74">
        <f>E18+F18-I18-I20</f>
        <v>22865.710087899766</v>
      </c>
      <c r="M18" s="704">
        <f>((I18+I19)/(J40+J46))*100</f>
        <v>76.991071428571445</v>
      </c>
      <c r="N18" s="687"/>
      <c r="O18" s="689"/>
      <c r="P18" s="691"/>
      <c r="Q18" s="692"/>
      <c r="R18" s="20"/>
      <c r="S18" s="190"/>
    </row>
    <row r="19" spans="2:19" ht="45" x14ac:dyDescent="0.25">
      <c r="B19" s="677"/>
      <c r="C19" s="685"/>
      <c r="D19" s="85" t="s">
        <v>75</v>
      </c>
      <c r="E19" s="74">
        <f>Clinker!EN29</f>
        <v>3496.2690080001362</v>
      </c>
      <c r="F19" s="74">
        <f>Clinker!EO29</f>
        <v>1324.37</v>
      </c>
      <c r="G19" s="74">
        <f>F19+'26'!G19</f>
        <v>12905.190000000002</v>
      </c>
      <c r="H19" s="74">
        <f>F19+'26'!H19</f>
        <v>12905.190000000002</v>
      </c>
      <c r="I19" s="74">
        <f>Clinker!EP29</f>
        <v>0</v>
      </c>
      <c r="J19" s="74">
        <f>I19+'26'!J19</f>
        <v>16934.099999999999</v>
      </c>
      <c r="K19" s="74">
        <f>I19+'26'!K19</f>
        <v>16934.099999999999</v>
      </c>
      <c r="L19" s="74">
        <f>E19+F19-I19</f>
        <v>4820.6390080001365</v>
      </c>
      <c r="M19" s="705"/>
      <c r="N19" s="687"/>
      <c r="O19" s="689"/>
      <c r="P19" s="691"/>
      <c r="Q19" s="692"/>
      <c r="R19" s="20"/>
      <c r="S19" s="20"/>
    </row>
    <row r="20" spans="2:19" ht="30" x14ac:dyDescent="0.25">
      <c r="B20" s="677"/>
      <c r="C20" s="686"/>
      <c r="D20" s="86" t="s">
        <v>251</v>
      </c>
      <c r="E20" s="77"/>
      <c r="F20" s="77">
        <v>0</v>
      </c>
      <c r="G20" s="74">
        <v>0</v>
      </c>
      <c r="H20" s="74">
        <f>F20+'26'!H20</f>
        <v>0</v>
      </c>
      <c r="I20" s="77">
        <f>Clinker!EM29</f>
        <v>0</v>
      </c>
      <c r="J20" s="74">
        <f>I20+'26'!J20</f>
        <v>0</v>
      </c>
      <c r="K20" s="74">
        <f>I20+'26'!K20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3" t="s">
        <v>244</v>
      </c>
      <c r="D21" s="88"/>
      <c r="E21" s="77"/>
      <c r="F21" s="77"/>
      <c r="G21" s="74"/>
      <c r="H21" s="74"/>
      <c r="I21" s="77">
        <f>Cement!Q29</f>
        <v>302.54999999999984</v>
      </c>
      <c r="J21" s="74">
        <f>I21+'26'!J21</f>
        <v>7955.6199927215366</v>
      </c>
      <c r="K21" s="74">
        <f>I21+'26'!K21</f>
        <v>7955.6199927215366</v>
      </c>
      <c r="L21" s="74"/>
      <c r="M21" s="78">
        <f>(I21/(J40+J46))*100</f>
        <v>18.008928571428562</v>
      </c>
      <c r="N21" s="78"/>
      <c r="O21" s="689"/>
      <c r="P21" s="87">
        <v>10</v>
      </c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Cement!C29</f>
        <v>7288.1900635982802</v>
      </c>
      <c r="F22" s="77">
        <f>Cement!D29</f>
        <v>30.88</v>
      </c>
      <c r="G22" s="74">
        <f>F22+'26'!G22</f>
        <v>1941.14</v>
      </c>
      <c r="H22" s="74">
        <f>F22+'26'!H22</f>
        <v>1941.14</v>
      </c>
      <c r="I22" s="77">
        <f>Cement!E29</f>
        <v>84</v>
      </c>
      <c r="J22" s="74">
        <f>I22+'26'!J22</f>
        <v>2151.4499955514993</v>
      </c>
      <c r="K22" s="74">
        <f>I22+'26'!K22</f>
        <v>2151.4499955514993</v>
      </c>
      <c r="L22" s="74">
        <f t="shared" ref="L22:L24" si="4">E22+F22-I22</f>
        <v>7235.0700635982803</v>
      </c>
      <c r="M22" s="78">
        <f>(I22/(J40+J46))*100</f>
        <v>5</v>
      </c>
      <c r="N22" s="78"/>
      <c r="O22" s="689"/>
      <c r="P22" s="87">
        <v>4</v>
      </c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Cement!G29</f>
        <v>0.23999999999796273</v>
      </c>
      <c r="F23" s="77">
        <f>Cement!H29</f>
        <v>0</v>
      </c>
      <c r="G23" s="74">
        <f>F23+'26'!G23</f>
        <v>0</v>
      </c>
      <c r="H23" s="74">
        <f>F23+'26'!H23</f>
        <v>0</v>
      </c>
      <c r="I23" s="77">
        <f>Cement!I29</f>
        <v>0</v>
      </c>
      <c r="J23" s="74">
        <f>I23+'26'!J23</f>
        <v>0</v>
      </c>
      <c r="K23" s="74">
        <f>I23+'26'!K23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Cement!K29</f>
        <v>0</v>
      </c>
      <c r="F24" s="77">
        <f>Cement!L29</f>
        <v>0</v>
      </c>
      <c r="G24" s="74">
        <f>F24+'26'!G24</f>
        <v>0</v>
      </c>
      <c r="H24" s="74">
        <f>F24+'26'!H24</f>
        <v>0</v>
      </c>
      <c r="I24" s="77">
        <f>Cement!M29</f>
        <v>0</v>
      </c>
      <c r="J24" s="74">
        <f>I24+'26'!J24</f>
        <v>0</v>
      </c>
      <c r="K24" s="74">
        <f>I24+'26'!K24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33333.859159498184</v>
      </c>
      <c r="F25" s="122">
        <f t="shared" ref="F25:L25" si="5">F18+F19+F21+F22+F23+F24</f>
        <v>2965.25</v>
      </c>
      <c r="G25" s="122">
        <f t="shared" si="5"/>
        <v>50401.33</v>
      </c>
      <c r="H25" s="122">
        <f t="shared" si="5"/>
        <v>50401.33</v>
      </c>
      <c r="I25" s="122">
        <f t="shared" si="5"/>
        <v>1680</v>
      </c>
      <c r="J25" s="122">
        <f t="shared" si="5"/>
        <v>43012</v>
      </c>
      <c r="K25" s="122">
        <f t="shared" si="5"/>
        <v>43012</v>
      </c>
      <c r="L25" s="122">
        <f t="shared" si="5"/>
        <v>34921.65915949818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Production2!C29</f>
        <v>20.37</v>
      </c>
      <c r="G30" s="75">
        <f>F30+'26'!G30</f>
        <v>383.57000000000005</v>
      </c>
      <c r="H30" s="75">
        <f>F30+'26'!H30</f>
        <v>383.57000000000005</v>
      </c>
      <c r="I30" s="74">
        <f>'Mines (2)'!C29+'Mines (2)'!H29+'Mines (2)'!V29+'Mines (2)'!Z29+'Mines (2)'!AD29</f>
        <v>20726.681704462302</v>
      </c>
      <c r="J30" s="74">
        <f>Production2!D29</f>
        <v>3825.8199999999997</v>
      </c>
      <c r="K30" s="617">
        <f>J30+'26'!K30</f>
        <v>64985.700000000004</v>
      </c>
      <c r="L30" s="74">
        <f>J30+'26'!L30</f>
        <v>64985.700000000004</v>
      </c>
      <c r="M30" s="74">
        <f>I9+I21</f>
        <v>3173.5499999999997</v>
      </c>
      <c r="N30" s="74">
        <f>M30+'26'!N30</f>
        <v>66711.619992721549</v>
      </c>
      <c r="O30" s="74">
        <f>M30+'26'!O30</f>
        <v>66711.619992721549</v>
      </c>
      <c r="P30" s="74">
        <f>I30+J30-M30</f>
        <v>21378.951704462303</v>
      </c>
      <c r="Q30" s="93">
        <f>J30/F30</f>
        <v>187.81639666175747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Production2!G29</f>
        <v>21.1</v>
      </c>
      <c r="G31" s="75">
        <f>F31+'26'!G31</f>
        <v>431.28</v>
      </c>
      <c r="H31" s="75">
        <f>F31+'26'!H31</f>
        <v>431.28</v>
      </c>
      <c r="I31" s="747">
        <f>Production2!H29</f>
        <v>1373.6000168375194</v>
      </c>
      <c r="J31" s="78">
        <f>Production2!N29</f>
        <v>2468</v>
      </c>
      <c r="K31" s="592">
        <f>J31+'26'!K31</f>
        <v>51541.15</v>
      </c>
      <c r="L31" s="74">
        <f>J31+'26'!L31</f>
        <v>51541.15</v>
      </c>
      <c r="M31" s="747">
        <f>Production2!K29</f>
        <v>2495.5</v>
      </c>
      <c r="N31" s="747">
        <f>M31+'26'!N31</f>
        <v>55110.25</v>
      </c>
      <c r="O31" s="747">
        <f>M31+'26'!O31</f>
        <v>55110.25</v>
      </c>
      <c r="P31" s="747">
        <f>I31+J31+J32-M31</f>
        <v>1538.4700168375193</v>
      </c>
      <c r="Q31" s="96">
        <f t="shared" ref="Q31:Q45" si="6">J31/F31</f>
        <v>116.96682464454976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Production2!P29</f>
        <v>24</v>
      </c>
      <c r="G32" s="75">
        <f>F32+'26'!G32</f>
        <v>348.78999999999996</v>
      </c>
      <c r="H32" s="75">
        <f>F32+'26'!H32</f>
        <v>348.78999999999996</v>
      </c>
      <c r="I32" s="748"/>
      <c r="J32" s="78">
        <f>Production2!Q29</f>
        <v>192.37</v>
      </c>
      <c r="K32" s="592">
        <f>J32+'26'!K32</f>
        <v>3113.8399999999997</v>
      </c>
      <c r="L32" s="74">
        <f>J32+'26'!L32</f>
        <v>3113.8399999999997</v>
      </c>
      <c r="M32" s="748"/>
      <c r="N32" s="748"/>
      <c r="O32" s="748"/>
      <c r="P32" s="748"/>
      <c r="Q32" s="96">
        <f>J32/F32</f>
        <v>8.0154166666666669</v>
      </c>
      <c r="R32" s="94"/>
      <c r="S32" s="94"/>
    </row>
    <row r="33" spans="2:19" x14ac:dyDescent="0.25">
      <c r="B33" s="79">
        <v>3</v>
      </c>
      <c r="C33" s="680" t="s">
        <v>147</v>
      </c>
      <c r="D33" s="681"/>
      <c r="E33" s="95">
        <v>10</v>
      </c>
      <c r="F33" s="78">
        <f>Production2!S29</f>
        <v>17</v>
      </c>
      <c r="G33" s="75">
        <f>F33+'26'!G33</f>
        <v>393.07</v>
      </c>
      <c r="H33" s="75">
        <f>F33+'26'!H33</f>
        <v>393.07</v>
      </c>
      <c r="I33" s="77">
        <f>Production2!T29</f>
        <v>59.70999999999998</v>
      </c>
      <c r="J33" s="77">
        <f>Production2!U29</f>
        <v>237.6</v>
      </c>
      <c r="K33" s="74">
        <f>J33+'26'!K33</f>
        <v>5431.8</v>
      </c>
      <c r="L33" s="74">
        <f>J33+'26'!L33</f>
        <v>5431.8</v>
      </c>
      <c r="M33" s="77">
        <f>Production2!V29</f>
        <v>242</v>
      </c>
      <c r="N33" s="74">
        <f>M33+'26'!N33</f>
        <v>5392</v>
      </c>
      <c r="O33" s="74">
        <f>M33+'26'!O33</f>
        <v>5392</v>
      </c>
      <c r="P33" s="74">
        <f t="shared" ref="P33" si="7">I33+J33-M33</f>
        <v>55.309999999999945</v>
      </c>
      <c r="Q33" s="96">
        <f t="shared" si="6"/>
        <v>13.976470588235294</v>
      </c>
      <c r="R33" s="94"/>
      <c r="S33" s="94"/>
    </row>
    <row r="34" spans="2:19" x14ac:dyDescent="0.25">
      <c r="B34" s="79">
        <v>4</v>
      </c>
      <c r="C34" s="680" t="s">
        <v>69</v>
      </c>
      <c r="D34" s="681"/>
      <c r="E34" s="95">
        <v>50</v>
      </c>
      <c r="F34" s="78">
        <f>Production2!Y29</f>
        <v>24</v>
      </c>
      <c r="G34" s="75">
        <f>F34+'26'!G34</f>
        <v>546.27</v>
      </c>
      <c r="H34" s="75">
        <f>F34+'26'!H34</f>
        <v>546.27</v>
      </c>
      <c r="I34" s="77">
        <f>Clinker!EI29</f>
        <v>22549.160087899767</v>
      </c>
      <c r="J34" s="77">
        <f>Clinker!EJ29</f>
        <v>1610</v>
      </c>
      <c r="K34" s="74">
        <f>J34+'26'!K34</f>
        <v>35555</v>
      </c>
      <c r="L34" s="74">
        <f>J34+'26'!L34</f>
        <v>35555</v>
      </c>
      <c r="M34" s="77">
        <f>Clinker!EK29</f>
        <v>1293.4500000000003</v>
      </c>
      <c r="N34" s="74">
        <f>M34+'26'!N34</f>
        <v>15970.830011726968</v>
      </c>
      <c r="O34" s="74">
        <f>M34+'26'!O34</f>
        <v>15970.830011726968</v>
      </c>
      <c r="P34" s="74">
        <f>I34+J34-M34-I20</f>
        <v>22865.710087899766</v>
      </c>
      <c r="Q34" s="96">
        <f t="shared" si="6"/>
        <v>67.083333333333329</v>
      </c>
      <c r="R34" s="94"/>
      <c r="S34" s="94"/>
    </row>
    <row r="35" spans="2:19" x14ac:dyDescent="0.25">
      <c r="B35" s="753">
        <v>5</v>
      </c>
      <c r="C35" s="679" t="s">
        <v>148</v>
      </c>
      <c r="D35" s="80" t="s">
        <v>267</v>
      </c>
      <c r="E35" s="97">
        <v>90</v>
      </c>
      <c r="F35" s="78">
        <f>Production2!AE29</f>
        <v>0</v>
      </c>
      <c r="G35" s="75">
        <f>F35+'26'!G35</f>
        <v>9</v>
      </c>
      <c r="H35" s="75">
        <f>F35+'26'!H35</f>
        <v>9</v>
      </c>
      <c r="I35" s="77">
        <f>Production2!BJ29</f>
        <v>335.79999999999995</v>
      </c>
      <c r="J35" s="77">
        <f>Production2!AF29</f>
        <v>0</v>
      </c>
      <c r="K35" s="74">
        <f>J35+'26'!K35</f>
        <v>574</v>
      </c>
      <c r="L35" s="74">
        <f>J35+'26'!L35</f>
        <v>574</v>
      </c>
      <c r="M35" s="77">
        <f>Production2!BL29</f>
        <v>62</v>
      </c>
      <c r="N35" s="75">
        <f>M35+'26'!N35</f>
        <v>2082.5</v>
      </c>
      <c r="O35" s="75">
        <f>M35+'26'!O35</f>
        <v>2082.5</v>
      </c>
      <c r="P35" s="74">
        <f>I35+J35+J41-M35-F59</f>
        <v>423.79999999999995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Production2!AB29</f>
        <v>4.5999999999999996</v>
      </c>
      <c r="G36" s="75">
        <f>F36+'26'!G36</f>
        <v>206.33</v>
      </c>
      <c r="H36" s="75">
        <f>F36+'26'!H36</f>
        <v>206.33</v>
      </c>
      <c r="I36" s="77">
        <f>Production2!BF29</f>
        <v>2446.5279999999798</v>
      </c>
      <c r="J36" s="77">
        <f>Production2!AC29</f>
        <v>270</v>
      </c>
      <c r="K36" s="74">
        <f>J36+'26'!K36</f>
        <v>12429</v>
      </c>
      <c r="L36" s="74">
        <f>J36+'26'!L36</f>
        <v>12429</v>
      </c>
      <c r="M36" s="77">
        <f>Production2!BH29</f>
        <v>1072.75</v>
      </c>
      <c r="N36" s="75">
        <f>M36+'26'!N36</f>
        <v>32258.779999999995</v>
      </c>
      <c r="O36" s="74">
        <f>M36+'26'!O36</f>
        <v>32258.779999999995</v>
      </c>
      <c r="P36" s="74">
        <f>I36+J36+J42-M36-F57</f>
        <v>2703.7779999999798</v>
      </c>
      <c r="Q36" s="96">
        <f t="shared" si="6"/>
        <v>58.695652173913047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Production2!AH29</f>
        <v>0</v>
      </c>
      <c r="G37" s="75">
        <f>F37+'26'!G37</f>
        <v>0</v>
      </c>
      <c r="H37" s="75">
        <f>F37+'26'!H37</f>
        <v>0</v>
      </c>
      <c r="I37" s="77">
        <f>Production2!BN29</f>
        <v>2.0900000000008498</v>
      </c>
      <c r="J37" s="77">
        <f>Production2!AI29</f>
        <v>0</v>
      </c>
      <c r="K37" s="74">
        <f>J37+'26'!K37</f>
        <v>0</v>
      </c>
      <c r="L37" s="607">
        <f>J37+'26'!L37</f>
        <v>0</v>
      </c>
      <c r="M37" s="77">
        <f>Production2!BP29</f>
        <v>0</v>
      </c>
      <c r="N37" s="75">
        <f>M37+'26'!N37</f>
        <v>-0.15</v>
      </c>
      <c r="O37" s="74">
        <f>M37+'26'!O37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Production2!AK29</f>
        <v>0</v>
      </c>
      <c r="G38" s="75">
        <f>F38+'26'!G38</f>
        <v>0</v>
      </c>
      <c r="H38" s="75">
        <f>F38+'26'!H38</f>
        <v>0</v>
      </c>
      <c r="I38" s="77">
        <f>Production2!BR29</f>
        <v>257.3</v>
      </c>
      <c r="J38" s="195">
        <v>0</v>
      </c>
      <c r="K38" s="74">
        <f>J38+'26'!K38</f>
        <v>0</v>
      </c>
      <c r="L38" s="607">
        <f>J38+'26'!L38</f>
        <v>0</v>
      </c>
      <c r="M38" s="77">
        <f>Production2!BT29</f>
        <v>0</v>
      </c>
      <c r="N38" s="75">
        <f>M38+'26'!N38</f>
        <v>1666</v>
      </c>
      <c r="O38" s="74">
        <f>M38+'26'!O38</f>
        <v>1666</v>
      </c>
      <c r="P38" s="74">
        <f>I38+J44+J38-M38-F60</f>
        <v>257.3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80" t="s">
        <v>306</v>
      </c>
      <c r="E39" s="97"/>
      <c r="F39" s="84">
        <f>Production2!AN29</f>
        <v>0</v>
      </c>
      <c r="G39" s="75">
        <f>F39+'26'!G39</f>
        <v>40.65</v>
      </c>
      <c r="H39" s="75">
        <f>F39+'26'!H39</f>
        <v>40.65</v>
      </c>
      <c r="I39" s="195">
        <f>Production2!BV29</f>
        <v>809.71000000000015</v>
      </c>
      <c r="J39" s="195">
        <f>Production2!AO29</f>
        <v>0</v>
      </c>
      <c r="K39" s="74">
        <f>J39+'26'!K39</f>
        <v>2532</v>
      </c>
      <c r="L39" s="607">
        <f>J39+'26'!L39</f>
        <v>2532</v>
      </c>
      <c r="M39" s="77">
        <f>Production2!BX29</f>
        <v>200</v>
      </c>
      <c r="N39" s="74">
        <f>M39+'26'!N39</f>
        <v>4908</v>
      </c>
      <c r="O39" s="74">
        <f>M39+'26'!O39</f>
        <v>4908</v>
      </c>
      <c r="P39" s="74">
        <f>I39+J45+J39-M39-F61</f>
        <v>809.71000000000015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4.5999999999999996</v>
      </c>
      <c r="G40" s="132">
        <f t="shared" ref="G40:O40" si="8">G35+G36+G37+G38+G39</f>
        <v>255.98000000000002</v>
      </c>
      <c r="H40" s="132">
        <f>H35+H36+H37+H38+H39</f>
        <v>255.98000000000002</v>
      </c>
      <c r="I40" s="122">
        <f>I35+I36+I37+I38+I39</f>
        <v>3851.4279999999808</v>
      </c>
      <c r="J40" s="122">
        <f>J35+J36+J37+J38+J39</f>
        <v>270</v>
      </c>
      <c r="K40" s="122">
        <f>K35+K36+K37+K38+K39</f>
        <v>15535</v>
      </c>
      <c r="L40" s="122">
        <f t="shared" si="8"/>
        <v>15535</v>
      </c>
      <c r="M40" s="122">
        <f t="shared" si="8"/>
        <v>1334.75</v>
      </c>
      <c r="N40" s="122">
        <f t="shared" si="8"/>
        <v>40915.129999999997</v>
      </c>
      <c r="O40" s="122">
        <f t="shared" si="8"/>
        <v>40915.129999999997</v>
      </c>
      <c r="P40" s="122">
        <f>P35+P36+P37+P38+P39</f>
        <v>4196.6779999999808</v>
      </c>
      <c r="Q40" s="123">
        <f>J40/F40</f>
        <v>58.695652173913047</v>
      </c>
      <c r="R40" s="94"/>
      <c r="S40" s="94"/>
    </row>
    <row r="41" spans="2:19" ht="15" customHeight="1" x14ac:dyDescent="0.25">
      <c r="B41" s="845">
        <v>5</v>
      </c>
      <c r="C41" s="846" t="s">
        <v>270</v>
      </c>
      <c r="D41" s="80" t="s">
        <v>267</v>
      </c>
      <c r="E41" s="97">
        <v>75</v>
      </c>
      <c r="F41" s="78">
        <f>Production2!AT29</f>
        <v>2.4</v>
      </c>
      <c r="G41" s="75">
        <f>F41+'26'!G41</f>
        <v>28.299999999999997</v>
      </c>
      <c r="H41" s="75">
        <f>F41+'26'!H41</f>
        <v>28.299999999999997</v>
      </c>
      <c r="I41" s="764"/>
      <c r="J41" s="77">
        <f>Production2!AU29</f>
        <v>150</v>
      </c>
      <c r="K41" s="74">
        <f>J41+'26'!K41</f>
        <v>1700</v>
      </c>
      <c r="L41" s="74">
        <f>J41+'26'!L41</f>
        <v>1700</v>
      </c>
      <c r="M41" s="766"/>
      <c r="N41" s="767"/>
      <c r="O41" s="767"/>
      <c r="P41" s="768"/>
      <c r="Q41" s="96">
        <f t="shared" si="6"/>
        <v>62.5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Production2!AQ29</f>
        <v>17.600000000000001</v>
      </c>
      <c r="G42" s="75">
        <f>F42+'26'!G42</f>
        <v>367.10000000000008</v>
      </c>
      <c r="H42" s="75">
        <f>F42+'26'!H42</f>
        <v>367.10000000000008</v>
      </c>
      <c r="I42" s="765"/>
      <c r="J42" s="77">
        <f>Production2!AR29</f>
        <v>1060</v>
      </c>
      <c r="K42" s="74">
        <f>J42+'26'!K42</f>
        <v>21255</v>
      </c>
      <c r="L42" s="74">
        <f>J42+'26'!L42</f>
        <v>21255</v>
      </c>
      <c r="M42" s="769"/>
      <c r="N42" s="770"/>
      <c r="O42" s="770"/>
      <c r="P42" s="771"/>
      <c r="Q42" s="96">
        <f t="shared" si="6"/>
        <v>60.22727272727272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Production2!AW29</f>
        <v>0</v>
      </c>
      <c r="G43" s="75">
        <f>F43+'26'!G43</f>
        <v>0</v>
      </c>
      <c r="H43" s="598">
        <f>F43+'26'!H43</f>
        <v>0</v>
      </c>
      <c r="I43" s="765"/>
      <c r="J43" s="77">
        <f>Production2!AX29</f>
        <v>0</v>
      </c>
      <c r="K43" s="593">
        <f>J43+'26'!K43</f>
        <v>0</v>
      </c>
      <c r="L43" s="593">
        <f>J43+'26'!L43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Production2!AZ29</f>
        <v>0</v>
      </c>
      <c r="G44" s="598">
        <f>F44+'26'!G44</f>
        <v>30.880000000000003</v>
      </c>
      <c r="H44" s="598">
        <f>F44+'26'!H44</f>
        <v>30.880000000000003</v>
      </c>
      <c r="I44" s="765"/>
      <c r="J44" s="195">
        <f>Production2!BA29</f>
        <v>0</v>
      </c>
      <c r="K44" s="593">
        <f>J44+'26'!K44</f>
        <v>1710</v>
      </c>
      <c r="L44" s="593">
        <f>J44+'26'!L44</f>
        <v>1710</v>
      </c>
      <c r="M44" s="769"/>
      <c r="N44" s="770"/>
      <c r="O44" s="770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95" t="s">
        <v>306</v>
      </c>
      <c r="E45" s="599">
        <v>70</v>
      </c>
      <c r="F45" s="597">
        <f>Production2!BC29</f>
        <v>3.2</v>
      </c>
      <c r="G45" s="598">
        <f>F45+'26'!G45</f>
        <v>47.570000000000007</v>
      </c>
      <c r="H45" s="598">
        <f>F45+'26'!H45</f>
        <v>47.570000000000007</v>
      </c>
      <c r="I45" s="748"/>
      <c r="J45" s="594">
        <f>Production2!BD29</f>
        <v>200</v>
      </c>
      <c r="K45" s="593">
        <f>J45+'26'!K45</f>
        <v>2812</v>
      </c>
      <c r="L45" s="593">
        <f>J45+'26'!L45</f>
        <v>2812</v>
      </c>
      <c r="M45" s="772"/>
      <c r="N45" s="773"/>
      <c r="O45" s="773"/>
      <c r="P45" s="774"/>
      <c r="Q45" s="96">
        <f t="shared" si="6"/>
        <v>62.5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23.2</v>
      </c>
      <c r="G46" s="132">
        <f>G41+G42+G43+G44+G45</f>
        <v>473.85000000000008</v>
      </c>
      <c r="H46" s="132">
        <f>H41+H42+H43+H44+H45</f>
        <v>473.85000000000008</v>
      </c>
      <c r="I46" s="122">
        <f t="shared" ref="I46" si="9">I41+I42+I43+I44</f>
        <v>0</v>
      </c>
      <c r="J46" s="122">
        <f>J41+J42+J43+J44+J45</f>
        <v>1410</v>
      </c>
      <c r="K46" s="591">
        <f t="shared" ref="K46:L46" si="10">K41+K42+K43+K44+K45</f>
        <v>27477</v>
      </c>
      <c r="L46" s="591">
        <f t="shared" si="10"/>
        <v>27477</v>
      </c>
      <c r="M46" s="836"/>
      <c r="N46" s="837"/>
      <c r="O46" s="837"/>
      <c r="P46" s="838"/>
      <c r="Q46" s="123">
        <f>J46/F46</f>
        <v>60.775862068965516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>
        <f>E53/J30</f>
        <v>19.557898698841033</v>
      </c>
      <c r="F50" s="99">
        <f>F53/(J31+J32)</f>
        <v>22.50288493705763</v>
      </c>
      <c r="G50" s="99">
        <v>0</v>
      </c>
      <c r="H50" s="99">
        <f>H53/J34</f>
        <v>34.219875776397515</v>
      </c>
      <c r="I50" s="99">
        <f>I53/J33</f>
        <v>75.319865319865315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15.031055900621118</v>
      </c>
    </row>
    <row r="51" spans="2:19" ht="14.45" customHeight="1" x14ac:dyDescent="0.25">
      <c r="B51" s="79">
        <v>2</v>
      </c>
      <c r="C51" s="668" t="s">
        <v>278</v>
      </c>
      <c r="D51" s="668"/>
      <c r="E51" s="102">
        <f>E50*(I9/J34)</f>
        <v>34.876228052405345</v>
      </c>
      <c r="F51" s="102">
        <f>F50*1.55</f>
        <v>34.879471652439328</v>
      </c>
      <c r="G51" s="102">
        <f>G50*1.55</f>
        <v>0</v>
      </c>
      <c r="H51" s="102">
        <f>H50</f>
        <v>34.219875776397515</v>
      </c>
      <c r="I51" s="102">
        <f>I50*(Q50/100)</f>
        <v>11.321371060501495</v>
      </c>
      <c r="J51" s="102"/>
      <c r="K51" s="102"/>
      <c r="L51" s="102"/>
      <c r="M51" s="96"/>
      <c r="N51" s="310">
        <f>SUM(E51:I51)</f>
        <v>115.29694654174368</v>
      </c>
      <c r="O51" s="668" t="s">
        <v>279</v>
      </c>
      <c r="P51" s="668"/>
      <c r="Q51" s="104">
        <v>5461</v>
      </c>
    </row>
    <row r="52" spans="2:19" ht="14.45" customHeight="1" x14ac:dyDescent="0.25">
      <c r="B52" s="79">
        <v>3</v>
      </c>
      <c r="C52" s="708" t="s">
        <v>280</v>
      </c>
      <c r="D52" s="708"/>
      <c r="E52" s="102">
        <f>E51*M18/100</f>
        <v>26.851581651418869</v>
      </c>
      <c r="F52" s="102">
        <f>F51*M18/100</f>
        <v>26.85407893383789</v>
      </c>
      <c r="G52" s="102">
        <f>G51*M18/100</f>
        <v>0</v>
      </c>
      <c r="H52" s="102">
        <f>H51*M18/100</f>
        <v>26.346249001774627</v>
      </c>
      <c r="I52" s="102">
        <f>I51*M18/100</f>
        <v>8.716444879884321</v>
      </c>
      <c r="J52" s="99">
        <f>J53/(J40+J46)</f>
        <v>43.892857142857146</v>
      </c>
      <c r="K52" s="99">
        <f>K53/(J46+J40)</f>
        <v>1.1196428571428572</v>
      </c>
      <c r="L52" s="99">
        <f>L53/(M40)</f>
        <v>4.309421239932572</v>
      </c>
      <c r="M52" s="96">
        <f>M53/(J46+J40)</f>
        <v>2.6940476190476192</v>
      </c>
      <c r="N52" s="310">
        <f>SUM(E52:M52)</f>
        <v>140.78432332589588</v>
      </c>
      <c r="O52" s="668" t="s">
        <v>281</v>
      </c>
      <c r="P52" s="668"/>
      <c r="Q52" s="104">
        <f>Q51*Q50/100</f>
        <v>820.84596273291925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unit'!B29</f>
        <v>74825</v>
      </c>
      <c r="F53" s="118">
        <f>'Daily unit'!C29</f>
        <v>59866</v>
      </c>
      <c r="G53" s="118">
        <f>'Daily unit'!D29</f>
        <v>0</v>
      </c>
      <c r="H53" s="118">
        <f>'Daily unit'!E29</f>
        <v>55094</v>
      </c>
      <c r="I53" s="118">
        <f>'Daily unit'!F29</f>
        <v>17896</v>
      </c>
      <c r="J53" s="118">
        <f>'Daily unit'!G29</f>
        <v>73740</v>
      </c>
      <c r="K53" s="118">
        <f>'Daily unit'!H29</f>
        <v>1881</v>
      </c>
      <c r="L53" s="118">
        <f>'Daily unit'!I29</f>
        <v>5752</v>
      </c>
      <c r="M53" s="119">
        <f>'Daily unit'!J29</f>
        <v>4526</v>
      </c>
      <c r="N53" s="321">
        <f>SUM(E53:M53)</f>
        <v>293580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x14ac:dyDescent="0.25">
      <c r="B55" s="738" t="s">
        <v>283</v>
      </c>
      <c r="C55" s="739"/>
      <c r="D55" s="739"/>
      <c r="E55" s="739"/>
      <c r="F55" s="739"/>
      <c r="G55" s="739"/>
      <c r="H55" s="740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224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677">
        <v>1</v>
      </c>
      <c r="C57" s="760" t="s">
        <v>287</v>
      </c>
      <c r="D57" s="760"/>
      <c r="E57" s="80">
        <v>42.5</v>
      </c>
      <c r="F57" s="53">
        <f>'Internal use cement'!F29</f>
        <v>0</v>
      </c>
      <c r="G57" s="53">
        <f>F57+'26'!G57</f>
        <v>0</v>
      </c>
      <c r="H57" s="104">
        <f>F57+'26'!H57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677"/>
      <c r="C58" s="760"/>
      <c r="D58" s="760"/>
      <c r="E58" s="80" t="s">
        <v>197</v>
      </c>
      <c r="F58" s="53">
        <f>'Internal use cement'!Q29</f>
        <v>0</v>
      </c>
      <c r="G58" s="53">
        <f>F58+'26'!G58</f>
        <v>0</v>
      </c>
      <c r="H58" s="104">
        <f>F58+'26'!H58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677"/>
      <c r="C59" s="760"/>
      <c r="D59" s="760"/>
      <c r="E59" s="80">
        <v>32.5</v>
      </c>
      <c r="F59" s="53">
        <f>'Internal use cement'!Y29</f>
        <v>0</v>
      </c>
      <c r="G59" s="53">
        <f>F59+'26'!G59</f>
        <v>0</v>
      </c>
      <c r="H59" s="288">
        <f>F59+'26'!H59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40"/>
      <c r="C60" s="839"/>
      <c r="D60" s="839"/>
      <c r="E60" s="112" t="s">
        <v>177</v>
      </c>
      <c r="F60" s="113">
        <f>'Internal use cement'!AJ29</f>
        <v>0</v>
      </c>
      <c r="G60" s="53">
        <f>F60+'26'!G60</f>
        <v>0</v>
      </c>
      <c r="H60" s="104">
        <f>F60+'26'!H60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O51:P51"/>
    <mergeCell ref="C52:D52"/>
    <mergeCell ref="O52:P52"/>
    <mergeCell ref="C30:D30"/>
    <mergeCell ref="C31:D31"/>
    <mergeCell ref="C33:D33"/>
    <mergeCell ref="C34:D34"/>
    <mergeCell ref="P31:P32"/>
    <mergeCell ref="B48:N48"/>
    <mergeCell ref="O48:Q48"/>
    <mergeCell ref="C32:D32"/>
    <mergeCell ref="I31:I32"/>
    <mergeCell ref="M31:M32"/>
    <mergeCell ref="N31:N32"/>
    <mergeCell ref="O31:O32"/>
    <mergeCell ref="B35:B40"/>
    <mergeCell ref="B2:Q2"/>
    <mergeCell ref="B3:Q3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C13:D13"/>
    <mergeCell ref="P6:P7"/>
    <mergeCell ref="Q6:Q7"/>
    <mergeCell ref="C8:Q8"/>
    <mergeCell ref="C11:D11"/>
    <mergeCell ref="C12:D12"/>
    <mergeCell ref="P13:Q13"/>
    <mergeCell ref="O9:O16"/>
    <mergeCell ref="C10:D10"/>
    <mergeCell ref="C9:D9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0:D50"/>
    <mergeCell ref="O50:P50"/>
    <mergeCell ref="C51:D51"/>
    <mergeCell ref="B14:B16"/>
    <mergeCell ref="C14:C16"/>
    <mergeCell ref="C17:Q17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C35:C40"/>
    <mergeCell ref="M41:P45"/>
    <mergeCell ref="I41:I45"/>
    <mergeCell ref="C57:D60"/>
    <mergeCell ref="B57:B60"/>
    <mergeCell ref="B41:B46"/>
    <mergeCell ref="C41:C46"/>
    <mergeCell ref="I55:Q60"/>
    <mergeCell ref="M46:P46"/>
    <mergeCell ref="C53:D53"/>
    <mergeCell ref="B55:H55"/>
    <mergeCell ref="C56:E56"/>
    <mergeCell ref="B54:Q54"/>
    <mergeCell ref="B47:Q47"/>
    <mergeCell ref="C49:D49"/>
    <mergeCell ref="O49:P49"/>
  </mergeCells>
  <pageMargins left="0.25" right="0.25" top="0.75" bottom="0.75" header="0.3" footer="0.3"/>
  <pageSetup paperSize="9" scale="5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B2:U152"/>
  <sheetViews>
    <sheetView zoomScale="90" zoomScaleNormal="90" zoomScaleSheetLayoutView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1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1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338</v>
      </c>
      <c r="R4" s="67"/>
      <c r="S4" s="67"/>
    </row>
    <row r="5" spans="2:21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1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1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20"/>
      <c r="U8" s="68" t="s">
        <v>243</v>
      </c>
    </row>
    <row r="9" spans="2:21" x14ac:dyDescent="0.25">
      <c r="B9" s="199">
        <v>1</v>
      </c>
      <c r="C9" s="225" t="s">
        <v>244</v>
      </c>
      <c r="D9" s="226"/>
      <c r="E9" s="74">
        <f>'27'!L9</f>
        <v>21378.951704462299</v>
      </c>
      <c r="F9" s="74">
        <f>Production2!D30</f>
        <v>0</v>
      </c>
      <c r="G9" s="74">
        <f>F9+'27'!G9</f>
        <v>64985.700000000004</v>
      </c>
      <c r="H9" s="74">
        <f>F9+'27'!H9</f>
        <v>64985.700000000004</v>
      </c>
      <c r="I9" s="74">
        <f>Production2!E30</f>
        <v>2779</v>
      </c>
      <c r="J9" s="74">
        <f>I9+'27'!J9</f>
        <v>61535</v>
      </c>
      <c r="K9" s="74">
        <f>I9+'27'!K9</f>
        <v>61535</v>
      </c>
      <c r="L9" s="74">
        <f>E9+F9-I9-I21</f>
        <v>18435.251704621598</v>
      </c>
      <c r="M9" s="75">
        <f>I9</f>
        <v>2779</v>
      </c>
      <c r="N9" s="75">
        <f>(I9/I13)*100</f>
        <v>95.073554567225443</v>
      </c>
      <c r="O9" s="667"/>
      <c r="P9" s="289">
        <v>10</v>
      </c>
      <c r="Q9" s="263">
        <f>'Raw mill moisture content'!L35</f>
        <v>0.10000000000000006</v>
      </c>
    </row>
    <row r="10" spans="2:21" ht="13.9" customHeight="1" x14ac:dyDescent="0.25">
      <c r="B10" s="79">
        <v>2</v>
      </c>
      <c r="C10" s="668" t="s">
        <v>30</v>
      </c>
      <c r="D10" s="668"/>
      <c r="E10" s="77">
        <f>'Mines (2)'!L30</f>
        <v>1200.5</v>
      </c>
      <c r="F10" s="77">
        <f>'Mines (2)'!M30</f>
        <v>0</v>
      </c>
      <c r="G10" s="74">
        <f>F10+'27'!G10</f>
        <v>1351.4600000000003</v>
      </c>
      <c r="H10" s="74">
        <f>F10+'27'!H10</f>
        <v>1351.4600000000003</v>
      </c>
      <c r="I10" s="77">
        <f>'Mines (2)'!N30</f>
        <v>66</v>
      </c>
      <c r="J10" s="74">
        <f>I10+'27'!J10</f>
        <v>341</v>
      </c>
      <c r="K10" s="74">
        <f>I10+'27'!K10</f>
        <v>341</v>
      </c>
      <c r="L10" s="77">
        <f t="shared" ref="L10:L13" si="0">E10+F10-I10</f>
        <v>1134.5</v>
      </c>
      <c r="M10" s="75">
        <f t="shared" ref="M10:M12" si="1">I10</f>
        <v>66</v>
      </c>
      <c r="N10" s="75">
        <f>(I10/I13)*100</f>
        <v>2.2579541566883341</v>
      </c>
      <c r="O10" s="667"/>
      <c r="P10" s="53">
        <v>10</v>
      </c>
      <c r="Q10" s="264">
        <f>'Raw mill moisture content'!M35</f>
        <v>9.9999999999999964E-2</v>
      </c>
    </row>
    <row r="11" spans="2:21" x14ac:dyDescent="0.25">
      <c r="B11" s="79">
        <v>3</v>
      </c>
      <c r="C11" s="668" t="s">
        <v>32</v>
      </c>
      <c r="D11" s="668"/>
      <c r="E11" s="77">
        <f>Clinker!C30</f>
        <v>4141.4799999999996</v>
      </c>
      <c r="F11" s="77">
        <f>Clinker!D30</f>
        <v>0</v>
      </c>
      <c r="G11" s="74">
        <f>F11+'27'!G11</f>
        <v>32.840000000000003</v>
      </c>
      <c r="H11" s="74">
        <f>F11+'27'!H11</f>
        <v>32.840000000000003</v>
      </c>
      <c r="I11" s="77">
        <f>Clinker!E30</f>
        <v>55</v>
      </c>
      <c r="J11" s="74">
        <f>I11+'27'!J11</f>
        <v>1312</v>
      </c>
      <c r="K11" s="74">
        <f>I11+'27'!K11</f>
        <v>1312</v>
      </c>
      <c r="L11" s="77">
        <f t="shared" si="0"/>
        <v>4086.4799999999996</v>
      </c>
      <c r="M11" s="75">
        <f t="shared" si="1"/>
        <v>55</v>
      </c>
      <c r="N11" s="75">
        <f>(I11/I13)*100</f>
        <v>1.8816284639069449</v>
      </c>
      <c r="O11" s="667"/>
      <c r="P11" s="53">
        <v>7</v>
      </c>
      <c r="Q11" s="264">
        <f>'Raw mill moisture content'!N35</f>
        <v>6.9999999999999937E-2</v>
      </c>
    </row>
    <row r="12" spans="2:21" ht="13.9" customHeight="1" x14ac:dyDescent="0.25">
      <c r="B12" s="79">
        <v>4</v>
      </c>
      <c r="C12" s="668" t="s">
        <v>245</v>
      </c>
      <c r="D12" s="668"/>
      <c r="E12" s="77">
        <f>'Mines (2)'!Q30</f>
        <v>336.03999999999996</v>
      </c>
      <c r="F12" s="77">
        <f>'Mines (2)'!R30</f>
        <v>0</v>
      </c>
      <c r="G12" s="74">
        <f>F12+'27'!G12</f>
        <v>137.76</v>
      </c>
      <c r="H12" s="74">
        <f>F12+'27'!H12</f>
        <v>137.76</v>
      </c>
      <c r="I12" s="77">
        <f>'Mines (2)'!S30</f>
        <v>23</v>
      </c>
      <c r="J12" s="74">
        <f>I12+'27'!J12</f>
        <v>425</v>
      </c>
      <c r="K12" s="74">
        <f>I12+'27'!K12</f>
        <v>425</v>
      </c>
      <c r="L12" s="77">
        <f t="shared" si="0"/>
        <v>313.03999999999996</v>
      </c>
      <c r="M12" s="75">
        <f t="shared" si="1"/>
        <v>23</v>
      </c>
      <c r="N12" s="75">
        <f>(I12/I13)*100</f>
        <v>0.7868628121792679</v>
      </c>
      <c r="O12" s="667"/>
      <c r="P12" s="53">
        <v>10</v>
      </c>
      <c r="Q12" s="264">
        <f>'Raw mill moisture content'!O35</f>
        <v>9.9999999999999881E-2</v>
      </c>
    </row>
    <row r="13" spans="2:21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27056.971704462299</v>
      </c>
      <c r="F13" s="127">
        <f t="shared" si="2"/>
        <v>0</v>
      </c>
      <c r="G13" s="127">
        <f t="shared" si="2"/>
        <v>66507.759999999995</v>
      </c>
      <c r="H13" s="127">
        <f t="shared" si="2"/>
        <v>66507.759999999995</v>
      </c>
      <c r="I13" s="127">
        <f t="shared" si="2"/>
        <v>2923</v>
      </c>
      <c r="J13" s="127">
        <f t="shared" si="2"/>
        <v>63613</v>
      </c>
      <c r="K13" s="127">
        <f t="shared" si="2"/>
        <v>63613</v>
      </c>
      <c r="L13" s="127">
        <f t="shared" si="0"/>
        <v>24133.971704462299</v>
      </c>
      <c r="M13" s="128">
        <f>SUM(M9:M12)</f>
        <v>2923</v>
      </c>
      <c r="N13" s="128">
        <f>SUM(N9:N12)</f>
        <v>99.999999999999986</v>
      </c>
      <c r="O13" s="667"/>
      <c r="P13" s="665"/>
      <c r="Q13" s="666"/>
    </row>
    <row r="14" spans="2:21" x14ac:dyDescent="0.25">
      <c r="B14" s="677">
        <v>6</v>
      </c>
      <c r="C14" s="678" t="s">
        <v>247</v>
      </c>
      <c r="D14" s="80" t="s">
        <v>69</v>
      </c>
      <c r="E14" s="77">
        <f>Clinker!EA30</f>
        <v>9269.4669999999896</v>
      </c>
      <c r="F14" s="77">
        <f>Clinker!EB30</f>
        <v>0</v>
      </c>
      <c r="G14" s="77">
        <f>F14+'27'!G14</f>
        <v>181.5</v>
      </c>
      <c r="H14" s="77">
        <f>F14+'27'!H14</f>
        <v>181.5</v>
      </c>
      <c r="I14" s="77">
        <f>Clinker!EC30</f>
        <v>256</v>
      </c>
      <c r="J14" s="77">
        <f>I14+'27'!J14</f>
        <v>6291.3</v>
      </c>
      <c r="K14" s="77">
        <f>I14+'27'!K14</f>
        <v>6291.3</v>
      </c>
      <c r="L14" s="77">
        <f>E14+F14-I14-Clinker!N30-Clinker!Z30-Clinker!AR30-Clinker!AW30-Clinker!BB30-Clinker!BV30-Clinker!BG30-Clinker!BL30-Clinker!BQ30-Clinker!CU30-Clinker!CZ30-Clinker!DE30-Clinker!DJ30-Clinker!DO30</f>
        <v>8929.4669999999896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S14" s="83"/>
    </row>
    <row r="15" spans="2:21" x14ac:dyDescent="0.25">
      <c r="B15" s="677"/>
      <c r="C15" s="678"/>
      <c r="D15" s="80" t="s">
        <v>68</v>
      </c>
      <c r="E15" s="77">
        <f>Clinker!EE30</f>
        <v>10191.699999999997</v>
      </c>
      <c r="F15" s="77">
        <f>Clinker!EF30</f>
        <v>0</v>
      </c>
      <c r="G15" s="77">
        <f>F15+'27'!G15</f>
        <v>155.05000000000001</v>
      </c>
      <c r="H15" s="77">
        <f>F15+'27'!H15</f>
        <v>155.05000000000001</v>
      </c>
      <c r="I15" s="77">
        <f>Clinker!EG30</f>
        <v>140</v>
      </c>
      <c r="J15" s="77">
        <f>I15+'27'!J15</f>
        <v>3600</v>
      </c>
      <c r="K15" s="77">
        <f>I15+'27'!K15</f>
        <v>3600</v>
      </c>
      <c r="L15" s="77">
        <f>E15+F15-Clinker!AE30-Clinker!AI30-Clinker!CK30-Clinker!CP30-Clinker!CF30</f>
        <v>10135.699999999997</v>
      </c>
      <c r="M15" s="81"/>
      <c r="N15" s="81"/>
      <c r="O15" s="667"/>
      <c r="P15" s="82"/>
      <c r="Q15" s="82"/>
      <c r="R15" s="83"/>
      <c r="S15" s="83"/>
    </row>
    <row r="16" spans="2:21" x14ac:dyDescent="0.25">
      <c r="B16" s="677"/>
      <c r="C16" s="679"/>
      <c r="D16" s="124" t="s">
        <v>152</v>
      </c>
      <c r="E16" s="125">
        <f>E14+E15</f>
        <v>19461.166999999987</v>
      </c>
      <c r="F16" s="125">
        <f>F14+F15</f>
        <v>0</v>
      </c>
      <c r="G16" s="425">
        <f t="shared" ref="G16:L16" si="3">G14+G15</f>
        <v>336.55</v>
      </c>
      <c r="H16" s="125">
        <f t="shared" si="3"/>
        <v>336.55</v>
      </c>
      <c r="I16" s="125">
        <f t="shared" si="3"/>
        <v>396</v>
      </c>
      <c r="J16" s="125">
        <f>J14+J15</f>
        <v>9891.2999999999993</v>
      </c>
      <c r="K16" s="125">
        <f t="shared" si="3"/>
        <v>9891.2999999999993</v>
      </c>
      <c r="L16" s="125">
        <f t="shared" si="3"/>
        <v>19065.166999999987</v>
      </c>
      <c r="M16" s="126"/>
      <c r="N16" s="126"/>
      <c r="O16" s="667"/>
      <c r="P16" s="84"/>
      <c r="Q16" s="131"/>
      <c r="R16" s="83"/>
      <c r="S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S17" s="19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Clinker!EI30</f>
        <v>22865.710087899766</v>
      </c>
      <c r="F18" s="74">
        <f>Clinker!EJ30</f>
        <v>1620</v>
      </c>
      <c r="G18" s="74">
        <f>F18+'27'!G18</f>
        <v>37175</v>
      </c>
      <c r="H18" s="74">
        <f>F18+'27'!H18</f>
        <v>37175</v>
      </c>
      <c r="I18" s="74">
        <f>Clinker!EK30</f>
        <v>657.0500001593</v>
      </c>
      <c r="J18" s="74">
        <f>I18+'27'!J18</f>
        <v>16627.880011886267</v>
      </c>
      <c r="K18" s="74">
        <f>I18+'27'!K18</f>
        <v>16627.880011886267</v>
      </c>
      <c r="L18" s="74">
        <f>E18+F18-I18-I20</f>
        <v>23828.660087740467</v>
      </c>
      <c r="M18" s="853">
        <f>((I18+I19)/(J40+J46))*100</f>
        <v>75.959537590670521</v>
      </c>
      <c r="N18" s="687"/>
      <c r="O18" s="689"/>
      <c r="P18" s="691"/>
      <c r="Q18" s="692"/>
      <c r="R18" s="190"/>
      <c r="S18" s="190"/>
    </row>
    <row r="19" spans="2:19" ht="45" x14ac:dyDescent="0.25">
      <c r="B19" s="677"/>
      <c r="C19" s="685"/>
      <c r="D19" s="85" t="s">
        <v>75</v>
      </c>
      <c r="E19" s="74">
        <f>Clinker!EN30</f>
        <v>4820.6390080001365</v>
      </c>
      <c r="F19" s="74">
        <f>Clinker!EO30</f>
        <v>334.69</v>
      </c>
      <c r="G19" s="74">
        <f>F19+'27'!G19</f>
        <v>13239.880000000003</v>
      </c>
      <c r="H19" s="74">
        <f>F19+'27'!H19</f>
        <v>13239.880000000003</v>
      </c>
      <c r="I19" s="74">
        <f>Clinker!EP30</f>
        <v>0</v>
      </c>
      <c r="J19" s="74">
        <f>I19+'27'!J19</f>
        <v>16934.099999999999</v>
      </c>
      <c r="K19" s="74">
        <f>I19+'27'!K19</f>
        <v>16934.099999999999</v>
      </c>
      <c r="L19" s="74">
        <f>E19+F19-I19</f>
        <v>5155.3290080001361</v>
      </c>
      <c r="M19" s="854"/>
      <c r="N19" s="687"/>
      <c r="O19" s="689"/>
      <c r="P19" s="691"/>
      <c r="Q19" s="692"/>
      <c r="R19" s="190"/>
      <c r="S19" s="20"/>
    </row>
    <row r="20" spans="2:19" ht="30" x14ac:dyDescent="0.25">
      <c r="B20" s="677"/>
      <c r="C20" s="686"/>
      <c r="D20" s="86" t="s">
        <v>251</v>
      </c>
      <c r="E20" s="77"/>
      <c r="F20" s="77">
        <v>0</v>
      </c>
      <c r="G20" s="74">
        <v>0</v>
      </c>
      <c r="H20" s="74">
        <v>0</v>
      </c>
      <c r="I20" s="77">
        <f>Clinker!EM30</f>
        <v>0</v>
      </c>
      <c r="J20" s="74">
        <f>I20+'27'!J20</f>
        <v>0</v>
      </c>
      <c r="K20" s="74">
        <f>I20+'27'!K20</f>
        <v>0</v>
      </c>
      <c r="L20" s="74"/>
      <c r="M20" s="78"/>
      <c r="N20" s="688"/>
      <c r="O20" s="689"/>
      <c r="P20" s="693"/>
      <c r="Q20" s="694"/>
      <c r="R20" s="20"/>
      <c r="S20" s="20"/>
    </row>
    <row r="21" spans="2:19" x14ac:dyDescent="0.25">
      <c r="B21" s="89"/>
      <c r="C21" s="73" t="s">
        <v>244</v>
      </c>
      <c r="D21" s="88"/>
      <c r="E21" s="77"/>
      <c r="F21" s="77"/>
      <c r="G21" s="74"/>
      <c r="H21" s="74"/>
      <c r="I21" s="77">
        <f>Cement!Q30</f>
        <v>164.6999998407</v>
      </c>
      <c r="J21" s="75">
        <f>I21+'27'!J21</f>
        <v>8120.3199925622366</v>
      </c>
      <c r="K21" s="74">
        <f>I21+'27'!K21</f>
        <v>8120.3199925622366</v>
      </c>
      <c r="L21" s="74"/>
      <c r="M21" s="78">
        <f>(I21/(J40+J46))*100</f>
        <v>19.040462409329482</v>
      </c>
      <c r="N21" s="78"/>
      <c r="O21" s="689"/>
      <c r="P21" s="87"/>
      <c r="Q21" s="695"/>
      <c r="R21" s="20"/>
      <c r="S21" s="20"/>
    </row>
    <row r="22" spans="2:19" x14ac:dyDescent="0.25">
      <c r="B22" s="89">
        <v>9</v>
      </c>
      <c r="C22" s="678" t="s">
        <v>252</v>
      </c>
      <c r="D22" s="678"/>
      <c r="E22" s="77">
        <f>Cement!C30</f>
        <v>7235.0700635982803</v>
      </c>
      <c r="F22" s="77">
        <f>Cement!D30</f>
        <v>29.76</v>
      </c>
      <c r="G22" s="74">
        <f>F22+'27'!G22</f>
        <v>1970.9</v>
      </c>
      <c r="H22" s="74">
        <f>F22+'27'!H22</f>
        <v>1970.9</v>
      </c>
      <c r="I22" s="77">
        <f>Cement!E30</f>
        <v>43.25</v>
      </c>
      <c r="J22" s="75">
        <f>I22+'27'!J22</f>
        <v>2194.6999955514993</v>
      </c>
      <c r="K22" s="74">
        <f>I22+'27'!K22</f>
        <v>2194.6999955514993</v>
      </c>
      <c r="L22" s="74">
        <f t="shared" ref="L22:L24" si="4">E22+F22-I22</f>
        <v>7221.5800635982805</v>
      </c>
      <c r="M22" s="78">
        <f>(I22/(J40+J46))*100</f>
        <v>5</v>
      </c>
      <c r="N22" s="78"/>
      <c r="O22" s="689"/>
      <c r="P22" s="87"/>
      <c r="Q22" s="696"/>
      <c r="R22" s="20"/>
      <c r="S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Cement!G30</f>
        <v>0.23999999999796273</v>
      </c>
      <c r="F23" s="77">
        <f>Cement!H30</f>
        <v>0</v>
      </c>
      <c r="G23" s="74">
        <f>F23+'27'!G23</f>
        <v>0</v>
      </c>
      <c r="H23" s="74">
        <f>F23+'27'!H23</f>
        <v>0</v>
      </c>
      <c r="I23" s="77">
        <f>Cement!I30</f>
        <v>0</v>
      </c>
      <c r="J23" s="74">
        <f>I23+'27'!J23</f>
        <v>0</v>
      </c>
      <c r="K23" s="74">
        <f>I23+'27'!K23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  <c r="S23" s="83"/>
    </row>
    <row r="24" spans="2:19" x14ac:dyDescent="0.25">
      <c r="B24" s="677"/>
      <c r="C24" s="686"/>
      <c r="D24" s="76" t="s">
        <v>255</v>
      </c>
      <c r="E24" s="77">
        <f>Cement!K30</f>
        <v>0</v>
      </c>
      <c r="F24" s="77">
        <f>Cement!L30</f>
        <v>0</v>
      </c>
      <c r="G24" s="74">
        <f>F24+'27'!G24</f>
        <v>0</v>
      </c>
      <c r="H24" s="74">
        <f>F24+'27'!H24</f>
        <v>0</v>
      </c>
      <c r="I24" s="77">
        <f>Cement!M30</f>
        <v>0</v>
      </c>
      <c r="J24" s="74">
        <f>I24+'27'!J24</f>
        <v>0</v>
      </c>
      <c r="K24" s="74">
        <f>I24+'27'!K24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  <c r="S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34921.65915949818</v>
      </c>
      <c r="F25" s="122">
        <f t="shared" ref="F25:L25" si="5">F18+F19+F21+F22+F23+F24</f>
        <v>1984.45</v>
      </c>
      <c r="G25" s="122">
        <f t="shared" si="5"/>
        <v>52385.780000000006</v>
      </c>
      <c r="H25" s="122">
        <f t="shared" si="5"/>
        <v>52385.780000000006</v>
      </c>
      <c r="I25" s="122">
        <f t="shared" si="5"/>
        <v>865</v>
      </c>
      <c r="J25" s="122">
        <f t="shared" si="5"/>
        <v>43877</v>
      </c>
      <c r="K25" s="122">
        <f t="shared" si="5"/>
        <v>43877</v>
      </c>
      <c r="L25" s="122">
        <f t="shared" si="5"/>
        <v>36205.809159338882</v>
      </c>
      <c r="M25" s="703"/>
      <c r="N25" s="703"/>
      <c r="O25" s="690"/>
      <c r="P25" s="700"/>
      <c r="Q25" s="701"/>
      <c r="R25" s="83"/>
      <c r="S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  <c r="S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  <c r="S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  <c r="S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  <c r="S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Production2!C30</f>
        <v>16.100000000000001</v>
      </c>
      <c r="G30" s="75">
        <f>F30+'27'!G30</f>
        <v>399.67000000000007</v>
      </c>
      <c r="H30" s="74">
        <f>F30+'27'!H30</f>
        <v>399.67000000000007</v>
      </c>
      <c r="I30" s="74">
        <f>'Mines (2)'!C30+'Mines (2)'!H30+'Mines (2)'!V30+'Mines (2)'!Z30+'Mines (2)'!AD30</f>
        <v>21378.951704462303</v>
      </c>
      <c r="J30" s="74">
        <f>Production2!D30</f>
        <v>0</v>
      </c>
      <c r="K30" s="74">
        <f>J30+'27'!K30</f>
        <v>64985.700000000004</v>
      </c>
      <c r="L30" s="74">
        <f>J30+'27'!L30</f>
        <v>64985.700000000004</v>
      </c>
      <c r="M30" s="74">
        <f>I9+I21</f>
        <v>2943.6999998407</v>
      </c>
      <c r="N30" s="75">
        <f>M30+'27'!N30</f>
        <v>69655.319992562247</v>
      </c>
      <c r="O30" s="74">
        <f>M30+'27'!O30</f>
        <v>69655.319992562247</v>
      </c>
      <c r="P30" s="74">
        <f>I30+J30-M30</f>
        <v>18435.251704621602</v>
      </c>
      <c r="Q30" s="93">
        <f>J30/F30</f>
        <v>0</v>
      </c>
      <c r="R30" s="94"/>
      <c r="S30" s="94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Production2!G30</f>
        <v>21.57</v>
      </c>
      <c r="G31" s="75">
        <f>F31+'27'!G31</f>
        <v>452.84999999999997</v>
      </c>
      <c r="H31" s="75">
        <f>F31+'27'!H31</f>
        <v>452.84999999999997</v>
      </c>
      <c r="I31" s="747">
        <f>Production2!H30</f>
        <v>1538.4700168375193</v>
      </c>
      <c r="J31" s="77">
        <f>Production2!N30</f>
        <v>2480</v>
      </c>
      <c r="K31" s="593">
        <f>J31+'27'!K31</f>
        <v>54021.15</v>
      </c>
      <c r="L31" s="74">
        <f>J31+'27'!L31</f>
        <v>54021.15</v>
      </c>
      <c r="M31" s="747">
        <f>Production2!K30</f>
        <v>2511</v>
      </c>
      <c r="N31" s="747">
        <f>M31+'27'!N31</f>
        <v>57621.25</v>
      </c>
      <c r="O31" s="747">
        <f>M31+'27'!O31</f>
        <v>57621.25</v>
      </c>
      <c r="P31" s="747">
        <f>I31+J31+J32-M31</f>
        <v>1659.8200168375197</v>
      </c>
      <c r="Q31" s="96">
        <f t="shared" ref="Q31:Q46" si="6">J31/F31</f>
        <v>114.97450162262402</v>
      </c>
      <c r="R31" s="94"/>
      <c r="S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Production2!P30</f>
        <v>16</v>
      </c>
      <c r="G32" s="75">
        <f>F32+'27'!G32</f>
        <v>364.78999999999996</v>
      </c>
      <c r="H32" s="75">
        <f>F32+'27'!H32</f>
        <v>364.78999999999996</v>
      </c>
      <c r="I32" s="748"/>
      <c r="J32" s="78">
        <f>Production2!Q30</f>
        <v>152.35</v>
      </c>
      <c r="K32" s="593">
        <f>J32+'27'!K32</f>
        <v>3266.1899999999996</v>
      </c>
      <c r="L32" s="74">
        <f>J32+'27'!L32</f>
        <v>3266.1899999999996</v>
      </c>
      <c r="M32" s="748"/>
      <c r="N32" s="748"/>
      <c r="O32" s="748"/>
      <c r="P32" s="748"/>
      <c r="Q32" s="96">
        <f>J32/F32</f>
        <v>9.5218749999999996</v>
      </c>
      <c r="R32" s="94"/>
      <c r="S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Production2!S30</f>
        <v>17</v>
      </c>
      <c r="G33" s="75">
        <f>F33+'27'!G33</f>
        <v>410.07</v>
      </c>
      <c r="H33" s="75">
        <f>F33+'27'!H33</f>
        <v>410.07</v>
      </c>
      <c r="I33" s="77">
        <f>Production2!T30</f>
        <v>55.309999999999945</v>
      </c>
      <c r="J33" s="77">
        <f>Production2!U30</f>
        <v>230.4</v>
      </c>
      <c r="K33" s="593">
        <f>J33+'27'!K33</f>
        <v>5662.2</v>
      </c>
      <c r="L33" s="74">
        <f>J33+'27'!L33</f>
        <v>5662.2</v>
      </c>
      <c r="M33" s="77">
        <f>Production2!V30</f>
        <v>243</v>
      </c>
      <c r="N33" s="74">
        <f>M33+'27'!N33</f>
        <v>5635</v>
      </c>
      <c r="O33" s="74">
        <f>M33+'27'!O33</f>
        <v>5635</v>
      </c>
      <c r="P33" s="74">
        <f t="shared" ref="P33" si="7">I33+J33-M33</f>
        <v>42.709999999999923</v>
      </c>
      <c r="Q33" s="96">
        <f t="shared" si="6"/>
        <v>13.552941176470588</v>
      </c>
      <c r="R33" s="94"/>
      <c r="S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Production2!Y30</f>
        <v>24</v>
      </c>
      <c r="G34" s="75">
        <f>F34+'27'!G34</f>
        <v>570.27</v>
      </c>
      <c r="H34" s="75">
        <f>F34+'27'!H34</f>
        <v>570.27</v>
      </c>
      <c r="I34" s="77">
        <f>Clinker!EI30</f>
        <v>22865.710087899766</v>
      </c>
      <c r="J34" s="77">
        <f>Clinker!EJ30</f>
        <v>1620</v>
      </c>
      <c r="K34" s="74">
        <f>J34+'27'!K34</f>
        <v>37175</v>
      </c>
      <c r="L34" s="74">
        <f>J34+'27'!L34</f>
        <v>37175</v>
      </c>
      <c r="M34" s="77">
        <f>Clinker!EK30</f>
        <v>657.0500001593</v>
      </c>
      <c r="N34" s="74">
        <f>M34+'27'!N34</f>
        <v>16627.880011886267</v>
      </c>
      <c r="O34" s="74">
        <f>M34+'27'!O34</f>
        <v>16627.880011886267</v>
      </c>
      <c r="P34" s="74">
        <f>I34+J34-M34-I20</f>
        <v>23828.660087740467</v>
      </c>
      <c r="Q34" s="96">
        <f t="shared" si="6"/>
        <v>67.5</v>
      </c>
      <c r="R34" s="94"/>
      <c r="S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Production2!AE30</f>
        <v>0</v>
      </c>
      <c r="G35" s="75">
        <f>F35+'27'!G35</f>
        <v>9</v>
      </c>
      <c r="H35" s="75">
        <f>F35+'27'!H35</f>
        <v>9</v>
      </c>
      <c r="I35" s="77">
        <f>Production2!BJ30</f>
        <v>423.79999999999995</v>
      </c>
      <c r="J35" s="77">
        <f>Production2!AF30</f>
        <v>0</v>
      </c>
      <c r="K35" s="74">
        <f>J35+'27'!K35</f>
        <v>574</v>
      </c>
      <c r="L35" s="74">
        <f>J35+'27'!L35</f>
        <v>574</v>
      </c>
      <c r="M35" s="77">
        <f>Production2!BL30</f>
        <v>94</v>
      </c>
      <c r="N35" s="606">
        <f>M35+'27'!N35</f>
        <v>2176.5</v>
      </c>
      <c r="O35" s="74">
        <f>M35+'27'!O35</f>
        <v>2176.5</v>
      </c>
      <c r="P35" s="74">
        <f>I35+J35+J41-M35-F59</f>
        <v>329.79999999999995</v>
      </c>
      <c r="Q35" s="96" t="e">
        <f t="shared" si="6"/>
        <v>#DIV/0!</v>
      </c>
      <c r="R35" s="94"/>
      <c r="S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Production2!AB30</f>
        <v>0</v>
      </c>
      <c r="G36" s="75">
        <f>F36+'27'!G36</f>
        <v>206.33</v>
      </c>
      <c r="H36" s="75">
        <f>F36+'27'!H36</f>
        <v>206.33</v>
      </c>
      <c r="I36" s="77">
        <f>Production2!BF30</f>
        <v>2703.7779999999798</v>
      </c>
      <c r="J36" s="77">
        <f>Production2!AC30</f>
        <v>0</v>
      </c>
      <c r="K36" s="74">
        <f>J36+'27'!K36</f>
        <v>12429</v>
      </c>
      <c r="L36" s="74">
        <f>J36+'27'!L36</f>
        <v>12429</v>
      </c>
      <c r="M36" s="77">
        <f>Production2!BH30</f>
        <v>1060.3</v>
      </c>
      <c r="N36" s="74">
        <f>M36+'27'!N36</f>
        <v>33319.079999999994</v>
      </c>
      <c r="O36" s="606">
        <f>M36+'27'!O36</f>
        <v>33319.079999999994</v>
      </c>
      <c r="P36" s="74">
        <f>I36+J36+J42-M36-F57</f>
        <v>2298.4779999999801</v>
      </c>
      <c r="Q36" s="96" t="e">
        <f t="shared" si="6"/>
        <v>#DIV/0!</v>
      </c>
      <c r="R36" s="94"/>
      <c r="S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Production2!AH30</f>
        <v>0</v>
      </c>
      <c r="G37" s="75">
        <f>F37+'27'!G37</f>
        <v>0</v>
      </c>
      <c r="H37" s="75">
        <f>F37+'27'!H37</f>
        <v>0</v>
      </c>
      <c r="I37" s="77">
        <f>Production2!BN30</f>
        <v>2.0900000000008498</v>
      </c>
      <c r="J37" s="77">
        <f>Production2!AI30</f>
        <v>0</v>
      </c>
      <c r="K37" s="606">
        <f>J37+'27'!K37</f>
        <v>0</v>
      </c>
      <c r="L37" s="607">
        <f>J37+'27'!L37</f>
        <v>0</v>
      </c>
      <c r="M37" s="77">
        <f>Production2!BP30</f>
        <v>0</v>
      </c>
      <c r="N37" s="606">
        <f>M37+'27'!N37</f>
        <v>-0.15</v>
      </c>
      <c r="O37" s="606">
        <f>M37+'27'!O37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Production2!AK30</f>
        <v>0</v>
      </c>
      <c r="G38" s="605">
        <f>F38+'27'!G38</f>
        <v>0</v>
      </c>
      <c r="H38" s="605">
        <f>F38+'27'!H38</f>
        <v>0</v>
      </c>
      <c r="I38" s="195">
        <f>Production2!BR30</f>
        <v>257.3</v>
      </c>
      <c r="J38" s="195">
        <v>0</v>
      </c>
      <c r="K38" s="606">
        <f>J38+'27'!K38</f>
        <v>0</v>
      </c>
      <c r="L38" s="607">
        <f>J38+'27'!L38</f>
        <v>0</v>
      </c>
      <c r="M38" s="77">
        <f>Production2!BT30</f>
        <v>31</v>
      </c>
      <c r="N38" s="606">
        <f>M38+'27'!N38</f>
        <v>1697</v>
      </c>
      <c r="O38" s="606">
        <f>M38+'27'!O38</f>
        <v>1697</v>
      </c>
      <c r="P38" s="593">
        <f>I38+J38+J44-M38-F60</f>
        <v>226.3</v>
      </c>
      <c r="Q38" s="96" t="e">
        <f t="shared" si="6"/>
        <v>#DIV/0!</v>
      </c>
      <c r="R38" s="94"/>
      <c r="S38" s="94"/>
    </row>
    <row r="39" spans="2:19" x14ac:dyDescent="0.25">
      <c r="B39" s="754"/>
      <c r="C39" s="685"/>
      <c r="D39" s="595" t="s">
        <v>306</v>
      </c>
      <c r="E39" s="599"/>
      <c r="F39" s="597">
        <f>Production2!AN30</f>
        <v>0</v>
      </c>
      <c r="G39" s="605">
        <f>F39+'27'!G39</f>
        <v>40.65</v>
      </c>
      <c r="H39" s="605">
        <f>F39+'27'!H39</f>
        <v>40.65</v>
      </c>
      <c r="I39" s="594">
        <f>Production2!BV30</f>
        <v>809.71000000000015</v>
      </c>
      <c r="J39" s="594">
        <f>Production2!AO30</f>
        <v>0</v>
      </c>
      <c r="K39" s="606">
        <f>J39+'27'!K39</f>
        <v>2532</v>
      </c>
      <c r="L39" s="607">
        <f>J39+'27'!L39</f>
        <v>2532</v>
      </c>
      <c r="M39" s="77">
        <f>Production2!BX30</f>
        <v>213.94</v>
      </c>
      <c r="N39" s="606">
        <f>M39+'27'!N39</f>
        <v>5121.9399999999996</v>
      </c>
      <c r="O39" s="606">
        <f>M39+'27'!O39</f>
        <v>5121.9399999999996</v>
      </c>
      <c r="P39" s="593">
        <f>I39+J45+J39-M39-F61</f>
        <v>805.77000000000021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255.98000000000002</v>
      </c>
      <c r="H40" s="132">
        <f t="shared" si="8"/>
        <v>255.98000000000002</v>
      </c>
      <c r="I40" s="122">
        <f>I35+I36+I37+I38+I39</f>
        <v>4196.6779999999808</v>
      </c>
      <c r="J40" s="596">
        <f t="shared" ref="J40:P40" si="9">J35+J36+J37+J38+J39</f>
        <v>0</v>
      </c>
      <c r="K40" s="596">
        <f t="shared" si="9"/>
        <v>15535</v>
      </c>
      <c r="L40" s="596">
        <f t="shared" si="9"/>
        <v>15535</v>
      </c>
      <c r="M40" s="596">
        <f t="shared" si="9"/>
        <v>1399.24</v>
      </c>
      <c r="N40" s="604">
        <f t="shared" si="9"/>
        <v>42314.369999999995</v>
      </c>
      <c r="O40" s="604">
        <f t="shared" si="9"/>
        <v>42314.369999999995</v>
      </c>
      <c r="P40" s="596">
        <f t="shared" si="9"/>
        <v>3662.4379999999819</v>
      </c>
      <c r="Q40" s="123" t="e">
        <f t="shared" si="6"/>
        <v>#DIV/0!</v>
      </c>
      <c r="R40" s="94"/>
      <c r="S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Production2!AT30</f>
        <v>0</v>
      </c>
      <c r="G41" s="75">
        <f>F41+'27'!G41</f>
        <v>28.299999999999997</v>
      </c>
      <c r="H41" s="75">
        <f>F41+'27'!H41</f>
        <v>28.299999999999997</v>
      </c>
      <c r="I41" s="764"/>
      <c r="J41" s="77">
        <f>Production2!AU30</f>
        <v>0</v>
      </c>
      <c r="K41" s="74">
        <f>J41+'27'!K41</f>
        <v>1700</v>
      </c>
      <c r="L41" s="74">
        <f>J41+'27'!L41</f>
        <v>1700</v>
      </c>
      <c r="M41" s="766"/>
      <c r="N41" s="767"/>
      <c r="O41" s="767"/>
      <c r="P41" s="768"/>
      <c r="Q41" s="96" t="e">
        <f t="shared" si="6"/>
        <v>#DIV/0!</v>
      </c>
      <c r="R41" s="94"/>
      <c r="S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Production2!AQ30</f>
        <v>11.7</v>
      </c>
      <c r="G42" s="75">
        <f>F42+'27'!G42</f>
        <v>378.80000000000007</v>
      </c>
      <c r="H42" s="75">
        <f>F42+'27'!H42</f>
        <v>378.80000000000007</v>
      </c>
      <c r="I42" s="765"/>
      <c r="J42" s="77">
        <f>Production2!AR30</f>
        <v>655</v>
      </c>
      <c r="K42" s="74">
        <f>J42+'27'!K42</f>
        <v>21910</v>
      </c>
      <c r="L42" s="74">
        <f>J42+'27'!L42</f>
        <v>21910</v>
      </c>
      <c r="M42" s="769"/>
      <c r="N42" s="770"/>
      <c r="O42" s="770"/>
      <c r="P42" s="771"/>
      <c r="Q42" s="96">
        <f t="shared" si="6"/>
        <v>55.982905982905983</v>
      </c>
      <c r="R42" s="94"/>
      <c r="S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Production2!AW30</f>
        <v>0</v>
      </c>
      <c r="G43" s="605">
        <f>F43+'27'!G43</f>
        <v>0</v>
      </c>
      <c r="H43" s="605">
        <f>F43+'27'!H43</f>
        <v>0</v>
      </c>
      <c r="I43" s="765"/>
      <c r="J43" s="77">
        <f>Production2!AX30</f>
        <v>0</v>
      </c>
      <c r="K43" s="593">
        <f>J43+'27'!K43</f>
        <v>0</v>
      </c>
      <c r="L43" s="606">
        <f>J43+'27'!L43</f>
        <v>0</v>
      </c>
      <c r="M43" s="769"/>
      <c r="N43" s="770"/>
      <c r="O43" s="770"/>
      <c r="P43" s="771"/>
      <c r="Q43" s="96" t="e">
        <f t="shared" si="6"/>
        <v>#DIV/0!</v>
      </c>
      <c r="R43" s="94"/>
      <c r="S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Production2!AZ30</f>
        <v>0</v>
      </c>
      <c r="G44" s="605">
        <f>F44+'27'!G44</f>
        <v>30.880000000000003</v>
      </c>
      <c r="H44" s="605">
        <f>F44+'27'!H44</f>
        <v>30.880000000000003</v>
      </c>
      <c r="I44" s="765"/>
      <c r="J44" s="195">
        <f>Production2!BA30</f>
        <v>0</v>
      </c>
      <c r="K44" s="606">
        <f>J44+'27'!K44</f>
        <v>1710</v>
      </c>
      <c r="L44" s="606">
        <f>J44+'27'!L44</f>
        <v>1710</v>
      </c>
      <c r="M44" s="769"/>
      <c r="N44" s="770"/>
      <c r="O44" s="770"/>
      <c r="P44" s="771"/>
      <c r="Q44" s="96" t="e">
        <f t="shared" si="6"/>
        <v>#DIV/0!</v>
      </c>
      <c r="R44" s="94"/>
      <c r="S44" s="94"/>
    </row>
    <row r="45" spans="2:19" x14ac:dyDescent="0.25">
      <c r="B45" s="754"/>
      <c r="C45" s="685"/>
      <c r="D45" s="595" t="s">
        <v>306</v>
      </c>
      <c r="E45" s="599">
        <v>70</v>
      </c>
      <c r="F45" s="597">
        <f>Production2!BC30</f>
        <v>3.4</v>
      </c>
      <c r="G45" s="605">
        <f>F45+'27'!G45</f>
        <v>50.970000000000006</v>
      </c>
      <c r="H45" s="605">
        <f>F45+'27'!H45</f>
        <v>50.970000000000006</v>
      </c>
      <c r="I45" s="748"/>
      <c r="J45" s="594">
        <f>Production2!BD30</f>
        <v>210</v>
      </c>
      <c r="K45" s="606">
        <f>J45+'27'!K45</f>
        <v>3022</v>
      </c>
      <c r="L45" s="606">
        <f>J45+'27'!L45</f>
        <v>3022</v>
      </c>
      <c r="M45" s="772"/>
      <c r="N45" s="773"/>
      <c r="O45" s="773"/>
      <c r="P45" s="774"/>
      <c r="Q45" s="96">
        <f t="shared" si="6"/>
        <v>61.764705882352942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15.1</v>
      </c>
      <c r="G46" s="132">
        <f t="shared" ref="G46:H46" si="10">G41+G42+G43+G44+G45</f>
        <v>488.9500000000001</v>
      </c>
      <c r="H46" s="132">
        <f t="shared" si="10"/>
        <v>488.9500000000001</v>
      </c>
      <c r="I46" s="122">
        <f>I41+I42+I43+I44</f>
        <v>0</v>
      </c>
      <c r="J46" s="122">
        <f>J41+J42+J43+J44+J45</f>
        <v>865</v>
      </c>
      <c r="K46" s="596">
        <f>K41+K42+K43+K44+K45</f>
        <v>28342</v>
      </c>
      <c r="L46" s="596">
        <f t="shared" ref="L46" si="11">L41+L42+L43+L44+L45</f>
        <v>28342</v>
      </c>
      <c r="M46" s="836"/>
      <c r="N46" s="837"/>
      <c r="O46" s="837"/>
      <c r="P46" s="838"/>
      <c r="Q46" s="123">
        <f t="shared" si="6"/>
        <v>57.284768211920529</v>
      </c>
      <c r="R46" s="94"/>
      <c r="S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  <c r="S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9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9" ht="14.45" customHeight="1" x14ac:dyDescent="0.25">
      <c r="B50" s="91">
        <v>1</v>
      </c>
      <c r="C50" s="746" t="s">
        <v>276</v>
      </c>
      <c r="D50" s="746"/>
      <c r="E50" s="99" t="e">
        <f>E53/J30</f>
        <v>#DIV/0!</v>
      </c>
      <c r="F50" s="99">
        <f>F53/(J31+J32)</f>
        <v>24.352004862575267</v>
      </c>
      <c r="G50" s="99">
        <f>G53/J32</f>
        <v>0</v>
      </c>
      <c r="H50" s="99">
        <f>H53/J34</f>
        <v>36.140123456790121</v>
      </c>
      <c r="I50" s="99">
        <f>I53/J33</f>
        <v>64.401041666666671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15</v>
      </c>
    </row>
    <row r="51" spans="2:19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>
        <f>F50*1.55</f>
        <v>37.745607536991663</v>
      </c>
      <c r="G51" s="102">
        <f>G50*1.55</f>
        <v>0</v>
      </c>
      <c r="H51" s="102">
        <f>H50</f>
        <v>36.140123456790121</v>
      </c>
      <c r="I51" s="102">
        <f>I50*(Q50/100)</f>
        <v>9.66015625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5378</v>
      </c>
    </row>
    <row r="52" spans="2:19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>
        <f>F51*M18/100</f>
        <v>28.671388945888147</v>
      </c>
      <c r="G52" s="102">
        <f>G51*M18/100</f>
        <v>0</v>
      </c>
      <c r="H52" s="102">
        <f>H51*M18/100</f>
        <v>27.451870662475226</v>
      </c>
      <c r="I52" s="102">
        <f>I51*M18/100</f>
        <v>7.337810018036258</v>
      </c>
      <c r="J52" s="99">
        <f>J53/(J40+J46)</f>
        <v>54.781502890173414</v>
      </c>
      <c r="K52" s="99">
        <f>K53/(J46+J40)</f>
        <v>2.0184971098265896</v>
      </c>
      <c r="L52" s="99">
        <f>L53/(M40)</f>
        <v>4.0414796603870675</v>
      </c>
      <c r="M52" s="96">
        <f>M53/(J46+J40)</f>
        <v>5.5005780346820812</v>
      </c>
      <c r="N52" s="310" t="e">
        <f>SUM(E52:M52)</f>
        <v>#DIV/0!</v>
      </c>
      <c r="O52" s="668" t="s">
        <v>281</v>
      </c>
      <c r="P52" s="668"/>
      <c r="Q52" s="104">
        <f>Q51*Q50/100</f>
        <v>806.7</v>
      </c>
    </row>
    <row r="53" spans="2:19" ht="15" customHeight="1" thickBot="1" x14ac:dyDescent="0.3">
      <c r="B53" s="90" t="s">
        <v>243</v>
      </c>
      <c r="C53" s="775" t="s">
        <v>282</v>
      </c>
      <c r="D53" s="775"/>
      <c r="E53" s="118">
        <f>'Daily unit'!B30</f>
        <v>2465</v>
      </c>
      <c r="F53" s="118">
        <f>'Daily unit'!C30</f>
        <v>64103</v>
      </c>
      <c r="G53" s="118">
        <f>'Daily unit'!D30</f>
        <v>0</v>
      </c>
      <c r="H53" s="118">
        <f>'Daily unit'!E30</f>
        <v>58547</v>
      </c>
      <c r="I53" s="118">
        <f>'Daily unit'!F30</f>
        <v>14838</v>
      </c>
      <c r="J53" s="118">
        <f>'Daily unit'!G30</f>
        <v>47386</v>
      </c>
      <c r="K53" s="118">
        <f>'Daily unit'!H30</f>
        <v>1746</v>
      </c>
      <c r="L53" s="118">
        <f>'Daily unit'!I30</f>
        <v>5655</v>
      </c>
      <c r="M53" s="119">
        <f>'Daily unit'!J30</f>
        <v>4758</v>
      </c>
      <c r="N53" s="321">
        <f>SUM(E53:M53)</f>
        <v>199498</v>
      </c>
      <c r="O53" s="106"/>
      <c r="P53" s="107"/>
      <c r="Q53" s="108"/>
    </row>
    <row r="54" spans="2:19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9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709" t="s">
        <v>284</v>
      </c>
      <c r="J55" s="710"/>
      <c r="K55" s="710"/>
      <c r="L55" s="710"/>
      <c r="M55" s="710"/>
      <c r="N55" s="710"/>
      <c r="O55" s="710"/>
      <c r="P55" s="710"/>
      <c r="Q55" s="711"/>
      <c r="R55" s="109"/>
    </row>
    <row r="56" spans="2:19" s="110" customFormat="1" ht="14.45" customHeight="1" thickBot="1" x14ac:dyDescent="0.3">
      <c r="B56" s="214" t="s">
        <v>231</v>
      </c>
      <c r="C56" s="820" t="s">
        <v>285</v>
      </c>
      <c r="D56" s="820"/>
      <c r="E56" s="739"/>
      <c r="F56" s="150" t="s">
        <v>286</v>
      </c>
      <c r="G56" s="150" t="s">
        <v>26</v>
      </c>
      <c r="H56" s="183" t="s">
        <v>27</v>
      </c>
      <c r="I56" s="712"/>
      <c r="J56" s="713"/>
      <c r="K56" s="713"/>
      <c r="L56" s="713"/>
      <c r="M56" s="713"/>
      <c r="N56" s="713"/>
      <c r="O56" s="713"/>
      <c r="P56" s="713"/>
      <c r="Q56" s="714"/>
      <c r="R56" s="111"/>
    </row>
    <row r="57" spans="2:19" ht="14.45" customHeight="1" x14ac:dyDescent="0.25">
      <c r="B57" s="825">
        <v>1</v>
      </c>
      <c r="C57" s="824" t="s">
        <v>287</v>
      </c>
      <c r="D57" s="833"/>
      <c r="E57" s="211">
        <v>42.5</v>
      </c>
      <c r="F57" s="53">
        <f>'Internal use cement'!F30</f>
        <v>0</v>
      </c>
      <c r="G57" s="53">
        <f>F57+'27'!G57</f>
        <v>0</v>
      </c>
      <c r="H57" s="182">
        <f>F57+'27'!H57</f>
        <v>0</v>
      </c>
      <c r="I57" s="712"/>
      <c r="J57" s="713"/>
      <c r="K57" s="713"/>
      <c r="L57" s="713"/>
      <c r="M57" s="713"/>
      <c r="N57" s="713"/>
      <c r="O57" s="713"/>
      <c r="P57" s="713"/>
      <c r="Q57" s="714"/>
      <c r="R57" s="109"/>
    </row>
    <row r="58" spans="2:19" ht="14.45" customHeight="1" x14ac:dyDescent="0.25">
      <c r="B58" s="826"/>
      <c r="C58" s="758"/>
      <c r="D58" s="834"/>
      <c r="E58" s="211" t="s">
        <v>197</v>
      </c>
      <c r="F58" s="53">
        <f>'Internal use cement'!Q30</f>
        <v>0</v>
      </c>
      <c r="G58" s="53">
        <f>F58+'27'!G58</f>
        <v>0</v>
      </c>
      <c r="H58" s="182">
        <f>F58+'27'!H58</f>
        <v>0</v>
      </c>
      <c r="I58" s="712"/>
      <c r="J58" s="713"/>
      <c r="K58" s="713"/>
      <c r="L58" s="713"/>
      <c r="M58" s="713"/>
      <c r="N58" s="713"/>
      <c r="O58" s="713"/>
      <c r="P58" s="713"/>
      <c r="Q58" s="714"/>
      <c r="R58" s="109"/>
    </row>
    <row r="59" spans="2:19" ht="15" customHeight="1" x14ac:dyDescent="0.25">
      <c r="B59" s="826"/>
      <c r="C59" s="758"/>
      <c r="D59" s="834"/>
      <c r="E59" s="211">
        <v>32.5</v>
      </c>
      <c r="F59" s="53">
        <f>'Internal use cement'!Y30</f>
        <v>0</v>
      </c>
      <c r="G59" s="53">
        <f>F59+'27'!G59</f>
        <v>0</v>
      </c>
      <c r="H59" s="287">
        <f>F59+'27'!H59</f>
        <v>0</v>
      </c>
      <c r="I59" s="712"/>
      <c r="J59" s="713"/>
      <c r="K59" s="713"/>
      <c r="L59" s="713"/>
      <c r="M59" s="713"/>
      <c r="N59" s="713"/>
      <c r="O59" s="713"/>
      <c r="P59" s="713"/>
      <c r="Q59" s="714"/>
      <c r="R59" s="109"/>
    </row>
    <row r="60" spans="2:19" ht="15" customHeight="1" thickBot="1" x14ac:dyDescent="0.3">
      <c r="B60" s="827"/>
      <c r="C60" s="759"/>
      <c r="D60" s="835"/>
      <c r="E60" s="213" t="s">
        <v>177</v>
      </c>
      <c r="F60" s="113">
        <f>'Internal use cement'!AJ30</f>
        <v>0</v>
      </c>
      <c r="G60" s="53">
        <f>F60+'27'!G60</f>
        <v>0</v>
      </c>
      <c r="H60" s="182">
        <f>F60+'27'!H60</f>
        <v>0</v>
      </c>
      <c r="I60" s="715"/>
      <c r="J60" s="716"/>
      <c r="K60" s="716"/>
      <c r="L60" s="716"/>
      <c r="M60" s="716"/>
      <c r="N60" s="716"/>
      <c r="O60" s="716"/>
      <c r="P60" s="716"/>
      <c r="Q60" s="717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09"/>
      <c r="S63" s="109"/>
    </row>
    <row r="64" spans="2:19" x14ac:dyDescent="0.25">
      <c r="R64" s="94"/>
      <c r="S64" s="94"/>
    </row>
    <row r="65" spans="2:19" x14ac:dyDescent="0.25">
      <c r="R65" s="117"/>
      <c r="S65" s="117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</sheetData>
  <mergeCells count="84">
    <mergeCell ref="B2:Q2"/>
    <mergeCell ref="B3:Q3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B4:O4"/>
    <mergeCell ref="B6:B7"/>
    <mergeCell ref="C6:C7"/>
    <mergeCell ref="D6:D7"/>
    <mergeCell ref="N6:N7"/>
    <mergeCell ref="O6:O7"/>
    <mergeCell ref="P6:P7"/>
    <mergeCell ref="Q6:Q7"/>
    <mergeCell ref="C17:Q17"/>
    <mergeCell ref="E6:E7"/>
    <mergeCell ref="F6:H6"/>
    <mergeCell ref="I6:K6"/>
    <mergeCell ref="L6:L7"/>
    <mergeCell ref="M6:M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C34:D34"/>
    <mergeCell ref="B35:B40"/>
    <mergeCell ref="C35:C40"/>
    <mergeCell ref="C32:D32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B55:H55"/>
    <mergeCell ref="C56:E56"/>
    <mergeCell ref="C57:D60"/>
    <mergeCell ref="B57:B60"/>
    <mergeCell ref="I55:Q60"/>
    <mergeCell ref="B41:B46"/>
    <mergeCell ref="C41:C46"/>
    <mergeCell ref="M46:P46"/>
    <mergeCell ref="M41:P45"/>
    <mergeCell ref="I41:I45"/>
    <mergeCell ref="I31:I32"/>
    <mergeCell ref="M31:M32"/>
    <mergeCell ref="N31:N32"/>
    <mergeCell ref="O31:O32"/>
    <mergeCell ref="P31:P32"/>
  </mergeCells>
  <pageMargins left="0.45" right="0" top="0.75" bottom="0.75" header="0.3" footer="0.3"/>
  <pageSetup paperSize="9" scale="5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B2:T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17" sqref="C17:Q1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0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</row>
    <row r="4" spans="2:20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340</v>
      </c>
      <c r="R4" s="67"/>
    </row>
    <row r="5" spans="2:20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20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20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T8" s="68" t="s">
        <v>243</v>
      </c>
    </row>
    <row r="9" spans="2:20" x14ac:dyDescent="0.25">
      <c r="B9" s="89">
        <v>1</v>
      </c>
      <c r="C9" s="776" t="s">
        <v>244</v>
      </c>
      <c r="D9" s="777"/>
      <c r="E9" s="74">
        <f>'28'!L9</f>
        <v>18435.251704621598</v>
      </c>
      <c r="F9" s="74">
        <f>Production2!D31</f>
        <v>0</v>
      </c>
      <c r="G9" s="74">
        <f>F9+'28'!G9</f>
        <v>64985.700000000004</v>
      </c>
      <c r="H9" s="74">
        <f>F9+'28'!H9</f>
        <v>64985.700000000004</v>
      </c>
      <c r="I9" s="74">
        <f>Production2!E31</f>
        <v>2702</v>
      </c>
      <c r="J9" s="74">
        <f>I9+'28'!J9</f>
        <v>64237</v>
      </c>
      <c r="K9" s="74">
        <f>I9+'28'!K9</f>
        <v>64237</v>
      </c>
      <c r="L9" s="74">
        <f>E9+F9-I9-I21</f>
        <v>15459.351704621598</v>
      </c>
      <c r="M9" s="75">
        <f>I9</f>
        <v>2702</v>
      </c>
      <c r="N9" s="75">
        <f>(I9/I13)*100</f>
        <v>92.948056415548677</v>
      </c>
      <c r="O9" s="667"/>
      <c r="P9" s="289">
        <v>10</v>
      </c>
      <c r="Q9" s="263">
        <f>'Raw mill moisture content'!L35</f>
        <v>0.10000000000000006</v>
      </c>
    </row>
    <row r="10" spans="2:20" ht="13.9" customHeight="1" x14ac:dyDescent="0.25">
      <c r="B10" s="79">
        <v>2</v>
      </c>
      <c r="C10" s="668" t="s">
        <v>30</v>
      </c>
      <c r="D10" s="668"/>
      <c r="E10" s="77">
        <f>'Mines (2)'!L31</f>
        <v>1134.5</v>
      </c>
      <c r="F10" s="77">
        <f>'Mines (2)'!M31</f>
        <v>0</v>
      </c>
      <c r="G10" s="74">
        <f>F10+'28'!G10</f>
        <v>1351.4600000000003</v>
      </c>
      <c r="H10" s="74">
        <f>F10+'28'!H10</f>
        <v>1351.4600000000003</v>
      </c>
      <c r="I10" s="77">
        <f>'Mines (2)'!N31</f>
        <v>71</v>
      </c>
      <c r="J10" s="74">
        <f>I10+'28'!J10</f>
        <v>412</v>
      </c>
      <c r="K10" s="74">
        <f>I10+'28'!K10</f>
        <v>412</v>
      </c>
      <c r="L10" s="77">
        <f t="shared" ref="L10:L13" si="0">E10+F10-I10</f>
        <v>1063.5</v>
      </c>
      <c r="M10" s="75">
        <f t="shared" ref="M10:M12" si="1">I10</f>
        <v>71</v>
      </c>
      <c r="N10" s="75">
        <f>(I10/I13)*100</f>
        <v>2.4423804609563122</v>
      </c>
      <c r="O10" s="667"/>
      <c r="P10" s="53">
        <v>10</v>
      </c>
      <c r="Q10" s="264">
        <f>'Raw mill moisture content'!M35</f>
        <v>9.9999999999999964E-2</v>
      </c>
    </row>
    <row r="11" spans="2:20" x14ac:dyDescent="0.25">
      <c r="B11" s="79">
        <v>3</v>
      </c>
      <c r="C11" s="668" t="s">
        <v>32</v>
      </c>
      <c r="D11" s="668"/>
      <c r="E11" s="77">
        <f>Clinker!C31</f>
        <v>4086.4799999999996</v>
      </c>
      <c r="F11" s="77">
        <f>Clinker!D31</f>
        <v>0</v>
      </c>
      <c r="G11" s="74">
        <f>F11+'28'!G11</f>
        <v>32.840000000000003</v>
      </c>
      <c r="H11" s="74">
        <f>F11+'28'!H11</f>
        <v>32.840000000000003</v>
      </c>
      <c r="I11" s="77">
        <f>Clinker!E31</f>
        <v>67</v>
      </c>
      <c r="J11" s="74">
        <f>I11+'28'!J11</f>
        <v>1379</v>
      </c>
      <c r="K11" s="74">
        <f>I11+'28'!K11</f>
        <v>1379</v>
      </c>
      <c r="L11" s="77">
        <f t="shared" si="0"/>
        <v>4019.4799999999996</v>
      </c>
      <c r="M11" s="75">
        <f t="shared" si="1"/>
        <v>67</v>
      </c>
      <c r="N11" s="75">
        <f>(I11/I13)*100</f>
        <v>2.304781561747506</v>
      </c>
      <c r="O11" s="667"/>
      <c r="P11" s="53">
        <v>7</v>
      </c>
      <c r="Q11" s="264">
        <f>'Raw mill moisture content'!N35</f>
        <v>6.9999999999999937E-2</v>
      </c>
    </row>
    <row r="12" spans="2:20" ht="13.9" customHeight="1" x14ac:dyDescent="0.25">
      <c r="B12" s="79">
        <v>4</v>
      </c>
      <c r="C12" s="668" t="s">
        <v>245</v>
      </c>
      <c r="D12" s="668"/>
      <c r="E12" s="77">
        <f>'Mines (2)'!Q31</f>
        <v>313.03999999999996</v>
      </c>
      <c r="F12" s="77">
        <f>'Mines (2)'!R31</f>
        <v>0</v>
      </c>
      <c r="G12" s="74">
        <f>F12+'28'!G12</f>
        <v>137.76</v>
      </c>
      <c r="H12" s="74">
        <f>F12+'28'!H12</f>
        <v>137.76</v>
      </c>
      <c r="I12" s="77">
        <f>'Mines (2)'!S31</f>
        <v>67</v>
      </c>
      <c r="J12" s="74">
        <f>I12+'28'!J12</f>
        <v>492</v>
      </c>
      <c r="K12" s="74">
        <f>I12+'28'!K12</f>
        <v>492</v>
      </c>
      <c r="L12" s="77">
        <f t="shared" si="0"/>
        <v>246.03999999999996</v>
      </c>
      <c r="M12" s="75">
        <f t="shared" si="1"/>
        <v>67</v>
      </c>
      <c r="N12" s="75">
        <f>(I12/I13)*100</f>
        <v>2.304781561747506</v>
      </c>
      <c r="O12" s="667"/>
      <c r="P12" s="53">
        <v>10</v>
      </c>
      <c r="Q12" s="264">
        <f>'Raw mill moisture content'!O35</f>
        <v>9.9999999999999881E-2</v>
      </c>
    </row>
    <row r="13" spans="2:20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23969.271704621598</v>
      </c>
      <c r="F13" s="127">
        <f t="shared" si="2"/>
        <v>0</v>
      </c>
      <c r="G13" s="127">
        <f t="shared" si="2"/>
        <v>66507.759999999995</v>
      </c>
      <c r="H13" s="127">
        <f t="shared" si="2"/>
        <v>66507.759999999995</v>
      </c>
      <c r="I13" s="127">
        <f t="shared" si="2"/>
        <v>2907</v>
      </c>
      <c r="J13" s="127">
        <f t="shared" si="2"/>
        <v>66520</v>
      </c>
      <c r="K13" s="127">
        <f t="shared" si="2"/>
        <v>66520</v>
      </c>
      <c r="L13" s="127">
        <f t="shared" si="0"/>
        <v>21062.271704621598</v>
      </c>
      <c r="M13" s="128">
        <f>SUM(M9:M12)</f>
        <v>2907</v>
      </c>
      <c r="N13" s="128">
        <v>99.999999999999986</v>
      </c>
      <c r="O13" s="667"/>
      <c r="P13" s="665"/>
      <c r="Q13" s="666"/>
    </row>
    <row r="14" spans="2:20" x14ac:dyDescent="0.25">
      <c r="B14" s="677">
        <v>6</v>
      </c>
      <c r="C14" s="678" t="s">
        <v>247</v>
      </c>
      <c r="D14" s="80" t="s">
        <v>69</v>
      </c>
      <c r="E14" s="77">
        <f>Clinker!EA31</f>
        <v>8929.4669999999896</v>
      </c>
      <c r="F14" s="77">
        <f>Clinker!EB31</f>
        <v>0</v>
      </c>
      <c r="G14" s="77">
        <f>F14+'28'!G14</f>
        <v>181.5</v>
      </c>
      <c r="H14" s="77">
        <f>F14+'28'!H14</f>
        <v>181.5</v>
      </c>
      <c r="I14" s="77">
        <f>Clinker!EC31</f>
        <v>270</v>
      </c>
      <c r="J14" s="77">
        <f>I14+'28'!J14</f>
        <v>6561.3</v>
      </c>
      <c r="K14" s="77">
        <f>I14+'28'!K14</f>
        <v>6561.3</v>
      </c>
      <c r="L14" s="77">
        <f>E14+F14-I14-Clinker!N31-Clinker!Z31-Clinker!AR31-Clinker!AW31-Clinker!BB31-Clinker!BV31-Clinker!BG31-Clinker!BL31-Clinker!BQ31-Clinker!CU31-Clinker!DO31-Clinker!DE31</f>
        <v>8575.4669999999896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</row>
    <row r="15" spans="2:20" x14ac:dyDescent="0.25">
      <c r="B15" s="677"/>
      <c r="C15" s="678"/>
      <c r="D15" s="80" t="s">
        <v>68</v>
      </c>
      <c r="E15" s="77">
        <f>Clinker!EE31</f>
        <v>10135.699999999997</v>
      </c>
      <c r="F15" s="77">
        <f>Clinker!EF31</f>
        <v>0</v>
      </c>
      <c r="G15" s="77">
        <f>F15+'28'!G15</f>
        <v>155.05000000000001</v>
      </c>
      <c r="H15" s="77">
        <f>F15+'28'!H15</f>
        <v>155.05000000000001</v>
      </c>
      <c r="I15" s="77">
        <f>Clinker!EG31</f>
        <v>138</v>
      </c>
      <c r="J15" s="77">
        <f>I15+'28'!J15</f>
        <v>3738</v>
      </c>
      <c r="K15" s="77">
        <f>I15+'28'!K15</f>
        <v>3738</v>
      </c>
      <c r="L15" s="77">
        <f>E15+F15-Clinker!AE31-Clinker!AI31-Clinker!CK31-Clinker!CP31-Clinker!CF31</f>
        <v>10081.699999999997</v>
      </c>
      <c r="M15" s="81"/>
      <c r="N15" s="81"/>
      <c r="O15" s="667"/>
      <c r="P15" s="82"/>
      <c r="Q15" s="82"/>
      <c r="R15" s="83"/>
    </row>
    <row r="16" spans="2:20" x14ac:dyDescent="0.25">
      <c r="B16" s="677"/>
      <c r="C16" s="679"/>
      <c r="D16" s="124" t="s">
        <v>152</v>
      </c>
      <c r="E16" s="125">
        <f>E14+E15</f>
        <v>19065.166999999987</v>
      </c>
      <c r="F16" s="125">
        <f>F14+F15</f>
        <v>0</v>
      </c>
      <c r="G16" s="125">
        <f t="shared" ref="G16:L16" si="3">G14+G15</f>
        <v>336.55</v>
      </c>
      <c r="H16" s="125">
        <f t="shared" si="3"/>
        <v>336.55</v>
      </c>
      <c r="I16" s="125">
        <f t="shared" si="3"/>
        <v>408</v>
      </c>
      <c r="J16" s="125">
        <f>J14+J15</f>
        <v>10299.299999999999</v>
      </c>
      <c r="K16" s="125">
        <f t="shared" si="3"/>
        <v>10299.299999999999</v>
      </c>
      <c r="L16" s="125">
        <f t="shared" si="3"/>
        <v>18657.166999999987</v>
      </c>
      <c r="M16" s="126"/>
      <c r="N16" s="126"/>
      <c r="O16" s="667"/>
      <c r="P16" s="84"/>
      <c r="Q16" s="131"/>
      <c r="R16" s="83"/>
    </row>
    <row r="17" spans="2:19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190"/>
    </row>
    <row r="18" spans="2:19" x14ac:dyDescent="0.25">
      <c r="B18" s="677">
        <v>7</v>
      </c>
      <c r="C18" s="685" t="s">
        <v>249</v>
      </c>
      <c r="D18" s="85" t="s">
        <v>250</v>
      </c>
      <c r="E18" s="74">
        <f>Clinker!EI31</f>
        <v>23828.660087740467</v>
      </c>
      <c r="F18" s="74">
        <f>Clinker!EJ31</f>
        <v>1640</v>
      </c>
      <c r="G18" s="74">
        <f>F18+'28'!G18</f>
        <v>38815</v>
      </c>
      <c r="H18" s="74">
        <f>F18+'28'!H18</f>
        <v>38815</v>
      </c>
      <c r="I18" s="74">
        <f>Clinker!EK31</f>
        <v>1103.6000000000008</v>
      </c>
      <c r="J18" s="75">
        <f>I18+'28'!J18</f>
        <v>17731.480011886269</v>
      </c>
      <c r="K18" s="74">
        <f>I18+'28'!K18</f>
        <v>17731.480011886269</v>
      </c>
      <c r="L18" s="74">
        <f>E18+F18-I18-I20</f>
        <v>24365.060087740465</v>
      </c>
      <c r="M18" s="75">
        <f>((I18+I19)/(J40+J46))*100</f>
        <v>76.11034482758626</v>
      </c>
      <c r="N18" s="687"/>
      <c r="O18" s="689"/>
      <c r="P18" s="691"/>
      <c r="Q18" s="692"/>
      <c r="R18" s="239"/>
    </row>
    <row r="19" spans="2:19" ht="45" x14ac:dyDescent="0.25">
      <c r="B19" s="677"/>
      <c r="C19" s="685"/>
      <c r="D19" s="85" t="s">
        <v>75</v>
      </c>
      <c r="E19" s="74">
        <f>Clinker!EN31</f>
        <v>5155.3290080001361</v>
      </c>
      <c r="F19" s="74">
        <f>Clinker!EO31</f>
        <v>0</v>
      </c>
      <c r="G19" s="74">
        <f>F19+'28'!G19</f>
        <v>13239.880000000003</v>
      </c>
      <c r="H19" s="74">
        <f>F19+'28'!H19</f>
        <v>13239.880000000003</v>
      </c>
      <c r="I19" s="74">
        <f>Clinker!EP31</f>
        <v>0</v>
      </c>
      <c r="J19" s="75">
        <f>I19+'28'!J19</f>
        <v>16934.099999999999</v>
      </c>
      <c r="K19" s="74">
        <f>I19+'28'!K19</f>
        <v>16934.099999999999</v>
      </c>
      <c r="L19" s="74">
        <f>E19+F19-I19</f>
        <v>5155.3290080001361</v>
      </c>
      <c r="M19" s="75"/>
      <c r="N19" s="687"/>
      <c r="O19" s="689"/>
      <c r="P19" s="691"/>
      <c r="Q19" s="692"/>
      <c r="R19" s="190"/>
    </row>
    <row r="20" spans="2:19" ht="30" x14ac:dyDescent="0.25">
      <c r="B20" s="677"/>
      <c r="C20" s="686"/>
      <c r="D20" s="86" t="s">
        <v>251</v>
      </c>
      <c r="E20" s="77"/>
      <c r="F20" s="77">
        <v>0</v>
      </c>
      <c r="G20" s="74">
        <f>F20+'28'!G20</f>
        <v>0</v>
      </c>
      <c r="H20" s="74">
        <f>F20+'28'!H20</f>
        <v>0</v>
      </c>
      <c r="I20" s="77">
        <f>Clinker!EM31</f>
        <v>0</v>
      </c>
      <c r="J20" s="74">
        <f>I20+'28'!J20</f>
        <v>0</v>
      </c>
      <c r="K20" s="74">
        <f>I20+'28'!K20</f>
        <v>0</v>
      </c>
      <c r="L20" s="74"/>
      <c r="M20" s="78"/>
      <c r="N20" s="688"/>
      <c r="O20" s="689"/>
      <c r="P20" s="693"/>
      <c r="Q20" s="694"/>
      <c r="R20" s="20"/>
    </row>
    <row r="21" spans="2:19" x14ac:dyDescent="0.25">
      <c r="B21" s="89"/>
      <c r="C21" s="73" t="s">
        <v>244</v>
      </c>
      <c r="D21" s="88"/>
      <c r="E21" s="77"/>
      <c r="F21" s="77"/>
      <c r="G21" s="75"/>
      <c r="H21" s="74"/>
      <c r="I21" s="77">
        <f>Cement!Q31</f>
        <v>273.89999999999907</v>
      </c>
      <c r="J21" s="74">
        <f>I21+'28'!J21</f>
        <v>8394.2199925622353</v>
      </c>
      <c r="K21" s="74">
        <f>I21+'28'!K21</f>
        <v>8394.2199925622353</v>
      </c>
      <c r="L21" s="74"/>
      <c r="M21" s="78">
        <f>(I21/(J40+J46))*100</f>
        <v>18.889655172413729</v>
      </c>
      <c r="N21" s="78"/>
      <c r="O21" s="689"/>
      <c r="P21" s="87"/>
      <c r="Q21" s="695"/>
      <c r="R21" s="20"/>
    </row>
    <row r="22" spans="2:19" x14ac:dyDescent="0.25">
      <c r="B22" s="89">
        <v>9</v>
      </c>
      <c r="C22" s="678" t="s">
        <v>252</v>
      </c>
      <c r="D22" s="678"/>
      <c r="E22" s="77">
        <f>Cement!C31</f>
        <v>7221.5800635982805</v>
      </c>
      <c r="F22" s="77">
        <f>Cement!D31</f>
        <v>0</v>
      </c>
      <c r="G22" s="74">
        <f>F22+'28'!G22</f>
        <v>1970.9</v>
      </c>
      <c r="H22" s="74">
        <f>F22+'28'!H22</f>
        <v>1970.9</v>
      </c>
      <c r="I22" s="77">
        <f>Cement!E31</f>
        <v>72.5</v>
      </c>
      <c r="J22" s="74">
        <f>I22+'28'!J22</f>
        <v>2267.1999955514993</v>
      </c>
      <c r="K22" s="74">
        <f>I22+'28'!K22</f>
        <v>2267.1999955514993</v>
      </c>
      <c r="L22" s="74">
        <f t="shared" ref="L22:L24" si="4">E22+F22-I22</f>
        <v>7149.0800635982805</v>
      </c>
      <c r="M22" s="78">
        <f>(I22/(J40+J46))*100</f>
        <v>5</v>
      </c>
      <c r="N22" s="78"/>
      <c r="O22" s="689"/>
      <c r="P22" s="87"/>
      <c r="Q22" s="696"/>
      <c r="R22" s="20"/>
    </row>
    <row r="23" spans="2:19" x14ac:dyDescent="0.25">
      <c r="B23" s="677">
        <v>10</v>
      </c>
      <c r="C23" s="679" t="s">
        <v>253</v>
      </c>
      <c r="D23" s="76" t="s">
        <v>254</v>
      </c>
      <c r="E23" s="77">
        <f>Cement!G31</f>
        <v>0.23999999999796273</v>
      </c>
      <c r="F23" s="77">
        <f>Cement!H31</f>
        <v>0</v>
      </c>
      <c r="G23" s="74">
        <f>F23+'28'!G23</f>
        <v>0</v>
      </c>
      <c r="H23" s="74">
        <f>F23+'28'!H23</f>
        <v>0</v>
      </c>
      <c r="I23" s="77">
        <f>Cement!I31</f>
        <v>0</v>
      </c>
      <c r="J23" s="74">
        <f>I23+'28'!J23</f>
        <v>0</v>
      </c>
      <c r="K23" s="74">
        <f>I23+'28'!K23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</row>
    <row r="24" spans="2:19" x14ac:dyDescent="0.25">
      <c r="B24" s="677"/>
      <c r="C24" s="686"/>
      <c r="D24" s="76" t="s">
        <v>255</v>
      </c>
      <c r="E24" s="77">
        <f>Cement!K31</f>
        <v>0</v>
      </c>
      <c r="F24" s="77">
        <f>Cement!L31</f>
        <v>0</v>
      </c>
      <c r="G24" s="74">
        <f>F24+'28'!G24</f>
        <v>0</v>
      </c>
      <c r="H24" s="74">
        <f>F24+'28'!H24</f>
        <v>0</v>
      </c>
      <c r="I24" s="77">
        <f>Cement!M31</f>
        <v>0</v>
      </c>
      <c r="J24" s="74">
        <f>I24+'28'!J24</f>
        <v>0</v>
      </c>
      <c r="K24" s="74">
        <f>I24+'28'!K24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</row>
    <row r="25" spans="2:19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36205.809159338882</v>
      </c>
      <c r="F25" s="122">
        <f t="shared" ref="F25:L25" si="5">F18+F19+F21+F22+F23+F24</f>
        <v>1640</v>
      </c>
      <c r="G25" s="122">
        <f t="shared" si="5"/>
        <v>54025.780000000006</v>
      </c>
      <c r="H25" s="122">
        <f t="shared" si="5"/>
        <v>54025.780000000006</v>
      </c>
      <c r="I25" s="122">
        <f>I18+I19+I21+I22+I23+I24</f>
        <v>1450</v>
      </c>
      <c r="J25" s="122">
        <f t="shared" si="5"/>
        <v>45327</v>
      </c>
      <c r="K25" s="122">
        <f t="shared" si="5"/>
        <v>45327</v>
      </c>
      <c r="L25" s="122">
        <f t="shared" si="5"/>
        <v>36669.709159338876</v>
      </c>
      <c r="M25" s="703"/>
      <c r="N25" s="703"/>
      <c r="O25" s="690"/>
      <c r="P25" s="700"/>
      <c r="Q25" s="701"/>
      <c r="R25" s="83"/>
    </row>
    <row r="26" spans="2:19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</row>
    <row r="27" spans="2:19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</row>
    <row r="28" spans="2:19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</row>
    <row r="29" spans="2:19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</row>
    <row r="30" spans="2:19" x14ac:dyDescent="0.25">
      <c r="B30" s="91">
        <v>1</v>
      </c>
      <c r="C30" s="751" t="s">
        <v>263</v>
      </c>
      <c r="D30" s="752"/>
      <c r="E30" s="92">
        <v>250</v>
      </c>
      <c r="F30" s="75">
        <f>Production2!C31</f>
        <v>19.48</v>
      </c>
      <c r="G30" s="75">
        <f>F30+'28'!G30</f>
        <v>419.15000000000009</v>
      </c>
      <c r="H30" s="75">
        <f>F30+'28'!H30</f>
        <v>419.15000000000009</v>
      </c>
      <c r="I30" s="74">
        <f>'Mines (2)'!C31+'Mines (2)'!H31+'Mines (2)'!V31+'Mines (2)'!Z31+'Mines (2)'!AD31</f>
        <v>18435.251704621602</v>
      </c>
      <c r="J30" s="74">
        <f>Production2!D31</f>
        <v>0</v>
      </c>
      <c r="K30" s="74">
        <f>J30+'28'!K30</f>
        <v>64985.700000000004</v>
      </c>
      <c r="L30" s="74">
        <f>J30+'28'!L30</f>
        <v>64985.700000000004</v>
      </c>
      <c r="M30" s="74">
        <f>I9+I21</f>
        <v>2975.8999999999992</v>
      </c>
      <c r="N30" s="74">
        <f>M30+'28'!N30</f>
        <v>72631.219992562241</v>
      </c>
      <c r="O30" s="74">
        <f>M30+'28'!O30</f>
        <v>72631.219992562241</v>
      </c>
      <c r="P30" s="74">
        <f>I30+J30-M30</f>
        <v>15459.351704621602</v>
      </c>
      <c r="Q30" s="93">
        <f>J30/F30</f>
        <v>0</v>
      </c>
      <c r="R30" s="94"/>
      <c r="S30" s="176"/>
    </row>
    <row r="31" spans="2:19" x14ac:dyDescent="0.25">
      <c r="B31" s="79">
        <v>2</v>
      </c>
      <c r="C31" s="680" t="s">
        <v>294</v>
      </c>
      <c r="D31" s="681"/>
      <c r="E31" s="95">
        <v>120</v>
      </c>
      <c r="F31" s="78">
        <f>Production2!G31</f>
        <v>20.07</v>
      </c>
      <c r="G31" s="75">
        <f>F31+'28'!G31</f>
        <v>472.91999999999996</v>
      </c>
      <c r="H31" s="75">
        <f>F31+'28'!H31</f>
        <v>472.91999999999996</v>
      </c>
      <c r="I31" s="747">
        <f>Production2!H31</f>
        <v>1659.8200168375197</v>
      </c>
      <c r="J31" s="77">
        <f>Production2!N31</f>
        <v>2420</v>
      </c>
      <c r="K31" s="75">
        <f>J31+'28'!K31</f>
        <v>56441.15</v>
      </c>
      <c r="L31" s="74">
        <f>J31+'28'!L31</f>
        <v>56441.15</v>
      </c>
      <c r="M31" s="747">
        <f>Production2!K31</f>
        <v>2542</v>
      </c>
      <c r="N31" s="747">
        <f>M31+'28'!N31</f>
        <v>60163.25</v>
      </c>
      <c r="O31" s="747">
        <f>M31+'28'!O31</f>
        <v>60163.25</v>
      </c>
      <c r="P31" s="747">
        <f>I31+J32+J31-M31</f>
        <v>1736.1300168375201</v>
      </c>
      <c r="Q31" s="96">
        <f t="shared" ref="Q31:Q45" si="6">J31/F31</f>
        <v>120.57797708021923</v>
      </c>
      <c r="R31" s="94"/>
    </row>
    <row r="32" spans="2:19" x14ac:dyDescent="0.25">
      <c r="B32" s="91">
        <v>3</v>
      </c>
      <c r="C32" s="680" t="s">
        <v>265</v>
      </c>
      <c r="D32" s="681"/>
      <c r="E32" s="95">
        <v>20</v>
      </c>
      <c r="F32" s="78">
        <f>Production2!P31</f>
        <v>22</v>
      </c>
      <c r="G32" s="75">
        <f>F32+'28'!G32</f>
        <v>386.78999999999996</v>
      </c>
      <c r="H32" s="75">
        <f>F32+'28'!H32</f>
        <v>386.78999999999996</v>
      </c>
      <c r="I32" s="748"/>
      <c r="J32" s="78">
        <f>Production2!Q31</f>
        <v>198.31</v>
      </c>
      <c r="K32" s="75">
        <f>J32+'28'!K32</f>
        <v>3464.4999999999995</v>
      </c>
      <c r="L32" s="74">
        <f>J32+'28'!L32</f>
        <v>3464.4999999999995</v>
      </c>
      <c r="M32" s="748"/>
      <c r="N32" s="748"/>
      <c r="O32" s="748"/>
      <c r="P32" s="748"/>
      <c r="Q32" s="96">
        <f>J32/F32</f>
        <v>9.0140909090909087</v>
      </c>
      <c r="R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Production2!S31</f>
        <v>18</v>
      </c>
      <c r="G33" s="75">
        <f>F33+'28'!G33</f>
        <v>428.07</v>
      </c>
      <c r="H33" s="75">
        <f>F33+'28'!H33</f>
        <v>428.07</v>
      </c>
      <c r="I33" s="77">
        <f>Production2!T31</f>
        <v>42.709999999999923</v>
      </c>
      <c r="J33" s="78">
        <f>Production2!U31</f>
        <v>243</v>
      </c>
      <c r="K33" s="74">
        <f>J33+'28'!K33</f>
        <v>5905.2</v>
      </c>
      <c r="L33" s="74">
        <f>J33+'28'!L33</f>
        <v>5905.2</v>
      </c>
      <c r="M33" s="77">
        <f>Production2!V31</f>
        <v>243</v>
      </c>
      <c r="N33" s="74">
        <f>M33+'28'!N33</f>
        <v>5878</v>
      </c>
      <c r="O33" s="74">
        <f>M33+'28'!O33</f>
        <v>5878</v>
      </c>
      <c r="P33" s="74">
        <f t="shared" ref="P33:P34" si="7">I33+J33-M33</f>
        <v>42.709999999999923</v>
      </c>
      <c r="Q33" s="96">
        <f t="shared" si="6"/>
        <v>13.5</v>
      </c>
      <c r="R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Production2!Y31</f>
        <v>24</v>
      </c>
      <c r="G34" s="75">
        <f>F34+'28'!G34</f>
        <v>594.27</v>
      </c>
      <c r="H34" s="75">
        <f>F34+'28'!H34</f>
        <v>594.27</v>
      </c>
      <c r="I34" s="77">
        <f>Clinker!EI31</f>
        <v>23828.660087740467</v>
      </c>
      <c r="J34" s="77">
        <f>Clinker!EJ31</f>
        <v>1640</v>
      </c>
      <c r="K34" s="74">
        <f>J34+'28'!K34</f>
        <v>38815</v>
      </c>
      <c r="L34" s="74">
        <f>J34+'28'!L34</f>
        <v>38815</v>
      </c>
      <c r="M34" s="77">
        <f>Clinker!EK31</f>
        <v>1103.6000000000008</v>
      </c>
      <c r="N34" s="74">
        <f>M34+'28'!N34</f>
        <v>17731.480011886269</v>
      </c>
      <c r="O34" s="74">
        <f>M34+'28'!O34</f>
        <v>17731.480011886269</v>
      </c>
      <c r="P34" s="74">
        <f t="shared" si="7"/>
        <v>24365.060087740465</v>
      </c>
      <c r="Q34" s="96">
        <f t="shared" si="6"/>
        <v>68.333333333333329</v>
      </c>
      <c r="R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Production2!AE31</f>
        <v>0</v>
      </c>
      <c r="G35" s="75">
        <f>F35+'28'!G35</f>
        <v>9</v>
      </c>
      <c r="H35" s="75">
        <f>F35+'28'!H35</f>
        <v>9</v>
      </c>
      <c r="I35" s="77">
        <f>Production2!BJ31</f>
        <v>329.79999999999995</v>
      </c>
      <c r="J35" s="77">
        <f>Production2!AF31</f>
        <v>0</v>
      </c>
      <c r="K35" s="74">
        <f>J35+'28'!K35</f>
        <v>574</v>
      </c>
      <c r="L35" s="74">
        <f>J35+'28'!L35</f>
        <v>574</v>
      </c>
      <c r="M35" s="77">
        <f>Production2!BL31</f>
        <v>124</v>
      </c>
      <c r="N35" s="74">
        <f>M35+'28'!N35</f>
        <v>2300.5</v>
      </c>
      <c r="O35" s="74">
        <f>M35+'28'!O35</f>
        <v>2300.5</v>
      </c>
      <c r="P35" s="74">
        <f>I35+J35+J41-M35-F59</f>
        <v>505.79999999999995</v>
      </c>
      <c r="Q35" s="96" t="e">
        <f t="shared" si="6"/>
        <v>#DIV/0!</v>
      </c>
      <c r="R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Production2!AB31</f>
        <v>0</v>
      </c>
      <c r="G36" s="75">
        <f>F36+'28'!G36</f>
        <v>206.33</v>
      </c>
      <c r="H36" s="75">
        <f>F36+'28'!H36</f>
        <v>206.33</v>
      </c>
      <c r="I36" s="77">
        <f>Production2!BF31</f>
        <v>2298.4779999999801</v>
      </c>
      <c r="J36" s="77">
        <f>Production2!AC31</f>
        <v>0</v>
      </c>
      <c r="K36" s="74">
        <f>J36+'28'!K36</f>
        <v>12429</v>
      </c>
      <c r="L36" s="74">
        <f>J36+'28'!L36</f>
        <v>12429</v>
      </c>
      <c r="M36" s="77">
        <f>Production2!BH31</f>
        <v>986.23</v>
      </c>
      <c r="N36" s="607">
        <f>M36+'28'!N36</f>
        <v>34305.31</v>
      </c>
      <c r="O36" s="607">
        <f>M36+'28'!O36</f>
        <v>34305.31</v>
      </c>
      <c r="P36" s="74">
        <f>I36+J36+J42-M36-F57</f>
        <v>2102.24799999998</v>
      </c>
      <c r="Q36" s="96" t="e">
        <f t="shared" si="6"/>
        <v>#DIV/0!</v>
      </c>
      <c r="R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Production2!AH31</f>
        <v>0</v>
      </c>
      <c r="G37" s="612">
        <f>F37+'28'!G37</f>
        <v>0</v>
      </c>
      <c r="H37" s="75">
        <f>F37+'28'!H37</f>
        <v>0</v>
      </c>
      <c r="I37" s="77">
        <f>Production2!BN31</f>
        <v>2.0900000000008498</v>
      </c>
      <c r="J37" s="77">
        <f>Production2!AI31</f>
        <v>0</v>
      </c>
      <c r="K37" s="607">
        <f>J37+'28'!K37</f>
        <v>0</v>
      </c>
      <c r="L37" s="607">
        <f>J37+'28'!L37</f>
        <v>0</v>
      </c>
      <c r="M37" s="77">
        <f>Production2!BP31</f>
        <v>0</v>
      </c>
      <c r="N37" s="607">
        <f>M37+'28'!N37</f>
        <v>-0.15</v>
      </c>
      <c r="O37" s="607">
        <f>M37+'28'!O37</f>
        <v>-0.15</v>
      </c>
      <c r="P37" s="74">
        <f>I37+J37+J43-M37-F58</f>
        <v>2.0900000000008498</v>
      </c>
      <c r="Q37" s="96" t="e">
        <f t="shared" si="6"/>
        <v>#DIV/0!</v>
      </c>
      <c r="R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Production2!AK31</f>
        <v>0</v>
      </c>
      <c r="G38" s="612">
        <f>F38+'28'!G38</f>
        <v>0</v>
      </c>
      <c r="H38" s="612">
        <f>F38+'28'!H38</f>
        <v>0</v>
      </c>
      <c r="I38" s="195">
        <f>Production2!BR31</f>
        <v>226.3</v>
      </c>
      <c r="J38" s="195">
        <v>0</v>
      </c>
      <c r="K38" s="607">
        <f>J38+'28'!K38</f>
        <v>0</v>
      </c>
      <c r="L38" s="607">
        <f>J38+'28'!L38</f>
        <v>0</v>
      </c>
      <c r="M38" s="77">
        <f>Production2!BT31</f>
        <v>90</v>
      </c>
      <c r="N38" s="607">
        <f>M38+'28'!N38</f>
        <v>1787</v>
      </c>
      <c r="O38" s="607">
        <f>M38+'28'!O38</f>
        <v>1787</v>
      </c>
      <c r="P38" s="74">
        <f>I38+J38+J44-M38-F59</f>
        <v>246.3</v>
      </c>
      <c r="Q38" s="96" t="e">
        <f t="shared" si="6"/>
        <v>#DIV/0!</v>
      </c>
      <c r="R38" s="94"/>
    </row>
    <row r="39" spans="2:19" x14ac:dyDescent="0.25">
      <c r="B39" s="754"/>
      <c r="C39" s="685"/>
      <c r="D39" s="609" t="s">
        <v>306</v>
      </c>
      <c r="E39" s="613"/>
      <c r="F39" s="611">
        <f>Production2!AN31</f>
        <v>0</v>
      </c>
      <c r="G39" s="612">
        <f>F39+'28'!G39</f>
        <v>40.65</v>
      </c>
      <c r="H39" s="612">
        <f>F39+'28'!H39</f>
        <v>40.65</v>
      </c>
      <c r="I39" s="608">
        <f>Production2!BV31</f>
        <v>805.77000000000021</v>
      </c>
      <c r="J39" s="608">
        <f>Production2!AO31</f>
        <v>0</v>
      </c>
      <c r="K39" s="607">
        <f>J39+'28'!K39</f>
        <v>2532</v>
      </c>
      <c r="L39" s="607">
        <f>J39+'28'!L39</f>
        <v>2532</v>
      </c>
      <c r="M39" s="77">
        <f>Production2!BX31</f>
        <v>180</v>
      </c>
      <c r="N39" s="607">
        <f>M39+'28'!N39</f>
        <v>5301.94</v>
      </c>
      <c r="O39" s="607">
        <f>M39+'28'!O39</f>
        <v>5301.94</v>
      </c>
      <c r="P39" s="607">
        <f>I39+J45+J39-M39-F61</f>
        <v>875.77000000000021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255.98000000000002</v>
      </c>
      <c r="H40" s="132">
        <f t="shared" si="8"/>
        <v>255.98000000000002</v>
      </c>
      <c r="I40" s="122">
        <f>I35+I36+I37+I38+I39</f>
        <v>3662.4379999999819</v>
      </c>
      <c r="J40" s="610">
        <f t="shared" ref="J40:P40" si="9">J35+J36+J37+J38+J39</f>
        <v>0</v>
      </c>
      <c r="K40" s="610">
        <f t="shared" si="9"/>
        <v>15535</v>
      </c>
      <c r="L40" s="610">
        <f t="shared" si="9"/>
        <v>15535</v>
      </c>
      <c r="M40" s="610">
        <f t="shared" si="9"/>
        <v>1380.23</v>
      </c>
      <c r="N40" s="610">
        <f t="shared" si="9"/>
        <v>43694.6</v>
      </c>
      <c r="O40" s="610">
        <f t="shared" si="9"/>
        <v>43694.6</v>
      </c>
      <c r="P40" s="610">
        <f t="shared" si="9"/>
        <v>3732.2079999999814</v>
      </c>
      <c r="Q40" s="123" t="e">
        <f>J40/F40</f>
        <v>#DIV/0!</v>
      </c>
      <c r="R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Production2!AT31</f>
        <v>4.8</v>
      </c>
      <c r="G41" s="75">
        <f>F41+'28'!G41</f>
        <v>33.099999999999994</v>
      </c>
      <c r="H41" s="75">
        <f>F41+'28'!H41</f>
        <v>33.099999999999994</v>
      </c>
      <c r="I41" s="764"/>
      <c r="J41" s="77">
        <f>Production2!AU31</f>
        <v>300</v>
      </c>
      <c r="K41" s="74">
        <f>J41+'28'!K41</f>
        <v>2000</v>
      </c>
      <c r="L41" s="74">
        <f>J41+'28'!L41</f>
        <v>2000</v>
      </c>
      <c r="M41" s="766"/>
      <c r="N41" s="767"/>
      <c r="O41" s="767"/>
      <c r="P41" s="768"/>
      <c r="Q41" s="96">
        <f t="shared" si="6"/>
        <v>62.5</v>
      </c>
      <c r="R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Production2!AQ31</f>
        <v>13.2</v>
      </c>
      <c r="G42" s="75">
        <f>F42+'28'!G42</f>
        <v>392.00000000000006</v>
      </c>
      <c r="H42" s="75">
        <f>F42+'28'!H42</f>
        <v>392.00000000000006</v>
      </c>
      <c r="I42" s="765"/>
      <c r="J42" s="77">
        <f>Production2!AR31</f>
        <v>790</v>
      </c>
      <c r="K42" s="74">
        <f>J42+'28'!K42</f>
        <v>22700</v>
      </c>
      <c r="L42" s="74">
        <f>J42+'28'!L42</f>
        <v>22700</v>
      </c>
      <c r="M42" s="769"/>
      <c r="N42" s="770"/>
      <c r="O42" s="770"/>
      <c r="P42" s="771"/>
      <c r="Q42" s="96">
        <f t="shared" si="6"/>
        <v>59.848484848484851</v>
      </c>
      <c r="R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Production2!AW31</f>
        <v>0</v>
      </c>
      <c r="G43" s="612">
        <f>F43+'28'!G43</f>
        <v>0</v>
      </c>
      <c r="H43" s="612">
        <f>F43+'28'!H43</f>
        <v>0</v>
      </c>
      <c r="I43" s="765"/>
      <c r="J43" s="77">
        <f>Production2!AX31</f>
        <v>0</v>
      </c>
      <c r="K43" s="607">
        <f>J43+'28'!K43</f>
        <v>0</v>
      </c>
      <c r="L43" s="607">
        <f>J43+'28'!L43</f>
        <v>0</v>
      </c>
      <c r="M43" s="769"/>
      <c r="N43" s="770"/>
      <c r="O43" s="770"/>
      <c r="P43" s="771"/>
      <c r="Q43" s="96" t="e">
        <f t="shared" si="6"/>
        <v>#DIV/0!</v>
      </c>
      <c r="R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Production2!AZ31</f>
        <v>2</v>
      </c>
      <c r="G44" s="612">
        <f>F44+'28'!G44</f>
        <v>32.880000000000003</v>
      </c>
      <c r="H44" s="612">
        <f>F44+'28'!H44</f>
        <v>32.880000000000003</v>
      </c>
      <c r="I44" s="765"/>
      <c r="J44" s="195">
        <f>Production2!BA31</f>
        <v>110</v>
      </c>
      <c r="K44" s="607">
        <f>J44+'28'!K44</f>
        <v>1820</v>
      </c>
      <c r="L44" s="607">
        <f>J44+'28'!L44</f>
        <v>1820</v>
      </c>
      <c r="M44" s="769"/>
      <c r="N44" s="770"/>
      <c r="O44" s="770"/>
      <c r="P44" s="771"/>
      <c r="Q44" s="96">
        <f t="shared" si="6"/>
        <v>55</v>
      </c>
      <c r="R44" s="94"/>
    </row>
    <row r="45" spans="2:19" x14ac:dyDescent="0.25">
      <c r="B45" s="754"/>
      <c r="C45" s="685"/>
      <c r="D45" s="609" t="s">
        <v>306</v>
      </c>
      <c r="E45" s="613">
        <v>70</v>
      </c>
      <c r="F45" s="611">
        <f>Production2!BC31</f>
        <v>4</v>
      </c>
      <c r="G45" s="612">
        <f>F45+'28'!G45</f>
        <v>54.970000000000006</v>
      </c>
      <c r="H45" s="612">
        <f>F45+'28'!H45</f>
        <v>54.970000000000006</v>
      </c>
      <c r="I45" s="748"/>
      <c r="J45" s="608">
        <f>Production2!BD31</f>
        <v>250</v>
      </c>
      <c r="K45" s="607">
        <f>J45+'28'!K45</f>
        <v>3272</v>
      </c>
      <c r="L45" s="607">
        <f>J45+'28'!L45</f>
        <v>3272</v>
      </c>
      <c r="M45" s="772"/>
      <c r="N45" s="773"/>
      <c r="O45" s="773"/>
      <c r="P45" s="774"/>
      <c r="Q45" s="96">
        <f t="shared" si="6"/>
        <v>62.5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512.95000000000005</v>
      </c>
      <c r="H46" s="132">
        <f t="shared" si="10"/>
        <v>512.95000000000005</v>
      </c>
      <c r="I46" s="122">
        <f t="shared" ref="I46" si="11">I41+I42+I43+I44</f>
        <v>0</v>
      </c>
      <c r="J46" s="122">
        <f>J41+J42+J43+J44+J45</f>
        <v>1450</v>
      </c>
      <c r="K46" s="610">
        <f t="shared" ref="K46:L46" si="12">K41+K42+K43+K44+K45</f>
        <v>29792</v>
      </c>
      <c r="L46" s="610">
        <f t="shared" si="12"/>
        <v>29792</v>
      </c>
      <c r="M46" s="836"/>
      <c r="N46" s="837"/>
      <c r="O46" s="837"/>
      <c r="P46" s="838"/>
      <c r="Q46" s="123">
        <f>J46/F46</f>
        <v>60.416666666666664</v>
      </c>
      <c r="R46" s="94"/>
    </row>
    <row r="47" spans="2:19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</row>
    <row r="49" spans="2:18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8" ht="14.45" customHeight="1" x14ac:dyDescent="0.25">
      <c r="B50" s="91">
        <v>1</v>
      </c>
      <c r="C50" s="746" t="s">
        <v>276</v>
      </c>
      <c r="D50" s="746"/>
      <c r="E50" s="99" t="e">
        <f>E53/J30</f>
        <v>#DIV/0!</v>
      </c>
      <c r="F50" s="99">
        <f>(F53/(J31+J32))</f>
        <v>23.601865325343447</v>
      </c>
      <c r="G50" s="99">
        <f>G53/J32</f>
        <v>0</v>
      </c>
      <c r="H50" s="99">
        <f>H53/J34</f>
        <v>32.799999999999997</v>
      </c>
      <c r="I50" s="99">
        <f>I53/J33</f>
        <v>57.489711934156375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14.817073170731707</v>
      </c>
    </row>
    <row r="51" spans="2:18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>
        <f>F50*1.55</f>
        <v>36.582891254282345</v>
      </c>
      <c r="G51" s="102">
        <f>G50*1.55</f>
        <v>0</v>
      </c>
      <c r="H51" s="102">
        <f>H50</f>
        <v>32.799999999999997</v>
      </c>
      <c r="I51" s="102">
        <f>I50*(Q50/100)</f>
        <v>8.5182926829268286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5453</v>
      </c>
    </row>
    <row r="52" spans="2:18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>
        <f>F51*M18/100</f>
        <v>27.843364681535192</v>
      </c>
      <c r="G52" s="102">
        <f>G51*M18/100</f>
        <v>0</v>
      </c>
      <c r="H52" s="102">
        <f>H51*M18/100</f>
        <v>24.964193103448292</v>
      </c>
      <c r="I52" s="102">
        <f>I51*M18/100</f>
        <v>6.4833019343986589</v>
      </c>
      <c r="J52" s="99">
        <f>J53/(J40+J46)</f>
        <v>38.561379310344826</v>
      </c>
      <c r="K52" s="99">
        <f>K53/(J46+J40)</f>
        <v>1.1979310344827587</v>
      </c>
      <c r="L52" s="99">
        <f>L53/(M40)</f>
        <v>3.9152894807387173</v>
      </c>
      <c r="M52" s="96">
        <f>M53/(J46+J40)</f>
        <v>3.9931034482758623</v>
      </c>
      <c r="N52" s="310" t="e">
        <f>SUM(E52:M52)</f>
        <v>#DIV/0!</v>
      </c>
      <c r="O52" s="668" t="s">
        <v>281</v>
      </c>
      <c r="P52" s="668"/>
      <c r="Q52" s="104">
        <f>Q51*Q50/100</f>
        <v>807.97500000000002</v>
      </c>
    </row>
    <row r="53" spans="2:18" ht="15" customHeight="1" thickBot="1" x14ac:dyDescent="0.3">
      <c r="B53" s="90" t="s">
        <v>243</v>
      </c>
      <c r="C53" s="775" t="s">
        <v>282</v>
      </c>
      <c r="D53" s="775"/>
      <c r="E53" s="118">
        <f>'Daily unit'!B31</f>
        <v>2518</v>
      </c>
      <c r="F53" s="118">
        <f>'Daily unit'!C31</f>
        <v>61797</v>
      </c>
      <c r="G53" s="118">
        <f>'Daily unit'!D31</f>
        <v>0</v>
      </c>
      <c r="H53" s="118">
        <f>'Daily unit'!E31</f>
        <v>53792</v>
      </c>
      <c r="I53" s="118">
        <f>'Daily unit'!F31</f>
        <v>13970</v>
      </c>
      <c r="J53" s="118">
        <f>'Daily unit'!G31</f>
        <v>55914</v>
      </c>
      <c r="K53" s="118">
        <f>'Daily unit'!H31</f>
        <v>1737</v>
      </c>
      <c r="L53" s="118">
        <f>'Daily unit'!I31</f>
        <v>5404</v>
      </c>
      <c r="M53" s="119">
        <f>'Daily unit'!J31</f>
        <v>5790</v>
      </c>
      <c r="N53" s="321">
        <f>SUM(E53:M53)</f>
        <v>200922</v>
      </c>
      <c r="O53" s="106"/>
      <c r="P53" s="107"/>
      <c r="Q53" s="108"/>
    </row>
    <row r="54" spans="2:18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8" ht="14.45" customHeight="1" x14ac:dyDescent="0.25">
      <c r="B55" s="804" t="s">
        <v>283</v>
      </c>
      <c r="C55" s="782"/>
      <c r="D55" s="782"/>
      <c r="E55" s="782"/>
      <c r="F55" s="782"/>
      <c r="G55" s="782"/>
      <c r="H55" s="782"/>
      <c r="I55" s="893" t="s">
        <v>301</v>
      </c>
      <c r="J55" s="894"/>
      <c r="K55" s="894"/>
      <c r="L55" s="894"/>
      <c r="M55" s="894"/>
      <c r="N55" s="894"/>
      <c r="O55" s="894"/>
      <c r="P55" s="894"/>
      <c r="Q55" s="895"/>
      <c r="R55" s="109"/>
    </row>
    <row r="56" spans="2:18" s="110" customFormat="1" ht="14.45" customHeight="1" x14ac:dyDescent="0.25">
      <c r="B56" s="208" t="s">
        <v>231</v>
      </c>
      <c r="C56" s="782" t="s">
        <v>285</v>
      </c>
      <c r="D56" s="782"/>
      <c r="E56" s="782"/>
      <c r="F56" s="187" t="s">
        <v>286</v>
      </c>
      <c r="G56" s="187" t="s">
        <v>26</v>
      </c>
      <c r="H56" s="187" t="s">
        <v>27</v>
      </c>
      <c r="I56" s="896"/>
      <c r="J56" s="897"/>
      <c r="K56" s="897"/>
      <c r="L56" s="897"/>
      <c r="M56" s="897"/>
      <c r="N56" s="897"/>
      <c r="O56" s="897"/>
      <c r="P56" s="897"/>
      <c r="Q56" s="898"/>
      <c r="R56" s="111"/>
    </row>
    <row r="57" spans="2:18" ht="14.45" customHeight="1" x14ac:dyDescent="0.25">
      <c r="B57" s="753">
        <v>1</v>
      </c>
      <c r="C57" s="797" t="s">
        <v>287</v>
      </c>
      <c r="D57" s="798"/>
      <c r="E57" s="80">
        <v>42.5</v>
      </c>
      <c r="F57" s="53">
        <f>'Internal use cement'!F31</f>
        <v>0</v>
      </c>
      <c r="G57" s="53">
        <f>F57+'28'!G57</f>
        <v>0</v>
      </c>
      <c r="H57" s="77">
        <f>F57+'28'!H57</f>
        <v>0</v>
      </c>
      <c r="I57" s="896"/>
      <c r="J57" s="897"/>
      <c r="K57" s="897"/>
      <c r="L57" s="897"/>
      <c r="M57" s="897"/>
      <c r="N57" s="897"/>
      <c r="O57" s="897"/>
      <c r="P57" s="897"/>
      <c r="Q57" s="898"/>
      <c r="R57" s="109"/>
    </row>
    <row r="58" spans="2:18" ht="14.45" customHeight="1" x14ac:dyDescent="0.25">
      <c r="B58" s="754"/>
      <c r="C58" s="799"/>
      <c r="D58" s="800"/>
      <c r="E58" s="80" t="s">
        <v>197</v>
      </c>
      <c r="F58" s="53">
        <f>'Internal use cement'!Q31</f>
        <v>0</v>
      </c>
      <c r="G58" s="53">
        <f>F58+'28'!G58</f>
        <v>0</v>
      </c>
      <c r="H58" s="77">
        <f>F58+'28'!H58</f>
        <v>0</v>
      </c>
      <c r="I58" s="896"/>
      <c r="J58" s="897"/>
      <c r="K58" s="897"/>
      <c r="L58" s="897"/>
      <c r="M58" s="897"/>
      <c r="N58" s="897"/>
      <c r="O58" s="897"/>
      <c r="P58" s="897"/>
      <c r="Q58" s="898"/>
      <c r="R58" s="109"/>
    </row>
    <row r="59" spans="2:18" ht="15" customHeight="1" x14ac:dyDescent="0.25">
      <c r="B59" s="754"/>
      <c r="C59" s="799"/>
      <c r="D59" s="800"/>
      <c r="E59" s="80">
        <v>32.5</v>
      </c>
      <c r="F59" s="53">
        <f>'Internal use cement'!Y31</f>
        <v>0</v>
      </c>
      <c r="G59" s="53">
        <f>F59+'28'!G59</f>
        <v>0</v>
      </c>
      <c r="H59" s="77">
        <f>F59+'28'!H59</f>
        <v>0</v>
      </c>
      <c r="I59" s="896"/>
      <c r="J59" s="897"/>
      <c r="K59" s="897"/>
      <c r="L59" s="897"/>
      <c r="M59" s="897"/>
      <c r="N59" s="897"/>
      <c r="O59" s="897"/>
      <c r="P59" s="897"/>
      <c r="Q59" s="898"/>
      <c r="R59" s="109"/>
    </row>
    <row r="60" spans="2:18" ht="15" customHeight="1" thickBot="1" x14ac:dyDescent="0.3">
      <c r="B60" s="755"/>
      <c r="C60" s="801"/>
      <c r="D60" s="802"/>
      <c r="E60" s="112" t="s">
        <v>177</v>
      </c>
      <c r="F60" s="113">
        <f>'Internal use cement'!AJ31</f>
        <v>0</v>
      </c>
      <c r="G60" s="53">
        <f>F60+'28'!G60</f>
        <v>0</v>
      </c>
      <c r="H60" s="77">
        <f>F60+'28'!H60</f>
        <v>0</v>
      </c>
      <c r="I60" s="899"/>
      <c r="J60" s="900"/>
      <c r="K60" s="900"/>
      <c r="L60" s="900"/>
      <c r="M60" s="900"/>
      <c r="N60" s="900"/>
      <c r="O60" s="900"/>
      <c r="P60" s="900"/>
      <c r="Q60" s="901"/>
      <c r="R60" s="109"/>
    </row>
    <row r="61" spans="2:18" x14ac:dyDescent="0.25">
      <c r="R61" s="115"/>
    </row>
    <row r="62" spans="2:18" x14ac:dyDescent="0.25">
      <c r="R62" s="116"/>
    </row>
    <row r="63" spans="2:18" x14ac:dyDescent="0.25">
      <c r="R63" s="94"/>
    </row>
    <row r="64" spans="2:18" x14ac:dyDescent="0.25">
      <c r="R64" s="94"/>
    </row>
    <row r="65" spans="2:18" x14ac:dyDescent="0.25">
      <c r="R65" s="94"/>
    </row>
    <row r="66" spans="2:18" x14ac:dyDescent="0.25">
      <c r="R66" s="109"/>
    </row>
    <row r="67" spans="2:18" x14ac:dyDescent="0.25">
      <c r="R67" s="94"/>
    </row>
    <row r="68" spans="2:18" x14ac:dyDescent="0.25">
      <c r="R68" s="117"/>
    </row>
    <row r="69" spans="2:18" x14ac:dyDescent="0.25">
      <c r="R69" s="117"/>
    </row>
    <row r="70" spans="2:18" x14ac:dyDescent="0.25">
      <c r="R70" s="117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</sheetData>
  <mergeCells count="84"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3:D13"/>
    <mergeCell ref="P6:P7"/>
    <mergeCell ref="Q6:Q7"/>
    <mergeCell ref="C8:Q8"/>
    <mergeCell ref="C11:D11"/>
    <mergeCell ref="C12:D12"/>
    <mergeCell ref="C17:Q17"/>
    <mergeCell ref="P13:Q13"/>
    <mergeCell ref="C9:D9"/>
    <mergeCell ref="O9:O16"/>
    <mergeCell ref="C10:D10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57:D60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57:B60"/>
    <mergeCell ref="O51:P51"/>
    <mergeCell ref="C52:D52"/>
    <mergeCell ref="O52:P52"/>
    <mergeCell ref="C53:D53"/>
    <mergeCell ref="I55:Q60"/>
    <mergeCell ref="B2:Q2"/>
    <mergeCell ref="B3:Q3"/>
    <mergeCell ref="B35:B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M41:P45"/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C34:D34"/>
    <mergeCell ref="M46:P46"/>
    <mergeCell ref="C35:C40"/>
    <mergeCell ref="I41:I45"/>
  </mergeCells>
  <pageMargins left="0.25" right="0.25" top="0.75" bottom="0.75" header="0.3" footer="0.3"/>
  <pageSetup paperSize="9" scale="55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B2:T154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L11" sqref="L11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9" width="9.140625" style="68"/>
    <col min="20" max="20" width="10.42578125" style="68" bestFit="1" customWidth="1"/>
    <col min="21" max="239" width="9.140625" style="68"/>
    <col min="240" max="240" width="3.7109375" style="68" customWidth="1"/>
    <col min="241" max="241" width="4" style="68" bestFit="1" customWidth="1"/>
    <col min="242" max="242" width="14.5703125" style="68" customWidth="1"/>
    <col min="243" max="243" width="11.140625" style="68" customWidth="1"/>
    <col min="244" max="244" width="8.7109375" style="68" customWidth="1"/>
    <col min="245" max="245" width="9.7109375" style="68" bestFit="1" customWidth="1"/>
    <col min="246" max="246" width="10.85546875" style="68" customWidth="1"/>
    <col min="247" max="247" width="10.42578125" style="68" customWidth="1"/>
    <col min="248" max="248" width="9.7109375" style="68" bestFit="1" customWidth="1"/>
    <col min="249" max="251" width="9.28515625" style="68" bestFit="1" customWidth="1"/>
    <col min="252" max="252" width="10.7109375" style="68" bestFit="1" customWidth="1"/>
    <col min="253" max="253" width="11.28515625" style="68" customWidth="1"/>
    <col min="254" max="254" width="12.5703125" style="68" customWidth="1"/>
    <col min="255" max="255" width="13.5703125" style="68" customWidth="1"/>
    <col min="256" max="256" width="13" style="68" customWidth="1"/>
    <col min="257" max="495" width="9.140625" style="68"/>
    <col min="496" max="496" width="3.7109375" style="68" customWidth="1"/>
    <col min="497" max="497" width="4" style="68" bestFit="1" customWidth="1"/>
    <col min="498" max="498" width="14.5703125" style="68" customWidth="1"/>
    <col min="499" max="499" width="11.140625" style="68" customWidth="1"/>
    <col min="500" max="500" width="8.7109375" style="68" customWidth="1"/>
    <col min="501" max="501" width="9.7109375" style="68" bestFit="1" customWidth="1"/>
    <col min="502" max="502" width="10.85546875" style="68" customWidth="1"/>
    <col min="503" max="503" width="10.42578125" style="68" customWidth="1"/>
    <col min="504" max="504" width="9.7109375" style="68" bestFit="1" customWidth="1"/>
    <col min="505" max="507" width="9.28515625" style="68" bestFit="1" customWidth="1"/>
    <col min="508" max="508" width="10.7109375" style="68" bestFit="1" customWidth="1"/>
    <col min="509" max="509" width="11.28515625" style="68" customWidth="1"/>
    <col min="510" max="510" width="12.5703125" style="68" customWidth="1"/>
    <col min="511" max="511" width="13.5703125" style="68" customWidth="1"/>
    <col min="512" max="512" width="13" style="68" customWidth="1"/>
    <col min="513" max="751" width="9.140625" style="68"/>
    <col min="752" max="752" width="3.7109375" style="68" customWidth="1"/>
    <col min="753" max="753" width="4" style="68" bestFit="1" customWidth="1"/>
    <col min="754" max="754" width="14.5703125" style="68" customWidth="1"/>
    <col min="755" max="755" width="11.140625" style="68" customWidth="1"/>
    <col min="756" max="756" width="8.7109375" style="68" customWidth="1"/>
    <col min="757" max="757" width="9.7109375" style="68" bestFit="1" customWidth="1"/>
    <col min="758" max="758" width="10.85546875" style="68" customWidth="1"/>
    <col min="759" max="759" width="10.42578125" style="68" customWidth="1"/>
    <col min="760" max="760" width="9.7109375" style="68" bestFit="1" customWidth="1"/>
    <col min="761" max="763" width="9.28515625" style="68" bestFit="1" customWidth="1"/>
    <col min="764" max="764" width="10.7109375" style="68" bestFit="1" customWidth="1"/>
    <col min="765" max="765" width="11.28515625" style="68" customWidth="1"/>
    <col min="766" max="766" width="12.5703125" style="68" customWidth="1"/>
    <col min="767" max="767" width="13.5703125" style="68" customWidth="1"/>
    <col min="768" max="768" width="13" style="68" customWidth="1"/>
    <col min="769" max="1007" width="9.140625" style="68"/>
    <col min="1008" max="1008" width="3.7109375" style="68" customWidth="1"/>
    <col min="1009" max="1009" width="4" style="68" bestFit="1" customWidth="1"/>
    <col min="1010" max="1010" width="14.5703125" style="68" customWidth="1"/>
    <col min="1011" max="1011" width="11.140625" style="68" customWidth="1"/>
    <col min="1012" max="1012" width="8.7109375" style="68" customWidth="1"/>
    <col min="1013" max="1013" width="9.7109375" style="68" bestFit="1" customWidth="1"/>
    <col min="1014" max="1014" width="10.85546875" style="68" customWidth="1"/>
    <col min="1015" max="1015" width="10.42578125" style="68" customWidth="1"/>
    <col min="1016" max="1016" width="9.7109375" style="68" bestFit="1" customWidth="1"/>
    <col min="1017" max="1019" width="9.28515625" style="68" bestFit="1" customWidth="1"/>
    <col min="1020" max="1020" width="10.7109375" style="68" bestFit="1" customWidth="1"/>
    <col min="1021" max="1021" width="11.28515625" style="68" customWidth="1"/>
    <col min="1022" max="1022" width="12.5703125" style="68" customWidth="1"/>
    <col min="1023" max="1023" width="13.5703125" style="68" customWidth="1"/>
    <col min="1024" max="1024" width="13" style="68" customWidth="1"/>
    <col min="1025" max="1263" width="9.140625" style="68"/>
    <col min="1264" max="1264" width="3.7109375" style="68" customWidth="1"/>
    <col min="1265" max="1265" width="4" style="68" bestFit="1" customWidth="1"/>
    <col min="1266" max="1266" width="14.5703125" style="68" customWidth="1"/>
    <col min="1267" max="1267" width="11.140625" style="68" customWidth="1"/>
    <col min="1268" max="1268" width="8.7109375" style="68" customWidth="1"/>
    <col min="1269" max="1269" width="9.7109375" style="68" bestFit="1" customWidth="1"/>
    <col min="1270" max="1270" width="10.85546875" style="68" customWidth="1"/>
    <col min="1271" max="1271" width="10.42578125" style="68" customWidth="1"/>
    <col min="1272" max="1272" width="9.7109375" style="68" bestFit="1" customWidth="1"/>
    <col min="1273" max="1275" width="9.28515625" style="68" bestFit="1" customWidth="1"/>
    <col min="1276" max="1276" width="10.7109375" style="68" bestFit="1" customWidth="1"/>
    <col min="1277" max="1277" width="11.28515625" style="68" customWidth="1"/>
    <col min="1278" max="1278" width="12.5703125" style="68" customWidth="1"/>
    <col min="1279" max="1279" width="13.5703125" style="68" customWidth="1"/>
    <col min="1280" max="1280" width="13" style="68" customWidth="1"/>
    <col min="1281" max="1519" width="9.140625" style="68"/>
    <col min="1520" max="1520" width="3.7109375" style="68" customWidth="1"/>
    <col min="1521" max="1521" width="4" style="68" bestFit="1" customWidth="1"/>
    <col min="1522" max="1522" width="14.5703125" style="68" customWidth="1"/>
    <col min="1523" max="1523" width="11.140625" style="68" customWidth="1"/>
    <col min="1524" max="1524" width="8.7109375" style="68" customWidth="1"/>
    <col min="1525" max="1525" width="9.7109375" style="68" bestFit="1" customWidth="1"/>
    <col min="1526" max="1526" width="10.85546875" style="68" customWidth="1"/>
    <col min="1527" max="1527" width="10.42578125" style="68" customWidth="1"/>
    <col min="1528" max="1528" width="9.7109375" style="68" bestFit="1" customWidth="1"/>
    <col min="1529" max="1531" width="9.28515625" style="68" bestFit="1" customWidth="1"/>
    <col min="1532" max="1532" width="10.7109375" style="68" bestFit="1" customWidth="1"/>
    <col min="1533" max="1533" width="11.28515625" style="68" customWidth="1"/>
    <col min="1534" max="1534" width="12.5703125" style="68" customWidth="1"/>
    <col min="1535" max="1535" width="13.5703125" style="68" customWidth="1"/>
    <col min="1536" max="1536" width="13" style="68" customWidth="1"/>
    <col min="1537" max="1775" width="9.140625" style="68"/>
    <col min="1776" max="1776" width="3.7109375" style="68" customWidth="1"/>
    <col min="1777" max="1777" width="4" style="68" bestFit="1" customWidth="1"/>
    <col min="1778" max="1778" width="14.5703125" style="68" customWidth="1"/>
    <col min="1779" max="1779" width="11.140625" style="68" customWidth="1"/>
    <col min="1780" max="1780" width="8.7109375" style="68" customWidth="1"/>
    <col min="1781" max="1781" width="9.7109375" style="68" bestFit="1" customWidth="1"/>
    <col min="1782" max="1782" width="10.85546875" style="68" customWidth="1"/>
    <col min="1783" max="1783" width="10.42578125" style="68" customWidth="1"/>
    <col min="1784" max="1784" width="9.7109375" style="68" bestFit="1" customWidth="1"/>
    <col min="1785" max="1787" width="9.28515625" style="68" bestFit="1" customWidth="1"/>
    <col min="1788" max="1788" width="10.7109375" style="68" bestFit="1" customWidth="1"/>
    <col min="1789" max="1789" width="11.28515625" style="68" customWidth="1"/>
    <col min="1790" max="1790" width="12.5703125" style="68" customWidth="1"/>
    <col min="1791" max="1791" width="13.5703125" style="68" customWidth="1"/>
    <col min="1792" max="1792" width="13" style="68" customWidth="1"/>
    <col min="1793" max="2031" width="9.140625" style="68"/>
    <col min="2032" max="2032" width="3.7109375" style="68" customWidth="1"/>
    <col min="2033" max="2033" width="4" style="68" bestFit="1" customWidth="1"/>
    <col min="2034" max="2034" width="14.5703125" style="68" customWidth="1"/>
    <col min="2035" max="2035" width="11.140625" style="68" customWidth="1"/>
    <col min="2036" max="2036" width="8.7109375" style="68" customWidth="1"/>
    <col min="2037" max="2037" width="9.7109375" style="68" bestFit="1" customWidth="1"/>
    <col min="2038" max="2038" width="10.85546875" style="68" customWidth="1"/>
    <col min="2039" max="2039" width="10.42578125" style="68" customWidth="1"/>
    <col min="2040" max="2040" width="9.7109375" style="68" bestFit="1" customWidth="1"/>
    <col min="2041" max="2043" width="9.28515625" style="68" bestFit="1" customWidth="1"/>
    <col min="2044" max="2044" width="10.7109375" style="68" bestFit="1" customWidth="1"/>
    <col min="2045" max="2045" width="11.28515625" style="68" customWidth="1"/>
    <col min="2046" max="2046" width="12.5703125" style="68" customWidth="1"/>
    <col min="2047" max="2047" width="13.5703125" style="68" customWidth="1"/>
    <col min="2048" max="2048" width="13" style="68" customWidth="1"/>
    <col min="2049" max="2287" width="9.140625" style="68"/>
    <col min="2288" max="2288" width="3.7109375" style="68" customWidth="1"/>
    <col min="2289" max="2289" width="4" style="68" bestFit="1" customWidth="1"/>
    <col min="2290" max="2290" width="14.5703125" style="68" customWidth="1"/>
    <col min="2291" max="2291" width="11.140625" style="68" customWidth="1"/>
    <col min="2292" max="2292" width="8.7109375" style="68" customWidth="1"/>
    <col min="2293" max="2293" width="9.7109375" style="68" bestFit="1" customWidth="1"/>
    <col min="2294" max="2294" width="10.85546875" style="68" customWidth="1"/>
    <col min="2295" max="2295" width="10.42578125" style="68" customWidth="1"/>
    <col min="2296" max="2296" width="9.7109375" style="68" bestFit="1" customWidth="1"/>
    <col min="2297" max="2299" width="9.28515625" style="68" bestFit="1" customWidth="1"/>
    <col min="2300" max="2300" width="10.7109375" style="68" bestFit="1" customWidth="1"/>
    <col min="2301" max="2301" width="11.28515625" style="68" customWidth="1"/>
    <col min="2302" max="2302" width="12.5703125" style="68" customWidth="1"/>
    <col min="2303" max="2303" width="13.5703125" style="68" customWidth="1"/>
    <col min="2304" max="2304" width="13" style="68" customWidth="1"/>
    <col min="2305" max="2543" width="9.140625" style="68"/>
    <col min="2544" max="2544" width="3.7109375" style="68" customWidth="1"/>
    <col min="2545" max="2545" width="4" style="68" bestFit="1" customWidth="1"/>
    <col min="2546" max="2546" width="14.5703125" style="68" customWidth="1"/>
    <col min="2547" max="2547" width="11.140625" style="68" customWidth="1"/>
    <col min="2548" max="2548" width="8.7109375" style="68" customWidth="1"/>
    <col min="2549" max="2549" width="9.7109375" style="68" bestFit="1" customWidth="1"/>
    <col min="2550" max="2550" width="10.85546875" style="68" customWidth="1"/>
    <col min="2551" max="2551" width="10.42578125" style="68" customWidth="1"/>
    <col min="2552" max="2552" width="9.7109375" style="68" bestFit="1" customWidth="1"/>
    <col min="2553" max="2555" width="9.28515625" style="68" bestFit="1" customWidth="1"/>
    <col min="2556" max="2556" width="10.7109375" style="68" bestFit="1" customWidth="1"/>
    <col min="2557" max="2557" width="11.28515625" style="68" customWidth="1"/>
    <col min="2558" max="2558" width="12.5703125" style="68" customWidth="1"/>
    <col min="2559" max="2559" width="13.5703125" style="68" customWidth="1"/>
    <col min="2560" max="2560" width="13" style="68" customWidth="1"/>
    <col min="2561" max="2799" width="9.140625" style="68"/>
    <col min="2800" max="2800" width="3.7109375" style="68" customWidth="1"/>
    <col min="2801" max="2801" width="4" style="68" bestFit="1" customWidth="1"/>
    <col min="2802" max="2802" width="14.5703125" style="68" customWidth="1"/>
    <col min="2803" max="2803" width="11.140625" style="68" customWidth="1"/>
    <col min="2804" max="2804" width="8.7109375" style="68" customWidth="1"/>
    <col min="2805" max="2805" width="9.7109375" style="68" bestFit="1" customWidth="1"/>
    <col min="2806" max="2806" width="10.85546875" style="68" customWidth="1"/>
    <col min="2807" max="2807" width="10.42578125" style="68" customWidth="1"/>
    <col min="2808" max="2808" width="9.7109375" style="68" bestFit="1" customWidth="1"/>
    <col min="2809" max="2811" width="9.28515625" style="68" bestFit="1" customWidth="1"/>
    <col min="2812" max="2812" width="10.7109375" style="68" bestFit="1" customWidth="1"/>
    <col min="2813" max="2813" width="11.28515625" style="68" customWidth="1"/>
    <col min="2814" max="2814" width="12.5703125" style="68" customWidth="1"/>
    <col min="2815" max="2815" width="13.5703125" style="68" customWidth="1"/>
    <col min="2816" max="2816" width="13" style="68" customWidth="1"/>
    <col min="2817" max="3055" width="9.140625" style="68"/>
    <col min="3056" max="3056" width="3.7109375" style="68" customWidth="1"/>
    <col min="3057" max="3057" width="4" style="68" bestFit="1" customWidth="1"/>
    <col min="3058" max="3058" width="14.5703125" style="68" customWidth="1"/>
    <col min="3059" max="3059" width="11.140625" style="68" customWidth="1"/>
    <col min="3060" max="3060" width="8.7109375" style="68" customWidth="1"/>
    <col min="3061" max="3061" width="9.7109375" style="68" bestFit="1" customWidth="1"/>
    <col min="3062" max="3062" width="10.85546875" style="68" customWidth="1"/>
    <col min="3063" max="3063" width="10.42578125" style="68" customWidth="1"/>
    <col min="3064" max="3064" width="9.7109375" style="68" bestFit="1" customWidth="1"/>
    <col min="3065" max="3067" width="9.28515625" style="68" bestFit="1" customWidth="1"/>
    <col min="3068" max="3068" width="10.7109375" style="68" bestFit="1" customWidth="1"/>
    <col min="3069" max="3069" width="11.28515625" style="68" customWidth="1"/>
    <col min="3070" max="3070" width="12.5703125" style="68" customWidth="1"/>
    <col min="3071" max="3071" width="13.5703125" style="68" customWidth="1"/>
    <col min="3072" max="3072" width="13" style="68" customWidth="1"/>
    <col min="3073" max="3311" width="9.140625" style="68"/>
    <col min="3312" max="3312" width="3.7109375" style="68" customWidth="1"/>
    <col min="3313" max="3313" width="4" style="68" bestFit="1" customWidth="1"/>
    <col min="3314" max="3314" width="14.5703125" style="68" customWidth="1"/>
    <col min="3315" max="3315" width="11.140625" style="68" customWidth="1"/>
    <col min="3316" max="3316" width="8.7109375" style="68" customWidth="1"/>
    <col min="3317" max="3317" width="9.7109375" style="68" bestFit="1" customWidth="1"/>
    <col min="3318" max="3318" width="10.85546875" style="68" customWidth="1"/>
    <col min="3319" max="3319" width="10.42578125" style="68" customWidth="1"/>
    <col min="3320" max="3320" width="9.7109375" style="68" bestFit="1" customWidth="1"/>
    <col min="3321" max="3323" width="9.28515625" style="68" bestFit="1" customWidth="1"/>
    <col min="3324" max="3324" width="10.7109375" style="68" bestFit="1" customWidth="1"/>
    <col min="3325" max="3325" width="11.28515625" style="68" customWidth="1"/>
    <col min="3326" max="3326" width="12.5703125" style="68" customWidth="1"/>
    <col min="3327" max="3327" width="13.5703125" style="68" customWidth="1"/>
    <col min="3328" max="3328" width="13" style="68" customWidth="1"/>
    <col min="3329" max="3567" width="9.140625" style="68"/>
    <col min="3568" max="3568" width="3.7109375" style="68" customWidth="1"/>
    <col min="3569" max="3569" width="4" style="68" bestFit="1" customWidth="1"/>
    <col min="3570" max="3570" width="14.5703125" style="68" customWidth="1"/>
    <col min="3571" max="3571" width="11.140625" style="68" customWidth="1"/>
    <col min="3572" max="3572" width="8.7109375" style="68" customWidth="1"/>
    <col min="3573" max="3573" width="9.7109375" style="68" bestFit="1" customWidth="1"/>
    <col min="3574" max="3574" width="10.85546875" style="68" customWidth="1"/>
    <col min="3575" max="3575" width="10.42578125" style="68" customWidth="1"/>
    <col min="3576" max="3576" width="9.7109375" style="68" bestFit="1" customWidth="1"/>
    <col min="3577" max="3579" width="9.28515625" style="68" bestFit="1" customWidth="1"/>
    <col min="3580" max="3580" width="10.7109375" style="68" bestFit="1" customWidth="1"/>
    <col min="3581" max="3581" width="11.28515625" style="68" customWidth="1"/>
    <col min="3582" max="3582" width="12.5703125" style="68" customWidth="1"/>
    <col min="3583" max="3583" width="13.5703125" style="68" customWidth="1"/>
    <col min="3584" max="3584" width="13" style="68" customWidth="1"/>
    <col min="3585" max="3823" width="9.140625" style="68"/>
    <col min="3824" max="3824" width="3.7109375" style="68" customWidth="1"/>
    <col min="3825" max="3825" width="4" style="68" bestFit="1" customWidth="1"/>
    <col min="3826" max="3826" width="14.5703125" style="68" customWidth="1"/>
    <col min="3827" max="3827" width="11.140625" style="68" customWidth="1"/>
    <col min="3828" max="3828" width="8.7109375" style="68" customWidth="1"/>
    <col min="3829" max="3829" width="9.7109375" style="68" bestFit="1" customWidth="1"/>
    <col min="3830" max="3830" width="10.85546875" style="68" customWidth="1"/>
    <col min="3831" max="3831" width="10.42578125" style="68" customWidth="1"/>
    <col min="3832" max="3832" width="9.7109375" style="68" bestFit="1" customWidth="1"/>
    <col min="3833" max="3835" width="9.28515625" style="68" bestFit="1" customWidth="1"/>
    <col min="3836" max="3836" width="10.7109375" style="68" bestFit="1" customWidth="1"/>
    <col min="3837" max="3837" width="11.28515625" style="68" customWidth="1"/>
    <col min="3838" max="3838" width="12.5703125" style="68" customWidth="1"/>
    <col min="3839" max="3839" width="13.5703125" style="68" customWidth="1"/>
    <col min="3840" max="3840" width="13" style="68" customWidth="1"/>
    <col min="3841" max="4079" width="9.140625" style="68"/>
    <col min="4080" max="4080" width="3.7109375" style="68" customWidth="1"/>
    <col min="4081" max="4081" width="4" style="68" bestFit="1" customWidth="1"/>
    <col min="4082" max="4082" width="14.5703125" style="68" customWidth="1"/>
    <col min="4083" max="4083" width="11.140625" style="68" customWidth="1"/>
    <col min="4084" max="4084" width="8.7109375" style="68" customWidth="1"/>
    <col min="4085" max="4085" width="9.7109375" style="68" bestFit="1" customWidth="1"/>
    <col min="4086" max="4086" width="10.85546875" style="68" customWidth="1"/>
    <col min="4087" max="4087" width="10.42578125" style="68" customWidth="1"/>
    <col min="4088" max="4088" width="9.7109375" style="68" bestFit="1" customWidth="1"/>
    <col min="4089" max="4091" width="9.28515625" style="68" bestFit="1" customWidth="1"/>
    <col min="4092" max="4092" width="10.7109375" style="68" bestFit="1" customWidth="1"/>
    <col min="4093" max="4093" width="11.28515625" style="68" customWidth="1"/>
    <col min="4094" max="4094" width="12.5703125" style="68" customWidth="1"/>
    <col min="4095" max="4095" width="13.5703125" style="68" customWidth="1"/>
    <col min="4096" max="4096" width="13" style="68" customWidth="1"/>
    <col min="4097" max="4335" width="9.140625" style="68"/>
    <col min="4336" max="4336" width="3.7109375" style="68" customWidth="1"/>
    <col min="4337" max="4337" width="4" style="68" bestFit="1" customWidth="1"/>
    <col min="4338" max="4338" width="14.5703125" style="68" customWidth="1"/>
    <col min="4339" max="4339" width="11.140625" style="68" customWidth="1"/>
    <col min="4340" max="4340" width="8.7109375" style="68" customWidth="1"/>
    <col min="4341" max="4341" width="9.7109375" style="68" bestFit="1" customWidth="1"/>
    <col min="4342" max="4342" width="10.85546875" style="68" customWidth="1"/>
    <col min="4343" max="4343" width="10.42578125" style="68" customWidth="1"/>
    <col min="4344" max="4344" width="9.7109375" style="68" bestFit="1" customWidth="1"/>
    <col min="4345" max="4347" width="9.28515625" style="68" bestFit="1" customWidth="1"/>
    <col min="4348" max="4348" width="10.7109375" style="68" bestFit="1" customWidth="1"/>
    <col min="4349" max="4349" width="11.28515625" style="68" customWidth="1"/>
    <col min="4350" max="4350" width="12.5703125" style="68" customWidth="1"/>
    <col min="4351" max="4351" width="13.5703125" style="68" customWidth="1"/>
    <col min="4352" max="4352" width="13" style="68" customWidth="1"/>
    <col min="4353" max="4591" width="9.140625" style="68"/>
    <col min="4592" max="4592" width="3.7109375" style="68" customWidth="1"/>
    <col min="4593" max="4593" width="4" style="68" bestFit="1" customWidth="1"/>
    <col min="4594" max="4594" width="14.5703125" style="68" customWidth="1"/>
    <col min="4595" max="4595" width="11.140625" style="68" customWidth="1"/>
    <col min="4596" max="4596" width="8.7109375" style="68" customWidth="1"/>
    <col min="4597" max="4597" width="9.7109375" style="68" bestFit="1" customWidth="1"/>
    <col min="4598" max="4598" width="10.85546875" style="68" customWidth="1"/>
    <col min="4599" max="4599" width="10.42578125" style="68" customWidth="1"/>
    <col min="4600" max="4600" width="9.7109375" style="68" bestFit="1" customWidth="1"/>
    <col min="4601" max="4603" width="9.28515625" style="68" bestFit="1" customWidth="1"/>
    <col min="4604" max="4604" width="10.7109375" style="68" bestFit="1" customWidth="1"/>
    <col min="4605" max="4605" width="11.28515625" style="68" customWidth="1"/>
    <col min="4606" max="4606" width="12.5703125" style="68" customWidth="1"/>
    <col min="4607" max="4607" width="13.5703125" style="68" customWidth="1"/>
    <col min="4608" max="4608" width="13" style="68" customWidth="1"/>
    <col min="4609" max="4847" width="9.140625" style="68"/>
    <col min="4848" max="4848" width="3.7109375" style="68" customWidth="1"/>
    <col min="4849" max="4849" width="4" style="68" bestFit="1" customWidth="1"/>
    <col min="4850" max="4850" width="14.5703125" style="68" customWidth="1"/>
    <col min="4851" max="4851" width="11.140625" style="68" customWidth="1"/>
    <col min="4852" max="4852" width="8.7109375" style="68" customWidth="1"/>
    <col min="4853" max="4853" width="9.7109375" style="68" bestFit="1" customWidth="1"/>
    <col min="4854" max="4854" width="10.85546875" style="68" customWidth="1"/>
    <col min="4855" max="4855" width="10.42578125" style="68" customWidth="1"/>
    <col min="4856" max="4856" width="9.7109375" style="68" bestFit="1" customWidth="1"/>
    <col min="4857" max="4859" width="9.28515625" style="68" bestFit="1" customWidth="1"/>
    <col min="4860" max="4860" width="10.7109375" style="68" bestFit="1" customWidth="1"/>
    <col min="4861" max="4861" width="11.28515625" style="68" customWidth="1"/>
    <col min="4862" max="4862" width="12.5703125" style="68" customWidth="1"/>
    <col min="4863" max="4863" width="13.5703125" style="68" customWidth="1"/>
    <col min="4864" max="4864" width="13" style="68" customWidth="1"/>
    <col min="4865" max="5103" width="9.140625" style="68"/>
    <col min="5104" max="5104" width="3.7109375" style="68" customWidth="1"/>
    <col min="5105" max="5105" width="4" style="68" bestFit="1" customWidth="1"/>
    <col min="5106" max="5106" width="14.5703125" style="68" customWidth="1"/>
    <col min="5107" max="5107" width="11.140625" style="68" customWidth="1"/>
    <col min="5108" max="5108" width="8.7109375" style="68" customWidth="1"/>
    <col min="5109" max="5109" width="9.7109375" style="68" bestFit="1" customWidth="1"/>
    <col min="5110" max="5110" width="10.85546875" style="68" customWidth="1"/>
    <col min="5111" max="5111" width="10.42578125" style="68" customWidth="1"/>
    <col min="5112" max="5112" width="9.7109375" style="68" bestFit="1" customWidth="1"/>
    <col min="5113" max="5115" width="9.28515625" style="68" bestFit="1" customWidth="1"/>
    <col min="5116" max="5116" width="10.7109375" style="68" bestFit="1" customWidth="1"/>
    <col min="5117" max="5117" width="11.28515625" style="68" customWidth="1"/>
    <col min="5118" max="5118" width="12.5703125" style="68" customWidth="1"/>
    <col min="5119" max="5119" width="13.5703125" style="68" customWidth="1"/>
    <col min="5120" max="5120" width="13" style="68" customWidth="1"/>
    <col min="5121" max="5359" width="9.140625" style="68"/>
    <col min="5360" max="5360" width="3.7109375" style="68" customWidth="1"/>
    <col min="5361" max="5361" width="4" style="68" bestFit="1" customWidth="1"/>
    <col min="5362" max="5362" width="14.5703125" style="68" customWidth="1"/>
    <col min="5363" max="5363" width="11.140625" style="68" customWidth="1"/>
    <col min="5364" max="5364" width="8.7109375" style="68" customWidth="1"/>
    <col min="5365" max="5365" width="9.7109375" style="68" bestFit="1" customWidth="1"/>
    <col min="5366" max="5366" width="10.85546875" style="68" customWidth="1"/>
    <col min="5367" max="5367" width="10.42578125" style="68" customWidth="1"/>
    <col min="5368" max="5368" width="9.7109375" style="68" bestFit="1" customWidth="1"/>
    <col min="5369" max="5371" width="9.28515625" style="68" bestFit="1" customWidth="1"/>
    <col min="5372" max="5372" width="10.7109375" style="68" bestFit="1" customWidth="1"/>
    <col min="5373" max="5373" width="11.28515625" style="68" customWidth="1"/>
    <col min="5374" max="5374" width="12.5703125" style="68" customWidth="1"/>
    <col min="5375" max="5375" width="13.5703125" style="68" customWidth="1"/>
    <col min="5376" max="5376" width="13" style="68" customWidth="1"/>
    <col min="5377" max="5615" width="9.140625" style="68"/>
    <col min="5616" max="5616" width="3.7109375" style="68" customWidth="1"/>
    <col min="5617" max="5617" width="4" style="68" bestFit="1" customWidth="1"/>
    <col min="5618" max="5618" width="14.5703125" style="68" customWidth="1"/>
    <col min="5619" max="5619" width="11.140625" style="68" customWidth="1"/>
    <col min="5620" max="5620" width="8.7109375" style="68" customWidth="1"/>
    <col min="5621" max="5621" width="9.7109375" style="68" bestFit="1" customWidth="1"/>
    <col min="5622" max="5622" width="10.85546875" style="68" customWidth="1"/>
    <col min="5623" max="5623" width="10.42578125" style="68" customWidth="1"/>
    <col min="5624" max="5624" width="9.7109375" style="68" bestFit="1" customWidth="1"/>
    <col min="5625" max="5627" width="9.28515625" style="68" bestFit="1" customWidth="1"/>
    <col min="5628" max="5628" width="10.7109375" style="68" bestFit="1" customWidth="1"/>
    <col min="5629" max="5629" width="11.28515625" style="68" customWidth="1"/>
    <col min="5630" max="5630" width="12.5703125" style="68" customWidth="1"/>
    <col min="5631" max="5631" width="13.5703125" style="68" customWidth="1"/>
    <col min="5632" max="5632" width="13" style="68" customWidth="1"/>
    <col min="5633" max="5871" width="9.140625" style="68"/>
    <col min="5872" max="5872" width="3.7109375" style="68" customWidth="1"/>
    <col min="5873" max="5873" width="4" style="68" bestFit="1" customWidth="1"/>
    <col min="5874" max="5874" width="14.5703125" style="68" customWidth="1"/>
    <col min="5875" max="5875" width="11.140625" style="68" customWidth="1"/>
    <col min="5876" max="5876" width="8.7109375" style="68" customWidth="1"/>
    <col min="5877" max="5877" width="9.7109375" style="68" bestFit="1" customWidth="1"/>
    <col min="5878" max="5878" width="10.85546875" style="68" customWidth="1"/>
    <col min="5879" max="5879" width="10.42578125" style="68" customWidth="1"/>
    <col min="5880" max="5880" width="9.7109375" style="68" bestFit="1" customWidth="1"/>
    <col min="5881" max="5883" width="9.28515625" style="68" bestFit="1" customWidth="1"/>
    <col min="5884" max="5884" width="10.7109375" style="68" bestFit="1" customWidth="1"/>
    <col min="5885" max="5885" width="11.28515625" style="68" customWidth="1"/>
    <col min="5886" max="5886" width="12.5703125" style="68" customWidth="1"/>
    <col min="5887" max="5887" width="13.5703125" style="68" customWidth="1"/>
    <col min="5888" max="5888" width="13" style="68" customWidth="1"/>
    <col min="5889" max="6127" width="9.140625" style="68"/>
    <col min="6128" max="6128" width="3.7109375" style="68" customWidth="1"/>
    <col min="6129" max="6129" width="4" style="68" bestFit="1" customWidth="1"/>
    <col min="6130" max="6130" width="14.5703125" style="68" customWidth="1"/>
    <col min="6131" max="6131" width="11.140625" style="68" customWidth="1"/>
    <col min="6132" max="6132" width="8.7109375" style="68" customWidth="1"/>
    <col min="6133" max="6133" width="9.7109375" style="68" bestFit="1" customWidth="1"/>
    <col min="6134" max="6134" width="10.85546875" style="68" customWidth="1"/>
    <col min="6135" max="6135" width="10.42578125" style="68" customWidth="1"/>
    <col min="6136" max="6136" width="9.7109375" style="68" bestFit="1" customWidth="1"/>
    <col min="6137" max="6139" width="9.28515625" style="68" bestFit="1" customWidth="1"/>
    <col min="6140" max="6140" width="10.7109375" style="68" bestFit="1" customWidth="1"/>
    <col min="6141" max="6141" width="11.28515625" style="68" customWidth="1"/>
    <col min="6142" max="6142" width="12.5703125" style="68" customWidth="1"/>
    <col min="6143" max="6143" width="13.5703125" style="68" customWidth="1"/>
    <col min="6144" max="6144" width="13" style="68" customWidth="1"/>
    <col min="6145" max="6383" width="9.140625" style="68"/>
    <col min="6384" max="6384" width="3.7109375" style="68" customWidth="1"/>
    <col min="6385" max="6385" width="4" style="68" bestFit="1" customWidth="1"/>
    <col min="6386" max="6386" width="14.5703125" style="68" customWidth="1"/>
    <col min="6387" max="6387" width="11.140625" style="68" customWidth="1"/>
    <col min="6388" max="6388" width="8.7109375" style="68" customWidth="1"/>
    <col min="6389" max="6389" width="9.7109375" style="68" bestFit="1" customWidth="1"/>
    <col min="6390" max="6390" width="10.85546875" style="68" customWidth="1"/>
    <col min="6391" max="6391" width="10.42578125" style="68" customWidth="1"/>
    <col min="6392" max="6392" width="9.7109375" style="68" bestFit="1" customWidth="1"/>
    <col min="6393" max="6395" width="9.28515625" style="68" bestFit="1" customWidth="1"/>
    <col min="6396" max="6396" width="10.7109375" style="68" bestFit="1" customWidth="1"/>
    <col min="6397" max="6397" width="11.28515625" style="68" customWidth="1"/>
    <col min="6398" max="6398" width="12.5703125" style="68" customWidth="1"/>
    <col min="6399" max="6399" width="13.5703125" style="68" customWidth="1"/>
    <col min="6400" max="6400" width="13" style="68" customWidth="1"/>
    <col min="6401" max="6639" width="9.140625" style="68"/>
    <col min="6640" max="6640" width="3.7109375" style="68" customWidth="1"/>
    <col min="6641" max="6641" width="4" style="68" bestFit="1" customWidth="1"/>
    <col min="6642" max="6642" width="14.5703125" style="68" customWidth="1"/>
    <col min="6643" max="6643" width="11.140625" style="68" customWidth="1"/>
    <col min="6644" max="6644" width="8.7109375" style="68" customWidth="1"/>
    <col min="6645" max="6645" width="9.7109375" style="68" bestFit="1" customWidth="1"/>
    <col min="6646" max="6646" width="10.85546875" style="68" customWidth="1"/>
    <col min="6647" max="6647" width="10.42578125" style="68" customWidth="1"/>
    <col min="6648" max="6648" width="9.7109375" style="68" bestFit="1" customWidth="1"/>
    <col min="6649" max="6651" width="9.28515625" style="68" bestFit="1" customWidth="1"/>
    <col min="6652" max="6652" width="10.7109375" style="68" bestFit="1" customWidth="1"/>
    <col min="6653" max="6653" width="11.28515625" style="68" customWidth="1"/>
    <col min="6654" max="6654" width="12.5703125" style="68" customWidth="1"/>
    <col min="6655" max="6655" width="13.5703125" style="68" customWidth="1"/>
    <col min="6656" max="6656" width="13" style="68" customWidth="1"/>
    <col min="6657" max="6895" width="9.140625" style="68"/>
    <col min="6896" max="6896" width="3.7109375" style="68" customWidth="1"/>
    <col min="6897" max="6897" width="4" style="68" bestFit="1" customWidth="1"/>
    <col min="6898" max="6898" width="14.5703125" style="68" customWidth="1"/>
    <col min="6899" max="6899" width="11.140625" style="68" customWidth="1"/>
    <col min="6900" max="6900" width="8.7109375" style="68" customWidth="1"/>
    <col min="6901" max="6901" width="9.7109375" style="68" bestFit="1" customWidth="1"/>
    <col min="6902" max="6902" width="10.85546875" style="68" customWidth="1"/>
    <col min="6903" max="6903" width="10.42578125" style="68" customWidth="1"/>
    <col min="6904" max="6904" width="9.7109375" style="68" bestFit="1" customWidth="1"/>
    <col min="6905" max="6907" width="9.28515625" style="68" bestFit="1" customWidth="1"/>
    <col min="6908" max="6908" width="10.7109375" style="68" bestFit="1" customWidth="1"/>
    <col min="6909" max="6909" width="11.28515625" style="68" customWidth="1"/>
    <col min="6910" max="6910" width="12.5703125" style="68" customWidth="1"/>
    <col min="6911" max="6911" width="13.5703125" style="68" customWidth="1"/>
    <col min="6912" max="6912" width="13" style="68" customWidth="1"/>
    <col min="6913" max="7151" width="9.140625" style="68"/>
    <col min="7152" max="7152" width="3.7109375" style="68" customWidth="1"/>
    <col min="7153" max="7153" width="4" style="68" bestFit="1" customWidth="1"/>
    <col min="7154" max="7154" width="14.5703125" style="68" customWidth="1"/>
    <col min="7155" max="7155" width="11.140625" style="68" customWidth="1"/>
    <col min="7156" max="7156" width="8.7109375" style="68" customWidth="1"/>
    <col min="7157" max="7157" width="9.7109375" style="68" bestFit="1" customWidth="1"/>
    <col min="7158" max="7158" width="10.85546875" style="68" customWidth="1"/>
    <col min="7159" max="7159" width="10.42578125" style="68" customWidth="1"/>
    <col min="7160" max="7160" width="9.7109375" style="68" bestFit="1" customWidth="1"/>
    <col min="7161" max="7163" width="9.28515625" style="68" bestFit="1" customWidth="1"/>
    <col min="7164" max="7164" width="10.7109375" style="68" bestFit="1" customWidth="1"/>
    <col min="7165" max="7165" width="11.28515625" style="68" customWidth="1"/>
    <col min="7166" max="7166" width="12.5703125" style="68" customWidth="1"/>
    <col min="7167" max="7167" width="13.5703125" style="68" customWidth="1"/>
    <col min="7168" max="7168" width="13" style="68" customWidth="1"/>
    <col min="7169" max="7407" width="9.140625" style="68"/>
    <col min="7408" max="7408" width="3.7109375" style="68" customWidth="1"/>
    <col min="7409" max="7409" width="4" style="68" bestFit="1" customWidth="1"/>
    <col min="7410" max="7410" width="14.5703125" style="68" customWidth="1"/>
    <col min="7411" max="7411" width="11.140625" style="68" customWidth="1"/>
    <col min="7412" max="7412" width="8.7109375" style="68" customWidth="1"/>
    <col min="7413" max="7413" width="9.7109375" style="68" bestFit="1" customWidth="1"/>
    <col min="7414" max="7414" width="10.85546875" style="68" customWidth="1"/>
    <col min="7415" max="7415" width="10.42578125" style="68" customWidth="1"/>
    <col min="7416" max="7416" width="9.7109375" style="68" bestFit="1" customWidth="1"/>
    <col min="7417" max="7419" width="9.28515625" style="68" bestFit="1" customWidth="1"/>
    <col min="7420" max="7420" width="10.7109375" style="68" bestFit="1" customWidth="1"/>
    <col min="7421" max="7421" width="11.28515625" style="68" customWidth="1"/>
    <col min="7422" max="7422" width="12.5703125" style="68" customWidth="1"/>
    <col min="7423" max="7423" width="13.5703125" style="68" customWidth="1"/>
    <col min="7424" max="7424" width="13" style="68" customWidth="1"/>
    <col min="7425" max="7663" width="9.140625" style="68"/>
    <col min="7664" max="7664" width="3.7109375" style="68" customWidth="1"/>
    <col min="7665" max="7665" width="4" style="68" bestFit="1" customWidth="1"/>
    <col min="7666" max="7666" width="14.5703125" style="68" customWidth="1"/>
    <col min="7667" max="7667" width="11.140625" style="68" customWidth="1"/>
    <col min="7668" max="7668" width="8.7109375" style="68" customWidth="1"/>
    <col min="7669" max="7669" width="9.7109375" style="68" bestFit="1" customWidth="1"/>
    <col min="7670" max="7670" width="10.85546875" style="68" customWidth="1"/>
    <col min="7671" max="7671" width="10.42578125" style="68" customWidth="1"/>
    <col min="7672" max="7672" width="9.7109375" style="68" bestFit="1" customWidth="1"/>
    <col min="7673" max="7675" width="9.28515625" style="68" bestFit="1" customWidth="1"/>
    <col min="7676" max="7676" width="10.7109375" style="68" bestFit="1" customWidth="1"/>
    <col min="7677" max="7677" width="11.28515625" style="68" customWidth="1"/>
    <col min="7678" max="7678" width="12.5703125" style="68" customWidth="1"/>
    <col min="7679" max="7679" width="13.5703125" style="68" customWidth="1"/>
    <col min="7680" max="7680" width="13" style="68" customWidth="1"/>
    <col min="7681" max="7919" width="9.140625" style="68"/>
    <col min="7920" max="7920" width="3.7109375" style="68" customWidth="1"/>
    <col min="7921" max="7921" width="4" style="68" bestFit="1" customWidth="1"/>
    <col min="7922" max="7922" width="14.5703125" style="68" customWidth="1"/>
    <col min="7923" max="7923" width="11.140625" style="68" customWidth="1"/>
    <col min="7924" max="7924" width="8.7109375" style="68" customWidth="1"/>
    <col min="7925" max="7925" width="9.7109375" style="68" bestFit="1" customWidth="1"/>
    <col min="7926" max="7926" width="10.85546875" style="68" customWidth="1"/>
    <col min="7927" max="7927" width="10.42578125" style="68" customWidth="1"/>
    <col min="7928" max="7928" width="9.7109375" style="68" bestFit="1" customWidth="1"/>
    <col min="7929" max="7931" width="9.28515625" style="68" bestFit="1" customWidth="1"/>
    <col min="7932" max="7932" width="10.7109375" style="68" bestFit="1" customWidth="1"/>
    <col min="7933" max="7933" width="11.28515625" style="68" customWidth="1"/>
    <col min="7934" max="7934" width="12.5703125" style="68" customWidth="1"/>
    <col min="7935" max="7935" width="13.5703125" style="68" customWidth="1"/>
    <col min="7936" max="7936" width="13" style="68" customWidth="1"/>
    <col min="7937" max="8175" width="9.140625" style="68"/>
    <col min="8176" max="8176" width="3.7109375" style="68" customWidth="1"/>
    <col min="8177" max="8177" width="4" style="68" bestFit="1" customWidth="1"/>
    <col min="8178" max="8178" width="14.5703125" style="68" customWidth="1"/>
    <col min="8179" max="8179" width="11.140625" style="68" customWidth="1"/>
    <col min="8180" max="8180" width="8.7109375" style="68" customWidth="1"/>
    <col min="8181" max="8181" width="9.7109375" style="68" bestFit="1" customWidth="1"/>
    <col min="8182" max="8182" width="10.85546875" style="68" customWidth="1"/>
    <col min="8183" max="8183" width="10.42578125" style="68" customWidth="1"/>
    <col min="8184" max="8184" width="9.7109375" style="68" bestFit="1" customWidth="1"/>
    <col min="8185" max="8187" width="9.28515625" style="68" bestFit="1" customWidth="1"/>
    <col min="8188" max="8188" width="10.7109375" style="68" bestFit="1" customWidth="1"/>
    <col min="8189" max="8189" width="11.28515625" style="68" customWidth="1"/>
    <col min="8190" max="8190" width="12.5703125" style="68" customWidth="1"/>
    <col min="8191" max="8191" width="13.5703125" style="68" customWidth="1"/>
    <col min="8192" max="8192" width="13" style="68" customWidth="1"/>
    <col min="8193" max="8431" width="9.140625" style="68"/>
    <col min="8432" max="8432" width="3.7109375" style="68" customWidth="1"/>
    <col min="8433" max="8433" width="4" style="68" bestFit="1" customWidth="1"/>
    <col min="8434" max="8434" width="14.5703125" style="68" customWidth="1"/>
    <col min="8435" max="8435" width="11.140625" style="68" customWidth="1"/>
    <col min="8436" max="8436" width="8.7109375" style="68" customWidth="1"/>
    <col min="8437" max="8437" width="9.7109375" style="68" bestFit="1" customWidth="1"/>
    <col min="8438" max="8438" width="10.85546875" style="68" customWidth="1"/>
    <col min="8439" max="8439" width="10.42578125" style="68" customWidth="1"/>
    <col min="8440" max="8440" width="9.7109375" style="68" bestFit="1" customWidth="1"/>
    <col min="8441" max="8443" width="9.28515625" style="68" bestFit="1" customWidth="1"/>
    <col min="8444" max="8444" width="10.7109375" style="68" bestFit="1" customWidth="1"/>
    <col min="8445" max="8445" width="11.28515625" style="68" customWidth="1"/>
    <col min="8446" max="8446" width="12.5703125" style="68" customWidth="1"/>
    <col min="8447" max="8447" width="13.5703125" style="68" customWidth="1"/>
    <col min="8448" max="8448" width="13" style="68" customWidth="1"/>
    <col min="8449" max="8687" width="9.140625" style="68"/>
    <col min="8688" max="8688" width="3.7109375" style="68" customWidth="1"/>
    <col min="8689" max="8689" width="4" style="68" bestFit="1" customWidth="1"/>
    <col min="8690" max="8690" width="14.5703125" style="68" customWidth="1"/>
    <col min="8691" max="8691" width="11.140625" style="68" customWidth="1"/>
    <col min="8692" max="8692" width="8.7109375" style="68" customWidth="1"/>
    <col min="8693" max="8693" width="9.7109375" style="68" bestFit="1" customWidth="1"/>
    <col min="8694" max="8694" width="10.85546875" style="68" customWidth="1"/>
    <col min="8695" max="8695" width="10.42578125" style="68" customWidth="1"/>
    <col min="8696" max="8696" width="9.7109375" style="68" bestFit="1" customWidth="1"/>
    <col min="8697" max="8699" width="9.28515625" style="68" bestFit="1" customWidth="1"/>
    <col min="8700" max="8700" width="10.7109375" style="68" bestFit="1" customWidth="1"/>
    <col min="8701" max="8701" width="11.28515625" style="68" customWidth="1"/>
    <col min="8702" max="8702" width="12.5703125" style="68" customWidth="1"/>
    <col min="8703" max="8703" width="13.5703125" style="68" customWidth="1"/>
    <col min="8704" max="8704" width="13" style="68" customWidth="1"/>
    <col min="8705" max="8943" width="9.140625" style="68"/>
    <col min="8944" max="8944" width="3.7109375" style="68" customWidth="1"/>
    <col min="8945" max="8945" width="4" style="68" bestFit="1" customWidth="1"/>
    <col min="8946" max="8946" width="14.5703125" style="68" customWidth="1"/>
    <col min="8947" max="8947" width="11.140625" style="68" customWidth="1"/>
    <col min="8948" max="8948" width="8.7109375" style="68" customWidth="1"/>
    <col min="8949" max="8949" width="9.7109375" style="68" bestFit="1" customWidth="1"/>
    <col min="8950" max="8950" width="10.85546875" style="68" customWidth="1"/>
    <col min="8951" max="8951" width="10.42578125" style="68" customWidth="1"/>
    <col min="8952" max="8952" width="9.7109375" style="68" bestFit="1" customWidth="1"/>
    <col min="8953" max="8955" width="9.28515625" style="68" bestFit="1" customWidth="1"/>
    <col min="8956" max="8956" width="10.7109375" style="68" bestFit="1" customWidth="1"/>
    <col min="8957" max="8957" width="11.28515625" style="68" customWidth="1"/>
    <col min="8958" max="8958" width="12.5703125" style="68" customWidth="1"/>
    <col min="8959" max="8959" width="13.5703125" style="68" customWidth="1"/>
    <col min="8960" max="8960" width="13" style="68" customWidth="1"/>
    <col min="8961" max="9199" width="9.140625" style="68"/>
    <col min="9200" max="9200" width="3.7109375" style="68" customWidth="1"/>
    <col min="9201" max="9201" width="4" style="68" bestFit="1" customWidth="1"/>
    <col min="9202" max="9202" width="14.5703125" style="68" customWidth="1"/>
    <col min="9203" max="9203" width="11.140625" style="68" customWidth="1"/>
    <col min="9204" max="9204" width="8.7109375" style="68" customWidth="1"/>
    <col min="9205" max="9205" width="9.7109375" style="68" bestFit="1" customWidth="1"/>
    <col min="9206" max="9206" width="10.85546875" style="68" customWidth="1"/>
    <col min="9207" max="9207" width="10.42578125" style="68" customWidth="1"/>
    <col min="9208" max="9208" width="9.7109375" style="68" bestFit="1" customWidth="1"/>
    <col min="9209" max="9211" width="9.28515625" style="68" bestFit="1" customWidth="1"/>
    <col min="9212" max="9212" width="10.7109375" style="68" bestFit="1" customWidth="1"/>
    <col min="9213" max="9213" width="11.28515625" style="68" customWidth="1"/>
    <col min="9214" max="9214" width="12.5703125" style="68" customWidth="1"/>
    <col min="9215" max="9215" width="13.5703125" style="68" customWidth="1"/>
    <col min="9216" max="9216" width="13" style="68" customWidth="1"/>
    <col min="9217" max="9455" width="9.140625" style="68"/>
    <col min="9456" max="9456" width="3.7109375" style="68" customWidth="1"/>
    <col min="9457" max="9457" width="4" style="68" bestFit="1" customWidth="1"/>
    <col min="9458" max="9458" width="14.5703125" style="68" customWidth="1"/>
    <col min="9459" max="9459" width="11.140625" style="68" customWidth="1"/>
    <col min="9460" max="9460" width="8.7109375" style="68" customWidth="1"/>
    <col min="9461" max="9461" width="9.7109375" style="68" bestFit="1" customWidth="1"/>
    <col min="9462" max="9462" width="10.85546875" style="68" customWidth="1"/>
    <col min="9463" max="9463" width="10.42578125" style="68" customWidth="1"/>
    <col min="9464" max="9464" width="9.7109375" style="68" bestFit="1" customWidth="1"/>
    <col min="9465" max="9467" width="9.28515625" style="68" bestFit="1" customWidth="1"/>
    <col min="9468" max="9468" width="10.7109375" style="68" bestFit="1" customWidth="1"/>
    <col min="9469" max="9469" width="11.28515625" style="68" customWidth="1"/>
    <col min="9470" max="9470" width="12.5703125" style="68" customWidth="1"/>
    <col min="9471" max="9471" width="13.5703125" style="68" customWidth="1"/>
    <col min="9472" max="9472" width="13" style="68" customWidth="1"/>
    <col min="9473" max="9711" width="9.140625" style="68"/>
    <col min="9712" max="9712" width="3.7109375" style="68" customWidth="1"/>
    <col min="9713" max="9713" width="4" style="68" bestFit="1" customWidth="1"/>
    <col min="9714" max="9714" width="14.5703125" style="68" customWidth="1"/>
    <col min="9715" max="9715" width="11.140625" style="68" customWidth="1"/>
    <col min="9716" max="9716" width="8.7109375" style="68" customWidth="1"/>
    <col min="9717" max="9717" width="9.7109375" style="68" bestFit="1" customWidth="1"/>
    <col min="9718" max="9718" width="10.85546875" style="68" customWidth="1"/>
    <col min="9719" max="9719" width="10.42578125" style="68" customWidth="1"/>
    <col min="9720" max="9720" width="9.7109375" style="68" bestFit="1" customWidth="1"/>
    <col min="9721" max="9723" width="9.28515625" style="68" bestFit="1" customWidth="1"/>
    <col min="9724" max="9724" width="10.7109375" style="68" bestFit="1" customWidth="1"/>
    <col min="9725" max="9725" width="11.28515625" style="68" customWidth="1"/>
    <col min="9726" max="9726" width="12.5703125" style="68" customWidth="1"/>
    <col min="9727" max="9727" width="13.5703125" style="68" customWidth="1"/>
    <col min="9728" max="9728" width="13" style="68" customWidth="1"/>
    <col min="9729" max="9967" width="9.140625" style="68"/>
    <col min="9968" max="9968" width="3.7109375" style="68" customWidth="1"/>
    <col min="9969" max="9969" width="4" style="68" bestFit="1" customWidth="1"/>
    <col min="9970" max="9970" width="14.5703125" style="68" customWidth="1"/>
    <col min="9971" max="9971" width="11.140625" style="68" customWidth="1"/>
    <col min="9972" max="9972" width="8.7109375" style="68" customWidth="1"/>
    <col min="9973" max="9973" width="9.7109375" style="68" bestFit="1" customWidth="1"/>
    <col min="9974" max="9974" width="10.85546875" style="68" customWidth="1"/>
    <col min="9975" max="9975" width="10.42578125" style="68" customWidth="1"/>
    <col min="9976" max="9976" width="9.7109375" style="68" bestFit="1" customWidth="1"/>
    <col min="9977" max="9979" width="9.28515625" style="68" bestFit="1" customWidth="1"/>
    <col min="9980" max="9980" width="10.7109375" style="68" bestFit="1" customWidth="1"/>
    <col min="9981" max="9981" width="11.28515625" style="68" customWidth="1"/>
    <col min="9982" max="9982" width="12.5703125" style="68" customWidth="1"/>
    <col min="9983" max="9983" width="13.5703125" style="68" customWidth="1"/>
    <col min="9984" max="9984" width="13" style="68" customWidth="1"/>
    <col min="9985" max="10223" width="9.140625" style="68"/>
    <col min="10224" max="10224" width="3.7109375" style="68" customWidth="1"/>
    <col min="10225" max="10225" width="4" style="68" bestFit="1" customWidth="1"/>
    <col min="10226" max="10226" width="14.5703125" style="68" customWidth="1"/>
    <col min="10227" max="10227" width="11.140625" style="68" customWidth="1"/>
    <col min="10228" max="10228" width="8.7109375" style="68" customWidth="1"/>
    <col min="10229" max="10229" width="9.7109375" style="68" bestFit="1" customWidth="1"/>
    <col min="10230" max="10230" width="10.85546875" style="68" customWidth="1"/>
    <col min="10231" max="10231" width="10.42578125" style="68" customWidth="1"/>
    <col min="10232" max="10232" width="9.7109375" style="68" bestFit="1" customWidth="1"/>
    <col min="10233" max="10235" width="9.28515625" style="68" bestFit="1" customWidth="1"/>
    <col min="10236" max="10236" width="10.7109375" style="68" bestFit="1" customWidth="1"/>
    <col min="10237" max="10237" width="11.28515625" style="68" customWidth="1"/>
    <col min="10238" max="10238" width="12.5703125" style="68" customWidth="1"/>
    <col min="10239" max="10239" width="13.5703125" style="68" customWidth="1"/>
    <col min="10240" max="10240" width="13" style="68" customWidth="1"/>
    <col min="10241" max="10479" width="9.140625" style="68"/>
    <col min="10480" max="10480" width="3.7109375" style="68" customWidth="1"/>
    <col min="10481" max="10481" width="4" style="68" bestFit="1" customWidth="1"/>
    <col min="10482" max="10482" width="14.5703125" style="68" customWidth="1"/>
    <col min="10483" max="10483" width="11.140625" style="68" customWidth="1"/>
    <col min="10484" max="10484" width="8.7109375" style="68" customWidth="1"/>
    <col min="10485" max="10485" width="9.7109375" style="68" bestFit="1" customWidth="1"/>
    <col min="10486" max="10486" width="10.85546875" style="68" customWidth="1"/>
    <col min="10487" max="10487" width="10.42578125" style="68" customWidth="1"/>
    <col min="10488" max="10488" width="9.7109375" style="68" bestFit="1" customWidth="1"/>
    <col min="10489" max="10491" width="9.28515625" style="68" bestFit="1" customWidth="1"/>
    <col min="10492" max="10492" width="10.7109375" style="68" bestFit="1" customWidth="1"/>
    <col min="10493" max="10493" width="11.28515625" style="68" customWidth="1"/>
    <col min="10494" max="10494" width="12.5703125" style="68" customWidth="1"/>
    <col min="10495" max="10495" width="13.5703125" style="68" customWidth="1"/>
    <col min="10496" max="10496" width="13" style="68" customWidth="1"/>
    <col min="10497" max="10735" width="9.140625" style="68"/>
    <col min="10736" max="10736" width="3.7109375" style="68" customWidth="1"/>
    <col min="10737" max="10737" width="4" style="68" bestFit="1" customWidth="1"/>
    <col min="10738" max="10738" width="14.5703125" style="68" customWidth="1"/>
    <col min="10739" max="10739" width="11.140625" style="68" customWidth="1"/>
    <col min="10740" max="10740" width="8.7109375" style="68" customWidth="1"/>
    <col min="10741" max="10741" width="9.7109375" style="68" bestFit="1" customWidth="1"/>
    <col min="10742" max="10742" width="10.85546875" style="68" customWidth="1"/>
    <col min="10743" max="10743" width="10.42578125" style="68" customWidth="1"/>
    <col min="10744" max="10744" width="9.7109375" style="68" bestFit="1" customWidth="1"/>
    <col min="10745" max="10747" width="9.28515625" style="68" bestFit="1" customWidth="1"/>
    <col min="10748" max="10748" width="10.7109375" style="68" bestFit="1" customWidth="1"/>
    <col min="10749" max="10749" width="11.28515625" style="68" customWidth="1"/>
    <col min="10750" max="10750" width="12.5703125" style="68" customWidth="1"/>
    <col min="10751" max="10751" width="13.5703125" style="68" customWidth="1"/>
    <col min="10752" max="10752" width="13" style="68" customWidth="1"/>
    <col min="10753" max="10991" width="9.140625" style="68"/>
    <col min="10992" max="10992" width="3.7109375" style="68" customWidth="1"/>
    <col min="10993" max="10993" width="4" style="68" bestFit="1" customWidth="1"/>
    <col min="10994" max="10994" width="14.5703125" style="68" customWidth="1"/>
    <col min="10995" max="10995" width="11.140625" style="68" customWidth="1"/>
    <col min="10996" max="10996" width="8.7109375" style="68" customWidth="1"/>
    <col min="10997" max="10997" width="9.7109375" style="68" bestFit="1" customWidth="1"/>
    <col min="10998" max="10998" width="10.85546875" style="68" customWidth="1"/>
    <col min="10999" max="10999" width="10.42578125" style="68" customWidth="1"/>
    <col min="11000" max="11000" width="9.7109375" style="68" bestFit="1" customWidth="1"/>
    <col min="11001" max="11003" width="9.28515625" style="68" bestFit="1" customWidth="1"/>
    <col min="11004" max="11004" width="10.7109375" style="68" bestFit="1" customWidth="1"/>
    <col min="11005" max="11005" width="11.28515625" style="68" customWidth="1"/>
    <col min="11006" max="11006" width="12.5703125" style="68" customWidth="1"/>
    <col min="11007" max="11007" width="13.5703125" style="68" customWidth="1"/>
    <col min="11008" max="11008" width="13" style="68" customWidth="1"/>
    <col min="11009" max="11247" width="9.140625" style="68"/>
    <col min="11248" max="11248" width="3.7109375" style="68" customWidth="1"/>
    <col min="11249" max="11249" width="4" style="68" bestFit="1" customWidth="1"/>
    <col min="11250" max="11250" width="14.5703125" style="68" customWidth="1"/>
    <col min="11251" max="11251" width="11.140625" style="68" customWidth="1"/>
    <col min="11252" max="11252" width="8.7109375" style="68" customWidth="1"/>
    <col min="11253" max="11253" width="9.7109375" style="68" bestFit="1" customWidth="1"/>
    <col min="11254" max="11254" width="10.85546875" style="68" customWidth="1"/>
    <col min="11255" max="11255" width="10.42578125" style="68" customWidth="1"/>
    <col min="11256" max="11256" width="9.7109375" style="68" bestFit="1" customWidth="1"/>
    <col min="11257" max="11259" width="9.28515625" style="68" bestFit="1" customWidth="1"/>
    <col min="11260" max="11260" width="10.7109375" style="68" bestFit="1" customWidth="1"/>
    <col min="11261" max="11261" width="11.28515625" style="68" customWidth="1"/>
    <col min="11262" max="11262" width="12.5703125" style="68" customWidth="1"/>
    <col min="11263" max="11263" width="13.5703125" style="68" customWidth="1"/>
    <col min="11264" max="11264" width="13" style="68" customWidth="1"/>
    <col min="11265" max="11503" width="9.140625" style="68"/>
    <col min="11504" max="11504" width="3.7109375" style="68" customWidth="1"/>
    <col min="11505" max="11505" width="4" style="68" bestFit="1" customWidth="1"/>
    <col min="11506" max="11506" width="14.5703125" style="68" customWidth="1"/>
    <col min="11507" max="11507" width="11.140625" style="68" customWidth="1"/>
    <col min="11508" max="11508" width="8.7109375" style="68" customWidth="1"/>
    <col min="11509" max="11509" width="9.7109375" style="68" bestFit="1" customWidth="1"/>
    <col min="11510" max="11510" width="10.85546875" style="68" customWidth="1"/>
    <col min="11511" max="11511" width="10.42578125" style="68" customWidth="1"/>
    <col min="11512" max="11512" width="9.7109375" style="68" bestFit="1" customWidth="1"/>
    <col min="11513" max="11515" width="9.28515625" style="68" bestFit="1" customWidth="1"/>
    <col min="11516" max="11516" width="10.7109375" style="68" bestFit="1" customWidth="1"/>
    <col min="11517" max="11517" width="11.28515625" style="68" customWidth="1"/>
    <col min="11518" max="11518" width="12.5703125" style="68" customWidth="1"/>
    <col min="11519" max="11519" width="13.5703125" style="68" customWidth="1"/>
    <col min="11520" max="11520" width="13" style="68" customWidth="1"/>
    <col min="11521" max="11759" width="9.140625" style="68"/>
    <col min="11760" max="11760" width="3.7109375" style="68" customWidth="1"/>
    <col min="11761" max="11761" width="4" style="68" bestFit="1" customWidth="1"/>
    <col min="11762" max="11762" width="14.5703125" style="68" customWidth="1"/>
    <col min="11763" max="11763" width="11.140625" style="68" customWidth="1"/>
    <col min="11764" max="11764" width="8.7109375" style="68" customWidth="1"/>
    <col min="11765" max="11765" width="9.7109375" style="68" bestFit="1" customWidth="1"/>
    <col min="11766" max="11766" width="10.85546875" style="68" customWidth="1"/>
    <col min="11767" max="11767" width="10.42578125" style="68" customWidth="1"/>
    <col min="11768" max="11768" width="9.7109375" style="68" bestFit="1" customWidth="1"/>
    <col min="11769" max="11771" width="9.28515625" style="68" bestFit="1" customWidth="1"/>
    <col min="11772" max="11772" width="10.7109375" style="68" bestFit="1" customWidth="1"/>
    <col min="11773" max="11773" width="11.28515625" style="68" customWidth="1"/>
    <col min="11774" max="11774" width="12.5703125" style="68" customWidth="1"/>
    <col min="11775" max="11775" width="13.5703125" style="68" customWidth="1"/>
    <col min="11776" max="11776" width="13" style="68" customWidth="1"/>
    <col min="11777" max="12015" width="9.140625" style="68"/>
    <col min="12016" max="12016" width="3.7109375" style="68" customWidth="1"/>
    <col min="12017" max="12017" width="4" style="68" bestFit="1" customWidth="1"/>
    <col min="12018" max="12018" width="14.5703125" style="68" customWidth="1"/>
    <col min="12019" max="12019" width="11.140625" style="68" customWidth="1"/>
    <col min="12020" max="12020" width="8.7109375" style="68" customWidth="1"/>
    <col min="12021" max="12021" width="9.7109375" style="68" bestFit="1" customWidth="1"/>
    <col min="12022" max="12022" width="10.85546875" style="68" customWidth="1"/>
    <col min="12023" max="12023" width="10.42578125" style="68" customWidth="1"/>
    <col min="12024" max="12024" width="9.7109375" style="68" bestFit="1" customWidth="1"/>
    <col min="12025" max="12027" width="9.28515625" style="68" bestFit="1" customWidth="1"/>
    <col min="12028" max="12028" width="10.7109375" style="68" bestFit="1" customWidth="1"/>
    <col min="12029" max="12029" width="11.28515625" style="68" customWidth="1"/>
    <col min="12030" max="12030" width="12.5703125" style="68" customWidth="1"/>
    <col min="12031" max="12031" width="13.5703125" style="68" customWidth="1"/>
    <col min="12032" max="12032" width="13" style="68" customWidth="1"/>
    <col min="12033" max="12271" width="9.140625" style="68"/>
    <col min="12272" max="12272" width="3.7109375" style="68" customWidth="1"/>
    <col min="12273" max="12273" width="4" style="68" bestFit="1" customWidth="1"/>
    <col min="12274" max="12274" width="14.5703125" style="68" customWidth="1"/>
    <col min="12275" max="12275" width="11.140625" style="68" customWidth="1"/>
    <col min="12276" max="12276" width="8.7109375" style="68" customWidth="1"/>
    <col min="12277" max="12277" width="9.7109375" style="68" bestFit="1" customWidth="1"/>
    <col min="12278" max="12278" width="10.85546875" style="68" customWidth="1"/>
    <col min="12279" max="12279" width="10.42578125" style="68" customWidth="1"/>
    <col min="12280" max="12280" width="9.7109375" style="68" bestFit="1" customWidth="1"/>
    <col min="12281" max="12283" width="9.28515625" style="68" bestFit="1" customWidth="1"/>
    <col min="12284" max="12284" width="10.7109375" style="68" bestFit="1" customWidth="1"/>
    <col min="12285" max="12285" width="11.28515625" style="68" customWidth="1"/>
    <col min="12286" max="12286" width="12.5703125" style="68" customWidth="1"/>
    <col min="12287" max="12287" width="13.5703125" style="68" customWidth="1"/>
    <col min="12288" max="12288" width="13" style="68" customWidth="1"/>
    <col min="12289" max="12527" width="9.140625" style="68"/>
    <col min="12528" max="12528" width="3.7109375" style="68" customWidth="1"/>
    <col min="12529" max="12529" width="4" style="68" bestFit="1" customWidth="1"/>
    <col min="12530" max="12530" width="14.5703125" style="68" customWidth="1"/>
    <col min="12531" max="12531" width="11.140625" style="68" customWidth="1"/>
    <col min="12532" max="12532" width="8.7109375" style="68" customWidth="1"/>
    <col min="12533" max="12533" width="9.7109375" style="68" bestFit="1" customWidth="1"/>
    <col min="12534" max="12534" width="10.85546875" style="68" customWidth="1"/>
    <col min="12535" max="12535" width="10.42578125" style="68" customWidth="1"/>
    <col min="12536" max="12536" width="9.7109375" style="68" bestFit="1" customWidth="1"/>
    <col min="12537" max="12539" width="9.28515625" style="68" bestFit="1" customWidth="1"/>
    <col min="12540" max="12540" width="10.7109375" style="68" bestFit="1" customWidth="1"/>
    <col min="12541" max="12541" width="11.28515625" style="68" customWidth="1"/>
    <col min="12542" max="12542" width="12.5703125" style="68" customWidth="1"/>
    <col min="12543" max="12543" width="13.5703125" style="68" customWidth="1"/>
    <col min="12544" max="12544" width="13" style="68" customWidth="1"/>
    <col min="12545" max="12783" width="9.140625" style="68"/>
    <col min="12784" max="12784" width="3.7109375" style="68" customWidth="1"/>
    <col min="12785" max="12785" width="4" style="68" bestFit="1" customWidth="1"/>
    <col min="12786" max="12786" width="14.5703125" style="68" customWidth="1"/>
    <col min="12787" max="12787" width="11.140625" style="68" customWidth="1"/>
    <col min="12788" max="12788" width="8.7109375" style="68" customWidth="1"/>
    <col min="12789" max="12789" width="9.7109375" style="68" bestFit="1" customWidth="1"/>
    <col min="12790" max="12790" width="10.85546875" style="68" customWidth="1"/>
    <col min="12791" max="12791" width="10.42578125" style="68" customWidth="1"/>
    <col min="12792" max="12792" width="9.7109375" style="68" bestFit="1" customWidth="1"/>
    <col min="12793" max="12795" width="9.28515625" style="68" bestFit="1" customWidth="1"/>
    <col min="12796" max="12796" width="10.7109375" style="68" bestFit="1" customWidth="1"/>
    <col min="12797" max="12797" width="11.28515625" style="68" customWidth="1"/>
    <col min="12798" max="12798" width="12.5703125" style="68" customWidth="1"/>
    <col min="12799" max="12799" width="13.5703125" style="68" customWidth="1"/>
    <col min="12800" max="12800" width="13" style="68" customWidth="1"/>
    <col min="12801" max="13039" width="9.140625" style="68"/>
    <col min="13040" max="13040" width="3.7109375" style="68" customWidth="1"/>
    <col min="13041" max="13041" width="4" style="68" bestFit="1" customWidth="1"/>
    <col min="13042" max="13042" width="14.5703125" style="68" customWidth="1"/>
    <col min="13043" max="13043" width="11.140625" style="68" customWidth="1"/>
    <col min="13044" max="13044" width="8.7109375" style="68" customWidth="1"/>
    <col min="13045" max="13045" width="9.7109375" style="68" bestFit="1" customWidth="1"/>
    <col min="13046" max="13046" width="10.85546875" style="68" customWidth="1"/>
    <col min="13047" max="13047" width="10.42578125" style="68" customWidth="1"/>
    <col min="13048" max="13048" width="9.7109375" style="68" bestFit="1" customWidth="1"/>
    <col min="13049" max="13051" width="9.28515625" style="68" bestFit="1" customWidth="1"/>
    <col min="13052" max="13052" width="10.7109375" style="68" bestFit="1" customWidth="1"/>
    <col min="13053" max="13053" width="11.28515625" style="68" customWidth="1"/>
    <col min="13054" max="13054" width="12.5703125" style="68" customWidth="1"/>
    <col min="13055" max="13055" width="13.5703125" style="68" customWidth="1"/>
    <col min="13056" max="13056" width="13" style="68" customWidth="1"/>
    <col min="13057" max="13295" width="9.140625" style="68"/>
    <col min="13296" max="13296" width="3.7109375" style="68" customWidth="1"/>
    <col min="13297" max="13297" width="4" style="68" bestFit="1" customWidth="1"/>
    <col min="13298" max="13298" width="14.5703125" style="68" customWidth="1"/>
    <col min="13299" max="13299" width="11.140625" style="68" customWidth="1"/>
    <col min="13300" max="13300" width="8.7109375" style="68" customWidth="1"/>
    <col min="13301" max="13301" width="9.7109375" style="68" bestFit="1" customWidth="1"/>
    <col min="13302" max="13302" width="10.85546875" style="68" customWidth="1"/>
    <col min="13303" max="13303" width="10.42578125" style="68" customWidth="1"/>
    <col min="13304" max="13304" width="9.7109375" style="68" bestFit="1" customWidth="1"/>
    <col min="13305" max="13307" width="9.28515625" style="68" bestFit="1" customWidth="1"/>
    <col min="13308" max="13308" width="10.7109375" style="68" bestFit="1" customWidth="1"/>
    <col min="13309" max="13309" width="11.28515625" style="68" customWidth="1"/>
    <col min="13310" max="13310" width="12.5703125" style="68" customWidth="1"/>
    <col min="13311" max="13311" width="13.5703125" style="68" customWidth="1"/>
    <col min="13312" max="13312" width="13" style="68" customWidth="1"/>
    <col min="13313" max="13551" width="9.140625" style="68"/>
    <col min="13552" max="13552" width="3.7109375" style="68" customWidth="1"/>
    <col min="13553" max="13553" width="4" style="68" bestFit="1" customWidth="1"/>
    <col min="13554" max="13554" width="14.5703125" style="68" customWidth="1"/>
    <col min="13555" max="13555" width="11.140625" style="68" customWidth="1"/>
    <col min="13556" max="13556" width="8.7109375" style="68" customWidth="1"/>
    <col min="13557" max="13557" width="9.7109375" style="68" bestFit="1" customWidth="1"/>
    <col min="13558" max="13558" width="10.85546875" style="68" customWidth="1"/>
    <col min="13559" max="13559" width="10.42578125" style="68" customWidth="1"/>
    <col min="13560" max="13560" width="9.7109375" style="68" bestFit="1" customWidth="1"/>
    <col min="13561" max="13563" width="9.28515625" style="68" bestFit="1" customWidth="1"/>
    <col min="13564" max="13564" width="10.7109375" style="68" bestFit="1" customWidth="1"/>
    <col min="13565" max="13565" width="11.28515625" style="68" customWidth="1"/>
    <col min="13566" max="13566" width="12.5703125" style="68" customWidth="1"/>
    <col min="13567" max="13567" width="13.5703125" style="68" customWidth="1"/>
    <col min="13568" max="13568" width="13" style="68" customWidth="1"/>
    <col min="13569" max="13807" width="9.140625" style="68"/>
    <col min="13808" max="13808" width="3.7109375" style="68" customWidth="1"/>
    <col min="13809" max="13809" width="4" style="68" bestFit="1" customWidth="1"/>
    <col min="13810" max="13810" width="14.5703125" style="68" customWidth="1"/>
    <col min="13811" max="13811" width="11.140625" style="68" customWidth="1"/>
    <col min="13812" max="13812" width="8.7109375" style="68" customWidth="1"/>
    <col min="13813" max="13813" width="9.7109375" style="68" bestFit="1" customWidth="1"/>
    <col min="13814" max="13814" width="10.85546875" style="68" customWidth="1"/>
    <col min="13815" max="13815" width="10.42578125" style="68" customWidth="1"/>
    <col min="13816" max="13816" width="9.7109375" style="68" bestFit="1" customWidth="1"/>
    <col min="13817" max="13819" width="9.28515625" style="68" bestFit="1" customWidth="1"/>
    <col min="13820" max="13820" width="10.7109375" style="68" bestFit="1" customWidth="1"/>
    <col min="13821" max="13821" width="11.28515625" style="68" customWidth="1"/>
    <col min="13822" max="13822" width="12.5703125" style="68" customWidth="1"/>
    <col min="13823" max="13823" width="13.5703125" style="68" customWidth="1"/>
    <col min="13824" max="13824" width="13" style="68" customWidth="1"/>
    <col min="13825" max="14063" width="9.140625" style="68"/>
    <col min="14064" max="14064" width="3.7109375" style="68" customWidth="1"/>
    <col min="14065" max="14065" width="4" style="68" bestFit="1" customWidth="1"/>
    <col min="14066" max="14066" width="14.5703125" style="68" customWidth="1"/>
    <col min="14067" max="14067" width="11.140625" style="68" customWidth="1"/>
    <col min="14068" max="14068" width="8.7109375" style="68" customWidth="1"/>
    <col min="14069" max="14069" width="9.7109375" style="68" bestFit="1" customWidth="1"/>
    <col min="14070" max="14070" width="10.85546875" style="68" customWidth="1"/>
    <col min="14071" max="14071" width="10.42578125" style="68" customWidth="1"/>
    <col min="14072" max="14072" width="9.7109375" style="68" bestFit="1" customWidth="1"/>
    <col min="14073" max="14075" width="9.28515625" style="68" bestFit="1" customWidth="1"/>
    <col min="14076" max="14076" width="10.7109375" style="68" bestFit="1" customWidth="1"/>
    <col min="14077" max="14077" width="11.28515625" style="68" customWidth="1"/>
    <col min="14078" max="14078" width="12.5703125" style="68" customWidth="1"/>
    <col min="14079" max="14079" width="13.5703125" style="68" customWidth="1"/>
    <col min="14080" max="14080" width="13" style="68" customWidth="1"/>
    <col min="14081" max="14319" width="9.140625" style="68"/>
    <col min="14320" max="14320" width="3.7109375" style="68" customWidth="1"/>
    <col min="14321" max="14321" width="4" style="68" bestFit="1" customWidth="1"/>
    <col min="14322" max="14322" width="14.5703125" style="68" customWidth="1"/>
    <col min="14323" max="14323" width="11.140625" style="68" customWidth="1"/>
    <col min="14324" max="14324" width="8.7109375" style="68" customWidth="1"/>
    <col min="14325" max="14325" width="9.7109375" style="68" bestFit="1" customWidth="1"/>
    <col min="14326" max="14326" width="10.85546875" style="68" customWidth="1"/>
    <col min="14327" max="14327" width="10.42578125" style="68" customWidth="1"/>
    <col min="14328" max="14328" width="9.7109375" style="68" bestFit="1" customWidth="1"/>
    <col min="14329" max="14331" width="9.28515625" style="68" bestFit="1" customWidth="1"/>
    <col min="14332" max="14332" width="10.7109375" style="68" bestFit="1" customWidth="1"/>
    <col min="14333" max="14333" width="11.28515625" style="68" customWidth="1"/>
    <col min="14334" max="14334" width="12.5703125" style="68" customWidth="1"/>
    <col min="14335" max="14335" width="13.5703125" style="68" customWidth="1"/>
    <col min="14336" max="14336" width="13" style="68" customWidth="1"/>
    <col min="14337" max="14575" width="9.140625" style="68"/>
    <col min="14576" max="14576" width="3.7109375" style="68" customWidth="1"/>
    <col min="14577" max="14577" width="4" style="68" bestFit="1" customWidth="1"/>
    <col min="14578" max="14578" width="14.5703125" style="68" customWidth="1"/>
    <col min="14579" max="14579" width="11.140625" style="68" customWidth="1"/>
    <col min="14580" max="14580" width="8.7109375" style="68" customWidth="1"/>
    <col min="14581" max="14581" width="9.7109375" style="68" bestFit="1" customWidth="1"/>
    <col min="14582" max="14582" width="10.85546875" style="68" customWidth="1"/>
    <col min="14583" max="14583" width="10.42578125" style="68" customWidth="1"/>
    <col min="14584" max="14584" width="9.7109375" style="68" bestFit="1" customWidth="1"/>
    <col min="14585" max="14587" width="9.28515625" style="68" bestFit="1" customWidth="1"/>
    <col min="14588" max="14588" width="10.7109375" style="68" bestFit="1" customWidth="1"/>
    <col min="14589" max="14589" width="11.28515625" style="68" customWidth="1"/>
    <col min="14590" max="14590" width="12.5703125" style="68" customWidth="1"/>
    <col min="14591" max="14591" width="13.5703125" style="68" customWidth="1"/>
    <col min="14592" max="14592" width="13" style="68" customWidth="1"/>
    <col min="14593" max="14831" width="9.140625" style="68"/>
    <col min="14832" max="14832" width="3.7109375" style="68" customWidth="1"/>
    <col min="14833" max="14833" width="4" style="68" bestFit="1" customWidth="1"/>
    <col min="14834" max="14834" width="14.5703125" style="68" customWidth="1"/>
    <col min="14835" max="14835" width="11.140625" style="68" customWidth="1"/>
    <col min="14836" max="14836" width="8.7109375" style="68" customWidth="1"/>
    <col min="14837" max="14837" width="9.7109375" style="68" bestFit="1" customWidth="1"/>
    <col min="14838" max="14838" width="10.85546875" style="68" customWidth="1"/>
    <col min="14839" max="14839" width="10.42578125" style="68" customWidth="1"/>
    <col min="14840" max="14840" width="9.7109375" style="68" bestFit="1" customWidth="1"/>
    <col min="14841" max="14843" width="9.28515625" style="68" bestFit="1" customWidth="1"/>
    <col min="14844" max="14844" width="10.7109375" style="68" bestFit="1" customWidth="1"/>
    <col min="14845" max="14845" width="11.28515625" style="68" customWidth="1"/>
    <col min="14846" max="14846" width="12.5703125" style="68" customWidth="1"/>
    <col min="14847" max="14847" width="13.5703125" style="68" customWidth="1"/>
    <col min="14848" max="14848" width="13" style="68" customWidth="1"/>
    <col min="14849" max="15087" width="9.140625" style="68"/>
    <col min="15088" max="15088" width="3.7109375" style="68" customWidth="1"/>
    <col min="15089" max="15089" width="4" style="68" bestFit="1" customWidth="1"/>
    <col min="15090" max="15090" width="14.5703125" style="68" customWidth="1"/>
    <col min="15091" max="15091" width="11.140625" style="68" customWidth="1"/>
    <col min="15092" max="15092" width="8.7109375" style="68" customWidth="1"/>
    <col min="15093" max="15093" width="9.7109375" style="68" bestFit="1" customWidth="1"/>
    <col min="15094" max="15094" width="10.85546875" style="68" customWidth="1"/>
    <col min="15095" max="15095" width="10.42578125" style="68" customWidth="1"/>
    <col min="15096" max="15096" width="9.7109375" style="68" bestFit="1" customWidth="1"/>
    <col min="15097" max="15099" width="9.28515625" style="68" bestFit="1" customWidth="1"/>
    <col min="15100" max="15100" width="10.7109375" style="68" bestFit="1" customWidth="1"/>
    <col min="15101" max="15101" width="11.28515625" style="68" customWidth="1"/>
    <col min="15102" max="15102" width="12.5703125" style="68" customWidth="1"/>
    <col min="15103" max="15103" width="13.5703125" style="68" customWidth="1"/>
    <col min="15104" max="15104" width="13" style="68" customWidth="1"/>
    <col min="15105" max="15343" width="9.140625" style="68"/>
    <col min="15344" max="15344" width="3.7109375" style="68" customWidth="1"/>
    <col min="15345" max="15345" width="4" style="68" bestFit="1" customWidth="1"/>
    <col min="15346" max="15346" width="14.5703125" style="68" customWidth="1"/>
    <col min="15347" max="15347" width="11.140625" style="68" customWidth="1"/>
    <col min="15348" max="15348" width="8.7109375" style="68" customWidth="1"/>
    <col min="15349" max="15349" width="9.7109375" style="68" bestFit="1" customWidth="1"/>
    <col min="15350" max="15350" width="10.85546875" style="68" customWidth="1"/>
    <col min="15351" max="15351" width="10.42578125" style="68" customWidth="1"/>
    <col min="15352" max="15352" width="9.7109375" style="68" bestFit="1" customWidth="1"/>
    <col min="15353" max="15355" width="9.28515625" style="68" bestFit="1" customWidth="1"/>
    <col min="15356" max="15356" width="10.7109375" style="68" bestFit="1" customWidth="1"/>
    <col min="15357" max="15357" width="11.28515625" style="68" customWidth="1"/>
    <col min="15358" max="15358" width="12.5703125" style="68" customWidth="1"/>
    <col min="15359" max="15359" width="13.5703125" style="68" customWidth="1"/>
    <col min="15360" max="15360" width="13" style="68" customWidth="1"/>
    <col min="15361" max="15599" width="9.140625" style="68"/>
    <col min="15600" max="15600" width="3.7109375" style="68" customWidth="1"/>
    <col min="15601" max="15601" width="4" style="68" bestFit="1" customWidth="1"/>
    <col min="15602" max="15602" width="14.5703125" style="68" customWidth="1"/>
    <col min="15603" max="15603" width="11.140625" style="68" customWidth="1"/>
    <col min="15604" max="15604" width="8.7109375" style="68" customWidth="1"/>
    <col min="15605" max="15605" width="9.7109375" style="68" bestFit="1" customWidth="1"/>
    <col min="15606" max="15606" width="10.85546875" style="68" customWidth="1"/>
    <col min="15607" max="15607" width="10.42578125" style="68" customWidth="1"/>
    <col min="15608" max="15608" width="9.7109375" style="68" bestFit="1" customWidth="1"/>
    <col min="15609" max="15611" width="9.28515625" style="68" bestFit="1" customWidth="1"/>
    <col min="15612" max="15612" width="10.7109375" style="68" bestFit="1" customWidth="1"/>
    <col min="15613" max="15613" width="11.28515625" style="68" customWidth="1"/>
    <col min="15614" max="15614" width="12.5703125" style="68" customWidth="1"/>
    <col min="15615" max="15615" width="13.5703125" style="68" customWidth="1"/>
    <col min="15616" max="15616" width="13" style="68" customWidth="1"/>
    <col min="15617" max="15855" width="9.140625" style="68"/>
    <col min="15856" max="15856" width="3.7109375" style="68" customWidth="1"/>
    <col min="15857" max="15857" width="4" style="68" bestFit="1" customWidth="1"/>
    <col min="15858" max="15858" width="14.5703125" style="68" customWidth="1"/>
    <col min="15859" max="15859" width="11.140625" style="68" customWidth="1"/>
    <col min="15860" max="15860" width="8.7109375" style="68" customWidth="1"/>
    <col min="15861" max="15861" width="9.7109375" style="68" bestFit="1" customWidth="1"/>
    <col min="15862" max="15862" width="10.85546875" style="68" customWidth="1"/>
    <col min="15863" max="15863" width="10.42578125" style="68" customWidth="1"/>
    <col min="15864" max="15864" width="9.7109375" style="68" bestFit="1" customWidth="1"/>
    <col min="15865" max="15867" width="9.28515625" style="68" bestFit="1" customWidth="1"/>
    <col min="15868" max="15868" width="10.7109375" style="68" bestFit="1" customWidth="1"/>
    <col min="15869" max="15869" width="11.28515625" style="68" customWidth="1"/>
    <col min="15870" max="15870" width="12.5703125" style="68" customWidth="1"/>
    <col min="15871" max="15871" width="13.5703125" style="68" customWidth="1"/>
    <col min="15872" max="15872" width="13" style="68" customWidth="1"/>
    <col min="15873" max="16111" width="9.140625" style="68"/>
    <col min="16112" max="16112" width="3.7109375" style="68" customWidth="1"/>
    <col min="16113" max="16113" width="4" style="68" bestFit="1" customWidth="1"/>
    <col min="16114" max="16114" width="14.5703125" style="68" customWidth="1"/>
    <col min="16115" max="16115" width="11.140625" style="68" customWidth="1"/>
    <col min="16116" max="16116" width="8.7109375" style="68" customWidth="1"/>
    <col min="16117" max="16117" width="9.7109375" style="68" bestFit="1" customWidth="1"/>
    <col min="16118" max="16118" width="10.85546875" style="68" customWidth="1"/>
    <col min="16119" max="16119" width="10.42578125" style="68" customWidth="1"/>
    <col min="16120" max="16120" width="9.7109375" style="68" bestFit="1" customWidth="1"/>
    <col min="16121" max="16123" width="9.28515625" style="68" bestFit="1" customWidth="1"/>
    <col min="16124" max="16124" width="10.7109375" style="68" bestFit="1" customWidth="1"/>
    <col min="16125" max="16125" width="11.28515625" style="68" customWidth="1"/>
    <col min="16126" max="16126" width="12.5703125" style="68" customWidth="1"/>
    <col min="16127" max="16127" width="13.5703125" style="68" customWidth="1"/>
    <col min="16128" max="16128" width="13" style="68" customWidth="1"/>
    <col min="16129" max="16384" width="9.140625" style="68"/>
  </cols>
  <sheetData>
    <row r="2" spans="2:20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20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  <c r="S3" s="67"/>
    </row>
    <row r="4" spans="2:20" s="70" customFormat="1" ht="24.6" customHeight="1" thickBot="1" x14ac:dyDescent="0.3">
      <c r="B4" s="903" t="s">
        <v>228</v>
      </c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5"/>
      <c r="P4" s="136" t="s">
        <v>229</v>
      </c>
      <c r="Q4" s="154" t="s">
        <v>339</v>
      </c>
      <c r="R4" s="67"/>
    </row>
    <row r="5" spans="2:20" s="70" customFormat="1" x14ac:dyDescent="0.25">
      <c r="B5" s="71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 x14ac:dyDescent="0.25">
      <c r="B6" s="847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238</v>
      </c>
      <c r="N6" s="660" t="s">
        <v>239</v>
      </c>
      <c r="O6" s="662"/>
      <c r="P6" s="660" t="s">
        <v>240</v>
      </c>
      <c r="Q6" s="675"/>
    </row>
    <row r="7" spans="2:20" ht="15.75" thickBot="1" x14ac:dyDescent="0.3">
      <c r="B7" s="848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  <c r="T7" s="177"/>
    </row>
    <row r="8" spans="2:20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T8" s="177"/>
    </row>
    <row r="9" spans="2:20" x14ac:dyDescent="0.25">
      <c r="B9" s="89">
        <v>1</v>
      </c>
      <c r="C9" s="73" t="s">
        <v>244</v>
      </c>
      <c r="D9" s="73" t="s">
        <v>29</v>
      </c>
      <c r="E9" s="74">
        <f>'29'!L9</f>
        <v>15459.351704621598</v>
      </c>
      <c r="F9" s="74">
        <f>Production2!D32</f>
        <v>0</v>
      </c>
      <c r="G9" s="74">
        <f>F9+'29'!G9</f>
        <v>64985.700000000004</v>
      </c>
      <c r="H9" s="74">
        <f>F9+'29'!H9</f>
        <v>64985.700000000004</v>
      </c>
      <c r="I9" s="74">
        <f>Production2!E32</f>
        <v>2650</v>
      </c>
      <c r="J9" s="74">
        <f>I9+'29'!J9</f>
        <v>66887</v>
      </c>
      <c r="K9" s="74">
        <f>I9+'29'!K9</f>
        <v>66887</v>
      </c>
      <c r="L9" s="74">
        <f>E9+F9-I9-I21</f>
        <v>12571.751704621598</v>
      </c>
      <c r="M9" s="75">
        <f>I9</f>
        <v>2650</v>
      </c>
      <c r="N9" s="75">
        <f>(I9/I13)*100</f>
        <v>92.013888888888886</v>
      </c>
      <c r="O9" s="667"/>
      <c r="P9" s="289">
        <v>10</v>
      </c>
      <c r="Q9" s="263">
        <f>'Raw mill moisture content'!L35</f>
        <v>0.10000000000000006</v>
      </c>
      <c r="S9" s="176"/>
      <c r="T9" s="191"/>
    </row>
    <row r="10" spans="2:20" ht="13.9" customHeight="1" x14ac:dyDescent="0.25">
      <c r="B10" s="79">
        <v>2</v>
      </c>
      <c r="C10" s="668" t="s">
        <v>30</v>
      </c>
      <c r="D10" s="668"/>
      <c r="E10" s="77">
        <f>'Mines (2)'!L32</f>
        <v>1063.5</v>
      </c>
      <c r="F10" s="77">
        <f>'Mines (2)'!M32</f>
        <v>0</v>
      </c>
      <c r="G10" s="74">
        <f>F10+'29'!G10</f>
        <v>1351.4600000000003</v>
      </c>
      <c r="H10" s="74">
        <f>F10+'29'!H10</f>
        <v>1351.4600000000003</v>
      </c>
      <c r="I10" s="77">
        <f>'Mines (2)'!N32</f>
        <v>117</v>
      </c>
      <c r="J10" s="74">
        <f>I10+'29'!J10</f>
        <v>529</v>
      </c>
      <c r="K10" s="74">
        <f>I10+'29'!K10</f>
        <v>529</v>
      </c>
      <c r="L10" s="77">
        <f t="shared" ref="L10:L16" si="0">E10+F10-I10</f>
        <v>946.5</v>
      </c>
      <c r="M10" s="75">
        <f t="shared" ref="M10:M12" si="1">I10</f>
        <v>117</v>
      </c>
      <c r="N10" s="75">
        <f>(I10/I13)*100</f>
        <v>4.0625</v>
      </c>
      <c r="O10" s="667"/>
      <c r="P10" s="53">
        <v>10</v>
      </c>
      <c r="Q10" s="264">
        <f>'Raw mill moisture content'!M35</f>
        <v>9.9999999999999964E-2</v>
      </c>
      <c r="T10" s="191"/>
    </row>
    <row r="11" spans="2:20" x14ac:dyDescent="0.25">
      <c r="B11" s="79">
        <v>3</v>
      </c>
      <c r="C11" s="668" t="s">
        <v>32</v>
      </c>
      <c r="D11" s="668"/>
      <c r="E11" s="77">
        <f>Clinker!C32</f>
        <v>4019.4799999999996</v>
      </c>
      <c r="F11" s="77">
        <f>Clinker!D32</f>
        <v>36.86</v>
      </c>
      <c r="G11" s="74">
        <f>F11+'29'!G11</f>
        <v>69.7</v>
      </c>
      <c r="H11" s="74">
        <f>F11+'29'!H11</f>
        <v>69.7</v>
      </c>
      <c r="I11" s="77">
        <f>Clinker!E32</f>
        <v>58</v>
      </c>
      <c r="J11" s="74">
        <f>I11+'29'!J11</f>
        <v>1437</v>
      </c>
      <c r="K11" s="74">
        <f>I11+'29'!K11</f>
        <v>1437</v>
      </c>
      <c r="L11" s="77">
        <f t="shared" si="0"/>
        <v>3998.3399999999997</v>
      </c>
      <c r="M11" s="75">
        <f t="shared" si="1"/>
        <v>58</v>
      </c>
      <c r="N11" s="75">
        <f>(I11/I13)*100</f>
        <v>2.0138888888888888</v>
      </c>
      <c r="O11" s="667"/>
      <c r="P11" s="53">
        <v>7</v>
      </c>
      <c r="Q11" s="264">
        <f>'Raw mill moisture content'!N35</f>
        <v>6.9999999999999937E-2</v>
      </c>
      <c r="T11" s="191"/>
    </row>
    <row r="12" spans="2:20" ht="13.9" customHeight="1" x14ac:dyDescent="0.25">
      <c r="B12" s="79">
        <v>4</v>
      </c>
      <c r="C12" s="668" t="s">
        <v>245</v>
      </c>
      <c r="D12" s="668"/>
      <c r="E12" s="77">
        <f>'Mines (2)'!Q32</f>
        <v>246.03999999999996</v>
      </c>
      <c r="F12" s="77">
        <f>'Mines (2)'!R32</f>
        <v>0</v>
      </c>
      <c r="G12" s="621">
        <f>F12+'29'!G12</f>
        <v>137.76</v>
      </c>
      <c r="H12" s="74">
        <f>F12+'29'!H12</f>
        <v>137.76</v>
      </c>
      <c r="I12" s="77">
        <f>'Mines (2)'!S32</f>
        <v>55</v>
      </c>
      <c r="J12" s="74">
        <f>I12+'29'!J12</f>
        <v>547</v>
      </c>
      <c r="K12" s="74">
        <f>I12+'29'!K12</f>
        <v>547</v>
      </c>
      <c r="L12" s="77">
        <f t="shared" si="0"/>
        <v>191.03999999999996</v>
      </c>
      <c r="M12" s="75">
        <f t="shared" si="1"/>
        <v>55</v>
      </c>
      <c r="N12" s="75">
        <f>(I12/I13)*100</f>
        <v>1.9097222222222223</v>
      </c>
      <c r="O12" s="667"/>
      <c r="P12" s="53">
        <v>10</v>
      </c>
      <c r="Q12" s="264">
        <f>'Raw mill moisture content'!O35</f>
        <v>9.9999999999999881E-2</v>
      </c>
      <c r="T12" s="191">
        <v>4015</v>
      </c>
    </row>
    <row r="13" spans="2:20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20788.371704621601</v>
      </c>
      <c r="F13" s="127">
        <f t="shared" si="2"/>
        <v>36.86</v>
      </c>
      <c r="G13" s="127">
        <f t="shared" si="2"/>
        <v>66544.62</v>
      </c>
      <c r="H13" s="127">
        <f t="shared" si="2"/>
        <v>66544.62</v>
      </c>
      <c r="I13" s="127">
        <f t="shared" si="2"/>
        <v>2880</v>
      </c>
      <c r="J13" s="127">
        <f t="shared" si="2"/>
        <v>69400</v>
      </c>
      <c r="K13" s="127">
        <f t="shared" si="2"/>
        <v>69400</v>
      </c>
      <c r="L13" s="127">
        <f t="shared" si="0"/>
        <v>17945.231704621601</v>
      </c>
      <c r="M13" s="128">
        <f>SUM(M9:M12)</f>
        <v>2880</v>
      </c>
      <c r="N13" s="128">
        <f>SUM(N9:N12)</f>
        <v>100</v>
      </c>
      <c r="O13" s="667"/>
      <c r="P13" s="665"/>
      <c r="Q13" s="666"/>
    </row>
    <row r="14" spans="2:20" x14ac:dyDescent="0.25">
      <c r="B14" s="677">
        <v>6</v>
      </c>
      <c r="C14" s="678" t="s">
        <v>247</v>
      </c>
      <c r="D14" s="80" t="s">
        <v>69</v>
      </c>
      <c r="E14" s="77">
        <f>Clinker!EA32</f>
        <v>8575.4669999999896</v>
      </c>
      <c r="F14" s="77">
        <f>Clinker!EB32</f>
        <v>0</v>
      </c>
      <c r="G14" s="77">
        <f>F14+'29'!G14</f>
        <v>181.5</v>
      </c>
      <c r="H14" s="77">
        <f>F14+'29'!H14</f>
        <v>181.5</v>
      </c>
      <c r="I14" s="77">
        <f>Clinker!EC32</f>
        <v>275</v>
      </c>
      <c r="J14" s="77">
        <f>I14+'29'!J14</f>
        <v>6836.3</v>
      </c>
      <c r="K14" s="77">
        <f>I14+'29'!K14</f>
        <v>6836.3</v>
      </c>
      <c r="L14" s="77">
        <f>E14+F14-I14-Clinker!N32-Clinker!Z32-Clinker!AR32-Clinker!AW32-Clinker!BB32-Clinker!BV32-Clinker!BG32-Clinker!BL32-Clinker!BQ32-Clinker!CU32-Clinker!DO32</f>
        <v>8240.4669999999896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  <c r="T14" s="191">
        <f>J13-T12</f>
        <v>65385</v>
      </c>
    </row>
    <row r="15" spans="2:20" x14ac:dyDescent="0.25">
      <c r="B15" s="677"/>
      <c r="C15" s="678"/>
      <c r="D15" s="80" t="s">
        <v>68</v>
      </c>
      <c r="E15" s="77">
        <f>Clinker!EE32</f>
        <v>10081.699999999997</v>
      </c>
      <c r="F15" s="77">
        <f>Clinker!EF32</f>
        <v>0</v>
      </c>
      <c r="G15" s="77">
        <f>F15+'29'!G15</f>
        <v>155.05000000000001</v>
      </c>
      <c r="H15" s="77">
        <f>F15+'29'!H15</f>
        <v>155.05000000000001</v>
      </c>
      <c r="I15" s="77">
        <f>Clinker!EG32</f>
        <v>131</v>
      </c>
      <c r="J15" s="77">
        <f>I15+'29'!J15</f>
        <v>3869</v>
      </c>
      <c r="K15" s="77">
        <f>I15+'29'!K15</f>
        <v>3869</v>
      </c>
      <c r="L15" s="77">
        <f>E15+F15-Clinker!AE32-Clinker!AI32-Clinker!CK32-Clinker!CP32-Clinker!CF32</f>
        <v>10010.699999999997</v>
      </c>
      <c r="M15" s="81"/>
      <c r="N15" s="81"/>
      <c r="O15" s="667"/>
      <c r="P15" s="82"/>
      <c r="Q15" s="82"/>
      <c r="R15" s="83"/>
      <c r="T15" s="68">
        <f>T14/G31</f>
        <v>132.56761688496007</v>
      </c>
    </row>
    <row r="16" spans="2:20" x14ac:dyDescent="0.25">
      <c r="B16" s="677"/>
      <c r="C16" s="679"/>
      <c r="D16" s="124" t="s">
        <v>152</v>
      </c>
      <c r="E16" s="125">
        <f>E14+E15</f>
        <v>18657.166999999987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>I14+I15</f>
        <v>406</v>
      </c>
      <c r="J16" s="125">
        <f>J14+J15</f>
        <v>10705.3</v>
      </c>
      <c r="K16" s="125">
        <f t="shared" si="3"/>
        <v>10705.3</v>
      </c>
      <c r="L16" s="125">
        <f t="shared" si="0"/>
        <v>18251.166999999987</v>
      </c>
      <c r="M16" s="126"/>
      <c r="N16" s="126"/>
      <c r="O16" s="667"/>
      <c r="P16" s="84"/>
      <c r="Q16" s="131"/>
      <c r="R16" s="83"/>
    </row>
    <row r="17" spans="2:20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  <c r="T17" s="68">
        <f>T12/G32</f>
        <v>9.8821039159221247</v>
      </c>
    </row>
    <row r="18" spans="2:20" x14ac:dyDescent="0.25">
      <c r="B18" s="677">
        <v>7</v>
      </c>
      <c r="C18" s="685" t="s">
        <v>249</v>
      </c>
      <c r="D18" s="85" t="s">
        <v>250</v>
      </c>
      <c r="E18" s="74">
        <f>Clinker!EI32</f>
        <v>24365.060087740465</v>
      </c>
      <c r="F18" s="74">
        <f>Clinker!EJ32</f>
        <v>1685</v>
      </c>
      <c r="G18" s="74">
        <f>F18+'29'!G18</f>
        <v>40500</v>
      </c>
      <c r="H18" s="74">
        <f>F18+'29'!H18</f>
        <v>40500</v>
      </c>
      <c r="I18" s="74">
        <f>Clinker!EK32</f>
        <v>1130.4000000000005</v>
      </c>
      <c r="J18" s="75">
        <f>I18+'29'!J18</f>
        <v>18861.880011886271</v>
      </c>
      <c r="K18" s="74">
        <f>I18+'29'!K18</f>
        <v>18861.880011886271</v>
      </c>
      <c r="L18" s="614">
        <f>E18+F18-I18-I20</f>
        <v>24919.660087740463</v>
      </c>
      <c r="M18" s="75">
        <f>((I18+I19)/(J40+J46))*100</f>
        <v>78.500000000000043</v>
      </c>
      <c r="N18" s="687"/>
      <c r="O18" s="689"/>
      <c r="P18" s="691"/>
      <c r="Q18" s="692"/>
      <c r="R18" s="190"/>
      <c r="S18" s="176"/>
    </row>
    <row r="19" spans="2:20" ht="45" x14ac:dyDescent="0.25">
      <c r="B19" s="677"/>
      <c r="C19" s="685"/>
      <c r="D19" s="85" t="s">
        <v>75</v>
      </c>
      <c r="E19" s="74">
        <f>Clinker!EN32</f>
        <v>5155.3290080001361</v>
      </c>
      <c r="F19" s="74">
        <f>Clinker!EO32</f>
        <v>0</v>
      </c>
      <c r="G19" s="74">
        <f>F19+'29'!G19</f>
        <v>13239.880000000003</v>
      </c>
      <c r="H19" s="74">
        <f>F19+'29'!H19</f>
        <v>13239.880000000003</v>
      </c>
      <c r="I19" s="74">
        <f>Clinker!EP32</f>
        <v>0</v>
      </c>
      <c r="J19" s="617">
        <f>I19+'29'!J19</f>
        <v>16934.099999999999</v>
      </c>
      <c r="K19" s="74">
        <f>I19+'29'!K19</f>
        <v>16934.099999999999</v>
      </c>
      <c r="L19" s="614">
        <f>E19+F19-I19</f>
        <v>5155.3290080001361</v>
      </c>
      <c r="M19" s="75"/>
      <c r="N19" s="687"/>
      <c r="O19" s="689"/>
      <c r="P19" s="691"/>
      <c r="Q19" s="692"/>
      <c r="R19" s="190"/>
      <c r="S19" s="176"/>
      <c r="T19" s="68">
        <f>J14/G33</f>
        <v>15.315321370163765</v>
      </c>
    </row>
    <row r="20" spans="2:20" ht="30" x14ac:dyDescent="0.25">
      <c r="B20" s="677"/>
      <c r="C20" s="686"/>
      <c r="D20" s="86" t="s">
        <v>251</v>
      </c>
      <c r="E20" s="77"/>
      <c r="F20" s="77">
        <v>0</v>
      </c>
      <c r="G20" s="74">
        <f>F20+'29'!G20</f>
        <v>0</v>
      </c>
      <c r="H20" s="74">
        <f>F20+'29'!H20</f>
        <v>0</v>
      </c>
      <c r="I20" s="77">
        <f>Clinker!EM32</f>
        <v>0</v>
      </c>
      <c r="J20" s="74">
        <f>I20+'29'!J20</f>
        <v>0</v>
      </c>
      <c r="K20" s="74">
        <f>I20+'29'!K20</f>
        <v>0</v>
      </c>
      <c r="L20" s="74"/>
      <c r="M20" s="78"/>
      <c r="N20" s="688"/>
      <c r="O20" s="689"/>
      <c r="P20" s="693"/>
      <c r="Q20" s="694"/>
      <c r="R20" s="20"/>
    </row>
    <row r="21" spans="2:20" x14ac:dyDescent="0.25">
      <c r="B21" s="89"/>
      <c r="C21" s="776" t="s">
        <v>244</v>
      </c>
      <c r="D21" s="777"/>
      <c r="E21" s="77">
        <f>Cement!O32</f>
        <v>0</v>
      </c>
      <c r="F21" s="77">
        <f>Cement!P32</f>
        <v>0</v>
      </c>
      <c r="G21" s="74">
        <f>F21+'29'!G21</f>
        <v>0</v>
      </c>
      <c r="H21" s="74">
        <f>F21+'29'!H21</f>
        <v>0</v>
      </c>
      <c r="I21" s="77">
        <f>Cement!Q32</f>
        <v>237.59999999999957</v>
      </c>
      <c r="J21" s="74">
        <f>I21+'29'!J21</f>
        <v>8631.8199925622357</v>
      </c>
      <c r="K21" s="74">
        <f>I21+'29'!K21</f>
        <v>8631.8199925622357</v>
      </c>
      <c r="L21" s="74"/>
      <c r="M21" s="78">
        <f>(I21/(J40+J46))*100</f>
        <v>16.499999999999972</v>
      </c>
      <c r="N21" s="78"/>
      <c r="O21" s="689"/>
      <c r="P21" s="87">
        <v>10</v>
      </c>
      <c r="Q21" s="695"/>
      <c r="R21" s="20"/>
    </row>
    <row r="22" spans="2:20" x14ac:dyDescent="0.25">
      <c r="B22" s="89">
        <v>9</v>
      </c>
      <c r="C22" s="678" t="s">
        <v>252</v>
      </c>
      <c r="D22" s="678"/>
      <c r="E22" s="77">
        <f>Cement!C32</f>
        <v>7149.0800635982805</v>
      </c>
      <c r="F22" s="77">
        <f>Cement!D32</f>
        <v>0</v>
      </c>
      <c r="G22" s="74">
        <f>F22+'29'!G22</f>
        <v>1970.9</v>
      </c>
      <c r="H22" s="74">
        <f>F22+'29'!H22</f>
        <v>1970.9</v>
      </c>
      <c r="I22" s="77">
        <f>Cement!E32</f>
        <v>72</v>
      </c>
      <c r="J22" s="617">
        <f>I22+'29'!J22</f>
        <v>2339.1999955514993</v>
      </c>
      <c r="K22" s="74">
        <f>I22+'29'!K22</f>
        <v>2339.1999955514993</v>
      </c>
      <c r="L22" s="614">
        <f t="shared" ref="L22:L24" si="4">E22+F22-I22</f>
        <v>7077.0800635982805</v>
      </c>
      <c r="M22" s="78">
        <f>(I22/(J40+J46))*100</f>
        <v>5</v>
      </c>
      <c r="N22" s="78"/>
      <c r="O22" s="689"/>
      <c r="P22" s="87">
        <v>4</v>
      </c>
      <c r="Q22" s="696"/>
      <c r="R22" s="20"/>
      <c r="T22" s="177">
        <f>J18+J19</f>
        <v>35795.980011886269</v>
      </c>
    </row>
    <row r="23" spans="2:20" x14ac:dyDescent="0.25">
      <c r="B23" s="677">
        <v>10</v>
      </c>
      <c r="C23" s="679" t="s">
        <v>253</v>
      </c>
      <c r="D23" s="76" t="s">
        <v>254</v>
      </c>
      <c r="E23" s="77">
        <f>Cement!G32</f>
        <v>0.23999999999796273</v>
      </c>
      <c r="F23" s="77">
        <f>Cement!H32</f>
        <v>0</v>
      </c>
      <c r="G23" s="74">
        <f>F23+'29'!G23</f>
        <v>0</v>
      </c>
      <c r="H23" s="74">
        <f>F23+'29'!H23</f>
        <v>0</v>
      </c>
      <c r="I23" s="77">
        <f>Cement!I32</f>
        <v>0</v>
      </c>
      <c r="J23" s="74">
        <f>I23+'29'!J23</f>
        <v>0</v>
      </c>
      <c r="K23" s="74">
        <f>I23+'29'!K23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245"/>
      <c r="T23" s="68">
        <f>T22/J25</f>
        <v>0.76541108071687869</v>
      </c>
    </row>
    <row r="24" spans="2:20" x14ac:dyDescent="0.25">
      <c r="B24" s="677"/>
      <c r="C24" s="686"/>
      <c r="D24" s="76" t="s">
        <v>255</v>
      </c>
      <c r="E24" s="77">
        <f>Cement!K32</f>
        <v>0</v>
      </c>
      <c r="F24" s="77">
        <f>Cement!L32</f>
        <v>0</v>
      </c>
      <c r="G24" s="74">
        <f>F24+'29'!G24</f>
        <v>0</v>
      </c>
      <c r="H24" s="74">
        <f>F24+'29'!H24</f>
        <v>0</v>
      </c>
      <c r="I24" s="77">
        <f>Cement!M32</f>
        <v>0</v>
      </c>
      <c r="J24" s="74">
        <f>I24+'29'!J24</f>
        <v>0</v>
      </c>
      <c r="K24" s="74">
        <f>I24+'29'!K24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</row>
    <row r="25" spans="2:20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36669.709159338876</v>
      </c>
      <c r="F25" s="122">
        <f t="shared" ref="F25:L25" si="5">F18+F19+F21+F22+F23+F24</f>
        <v>1685</v>
      </c>
      <c r="G25" s="122">
        <f t="shared" si="5"/>
        <v>55710.780000000006</v>
      </c>
      <c r="H25" s="122">
        <f t="shared" si="5"/>
        <v>55710.780000000006</v>
      </c>
      <c r="I25" s="122">
        <f t="shared" si="5"/>
        <v>1440</v>
      </c>
      <c r="J25" s="122">
        <f t="shared" si="5"/>
        <v>46767.000000000007</v>
      </c>
      <c r="K25" s="122">
        <f t="shared" si="5"/>
        <v>46767.000000000007</v>
      </c>
      <c r="L25" s="122">
        <f t="shared" si="5"/>
        <v>37152.309159338874</v>
      </c>
      <c r="M25" s="703"/>
      <c r="N25" s="703"/>
      <c r="O25" s="690"/>
      <c r="P25" s="700"/>
      <c r="Q25" s="701"/>
      <c r="R25" s="83"/>
    </row>
    <row r="26" spans="2:20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</row>
    <row r="27" spans="2:20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</row>
    <row r="28" spans="2:20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</row>
    <row r="29" spans="2:20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</row>
    <row r="30" spans="2:20" x14ac:dyDescent="0.25">
      <c r="B30" s="91">
        <v>1</v>
      </c>
      <c r="C30" s="751" t="s">
        <v>263</v>
      </c>
      <c r="D30" s="752"/>
      <c r="E30" s="92">
        <v>250</v>
      </c>
      <c r="F30" s="75">
        <f>Production2!C32</f>
        <v>13.33</v>
      </c>
      <c r="G30" s="75">
        <f>F30+'29'!G30</f>
        <v>432.48000000000008</v>
      </c>
      <c r="H30" s="75">
        <f>F30+'29'!H30</f>
        <v>432.48000000000008</v>
      </c>
      <c r="I30" s="74">
        <f>'Mines (2)'!C32+'Mines (2)'!H32+'Mines (2)'!V32+'Mines (2)'!Z32+'Mines (2)'!AD32</f>
        <v>15459.351704621604</v>
      </c>
      <c r="J30" s="74">
        <f>Production2!D32</f>
        <v>0</v>
      </c>
      <c r="K30" s="621">
        <f>J30+'29'!K30</f>
        <v>64985.700000000004</v>
      </c>
      <c r="L30" s="74">
        <f>J30+'29'!L30</f>
        <v>64985.700000000004</v>
      </c>
      <c r="M30" s="74">
        <f>I9+I21</f>
        <v>2887.5999999999995</v>
      </c>
      <c r="N30" s="616">
        <f>M30+'29'!N30</f>
        <v>75518.819992562247</v>
      </c>
      <c r="O30" s="74">
        <f>M30+'29'!O30</f>
        <v>75518.819992562247</v>
      </c>
      <c r="P30" s="74">
        <f>I30+J30-M30</f>
        <v>12571.751704621605</v>
      </c>
      <c r="Q30" s="93">
        <f>J30/F30</f>
        <v>0</v>
      </c>
      <c r="R30" s="94"/>
    </row>
    <row r="31" spans="2:20" x14ac:dyDescent="0.25">
      <c r="B31" s="79">
        <v>2</v>
      </c>
      <c r="C31" s="680" t="s">
        <v>294</v>
      </c>
      <c r="D31" s="681"/>
      <c r="E31" s="95">
        <v>120</v>
      </c>
      <c r="F31" s="78">
        <f>Production2!G32</f>
        <v>20.3</v>
      </c>
      <c r="G31" s="75">
        <f>F31+'29'!G31</f>
        <v>493.21999999999997</v>
      </c>
      <c r="H31" s="75">
        <f>F31+'29'!H31</f>
        <v>493.21999999999997</v>
      </c>
      <c r="I31" s="747">
        <f>Production2!H32</f>
        <v>1736.1300168375201</v>
      </c>
      <c r="J31" s="77">
        <f>Production2!N32</f>
        <v>2416</v>
      </c>
      <c r="K31" s="617">
        <f>J31+'29'!K31</f>
        <v>58857.15</v>
      </c>
      <c r="L31" s="74">
        <f>J31+'29'!L31</f>
        <v>58857.15</v>
      </c>
      <c r="M31" s="747">
        <f>Production2!K32</f>
        <v>2611.75</v>
      </c>
      <c r="N31" s="747">
        <f>M31+'29'!N31</f>
        <v>62775</v>
      </c>
      <c r="O31" s="747">
        <f>M31+'29'!O31</f>
        <v>62775</v>
      </c>
      <c r="P31" s="747">
        <f>I31+J32+J31-M31</f>
        <v>1718.1200168375199</v>
      </c>
      <c r="Q31" s="96">
        <f t="shared" ref="Q31:Q46" si="6">J31/F31</f>
        <v>119.01477832512315</v>
      </c>
      <c r="R31" s="94"/>
    </row>
    <row r="32" spans="2:20" x14ac:dyDescent="0.25">
      <c r="B32" s="91">
        <v>3</v>
      </c>
      <c r="C32" s="680" t="s">
        <v>265</v>
      </c>
      <c r="D32" s="681"/>
      <c r="E32" s="95">
        <v>20</v>
      </c>
      <c r="F32" s="78">
        <f>Production2!P32</f>
        <v>19.5</v>
      </c>
      <c r="G32" s="75">
        <f>F32+'29'!G32</f>
        <v>406.28999999999996</v>
      </c>
      <c r="H32" s="75">
        <f>F32+'29'!H32</f>
        <v>406.28999999999996</v>
      </c>
      <c r="I32" s="748"/>
      <c r="J32" s="77">
        <f>Production2!Q32</f>
        <v>177.74</v>
      </c>
      <c r="K32" s="617">
        <f>J32+'29'!K32</f>
        <v>3642.24</v>
      </c>
      <c r="L32" s="74">
        <f>J32+'29'!L32</f>
        <v>3642.24</v>
      </c>
      <c r="M32" s="748"/>
      <c r="N32" s="748"/>
      <c r="O32" s="748"/>
      <c r="P32" s="748"/>
      <c r="Q32" s="96">
        <f>J32/F32</f>
        <v>9.1148717948717959</v>
      </c>
      <c r="R32" s="94"/>
      <c r="S32" s="94">
        <f>K34/G34</f>
        <v>65.505361735164257</v>
      </c>
      <c r="T32" s="68">
        <f>S32*24</f>
        <v>1572.1286816439422</v>
      </c>
    </row>
    <row r="33" spans="2:20" x14ac:dyDescent="0.25">
      <c r="B33" s="79">
        <v>4</v>
      </c>
      <c r="C33" s="680" t="s">
        <v>147</v>
      </c>
      <c r="D33" s="681"/>
      <c r="E33" s="95">
        <v>10</v>
      </c>
      <c r="F33" s="78">
        <f>Production2!S32</f>
        <v>18.3</v>
      </c>
      <c r="G33" s="75">
        <f>F33+'29'!G33</f>
        <v>446.37</v>
      </c>
      <c r="H33" s="75">
        <f>F33+'29'!H33</f>
        <v>446.37</v>
      </c>
      <c r="I33" s="77">
        <f>Production2!T32</f>
        <v>42.709999999999923</v>
      </c>
      <c r="J33" s="77">
        <f>Production2!U32</f>
        <v>247.5</v>
      </c>
      <c r="K33" s="74">
        <f>J33+'29'!K33</f>
        <v>6152.7</v>
      </c>
      <c r="L33" s="74">
        <f>J33+'29'!L33</f>
        <v>6152.7</v>
      </c>
      <c r="M33" s="77">
        <f>Production2!V32</f>
        <v>250</v>
      </c>
      <c r="N33" s="617">
        <f>M33+'29'!N33</f>
        <v>6128</v>
      </c>
      <c r="O33" s="74">
        <f>M33+'29'!O33</f>
        <v>6128</v>
      </c>
      <c r="P33" s="614">
        <f t="shared" ref="P33" si="7">I33+J33-M33</f>
        <v>40.209999999999923</v>
      </c>
      <c r="Q33" s="96">
        <f t="shared" si="6"/>
        <v>13.524590163934425</v>
      </c>
      <c r="R33" s="94"/>
    </row>
    <row r="34" spans="2:20" x14ac:dyDescent="0.25">
      <c r="B34" s="91">
        <v>5</v>
      </c>
      <c r="C34" s="680" t="s">
        <v>69</v>
      </c>
      <c r="D34" s="681"/>
      <c r="E34" s="95">
        <v>50</v>
      </c>
      <c r="F34" s="78">
        <f>Production2!Y32</f>
        <v>24</v>
      </c>
      <c r="G34" s="75">
        <f>F34+'29'!G34</f>
        <v>618.27</v>
      </c>
      <c r="H34" s="75">
        <f>F34+'29'!H34</f>
        <v>618.27</v>
      </c>
      <c r="I34" s="77">
        <f>Clinker!EI32</f>
        <v>24365.060087740465</v>
      </c>
      <c r="J34" s="77">
        <f>Clinker!EJ32</f>
        <v>1685</v>
      </c>
      <c r="K34" s="74">
        <f>J34+'29'!K34</f>
        <v>40500</v>
      </c>
      <c r="L34" s="74">
        <f>J34+'29'!L34</f>
        <v>40500</v>
      </c>
      <c r="M34" s="77">
        <f>Clinker!EK32</f>
        <v>1130.4000000000005</v>
      </c>
      <c r="N34" s="74">
        <f>M34+'29'!N34</f>
        <v>18861.880011886271</v>
      </c>
      <c r="O34" s="74">
        <f>M34+'29'!O34</f>
        <v>18861.880011886271</v>
      </c>
      <c r="P34" s="74">
        <f>I34+J34-M34-I20</f>
        <v>24919.660087740463</v>
      </c>
      <c r="Q34" s="96">
        <f t="shared" si="6"/>
        <v>70.208333333333329</v>
      </c>
      <c r="R34" s="94"/>
    </row>
    <row r="35" spans="2:20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Production2!AE32</f>
        <v>0</v>
      </c>
      <c r="G35" s="75">
        <f>F35+'29'!G35</f>
        <v>9</v>
      </c>
      <c r="H35" s="75">
        <f>F35+'29'!H35</f>
        <v>9</v>
      </c>
      <c r="I35" s="77">
        <f>Production2!BJ32</f>
        <v>505.79999999999995</v>
      </c>
      <c r="J35" s="77">
        <f>Production2!AF32</f>
        <v>0</v>
      </c>
      <c r="K35" s="74">
        <f>J35+'29'!K35</f>
        <v>574</v>
      </c>
      <c r="L35" s="74">
        <f>J35+'29'!L35</f>
        <v>574</v>
      </c>
      <c r="M35" s="77">
        <f>Production2!BL32</f>
        <v>94</v>
      </c>
      <c r="N35" s="74">
        <f>M35+'29'!N35</f>
        <v>2394.5</v>
      </c>
      <c r="O35" s="74">
        <f>M35+'29'!O35</f>
        <v>2394.5</v>
      </c>
      <c r="P35" s="74">
        <f>I35+J35+J41-M35-F59</f>
        <v>411.79999999999995</v>
      </c>
      <c r="Q35" s="96" t="e">
        <f t="shared" si="6"/>
        <v>#DIV/0!</v>
      </c>
      <c r="R35" s="94"/>
    </row>
    <row r="36" spans="2:20" x14ac:dyDescent="0.25">
      <c r="B36" s="754"/>
      <c r="C36" s="685"/>
      <c r="D36" s="80" t="s">
        <v>268</v>
      </c>
      <c r="E36" s="97">
        <v>78</v>
      </c>
      <c r="F36" s="78">
        <f>Production2!AB32</f>
        <v>0</v>
      </c>
      <c r="G36" s="612">
        <f>F36+'29'!G36</f>
        <v>206.33</v>
      </c>
      <c r="H36" s="612">
        <f>F36+'29'!H36</f>
        <v>206.33</v>
      </c>
      <c r="I36" s="77">
        <f>Production2!BF32</f>
        <v>2102.24799999998</v>
      </c>
      <c r="J36" s="77">
        <f>Production2!AC32</f>
        <v>0</v>
      </c>
      <c r="K36" s="74">
        <f>J36+'29'!K36</f>
        <v>12429</v>
      </c>
      <c r="L36" s="607">
        <f>J36+'29'!L36</f>
        <v>12429</v>
      </c>
      <c r="M36" s="77">
        <f>Production2!BH32</f>
        <v>862.96</v>
      </c>
      <c r="N36" s="74">
        <f>M36+'29'!N36</f>
        <v>35168.269999999997</v>
      </c>
      <c r="O36" s="74">
        <f>M36+'29'!O36</f>
        <v>35168.269999999997</v>
      </c>
      <c r="P36" s="74">
        <f>I36+J36+J42-M36-F57</f>
        <v>2679.28799999998</v>
      </c>
      <c r="Q36" s="96" t="e">
        <f t="shared" si="6"/>
        <v>#DIV/0!</v>
      </c>
      <c r="R36" s="94"/>
    </row>
    <row r="37" spans="2:20" x14ac:dyDescent="0.25">
      <c r="B37" s="754"/>
      <c r="C37" s="685"/>
      <c r="D37" s="80" t="s">
        <v>269</v>
      </c>
      <c r="E37" s="97">
        <v>78</v>
      </c>
      <c r="F37" s="78">
        <f>Production2!AH32</f>
        <v>0</v>
      </c>
      <c r="G37" s="619">
        <f>F37+'29'!G37</f>
        <v>0</v>
      </c>
      <c r="H37" s="612">
        <f>F37+'29'!H37</f>
        <v>0</v>
      </c>
      <c r="I37" s="77">
        <f>Production2!BN32</f>
        <v>2.0900000000008498</v>
      </c>
      <c r="J37" s="77">
        <f>Production2!AI32</f>
        <v>0</v>
      </c>
      <c r="K37" s="620">
        <f>J37+'29'!K37</f>
        <v>0</v>
      </c>
      <c r="L37" s="620">
        <f>J37+'29'!L37</f>
        <v>0</v>
      </c>
      <c r="M37" s="77">
        <f>Production2!BP32</f>
        <v>0</v>
      </c>
      <c r="N37" s="620">
        <f>M37+'29'!N37</f>
        <v>-0.15</v>
      </c>
      <c r="O37" s="620">
        <f>M37+'29'!O37</f>
        <v>-0.15</v>
      </c>
      <c r="P37" s="74">
        <f>I37+J37+J43-M37-F58</f>
        <v>2.0900000000008498</v>
      </c>
      <c r="Q37" s="96" t="e">
        <f t="shared" si="6"/>
        <v>#DIV/0!</v>
      </c>
      <c r="R37" s="94"/>
    </row>
    <row r="38" spans="2:20" x14ac:dyDescent="0.25">
      <c r="B38" s="754"/>
      <c r="C38" s="685"/>
      <c r="D38" s="194" t="s">
        <v>177</v>
      </c>
      <c r="E38" s="97">
        <v>65</v>
      </c>
      <c r="F38" s="84">
        <f>Production2!AK32</f>
        <v>0</v>
      </c>
      <c r="G38" s="619">
        <f>F38+'29'!G38</f>
        <v>0</v>
      </c>
      <c r="H38" s="619">
        <f>F38+'29'!H38</f>
        <v>0</v>
      </c>
      <c r="I38" s="195">
        <f>Production2!BR32</f>
        <v>246.3</v>
      </c>
      <c r="J38" s="195">
        <v>0</v>
      </c>
      <c r="K38" s="620">
        <f>J38+'29'!K38</f>
        <v>0</v>
      </c>
      <c r="L38" s="620">
        <f>J38+'29'!L38</f>
        <v>0</v>
      </c>
      <c r="M38" s="77">
        <f>Production2!BT32</f>
        <v>60</v>
      </c>
      <c r="N38" s="620">
        <f>M38+'29'!N38</f>
        <v>1847</v>
      </c>
      <c r="O38" s="620">
        <f>M38+'29'!O38</f>
        <v>1847</v>
      </c>
      <c r="P38" s="74">
        <f>I38+J38+J44-M38-F60</f>
        <v>186.3</v>
      </c>
      <c r="Q38" s="96" t="e">
        <f t="shared" si="6"/>
        <v>#DIV/0!</v>
      </c>
      <c r="R38" s="94"/>
      <c r="S38" s="94"/>
    </row>
    <row r="39" spans="2:20" x14ac:dyDescent="0.25">
      <c r="B39" s="754"/>
      <c r="C39" s="685"/>
      <c r="D39" s="609" t="s">
        <v>306</v>
      </c>
      <c r="E39" s="613"/>
      <c r="F39" s="611">
        <f>Production2!AN32</f>
        <v>0</v>
      </c>
      <c r="G39" s="619">
        <f>F39+'29'!G39</f>
        <v>40.65</v>
      </c>
      <c r="H39" s="619">
        <f>F39+'29'!H39</f>
        <v>40.65</v>
      </c>
      <c r="I39" s="608">
        <f>Production2!BV32</f>
        <v>875.77000000000021</v>
      </c>
      <c r="J39" s="608">
        <f>Production2!AO32</f>
        <v>0</v>
      </c>
      <c r="K39" s="620">
        <f>J39+'29'!K39</f>
        <v>2532</v>
      </c>
      <c r="L39" s="620">
        <f>J39+'29'!L39</f>
        <v>2532</v>
      </c>
      <c r="M39" s="77">
        <f>Production2!BX32</f>
        <v>119.94</v>
      </c>
      <c r="N39" s="620">
        <f>M39+'29'!N39</f>
        <v>5421.8799999999992</v>
      </c>
      <c r="O39" s="620">
        <f>M39+'29'!O39</f>
        <v>5421.8799999999992</v>
      </c>
      <c r="P39" s="607">
        <f>I39+J45+J39-M39-F61</f>
        <v>755.83000000000015</v>
      </c>
      <c r="Q39" s="96" t="e">
        <f t="shared" si="6"/>
        <v>#DIV/0!</v>
      </c>
      <c r="R39" s="94"/>
      <c r="S39" s="94"/>
      <c r="T39" s="68">
        <f>K40/G40</f>
        <v>60.688335026173917</v>
      </c>
    </row>
    <row r="40" spans="2:20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 t="shared" ref="G40:H40" si="8">G35+G36+G37+G38+G39</f>
        <v>255.98000000000002</v>
      </c>
      <c r="H40" s="132">
        <f t="shared" si="8"/>
        <v>255.98000000000002</v>
      </c>
      <c r="I40" s="122">
        <f>I35+I36+I37+I38+I39</f>
        <v>3732.2079999999814</v>
      </c>
      <c r="J40" s="610">
        <f t="shared" ref="J40:P40" si="9">J35+J36+J37+J38+J39</f>
        <v>0</v>
      </c>
      <c r="K40" s="610">
        <f t="shared" si="9"/>
        <v>15535</v>
      </c>
      <c r="L40" s="610">
        <f t="shared" si="9"/>
        <v>15535</v>
      </c>
      <c r="M40" s="610">
        <f>M35+M36+M37+M38+M39</f>
        <v>1136.9000000000001</v>
      </c>
      <c r="N40" s="618">
        <f>N35+N36+N37+N38+N39</f>
        <v>44831.499999999993</v>
      </c>
      <c r="O40" s="610">
        <f>O35+O36+O37+O38+O39</f>
        <v>44831.499999999993</v>
      </c>
      <c r="P40" s="610">
        <f t="shared" si="9"/>
        <v>4035.3079999999809</v>
      </c>
      <c r="Q40" s="123" t="e">
        <f t="shared" si="6"/>
        <v>#DIV/0!</v>
      </c>
      <c r="R40" s="94"/>
    </row>
    <row r="41" spans="2:20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Production2!AT32</f>
        <v>0</v>
      </c>
      <c r="G41" s="75">
        <f>F41+'29'!G41</f>
        <v>33.099999999999994</v>
      </c>
      <c r="H41" s="75">
        <f>F41+'29'!H41</f>
        <v>33.099999999999994</v>
      </c>
      <c r="I41" s="764"/>
      <c r="J41" s="77">
        <f>Production2!AU32</f>
        <v>0</v>
      </c>
      <c r="K41" s="74">
        <f>J41+'29'!K41</f>
        <v>2000</v>
      </c>
      <c r="L41" s="74">
        <f>J41+'29'!L41</f>
        <v>2000</v>
      </c>
      <c r="M41" s="766"/>
      <c r="N41" s="767"/>
      <c r="O41" s="767"/>
      <c r="P41" s="768"/>
      <c r="Q41" s="96" t="e">
        <f t="shared" si="6"/>
        <v>#DIV/0!</v>
      </c>
      <c r="R41" s="94"/>
      <c r="S41" s="94"/>
      <c r="T41" s="68">
        <f>N40/30</f>
        <v>1494.383333333333</v>
      </c>
    </row>
    <row r="42" spans="2:20" x14ac:dyDescent="0.25">
      <c r="B42" s="754"/>
      <c r="C42" s="685"/>
      <c r="D42" s="80" t="s">
        <v>268</v>
      </c>
      <c r="E42" s="97">
        <v>70</v>
      </c>
      <c r="F42" s="78">
        <f>Production2!AQ32</f>
        <v>24</v>
      </c>
      <c r="G42" s="75">
        <f>F42+'29'!G42</f>
        <v>416.00000000000006</v>
      </c>
      <c r="H42" s="75">
        <f>F42+'29'!H42</f>
        <v>416.00000000000006</v>
      </c>
      <c r="I42" s="765"/>
      <c r="J42" s="77">
        <f>Production2!AR32</f>
        <v>1440</v>
      </c>
      <c r="K42" s="74">
        <f>J42+'29'!K42</f>
        <v>24140</v>
      </c>
      <c r="L42" s="74">
        <f>J42+'29'!L42</f>
        <v>24140</v>
      </c>
      <c r="M42" s="769"/>
      <c r="N42" s="829"/>
      <c r="O42" s="829"/>
      <c r="P42" s="771"/>
      <c r="Q42" s="96">
        <f t="shared" si="6"/>
        <v>60</v>
      </c>
      <c r="R42" s="94"/>
      <c r="S42" s="94"/>
    </row>
    <row r="43" spans="2:20" x14ac:dyDescent="0.25">
      <c r="B43" s="754"/>
      <c r="C43" s="685"/>
      <c r="D43" s="80" t="s">
        <v>269</v>
      </c>
      <c r="E43" s="97">
        <v>70</v>
      </c>
      <c r="F43" s="78">
        <f>Production2!AW32</f>
        <v>0</v>
      </c>
      <c r="G43" s="619">
        <f>F43+'29'!G43</f>
        <v>0</v>
      </c>
      <c r="H43" s="612">
        <f>F43+'29'!H43</f>
        <v>0</v>
      </c>
      <c r="I43" s="765"/>
      <c r="J43" s="77">
        <f>Production2!AX32</f>
        <v>0</v>
      </c>
      <c r="K43" s="607">
        <f>J43+'29'!K43</f>
        <v>0</v>
      </c>
      <c r="L43" s="607">
        <f>J43+'29'!L43</f>
        <v>0</v>
      </c>
      <c r="M43" s="769"/>
      <c r="N43" s="829"/>
      <c r="O43" s="829"/>
      <c r="P43" s="771"/>
      <c r="Q43" s="96" t="e">
        <f t="shared" si="6"/>
        <v>#DIV/0!</v>
      </c>
      <c r="R43" s="94"/>
      <c r="S43" s="94"/>
      <c r="T43" s="176"/>
    </row>
    <row r="44" spans="2:20" x14ac:dyDescent="0.25">
      <c r="B44" s="754"/>
      <c r="C44" s="685"/>
      <c r="D44" s="194" t="s">
        <v>177</v>
      </c>
      <c r="E44" s="97">
        <v>60</v>
      </c>
      <c r="F44" s="84">
        <f>Production2!AZ32</f>
        <v>0</v>
      </c>
      <c r="G44" s="619">
        <f>F44+'29'!G44</f>
        <v>32.880000000000003</v>
      </c>
      <c r="H44" s="619">
        <f>F44+'29'!H44</f>
        <v>32.880000000000003</v>
      </c>
      <c r="I44" s="765"/>
      <c r="J44" s="195">
        <f>Production2!BA32</f>
        <v>0</v>
      </c>
      <c r="K44" s="620">
        <f>J44+'29'!K44</f>
        <v>1820</v>
      </c>
      <c r="L44" s="620">
        <f>J44+'29'!L44</f>
        <v>1820</v>
      </c>
      <c r="M44" s="769"/>
      <c r="N44" s="829"/>
      <c r="O44" s="829"/>
      <c r="P44" s="771"/>
      <c r="Q44" s="96" t="e">
        <f t="shared" si="6"/>
        <v>#DIV/0!</v>
      </c>
      <c r="R44" s="94"/>
      <c r="S44" s="94"/>
    </row>
    <row r="45" spans="2:20" x14ac:dyDescent="0.25">
      <c r="B45" s="754"/>
      <c r="C45" s="685"/>
      <c r="D45" s="609" t="s">
        <v>306</v>
      </c>
      <c r="E45" s="613">
        <v>70</v>
      </c>
      <c r="F45" s="611">
        <f>Production2!BC32</f>
        <v>0</v>
      </c>
      <c r="G45" s="619">
        <f>F45+'29'!G45</f>
        <v>54.970000000000006</v>
      </c>
      <c r="H45" s="619">
        <f>F45+'29'!H45</f>
        <v>54.970000000000006</v>
      </c>
      <c r="I45" s="748"/>
      <c r="J45" s="608">
        <f>Production2!BD32</f>
        <v>0</v>
      </c>
      <c r="K45" s="620">
        <f>J45+'29'!K45</f>
        <v>3272</v>
      </c>
      <c r="L45" s="620">
        <f>J45+'29'!L45</f>
        <v>3272</v>
      </c>
      <c r="M45" s="772"/>
      <c r="N45" s="773"/>
      <c r="O45" s="773"/>
      <c r="P45" s="774"/>
      <c r="Q45" s="96" t="e">
        <f t="shared" si="6"/>
        <v>#DIV/0!</v>
      </c>
      <c r="R45" s="94"/>
      <c r="S45" s="94"/>
      <c r="T45" s="68">
        <f>K46/G46</f>
        <v>58.165564763944495</v>
      </c>
    </row>
    <row r="46" spans="2:20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24</v>
      </c>
      <c r="G46" s="132">
        <f t="shared" ref="G46:H46" si="10">G41+G42+G43+G44+G45</f>
        <v>536.95000000000005</v>
      </c>
      <c r="H46" s="132">
        <f t="shared" si="10"/>
        <v>536.95000000000005</v>
      </c>
      <c r="I46" s="122"/>
      <c r="J46" s="122">
        <f>J41+J42+J43+J44+J45</f>
        <v>1440</v>
      </c>
      <c r="K46" s="610">
        <f t="shared" ref="K46:L46" si="11">K41+K42+K43+K44+K45</f>
        <v>31232</v>
      </c>
      <c r="L46" s="610">
        <f t="shared" si="11"/>
        <v>31232</v>
      </c>
      <c r="M46" s="836"/>
      <c r="N46" s="837"/>
      <c r="O46" s="837"/>
      <c r="P46" s="838"/>
      <c r="Q46" s="123">
        <f t="shared" si="6"/>
        <v>60</v>
      </c>
      <c r="R46" s="94"/>
      <c r="S46" s="94"/>
    </row>
    <row r="47" spans="2:20" ht="15.75" thickBot="1" x14ac:dyDescent="0.3">
      <c r="B47" s="735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94"/>
    </row>
    <row r="48" spans="2:20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  <c r="S48" s="98"/>
    </row>
    <row r="49" spans="2:18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8" ht="14.45" customHeight="1" x14ac:dyDescent="0.25">
      <c r="B50" s="91">
        <v>1</v>
      </c>
      <c r="C50" s="746" t="s">
        <v>276</v>
      </c>
      <c r="D50" s="746"/>
      <c r="E50" s="99" t="e">
        <f>E53/J30</f>
        <v>#DIV/0!</v>
      </c>
      <c r="F50" s="99">
        <f>F53/(J31+J32)</f>
        <v>24.262262215950713</v>
      </c>
      <c r="G50" s="99">
        <f>G53/J32</f>
        <v>0</v>
      </c>
      <c r="H50" s="99">
        <f>H53/J34</f>
        <v>31.949554896142434</v>
      </c>
      <c r="I50" s="99">
        <f>I53/J33</f>
        <v>58.319191919191923</v>
      </c>
      <c r="J50" s="99"/>
      <c r="K50" s="99"/>
      <c r="L50" s="99"/>
      <c r="M50" s="100"/>
      <c r="N50" s="101"/>
      <c r="O50" s="749" t="s">
        <v>277</v>
      </c>
      <c r="P50" s="749"/>
      <c r="Q50" s="93">
        <f>(M33/J34)*100</f>
        <v>14.836795252225517</v>
      </c>
    </row>
    <row r="51" spans="2:18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>
        <f>F50*1.55</f>
        <v>37.606506434723606</v>
      </c>
      <c r="G51" s="102">
        <f>G50*1.55</f>
        <v>0</v>
      </c>
      <c r="H51" s="102">
        <f>H50</f>
        <v>31.949554896142434</v>
      </c>
      <c r="I51" s="102">
        <f>I50*(Q50/100)</f>
        <v>8.6526990978029552</v>
      </c>
      <c r="J51" s="102"/>
      <c r="K51" s="102"/>
      <c r="L51" s="102"/>
      <c r="M51" s="96"/>
      <c r="N51" s="310" t="e">
        <f>SUM(E51:I51)</f>
        <v>#DIV/0!</v>
      </c>
      <c r="O51" s="668" t="s">
        <v>279</v>
      </c>
      <c r="P51" s="668"/>
      <c r="Q51" s="104">
        <v>5380</v>
      </c>
    </row>
    <row r="52" spans="2:18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>
        <f>F51*M18/100</f>
        <v>29.521107551258048</v>
      </c>
      <c r="G52" s="102">
        <f>G51*M18/100</f>
        <v>0</v>
      </c>
      <c r="H52" s="102">
        <f>H51*M18/100</f>
        <v>25.080400593471822</v>
      </c>
      <c r="I52" s="102">
        <f>I51*M18/100</f>
        <v>6.7923687917753242</v>
      </c>
      <c r="J52" s="99">
        <f>J53/(J40+J46)</f>
        <v>37.680555555555557</v>
      </c>
      <c r="K52" s="99">
        <f>K53/(J46+J40)</f>
        <v>1.1861111111111111</v>
      </c>
      <c r="L52" s="99">
        <f>L53/(M40)</f>
        <v>5.0505761280675516</v>
      </c>
      <c r="M52" s="96">
        <f>M53/(J46+J40)</f>
        <v>3.7277777777777779</v>
      </c>
      <c r="N52" s="310" t="e">
        <f>SUM(E52:M52)</f>
        <v>#DIV/0!</v>
      </c>
      <c r="O52" s="668" t="s">
        <v>281</v>
      </c>
      <c r="P52" s="668"/>
      <c r="Q52" s="104">
        <f>Q51*Q50/100</f>
        <v>798.21958456973289</v>
      </c>
    </row>
    <row r="53" spans="2:18" ht="15" customHeight="1" thickBot="1" x14ac:dyDescent="0.3">
      <c r="B53" s="90" t="s">
        <v>243</v>
      </c>
      <c r="C53" s="775" t="s">
        <v>282</v>
      </c>
      <c r="D53" s="775"/>
      <c r="E53" s="118">
        <f>'Daily unit'!B32</f>
        <v>2232</v>
      </c>
      <c r="F53" s="118">
        <f>'Daily unit'!C32</f>
        <v>62930</v>
      </c>
      <c r="G53" s="118">
        <f>'Daily unit'!D32</f>
        <v>0</v>
      </c>
      <c r="H53" s="118">
        <f>'Daily unit'!E32</f>
        <v>53835</v>
      </c>
      <c r="I53" s="118">
        <f>'Daily unit'!F32</f>
        <v>14434</v>
      </c>
      <c r="J53" s="118">
        <f>'Daily unit'!G32</f>
        <v>54260</v>
      </c>
      <c r="K53" s="118">
        <f>'Daily unit'!H32</f>
        <v>1708</v>
      </c>
      <c r="L53" s="118">
        <f>'Daily unit'!I32</f>
        <v>5742</v>
      </c>
      <c r="M53" s="119">
        <f>'Daily unit'!J32</f>
        <v>5368</v>
      </c>
      <c r="N53" s="321">
        <f>SUM(E53:M53)</f>
        <v>200509</v>
      </c>
      <c r="O53" s="106"/>
      <c r="P53" s="107"/>
      <c r="Q53" s="108"/>
    </row>
    <row r="54" spans="2:18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8" ht="14.45" customHeight="1" x14ac:dyDescent="0.25">
      <c r="B55" s="782" t="s">
        <v>283</v>
      </c>
      <c r="C55" s="782"/>
      <c r="D55" s="782"/>
      <c r="E55" s="782"/>
      <c r="F55" s="782"/>
      <c r="G55" s="782"/>
      <c r="H55" s="782"/>
      <c r="I55" s="893" t="s">
        <v>301</v>
      </c>
      <c r="J55" s="894"/>
      <c r="K55" s="894"/>
      <c r="L55" s="894"/>
      <c r="M55" s="894"/>
      <c r="N55" s="894"/>
      <c r="O55" s="894"/>
      <c r="P55" s="894"/>
      <c r="Q55" s="895"/>
      <c r="R55" s="109"/>
    </row>
    <row r="56" spans="2:18" s="110" customFormat="1" ht="14.45" customHeight="1" thickBot="1" x14ac:dyDescent="0.3">
      <c r="B56" s="231" t="s">
        <v>231</v>
      </c>
      <c r="C56" s="902" t="s">
        <v>285</v>
      </c>
      <c r="D56" s="902"/>
      <c r="E56" s="782"/>
      <c r="F56" s="187" t="s">
        <v>286</v>
      </c>
      <c r="G56" s="187" t="s">
        <v>26</v>
      </c>
      <c r="H56" s="187" t="s">
        <v>27</v>
      </c>
      <c r="I56" s="896"/>
      <c r="J56" s="897"/>
      <c r="K56" s="897"/>
      <c r="L56" s="897"/>
      <c r="M56" s="897"/>
      <c r="N56" s="897"/>
      <c r="O56" s="897"/>
      <c r="P56" s="897"/>
      <c r="Q56" s="898"/>
      <c r="R56" s="111"/>
    </row>
    <row r="57" spans="2:18" ht="14.45" customHeight="1" x14ac:dyDescent="0.25">
      <c r="B57" s="825">
        <v>1</v>
      </c>
      <c r="C57" s="824" t="s">
        <v>287</v>
      </c>
      <c r="D57" s="833"/>
      <c r="E57" s="211">
        <v>42.5</v>
      </c>
      <c r="F57" s="53">
        <f>'Internal use cement'!F32</f>
        <v>0</v>
      </c>
      <c r="G57" s="53">
        <f>F57+'29'!G57</f>
        <v>0</v>
      </c>
      <c r="H57" s="78">
        <f>F57+'29'!H57</f>
        <v>0</v>
      </c>
      <c r="I57" s="896"/>
      <c r="J57" s="897"/>
      <c r="K57" s="897"/>
      <c r="L57" s="897"/>
      <c r="M57" s="897"/>
      <c r="N57" s="897"/>
      <c r="O57" s="897"/>
      <c r="P57" s="897"/>
      <c r="Q57" s="898"/>
      <c r="R57" s="109"/>
    </row>
    <row r="58" spans="2:18" ht="14.45" customHeight="1" x14ac:dyDescent="0.25">
      <c r="B58" s="826"/>
      <c r="C58" s="758"/>
      <c r="D58" s="834"/>
      <c r="E58" s="211" t="s">
        <v>197</v>
      </c>
      <c r="F58" s="53">
        <f>'Internal use cement'!Q32</f>
        <v>0</v>
      </c>
      <c r="G58" s="53">
        <f>F58+'29'!G58</f>
        <v>0</v>
      </c>
      <c r="H58" s="78">
        <f>F58+'29'!H58</f>
        <v>0</v>
      </c>
      <c r="I58" s="896"/>
      <c r="J58" s="897"/>
      <c r="K58" s="897"/>
      <c r="L58" s="897"/>
      <c r="M58" s="897"/>
      <c r="N58" s="897"/>
      <c r="O58" s="897"/>
      <c r="P58" s="897"/>
      <c r="Q58" s="898"/>
      <c r="R58" s="109"/>
    </row>
    <row r="59" spans="2:18" ht="15" customHeight="1" x14ac:dyDescent="0.25">
      <c r="B59" s="826"/>
      <c r="C59" s="758"/>
      <c r="D59" s="834"/>
      <c r="E59" s="211">
        <v>32.5</v>
      </c>
      <c r="F59" s="53">
        <f>'Internal use cement'!Y32</f>
        <v>0</v>
      </c>
      <c r="G59" s="53">
        <f>F59+'29'!G59</f>
        <v>0</v>
      </c>
      <c r="H59" s="78">
        <f>F59+'29'!H59</f>
        <v>0</v>
      </c>
      <c r="I59" s="896"/>
      <c r="J59" s="897"/>
      <c r="K59" s="897"/>
      <c r="L59" s="897"/>
      <c r="M59" s="897"/>
      <c r="N59" s="897"/>
      <c r="O59" s="897"/>
      <c r="P59" s="897"/>
      <c r="Q59" s="898"/>
      <c r="R59" s="109"/>
    </row>
    <row r="60" spans="2:18" ht="15" customHeight="1" thickBot="1" x14ac:dyDescent="0.3">
      <c r="B60" s="827"/>
      <c r="C60" s="759"/>
      <c r="D60" s="835"/>
      <c r="E60" s="213" t="s">
        <v>177</v>
      </c>
      <c r="F60" s="113">
        <f>'Internal use cement'!AJ32</f>
        <v>0</v>
      </c>
      <c r="G60" s="53">
        <f>F60+'29'!G60</f>
        <v>0</v>
      </c>
      <c r="H60" s="78">
        <f>F60+'29'!H60</f>
        <v>0</v>
      </c>
      <c r="I60" s="899"/>
      <c r="J60" s="900"/>
      <c r="K60" s="900"/>
      <c r="L60" s="900"/>
      <c r="M60" s="900"/>
      <c r="N60" s="900"/>
      <c r="O60" s="900"/>
      <c r="P60" s="900"/>
      <c r="Q60" s="901"/>
      <c r="R60" s="109"/>
    </row>
    <row r="61" spans="2:18" x14ac:dyDescent="0.25">
      <c r="R61" s="116"/>
    </row>
    <row r="62" spans="2:18" x14ac:dyDescent="0.25">
      <c r="R62" s="94"/>
    </row>
    <row r="63" spans="2:18" x14ac:dyDescent="0.25">
      <c r="R63" s="94"/>
    </row>
    <row r="64" spans="2:18" x14ac:dyDescent="0.25">
      <c r="R64" s="94"/>
    </row>
    <row r="65" spans="2:18" x14ac:dyDescent="0.25">
      <c r="R65" s="109"/>
    </row>
    <row r="66" spans="2:18" x14ac:dyDescent="0.25">
      <c r="R66" s="94"/>
    </row>
    <row r="67" spans="2:18" x14ac:dyDescent="0.25">
      <c r="R67" s="117"/>
    </row>
    <row r="68" spans="2:18" x14ac:dyDescent="0.25">
      <c r="R68" s="117"/>
    </row>
    <row r="69" spans="2:18" x14ac:dyDescent="0.25">
      <c r="R69" s="117"/>
    </row>
    <row r="70" spans="2:18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</sheetData>
  <mergeCells count="84">
    <mergeCell ref="I41:I45"/>
    <mergeCell ref="C57:D60"/>
    <mergeCell ref="B57:B60"/>
    <mergeCell ref="C21:D21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7:Q17"/>
    <mergeCell ref="B18:B20"/>
    <mergeCell ref="P6:P7"/>
    <mergeCell ref="Q6:Q7"/>
    <mergeCell ref="O9:O16"/>
    <mergeCell ref="C10:D10"/>
    <mergeCell ref="B14:B16"/>
    <mergeCell ref="C14:C16"/>
    <mergeCell ref="C8:Q8"/>
    <mergeCell ref="C11:D11"/>
    <mergeCell ref="C12:D12"/>
    <mergeCell ref="C13:D13"/>
    <mergeCell ref="P13:Q13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P31:P32"/>
    <mergeCell ref="O51:P51"/>
    <mergeCell ref="C52:D52"/>
    <mergeCell ref="O52:P52"/>
    <mergeCell ref="C53:D53"/>
    <mergeCell ref="C30:D30"/>
    <mergeCell ref="C31:D31"/>
    <mergeCell ref="C33:D33"/>
    <mergeCell ref="C34:D34"/>
    <mergeCell ref="M46:P46"/>
    <mergeCell ref="C32:D32"/>
    <mergeCell ref="I31:I32"/>
    <mergeCell ref="M31:M32"/>
    <mergeCell ref="N31:N32"/>
    <mergeCell ref="O31:O32"/>
    <mergeCell ref="B48:N48"/>
    <mergeCell ref="B35:B40"/>
    <mergeCell ref="M41:P45"/>
    <mergeCell ref="O48:Q48"/>
    <mergeCell ref="I55:Q60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41:B46"/>
    <mergeCell ref="C41:C46"/>
  </mergeCells>
  <pageMargins left="0" right="0" top="0.75" bottom="0.75" header="0.3" footer="0.3"/>
  <pageSetup paperSize="9" scale="55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B2:S155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6" sqref="A6"/>
      <selection pane="bottomRight" activeCell="T6" sqref="T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1.140625" style="68" customWidth="1"/>
    <col min="11" max="11" width="10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4" width="9.140625" style="68"/>
    <col min="255" max="255" width="3.7109375" style="68" customWidth="1"/>
    <col min="256" max="256" width="4" style="68" bestFit="1" customWidth="1"/>
    <col min="257" max="257" width="14.5703125" style="68" customWidth="1"/>
    <col min="258" max="258" width="11.140625" style="68" customWidth="1"/>
    <col min="259" max="259" width="8.7109375" style="68" customWidth="1"/>
    <col min="260" max="260" width="9.7109375" style="68" bestFit="1" customWidth="1"/>
    <col min="261" max="261" width="10.85546875" style="68" customWidth="1"/>
    <col min="262" max="262" width="10.42578125" style="68" customWidth="1"/>
    <col min="263" max="263" width="9.7109375" style="68" bestFit="1" customWidth="1"/>
    <col min="264" max="266" width="9.28515625" style="68" bestFit="1" customWidth="1"/>
    <col min="267" max="267" width="10.7109375" style="68" bestFit="1" customWidth="1"/>
    <col min="268" max="268" width="11.28515625" style="68" customWidth="1"/>
    <col min="269" max="269" width="12.5703125" style="68" customWidth="1"/>
    <col min="270" max="270" width="13.5703125" style="68" customWidth="1"/>
    <col min="271" max="271" width="13" style="68" customWidth="1"/>
    <col min="272" max="510" width="9.140625" style="68"/>
    <col min="511" max="511" width="3.7109375" style="68" customWidth="1"/>
    <col min="512" max="512" width="4" style="68" bestFit="1" customWidth="1"/>
    <col min="513" max="513" width="14.5703125" style="68" customWidth="1"/>
    <col min="514" max="514" width="11.140625" style="68" customWidth="1"/>
    <col min="515" max="515" width="8.7109375" style="68" customWidth="1"/>
    <col min="516" max="516" width="9.7109375" style="68" bestFit="1" customWidth="1"/>
    <col min="517" max="517" width="10.85546875" style="68" customWidth="1"/>
    <col min="518" max="518" width="10.42578125" style="68" customWidth="1"/>
    <col min="519" max="519" width="9.7109375" style="68" bestFit="1" customWidth="1"/>
    <col min="520" max="522" width="9.28515625" style="68" bestFit="1" customWidth="1"/>
    <col min="523" max="523" width="10.7109375" style="68" bestFit="1" customWidth="1"/>
    <col min="524" max="524" width="11.28515625" style="68" customWidth="1"/>
    <col min="525" max="525" width="12.5703125" style="68" customWidth="1"/>
    <col min="526" max="526" width="13.5703125" style="68" customWidth="1"/>
    <col min="527" max="527" width="13" style="68" customWidth="1"/>
    <col min="528" max="766" width="9.140625" style="68"/>
    <col min="767" max="767" width="3.7109375" style="68" customWidth="1"/>
    <col min="768" max="768" width="4" style="68" bestFit="1" customWidth="1"/>
    <col min="769" max="769" width="14.5703125" style="68" customWidth="1"/>
    <col min="770" max="770" width="11.140625" style="68" customWidth="1"/>
    <col min="771" max="771" width="8.7109375" style="68" customWidth="1"/>
    <col min="772" max="772" width="9.7109375" style="68" bestFit="1" customWidth="1"/>
    <col min="773" max="773" width="10.85546875" style="68" customWidth="1"/>
    <col min="774" max="774" width="10.42578125" style="68" customWidth="1"/>
    <col min="775" max="775" width="9.7109375" style="68" bestFit="1" customWidth="1"/>
    <col min="776" max="778" width="9.28515625" style="68" bestFit="1" customWidth="1"/>
    <col min="779" max="779" width="10.7109375" style="68" bestFit="1" customWidth="1"/>
    <col min="780" max="780" width="11.28515625" style="68" customWidth="1"/>
    <col min="781" max="781" width="12.5703125" style="68" customWidth="1"/>
    <col min="782" max="782" width="13.5703125" style="68" customWidth="1"/>
    <col min="783" max="783" width="13" style="68" customWidth="1"/>
    <col min="784" max="1022" width="9.140625" style="68"/>
    <col min="1023" max="1023" width="3.7109375" style="68" customWidth="1"/>
    <col min="1024" max="1024" width="4" style="68" bestFit="1" customWidth="1"/>
    <col min="1025" max="1025" width="14.5703125" style="68" customWidth="1"/>
    <col min="1026" max="1026" width="11.140625" style="68" customWidth="1"/>
    <col min="1027" max="1027" width="8.7109375" style="68" customWidth="1"/>
    <col min="1028" max="1028" width="9.7109375" style="68" bestFit="1" customWidth="1"/>
    <col min="1029" max="1029" width="10.85546875" style="68" customWidth="1"/>
    <col min="1030" max="1030" width="10.42578125" style="68" customWidth="1"/>
    <col min="1031" max="1031" width="9.7109375" style="68" bestFit="1" customWidth="1"/>
    <col min="1032" max="1034" width="9.28515625" style="68" bestFit="1" customWidth="1"/>
    <col min="1035" max="1035" width="10.7109375" style="68" bestFit="1" customWidth="1"/>
    <col min="1036" max="1036" width="11.28515625" style="68" customWidth="1"/>
    <col min="1037" max="1037" width="12.5703125" style="68" customWidth="1"/>
    <col min="1038" max="1038" width="13.5703125" style="68" customWidth="1"/>
    <col min="1039" max="1039" width="13" style="68" customWidth="1"/>
    <col min="1040" max="1278" width="9.140625" style="68"/>
    <col min="1279" max="1279" width="3.7109375" style="68" customWidth="1"/>
    <col min="1280" max="1280" width="4" style="68" bestFit="1" customWidth="1"/>
    <col min="1281" max="1281" width="14.5703125" style="68" customWidth="1"/>
    <col min="1282" max="1282" width="11.140625" style="68" customWidth="1"/>
    <col min="1283" max="1283" width="8.7109375" style="68" customWidth="1"/>
    <col min="1284" max="1284" width="9.7109375" style="68" bestFit="1" customWidth="1"/>
    <col min="1285" max="1285" width="10.85546875" style="68" customWidth="1"/>
    <col min="1286" max="1286" width="10.42578125" style="68" customWidth="1"/>
    <col min="1287" max="1287" width="9.7109375" style="68" bestFit="1" customWidth="1"/>
    <col min="1288" max="1290" width="9.28515625" style="68" bestFit="1" customWidth="1"/>
    <col min="1291" max="1291" width="10.7109375" style="68" bestFit="1" customWidth="1"/>
    <col min="1292" max="1292" width="11.28515625" style="68" customWidth="1"/>
    <col min="1293" max="1293" width="12.5703125" style="68" customWidth="1"/>
    <col min="1294" max="1294" width="13.5703125" style="68" customWidth="1"/>
    <col min="1295" max="1295" width="13" style="68" customWidth="1"/>
    <col min="1296" max="1534" width="9.140625" style="68"/>
    <col min="1535" max="1535" width="3.7109375" style="68" customWidth="1"/>
    <col min="1536" max="1536" width="4" style="68" bestFit="1" customWidth="1"/>
    <col min="1537" max="1537" width="14.5703125" style="68" customWidth="1"/>
    <col min="1538" max="1538" width="11.140625" style="68" customWidth="1"/>
    <col min="1539" max="1539" width="8.7109375" style="68" customWidth="1"/>
    <col min="1540" max="1540" width="9.7109375" style="68" bestFit="1" customWidth="1"/>
    <col min="1541" max="1541" width="10.85546875" style="68" customWidth="1"/>
    <col min="1542" max="1542" width="10.42578125" style="68" customWidth="1"/>
    <col min="1543" max="1543" width="9.7109375" style="68" bestFit="1" customWidth="1"/>
    <col min="1544" max="1546" width="9.28515625" style="68" bestFit="1" customWidth="1"/>
    <col min="1547" max="1547" width="10.7109375" style="68" bestFit="1" customWidth="1"/>
    <col min="1548" max="1548" width="11.28515625" style="68" customWidth="1"/>
    <col min="1549" max="1549" width="12.5703125" style="68" customWidth="1"/>
    <col min="1550" max="1550" width="13.5703125" style="68" customWidth="1"/>
    <col min="1551" max="1551" width="13" style="68" customWidth="1"/>
    <col min="1552" max="1790" width="9.140625" style="68"/>
    <col min="1791" max="1791" width="3.7109375" style="68" customWidth="1"/>
    <col min="1792" max="1792" width="4" style="68" bestFit="1" customWidth="1"/>
    <col min="1793" max="1793" width="14.5703125" style="68" customWidth="1"/>
    <col min="1794" max="1794" width="11.140625" style="68" customWidth="1"/>
    <col min="1795" max="1795" width="8.7109375" style="68" customWidth="1"/>
    <col min="1796" max="1796" width="9.7109375" style="68" bestFit="1" customWidth="1"/>
    <col min="1797" max="1797" width="10.85546875" style="68" customWidth="1"/>
    <col min="1798" max="1798" width="10.42578125" style="68" customWidth="1"/>
    <col min="1799" max="1799" width="9.7109375" style="68" bestFit="1" customWidth="1"/>
    <col min="1800" max="1802" width="9.28515625" style="68" bestFit="1" customWidth="1"/>
    <col min="1803" max="1803" width="10.7109375" style="68" bestFit="1" customWidth="1"/>
    <col min="1804" max="1804" width="11.28515625" style="68" customWidth="1"/>
    <col min="1805" max="1805" width="12.5703125" style="68" customWidth="1"/>
    <col min="1806" max="1806" width="13.5703125" style="68" customWidth="1"/>
    <col min="1807" max="1807" width="13" style="68" customWidth="1"/>
    <col min="1808" max="2046" width="9.140625" style="68"/>
    <col min="2047" max="2047" width="3.7109375" style="68" customWidth="1"/>
    <col min="2048" max="2048" width="4" style="68" bestFit="1" customWidth="1"/>
    <col min="2049" max="2049" width="14.5703125" style="68" customWidth="1"/>
    <col min="2050" max="2050" width="11.140625" style="68" customWidth="1"/>
    <col min="2051" max="2051" width="8.7109375" style="68" customWidth="1"/>
    <col min="2052" max="2052" width="9.7109375" style="68" bestFit="1" customWidth="1"/>
    <col min="2053" max="2053" width="10.85546875" style="68" customWidth="1"/>
    <col min="2054" max="2054" width="10.42578125" style="68" customWidth="1"/>
    <col min="2055" max="2055" width="9.7109375" style="68" bestFit="1" customWidth="1"/>
    <col min="2056" max="2058" width="9.28515625" style="68" bestFit="1" customWidth="1"/>
    <col min="2059" max="2059" width="10.7109375" style="68" bestFit="1" customWidth="1"/>
    <col min="2060" max="2060" width="11.28515625" style="68" customWidth="1"/>
    <col min="2061" max="2061" width="12.5703125" style="68" customWidth="1"/>
    <col min="2062" max="2062" width="13.5703125" style="68" customWidth="1"/>
    <col min="2063" max="2063" width="13" style="68" customWidth="1"/>
    <col min="2064" max="2302" width="9.140625" style="68"/>
    <col min="2303" max="2303" width="3.7109375" style="68" customWidth="1"/>
    <col min="2304" max="2304" width="4" style="68" bestFit="1" customWidth="1"/>
    <col min="2305" max="2305" width="14.5703125" style="68" customWidth="1"/>
    <col min="2306" max="2306" width="11.140625" style="68" customWidth="1"/>
    <col min="2307" max="2307" width="8.7109375" style="68" customWidth="1"/>
    <col min="2308" max="2308" width="9.7109375" style="68" bestFit="1" customWidth="1"/>
    <col min="2309" max="2309" width="10.85546875" style="68" customWidth="1"/>
    <col min="2310" max="2310" width="10.42578125" style="68" customWidth="1"/>
    <col min="2311" max="2311" width="9.7109375" style="68" bestFit="1" customWidth="1"/>
    <col min="2312" max="2314" width="9.28515625" style="68" bestFit="1" customWidth="1"/>
    <col min="2315" max="2315" width="10.7109375" style="68" bestFit="1" customWidth="1"/>
    <col min="2316" max="2316" width="11.28515625" style="68" customWidth="1"/>
    <col min="2317" max="2317" width="12.5703125" style="68" customWidth="1"/>
    <col min="2318" max="2318" width="13.5703125" style="68" customWidth="1"/>
    <col min="2319" max="2319" width="13" style="68" customWidth="1"/>
    <col min="2320" max="2558" width="9.140625" style="68"/>
    <col min="2559" max="2559" width="3.7109375" style="68" customWidth="1"/>
    <col min="2560" max="2560" width="4" style="68" bestFit="1" customWidth="1"/>
    <col min="2561" max="2561" width="14.5703125" style="68" customWidth="1"/>
    <col min="2562" max="2562" width="11.140625" style="68" customWidth="1"/>
    <col min="2563" max="2563" width="8.7109375" style="68" customWidth="1"/>
    <col min="2564" max="2564" width="9.7109375" style="68" bestFit="1" customWidth="1"/>
    <col min="2565" max="2565" width="10.85546875" style="68" customWidth="1"/>
    <col min="2566" max="2566" width="10.42578125" style="68" customWidth="1"/>
    <col min="2567" max="2567" width="9.7109375" style="68" bestFit="1" customWidth="1"/>
    <col min="2568" max="2570" width="9.28515625" style="68" bestFit="1" customWidth="1"/>
    <col min="2571" max="2571" width="10.7109375" style="68" bestFit="1" customWidth="1"/>
    <col min="2572" max="2572" width="11.28515625" style="68" customWidth="1"/>
    <col min="2573" max="2573" width="12.5703125" style="68" customWidth="1"/>
    <col min="2574" max="2574" width="13.5703125" style="68" customWidth="1"/>
    <col min="2575" max="2575" width="13" style="68" customWidth="1"/>
    <col min="2576" max="2814" width="9.140625" style="68"/>
    <col min="2815" max="2815" width="3.7109375" style="68" customWidth="1"/>
    <col min="2816" max="2816" width="4" style="68" bestFit="1" customWidth="1"/>
    <col min="2817" max="2817" width="14.5703125" style="68" customWidth="1"/>
    <col min="2818" max="2818" width="11.140625" style="68" customWidth="1"/>
    <col min="2819" max="2819" width="8.7109375" style="68" customWidth="1"/>
    <col min="2820" max="2820" width="9.7109375" style="68" bestFit="1" customWidth="1"/>
    <col min="2821" max="2821" width="10.85546875" style="68" customWidth="1"/>
    <col min="2822" max="2822" width="10.42578125" style="68" customWidth="1"/>
    <col min="2823" max="2823" width="9.7109375" style="68" bestFit="1" customWidth="1"/>
    <col min="2824" max="2826" width="9.28515625" style="68" bestFit="1" customWidth="1"/>
    <col min="2827" max="2827" width="10.7109375" style="68" bestFit="1" customWidth="1"/>
    <col min="2828" max="2828" width="11.28515625" style="68" customWidth="1"/>
    <col min="2829" max="2829" width="12.5703125" style="68" customWidth="1"/>
    <col min="2830" max="2830" width="13.5703125" style="68" customWidth="1"/>
    <col min="2831" max="2831" width="13" style="68" customWidth="1"/>
    <col min="2832" max="3070" width="9.140625" style="68"/>
    <col min="3071" max="3071" width="3.7109375" style="68" customWidth="1"/>
    <col min="3072" max="3072" width="4" style="68" bestFit="1" customWidth="1"/>
    <col min="3073" max="3073" width="14.5703125" style="68" customWidth="1"/>
    <col min="3074" max="3074" width="11.140625" style="68" customWidth="1"/>
    <col min="3075" max="3075" width="8.7109375" style="68" customWidth="1"/>
    <col min="3076" max="3076" width="9.7109375" style="68" bestFit="1" customWidth="1"/>
    <col min="3077" max="3077" width="10.85546875" style="68" customWidth="1"/>
    <col min="3078" max="3078" width="10.42578125" style="68" customWidth="1"/>
    <col min="3079" max="3079" width="9.7109375" style="68" bestFit="1" customWidth="1"/>
    <col min="3080" max="3082" width="9.28515625" style="68" bestFit="1" customWidth="1"/>
    <col min="3083" max="3083" width="10.7109375" style="68" bestFit="1" customWidth="1"/>
    <col min="3084" max="3084" width="11.28515625" style="68" customWidth="1"/>
    <col min="3085" max="3085" width="12.5703125" style="68" customWidth="1"/>
    <col min="3086" max="3086" width="13.5703125" style="68" customWidth="1"/>
    <col min="3087" max="3087" width="13" style="68" customWidth="1"/>
    <col min="3088" max="3326" width="9.140625" style="68"/>
    <col min="3327" max="3327" width="3.7109375" style="68" customWidth="1"/>
    <col min="3328" max="3328" width="4" style="68" bestFit="1" customWidth="1"/>
    <col min="3329" max="3329" width="14.5703125" style="68" customWidth="1"/>
    <col min="3330" max="3330" width="11.140625" style="68" customWidth="1"/>
    <col min="3331" max="3331" width="8.7109375" style="68" customWidth="1"/>
    <col min="3332" max="3332" width="9.7109375" style="68" bestFit="1" customWidth="1"/>
    <col min="3333" max="3333" width="10.85546875" style="68" customWidth="1"/>
    <col min="3334" max="3334" width="10.42578125" style="68" customWidth="1"/>
    <col min="3335" max="3335" width="9.7109375" style="68" bestFit="1" customWidth="1"/>
    <col min="3336" max="3338" width="9.28515625" style="68" bestFit="1" customWidth="1"/>
    <col min="3339" max="3339" width="10.7109375" style="68" bestFit="1" customWidth="1"/>
    <col min="3340" max="3340" width="11.28515625" style="68" customWidth="1"/>
    <col min="3341" max="3341" width="12.5703125" style="68" customWidth="1"/>
    <col min="3342" max="3342" width="13.5703125" style="68" customWidth="1"/>
    <col min="3343" max="3343" width="13" style="68" customWidth="1"/>
    <col min="3344" max="3582" width="9.140625" style="68"/>
    <col min="3583" max="3583" width="3.7109375" style="68" customWidth="1"/>
    <col min="3584" max="3584" width="4" style="68" bestFit="1" customWidth="1"/>
    <col min="3585" max="3585" width="14.5703125" style="68" customWidth="1"/>
    <col min="3586" max="3586" width="11.140625" style="68" customWidth="1"/>
    <col min="3587" max="3587" width="8.7109375" style="68" customWidth="1"/>
    <col min="3588" max="3588" width="9.7109375" style="68" bestFit="1" customWidth="1"/>
    <col min="3589" max="3589" width="10.85546875" style="68" customWidth="1"/>
    <col min="3590" max="3590" width="10.42578125" style="68" customWidth="1"/>
    <col min="3591" max="3591" width="9.7109375" style="68" bestFit="1" customWidth="1"/>
    <col min="3592" max="3594" width="9.28515625" style="68" bestFit="1" customWidth="1"/>
    <col min="3595" max="3595" width="10.7109375" style="68" bestFit="1" customWidth="1"/>
    <col min="3596" max="3596" width="11.28515625" style="68" customWidth="1"/>
    <col min="3597" max="3597" width="12.5703125" style="68" customWidth="1"/>
    <col min="3598" max="3598" width="13.5703125" style="68" customWidth="1"/>
    <col min="3599" max="3599" width="13" style="68" customWidth="1"/>
    <col min="3600" max="3838" width="9.140625" style="68"/>
    <col min="3839" max="3839" width="3.7109375" style="68" customWidth="1"/>
    <col min="3840" max="3840" width="4" style="68" bestFit="1" customWidth="1"/>
    <col min="3841" max="3841" width="14.5703125" style="68" customWidth="1"/>
    <col min="3842" max="3842" width="11.140625" style="68" customWidth="1"/>
    <col min="3843" max="3843" width="8.7109375" style="68" customWidth="1"/>
    <col min="3844" max="3844" width="9.7109375" style="68" bestFit="1" customWidth="1"/>
    <col min="3845" max="3845" width="10.85546875" style="68" customWidth="1"/>
    <col min="3846" max="3846" width="10.42578125" style="68" customWidth="1"/>
    <col min="3847" max="3847" width="9.7109375" style="68" bestFit="1" customWidth="1"/>
    <col min="3848" max="3850" width="9.28515625" style="68" bestFit="1" customWidth="1"/>
    <col min="3851" max="3851" width="10.7109375" style="68" bestFit="1" customWidth="1"/>
    <col min="3852" max="3852" width="11.28515625" style="68" customWidth="1"/>
    <col min="3853" max="3853" width="12.5703125" style="68" customWidth="1"/>
    <col min="3854" max="3854" width="13.5703125" style="68" customWidth="1"/>
    <col min="3855" max="3855" width="13" style="68" customWidth="1"/>
    <col min="3856" max="4094" width="9.140625" style="68"/>
    <col min="4095" max="4095" width="3.7109375" style="68" customWidth="1"/>
    <col min="4096" max="4096" width="4" style="68" bestFit="1" customWidth="1"/>
    <col min="4097" max="4097" width="14.5703125" style="68" customWidth="1"/>
    <col min="4098" max="4098" width="11.140625" style="68" customWidth="1"/>
    <col min="4099" max="4099" width="8.7109375" style="68" customWidth="1"/>
    <col min="4100" max="4100" width="9.7109375" style="68" bestFit="1" customWidth="1"/>
    <col min="4101" max="4101" width="10.85546875" style="68" customWidth="1"/>
    <col min="4102" max="4102" width="10.42578125" style="68" customWidth="1"/>
    <col min="4103" max="4103" width="9.7109375" style="68" bestFit="1" customWidth="1"/>
    <col min="4104" max="4106" width="9.28515625" style="68" bestFit="1" customWidth="1"/>
    <col min="4107" max="4107" width="10.7109375" style="68" bestFit="1" customWidth="1"/>
    <col min="4108" max="4108" width="11.28515625" style="68" customWidth="1"/>
    <col min="4109" max="4109" width="12.5703125" style="68" customWidth="1"/>
    <col min="4110" max="4110" width="13.5703125" style="68" customWidth="1"/>
    <col min="4111" max="4111" width="13" style="68" customWidth="1"/>
    <col min="4112" max="4350" width="9.140625" style="68"/>
    <col min="4351" max="4351" width="3.7109375" style="68" customWidth="1"/>
    <col min="4352" max="4352" width="4" style="68" bestFit="1" customWidth="1"/>
    <col min="4353" max="4353" width="14.5703125" style="68" customWidth="1"/>
    <col min="4354" max="4354" width="11.140625" style="68" customWidth="1"/>
    <col min="4355" max="4355" width="8.7109375" style="68" customWidth="1"/>
    <col min="4356" max="4356" width="9.7109375" style="68" bestFit="1" customWidth="1"/>
    <col min="4357" max="4357" width="10.85546875" style="68" customWidth="1"/>
    <col min="4358" max="4358" width="10.42578125" style="68" customWidth="1"/>
    <col min="4359" max="4359" width="9.7109375" style="68" bestFit="1" customWidth="1"/>
    <col min="4360" max="4362" width="9.28515625" style="68" bestFit="1" customWidth="1"/>
    <col min="4363" max="4363" width="10.7109375" style="68" bestFit="1" customWidth="1"/>
    <col min="4364" max="4364" width="11.28515625" style="68" customWidth="1"/>
    <col min="4365" max="4365" width="12.5703125" style="68" customWidth="1"/>
    <col min="4366" max="4366" width="13.5703125" style="68" customWidth="1"/>
    <col min="4367" max="4367" width="13" style="68" customWidth="1"/>
    <col min="4368" max="4606" width="9.140625" style="68"/>
    <col min="4607" max="4607" width="3.7109375" style="68" customWidth="1"/>
    <col min="4608" max="4608" width="4" style="68" bestFit="1" customWidth="1"/>
    <col min="4609" max="4609" width="14.5703125" style="68" customWidth="1"/>
    <col min="4610" max="4610" width="11.140625" style="68" customWidth="1"/>
    <col min="4611" max="4611" width="8.7109375" style="68" customWidth="1"/>
    <col min="4612" max="4612" width="9.7109375" style="68" bestFit="1" customWidth="1"/>
    <col min="4613" max="4613" width="10.85546875" style="68" customWidth="1"/>
    <col min="4614" max="4614" width="10.42578125" style="68" customWidth="1"/>
    <col min="4615" max="4615" width="9.7109375" style="68" bestFit="1" customWidth="1"/>
    <col min="4616" max="4618" width="9.28515625" style="68" bestFit="1" customWidth="1"/>
    <col min="4619" max="4619" width="10.7109375" style="68" bestFit="1" customWidth="1"/>
    <col min="4620" max="4620" width="11.28515625" style="68" customWidth="1"/>
    <col min="4621" max="4621" width="12.5703125" style="68" customWidth="1"/>
    <col min="4622" max="4622" width="13.5703125" style="68" customWidth="1"/>
    <col min="4623" max="4623" width="13" style="68" customWidth="1"/>
    <col min="4624" max="4862" width="9.140625" style="68"/>
    <col min="4863" max="4863" width="3.7109375" style="68" customWidth="1"/>
    <col min="4864" max="4864" width="4" style="68" bestFit="1" customWidth="1"/>
    <col min="4865" max="4865" width="14.5703125" style="68" customWidth="1"/>
    <col min="4866" max="4866" width="11.140625" style="68" customWidth="1"/>
    <col min="4867" max="4867" width="8.7109375" style="68" customWidth="1"/>
    <col min="4868" max="4868" width="9.7109375" style="68" bestFit="1" customWidth="1"/>
    <col min="4869" max="4869" width="10.85546875" style="68" customWidth="1"/>
    <col min="4870" max="4870" width="10.42578125" style="68" customWidth="1"/>
    <col min="4871" max="4871" width="9.7109375" style="68" bestFit="1" customWidth="1"/>
    <col min="4872" max="4874" width="9.28515625" style="68" bestFit="1" customWidth="1"/>
    <col min="4875" max="4875" width="10.7109375" style="68" bestFit="1" customWidth="1"/>
    <col min="4876" max="4876" width="11.28515625" style="68" customWidth="1"/>
    <col min="4877" max="4877" width="12.5703125" style="68" customWidth="1"/>
    <col min="4878" max="4878" width="13.5703125" style="68" customWidth="1"/>
    <col min="4879" max="4879" width="13" style="68" customWidth="1"/>
    <col min="4880" max="5118" width="9.140625" style="68"/>
    <col min="5119" max="5119" width="3.7109375" style="68" customWidth="1"/>
    <col min="5120" max="5120" width="4" style="68" bestFit="1" customWidth="1"/>
    <col min="5121" max="5121" width="14.5703125" style="68" customWidth="1"/>
    <col min="5122" max="5122" width="11.140625" style="68" customWidth="1"/>
    <col min="5123" max="5123" width="8.7109375" style="68" customWidth="1"/>
    <col min="5124" max="5124" width="9.7109375" style="68" bestFit="1" customWidth="1"/>
    <col min="5125" max="5125" width="10.85546875" style="68" customWidth="1"/>
    <col min="5126" max="5126" width="10.42578125" style="68" customWidth="1"/>
    <col min="5127" max="5127" width="9.7109375" style="68" bestFit="1" customWidth="1"/>
    <col min="5128" max="5130" width="9.28515625" style="68" bestFit="1" customWidth="1"/>
    <col min="5131" max="5131" width="10.7109375" style="68" bestFit="1" customWidth="1"/>
    <col min="5132" max="5132" width="11.28515625" style="68" customWidth="1"/>
    <col min="5133" max="5133" width="12.5703125" style="68" customWidth="1"/>
    <col min="5134" max="5134" width="13.5703125" style="68" customWidth="1"/>
    <col min="5135" max="5135" width="13" style="68" customWidth="1"/>
    <col min="5136" max="5374" width="9.140625" style="68"/>
    <col min="5375" max="5375" width="3.7109375" style="68" customWidth="1"/>
    <col min="5376" max="5376" width="4" style="68" bestFit="1" customWidth="1"/>
    <col min="5377" max="5377" width="14.5703125" style="68" customWidth="1"/>
    <col min="5378" max="5378" width="11.140625" style="68" customWidth="1"/>
    <col min="5379" max="5379" width="8.7109375" style="68" customWidth="1"/>
    <col min="5380" max="5380" width="9.7109375" style="68" bestFit="1" customWidth="1"/>
    <col min="5381" max="5381" width="10.85546875" style="68" customWidth="1"/>
    <col min="5382" max="5382" width="10.42578125" style="68" customWidth="1"/>
    <col min="5383" max="5383" width="9.7109375" style="68" bestFit="1" customWidth="1"/>
    <col min="5384" max="5386" width="9.28515625" style="68" bestFit="1" customWidth="1"/>
    <col min="5387" max="5387" width="10.7109375" style="68" bestFit="1" customWidth="1"/>
    <col min="5388" max="5388" width="11.28515625" style="68" customWidth="1"/>
    <col min="5389" max="5389" width="12.5703125" style="68" customWidth="1"/>
    <col min="5390" max="5390" width="13.5703125" style="68" customWidth="1"/>
    <col min="5391" max="5391" width="13" style="68" customWidth="1"/>
    <col min="5392" max="5630" width="9.140625" style="68"/>
    <col min="5631" max="5631" width="3.7109375" style="68" customWidth="1"/>
    <col min="5632" max="5632" width="4" style="68" bestFit="1" customWidth="1"/>
    <col min="5633" max="5633" width="14.5703125" style="68" customWidth="1"/>
    <col min="5634" max="5634" width="11.140625" style="68" customWidth="1"/>
    <col min="5635" max="5635" width="8.7109375" style="68" customWidth="1"/>
    <col min="5636" max="5636" width="9.7109375" style="68" bestFit="1" customWidth="1"/>
    <col min="5637" max="5637" width="10.85546875" style="68" customWidth="1"/>
    <col min="5638" max="5638" width="10.42578125" style="68" customWidth="1"/>
    <col min="5639" max="5639" width="9.7109375" style="68" bestFit="1" customWidth="1"/>
    <col min="5640" max="5642" width="9.28515625" style="68" bestFit="1" customWidth="1"/>
    <col min="5643" max="5643" width="10.7109375" style="68" bestFit="1" customWidth="1"/>
    <col min="5644" max="5644" width="11.28515625" style="68" customWidth="1"/>
    <col min="5645" max="5645" width="12.5703125" style="68" customWidth="1"/>
    <col min="5646" max="5646" width="13.5703125" style="68" customWidth="1"/>
    <col min="5647" max="5647" width="13" style="68" customWidth="1"/>
    <col min="5648" max="5886" width="9.140625" style="68"/>
    <col min="5887" max="5887" width="3.7109375" style="68" customWidth="1"/>
    <col min="5888" max="5888" width="4" style="68" bestFit="1" customWidth="1"/>
    <col min="5889" max="5889" width="14.5703125" style="68" customWidth="1"/>
    <col min="5890" max="5890" width="11.140625" style="68" customWidth="1"/>
    <col min="5891" max="5891" width="8.7109375" style="68" customWidth="1"/>
    <col min="5892" max="5892" width="9.7109375" style="68" bestFit="1" customWidth="1"/>
    <col min="5893" max="5893" width="10.85546875" style="68" customWidth="1"/>
    <col min="5894" max="5894" width="10.42578125" style="68" customWidth="1"/>
    <col min="5895" max="5895" width="9.7109375" style="68" bestFit="1" customWidth="1"/>
    <col min="5896" max="5898" width="9.28515625" style="68" bestFit="1" customWidth="1"/>
    <col min="5899" max="5899" width="10.7109375" style="68" bestFit="1" customWidth="1"/>
    <col min="5900" max="5900" width="11.28515625" style="68" customWidth="1"/>
    <col min="5901" max="5901" width="12.5703125" style="68" customWidth="1"/>
    <col min="5902" max="5902" width="13.5703125" style="68" customWidth="1"/>
    <col min="5903" max="5903" width="13" style="68" customWidth="1"/>
    <col min="5904" max="6142" width="9.140625" style="68"/>
    <col min="6143" max="6143" width="3.7109375" style="68" customWidth="1"/>
    <col min="6144" max="6144" width="4" style="68" bestFit="1" customWidth="1"/>
    <col min="6145" max="6145" width="14.5703125" style="68" customWidth="1"/>
    <col min="6146" max="6146" width="11.140625" style="68" customWidth="1"/>
    <col min="6147" max="6147" width="8.7109375" style="68" customWidth="1"/>
    <col min="6148" max="6148" width="9.7109375" style="68" bestFit="1" customWidth="1"/>
    <col min="6149" max="6149" width="10.85546875" style="68" customWidth="1"/>
    <col min="6150" max="6150" width="10.42578125" style="68" customWidth="1"/>
    <col min="6151" max="6151" width="9.7109375" style="68" bestFit="1" customWidth="1"/>
    <col min="6152" max="6154" width="9.28515625" style="68" bestFit="1" customWidth="1"/>
    <col min="6155" max="6155" width="10.7109375" style="68" bestFit="1" customWidth="1"/>
    <col min="6156" max="6156" width="11.28515625" style="68" customWidth="1"/>
    <col min="6157" max="6157" width="12.5703125" style="68" customWidth="1"/>
    <col min="6158" max="6158" width="13.5703125" style="68" customWidth="1"/>
    <col min="6159" max="6159" width="13" style="68" customWidth="1"/>
    <col min="6160" max="6398" width="9.140625" style="68"/>
    <col min="6399" max="6399" width="3.7109375" style="68" customWidth="1"/>
    <col min="6400" max="6400" width="4" style="68" bestFit="1" customWidth="1"/>
    <col min="6401" max="6401" width="14.5703125" style="68" customWidth="1"/>
    <col min="6402" max="6402" width="11.140625" style="68" customWidth="1"/>
    <col min="6403" max="6403" width="8.7109375" style="68" customWidth="1"/>
    <col min="6404" max="6404" width="9.7109375" style="68" bestFit="1" customWidth="1"/>
    <col min="6405" max="6405" width="10.85546875" style="68" customWidth="1"/>
    <col min="6406" max="6406" width="10.42578125" style="68" customWidth="1"/>
    <col min="6407" max="6407" width="9.7109375" style="68" bestFit="1" customWidth="1"/>
    <col min="6408" max="6410" width="9.28515625" style="68" bestFit="1" customWidth="1"/>
    <col min="6411" max="6411" width="10.7109375" style="68" bestFit="1" customWidth="1"/>
    <col min="6412" max="6412" width="11.28515625" style="68" customWidth="1"/>
    <col min="6413" max="6413" width="12.5703125" style="68" customWidth="1"/>
    <col min="6414" max="6414" width="13.5703125" style="68" customWidth="1"/>
    <col min="6415" max="6415" width="13" style="68" customWidth="1"/>
    <col min="6416" max="6654" width="9.140625" style="68"/>
    <col min="6655" max="6655" width="3.7109375" style="68" customWidth="1"/>
    <col min="6656" max="6656" width="4" style="68" bestFit="1" customWidth="1"/>
    <col min="6657" max="6657" width="14.5703125" style="68" customWidth="1"/>
    <col min="6658" max="6658" width="11.140625" style="68" customWidth="1"/>
    <col min="6659" max="6659" width="8.7109375" style="68" customWidth="1"/>
    <col min="6660" max="6660" width="9.7109375" style="68" bestFit="1" customWidth="1"/>
    <col min="6661" max="6661" width="10.85546875" style="68" customWidth="1"/>
    <col min="6662" max="6662" width="10.42578125" style="68" customWidth="1"/>
    <col min="6663" max="6663" width="9.7109375" style="68" bestFit="1" customWidth="1"/>
    <col min="6664" max="6666" width="9.28515625" style="68" bestFit="1" customWidth="1"/>
    <col min="6667" max="6667" width="10.7109375" style="68" bestFit="1" customWidth="1"/>
    <col min="6668" max="6668" width="11.28515625" style="68" customWidth="1"/>
    <col min="6669" max="6669" width="12.5703125" style="68" customWidth="1"/>
    <col min="6670" max="6670" width="13.5703125" style="68" customWidth="1"/>
    <col min="6671" max="6671" width="13" style="68" customWidth="1"/>
    <col min="6672" max="6910" width="9.140625" style="68"/>
    <col min="6911" max="6911" width="3.7109375" style="68" customWidth="1"/>
    <col min="6912" max="6912" width="4" style="68" bestFit="1" customWidth="1"/>
    <col min="6913" max="6913" width="14.5703125" style="68" customWidth="1"/>
    <col min="6914" max="6914" width="11.140625" style="68" customWidth="1"/>
    <col min="6915" max="6915" width="8.7109375" style="68" customWidth="1"/>
    <col min="6916" max="6916" width="9.7109375" style="68" bestFit="1" customWidth="1"/>
    <col min="6917" max="6917" width="10.85546875" style="68" customWidth="1"/>
    <col min="6918" max="6918" width="10.42578125" style="68" customWidth="1"/>
    <col min="6919" max="6919" width="9.7109375" style="68" bestFit="1" customWidth="1"/>
    <col min="6920" max="6922" width="9.28515625" style="68" bestFit="1" customWidth="1"/>
    <col min="6923" max="6923" width="10.7109375" style="68" bestFit="1" customWidth="1"/>
    <col min="6924" max="6924" width="11.28515625" style="68" customWidth="1"/>
    <col min="6925" max="6925" width="12.5703125" style="68" customWidth="1"/>
    <col min="6926" max="6926" width="13.5703125" style="68" customWidth="1"/>
    <col min="6927" max="6927" width="13" style="68" customWidth="1"/>
    <col min="6928" max="7166" width="9.140625" style="68"/>
    <col min="7167" max="7167" width="3.7109375" style="68" customWidth="1"/>
    <col min="7168" max="7168" width="4" style="68" bestFit="1" customWidth="1"/>
    <col min="7169" max="7169" width="14.5703125" style="68" customWidth="1"/>
    <col min="7170" max="7170" width="11.140625" style="68" customWidth="1"/>
    <col min="7171" max="7171" width="8.7109375" style="68" customWidth="1"/>
    <col min="7172" max="7172" width="9.7109375" style="68" bestFit="1" customWidth="1"/>
    <col min="7173" max="7173" width="10.85546875" style="68" customWidth="1"/>
    <col min="7174" max="7174" width="10.42578125" style="68" customWidth="1"/>
    <col min="7175" max="7175" width="9.7109375" style="68" bestFit="1" customWidth="1"/>
    <col min="7176" max="7178" width="9.28515625" style="68" bestFit="1" customWidth="1"/>
    <col min="7179" max="7179" width="10.7109375" style="68" bestFit="1" customWidth="1"/>
    <col min="7180" max="7180" width="11.28515625" style="68" customWidth="1"/>
    <col min="7181" max="7181" width="12.5703125" style="68" customWidth="1"/>
    <col min="7182" max="7182" width="13.5703125" style="68" customWidth="1"/>
    <col min="7183" max="7183" width="13" style="68" customWidth="1"/>
    <col min="7184" max="7422" width="9.140625" style="68"/>
    <col min="7423" max="7423" width="3.7109375" style="68" customWidth="1"/>
    <col min="7424" max="7424" width="4" style="68" bestFit="1" customWidth="1"/>
    <col min="7425" max="7425" width="14.5703125" style="68" customWidth="1"/>
    <col min="7426" max="7426" width="11.140625" style="68" customWidth="1"/>
    <col min="7427" max="7427" width="8.7109375" style="68" customWidth="1"/>
    <col min="7428" max="7428" width="9.7109375" style="68" bestFit="1" customWidth="1"/>
    <col min="7429" max="7429" width="10.85546875" style="68" customWidth="1"/>
    <col min="7430" max="7430" width="10.42578125" style="68" customWidth="1"/>
    <col min="7431" max="7431" width="9.7109375" style="68" bestFit="1" customWidth="1"/>
    <col min="7432" max="7434" width="9.28515625" style="68" bestFit="1" customWidth="1"/>
    <col min="7435" max="7435" width="10.7109375" style="68" bestFit="1" customWidth="1"/>
    <col min="7436" max="7436" width="11.28515625" style="68" customWidth="1"/>
    <col min="7437" max="7437" width="12.5703125" style="68" customWidth="1"/>
    <col min="7438" max="7438" width="13.5703125" style="68" customWidth="1"/>
    <col min="7439" max="7439" width="13" style="68" customWidth="1"/>
    <col min="7440" max="7678" width="9.140625" style="68"/>
    <col min="7679" max="7679" width="3.7109375" style="68" customWidth="1"/>
    <col min="7680" max="7680" width="4" style="68" bestFit="1" customWidth="1"/>
    <col min="7681" max="7681" width="14.5703125" style="68" customWidth="1"/>
    <col min="7682" max="7682" width="11.140625" style="68" customWidth="1"/>
    <col min="7683" max="7683" width="8.7109375" style="68" customWidth="1"/>
    <col min="7684" max="7684" width="9.7109375" style="68" bestFit="1" customWidth="1"/>
    <col min="7685" max="7685" width="10.85546875" style="68" customWidth="1"/>
    <col min="7686" max="7686" width="10.42578125" style="68" customWidth="1"/>
    <col min="7687" max="7687" width="9.7109375" style="68" bestFit="1" customWidth="1"/>
    <col min="7688" max="7690" width="9.28515625" style="68" bestFit="1" customWidth="1"/>
    <col min="7691" max="7691" width="10.7109375" style="68" bestFit="1" customWidth="1"/>
    <col min="7692" max="7692" width="11.28515625" style="68" customWidth="1"/>
    <col min="7693" max="7693" width="12.5703125" style="68" customWidth="1"/>
    <col min="7694" max="7694" width="13.5703125" style="68" customWidth="1"/>
    <col min="7695" max="7695" width="13" style="68" customWidth="1"/>
    <col min="7696" max="7934" width="9.140625" style="68"/>
    <col min="7935" max="7935" width="3.7109375" style="68" customWidth="1"/>
    <col min="7936" max="7936" width="4" style="68" bestFit="1" customWidth="1"/>
    <col min="7937" max="7937" width="14.5703125" style="68" customWidth="1"/>
    <col min="7938" max="7938" width="11.140625" style="68" customWidth="1"/>
    <col min="7939" max="7939" width="8.7109375" style="68" customWidth="1"/>
    <col min="7940" max="7940" width="9.7109375" style="68" bestFit="1" customWidth="1"/>
    <col min="7941" max="7941" width="10.85546875" style="68" customWidth="1"/>
    <col min="7942" max="7942" width="10.42578125" style="68" customWidth="1"/>
    <col min="7943" max="7943" width="9.7109375" style="68" bestFit="1" customWidth="1"/>
    <col min="7944" max="7946" width="9.28515625" style="68" bestFit="1" customWidth="1"/>
    <col min="7947" max="7947" width="10.7109375" style="68" bestFit="1" customWidth="1"/>
    <col min="7948" max="7948" width="11.28515625" style="68" customWidth="1"/>
    <col min="7949" max="7949" width="12.5703125" style="68" customWidth="1"/>
    <col min="7950" max="7950" width="13.5703125" style="68" customWidth="1"/>
    <col min="7951" max="7951" width="13" style="68" customWidth="1"/>
    <col min="7952" max="8190" width="9.140625" style="68"/>
    <col min="8191" max="8191" width="3.7109375" style="68" customWidth="1"/>
    <col min="8192" max="8192" width="4" style="68" bestFit="1" customWidth="1"/>
    <col min="8193" max="8193" width="14.5703125" style="68" customWidth="1"/>
    <col min="8194" max="8194" width="11.140625" style="68" customWidth="1"/>
    <col min="8195" max="8195" width="8.7109375" style="68" customWidth="1"/>
    <col min="8196" max="8196" width="9.7109375" style="68" bestFit="1" customWidth="1"/>
    <col min="8197" max="8197" width="10.85546875" style="68" customWidth="1"/>
    <col min="8198" max="8198" width="10.42578125" style="68" customWidth="1"/>
    <col min="8199" max="8199" width="9.7109375" style="68" bestFit="1" customWidth="1"/>
    <col min="8200" max="8202" width="9.28515625" style="68" bestFit="1" customWidth="1"/>
    <col min="8203" max="8203" width="10.7109375" style="68" bestFit="1" customWidth="1"/>
    <col min="8204" max="8204" width="11.28515625" style="68" customWidth="1"/>
    <col min="8205" max="8205" width="12.5703125" style="68" customWidth="1"/>
    <col min="8206" max="8206" width="13.5703125" style="68" customWidth="1"/>
    <col min="8207" max="8207" width="13" style="68" customWidth="1"/>
    <col min="8208" max="8446" width="9.140625" style="68"/>
    <col min="8447" max="8447" width="3.7109375" style="68" customWidth="1"/>
    <col min="8448" max="8448" width="4" style="68" bestFit="1" customWidth="1"/>
    <col min="8449" max="8449" width="14.5703125" style="68" customWidth="1"/>
    <col min="8450" max="8450" width="11.140625" style="68" customWidth="1"/>
    <col min="8451" max="8451" width="8.7109375" style="68" customWidth="1"/>
    <col min="8452" max="8452" width="9.7109375" style="68" bestFit="1" customWidth="1"/>
    <col min="8453" max="8453" width="10.85546875" style="68" customWidth="1"/>
    <col min="8454" max="8454" width="10.42578125" style="68" customWidth="1"/>
    <col min="8455" max="8455" width="9.7109375" style="68" bestFit="1" customWidth="1"/>
    <col min="8456" max="8458" width="9.28515625" style="68" bestFit="1" customWidth="1"/>
    <col min="8459" max="8459" width="10.7109375" style="68" bestFit="1" customWidth="1"/>
    <col min="8460" max="8460" width="11.28515625" style="68" customWidth="1"/>
    <col min="8461" max="8461" width="12.5703125" style="68" customWidth="1"/>
    <col min="8462" max="8462" width="13.5703125" style="68" customWidth="1"/>
    <col min="8463" max="8463" width="13" style="68" customWidth="1"/>
    <col min="8464" max="8702" width="9.140625" style="68"/>
    <col min="8703" max="8703" width="3.7109375" style="68" customWidth="1"/>
    <col min="8704" max="8704" width="4" style="68" bestFit="1" customWidth="1"/>
    <col min="8705" max="8705" width="14.5703125" style="68" customWidth="1"/>
    <col min="8706" max="8706" width="11.140625" style="68" customWidth="1"/>
    <col min="8707" max="8707" width="8.7109375" style="68" customWidth="1"/>
    <col min="8708" max="8708" width="9.7109375" style="68" bestFit="1" customWidth="1"/>
    <col min="8709" max="8709" width="10.85546875" style="68" customWidth="1"/>
    <col min="8710" max="8710" width="10.42578125" style="68" customWidth="1"/>
    <col min="8711" max="8711" width="9.7109375" style="68" bestFit="1" customWidth="1"/>
    <col min="8712" max="8714" width="9.28515625" style="68" bestFit="1" customWidth="1"/>
    <col min="8715" max="8715" width="10.7109375" style="68" bestFit="1" customWidth="1"/>
    <col min="8716" max="8716" width="11.28515625" style="68" customWidth="1"/>
    <col min="8717" max="8717" width="12.5703125" style="68" customWidth="1"/>
    <col min="8718" max="8718" width="13.5703125" style="68" customWidth="1"/>
    <col min="8719" max="8719" width="13" style="68" customWidth="1"/>
    <col min="8720" max="8958" width="9.140625" style="68"/>
    <col min="8959" max="8959" width="3.7109375" style="68" customWidth="1"/>
    <col min="8960" max="8960" width="4" style="68" bestFit="1" customWidth="1"/>
    <col min="8961" max="8961" width="14.5703125" style="68" customWidth="1"/>
    <col min="8962" max="8962" width="11.140625" style="68" customWidth="1"/>
    <col min="8963" max="8963" width="8.7109375" style="68" customWidth="1"/>
    <col min="8964" max="8964" width="9.7109375" style="68" bestFit="1" customWidth="1"/>
    <col min="8965" max="8965" width="10.85546875" style="68" customWidth="1"/>
    <col min="8966" max="8966" width="10.42578125" style="68" customWidth="1"/>
    <col min="8967" max="8967" width="9.7109375" style="68" bestFit="1" customWidth="1"/>
    <col min="8968" max="8970" width="9.28515625" style="68" bestFit="1" customWidth="1"/>
    <col min="8971" max="8971" width="10.7109375" style="68" bestFit="1" customWidth="1"/>
    <col min="8972" max="8972" width="11.28515625" style="68" customWidth="1"/>
    <col min="8973" max="8973" width="12.5703125" style="68" customWidth="1"/>
    <col min="8974" max="8974" width="13.5703125" style="68" customWidth="1"/>
    <col min="8975" max="8975" width="13" style="68" customWidth="1"/>
    <col min="8976" max="9214" width="9.140625" style="68"/>
    <col min="9215" max="9215" width="3.7109375" style="68" customWidth="1"/>
    <col min="9216" max="9216" width="4" style="68" bestFit="1" customWidth="1"/>
    <col min="9217" max="9217" width="14.5703125" style="68" customWidth="1"/>
    <col min="9218" max="9218" width="11.140625" style="68" customWidth="1"/>
    <col min="9219" max="9219" width="8.7109375" style="68" customWidth="1"/>
    <col min="9220" max="9220" width="9.7109375" style="68" bestFit="1" customWidth="1"/>
    <col min="9221" max="9221" width="10.85546875" style="68" customWidth="1"/>
    <col min="9222" max="9222" width="10.42578125" style="68" customWidth="1"/>
    <col min="9223" max="9223" width="9.7109375" style="68" bestFit="1" customWidth="1"/>
    <col min="9224" max="9226" width="9.28515625" style="68" bestFit="1" customWidth="1"/>
    <col min="9227" max="9227" width="10.7109375" style="68" bestFit="1" customWidth="1"/>
    <col min="9228" max="9228" width="11.28515625" style="68" customWidth="1"/>
    <col min="9229" max="9229" width="12.5703125" style="68" customWidth="1"/>
    <col min="9230" max="9230" width="13.5703125" style="68" customWidth="1"/>
    <col min="9231" max="9231" width="13" style="68" customWidth="1"/>
    <col min="9232" max="9470" width="9.140625" style="68"/>
    <col min="9471" max="9471" width="3.7109375" style="68" customWidth="1"/>
    <col min="9472" max="9472" width="4" style="68" bestFit="1" customWidth="1"/>
    <col min="9473" max="9473" width="14.5703125" style="68" customWidth="1"/>
    <col min="9474" max="9474" width="11.140625" style="68" customWidth="1"/>
    <col min="9475" max="9475" width="8.7109375" style="68" customWidth="1"/>
    <col min="9476" max="9476" width="9.7109375" style="68" bestFit="1" customWidth="1"/>
    <col min="9477" max="9477" width="10.85546875" style="68" customWidth="1"/>
    <col min="9478" max="9478" width="10.42578125" style="68" customWidth="1"/>
    <col min="9479" max="9479" width="9.7109375" style="68" bestFit="1" customWidth="1"/>
    <col min="9480" max="9482" width="9.28515625" style="68" bestFit="1" customWidth="1"/>
    <col min="9483" max="9483" width="10.7109375" style="68" bestFit="1" customWidth="1"/>
    <col min="9484" max="9484" width="11.28515625" style="68" customWidth="1"/>
    <col min="9485" max="9485" width="12.5703125" style="68" customWidth="1"/>
    <col min="9486" max="9486" width="13.5703125" style="68" customWidth="1"/>
    <col min="9487" max="9487" width="13" style="68" customWidth="1"/>
    <col min="9488" max="9726" width="9.140625" style="68"/>
    <col min="9727" max="9727" width="3.7109375" style="68" customWidth="1"/>
    <col min="9728" max="9728" width="4" style="68" bestFit="1" customWidth="1"/>
    <col min="9729" max="9729" width="14.5703125" style="68" customWidth="1"/>
    <col min="9730" max="9730" width="11.140625" style="68" customWidth="1"/>
    <col min="9731" max="9731" width="8.7109375" style="68" customWidth="1"/>
    <col min="9732" max="9732" width="9.7109375" style="68" bestFit="1" customWidth="1"/>
    <col min="9733" max="9733" width="10.85546875" style="68" customWidth="1"/>
    <col min="9734" max="9734" width="10.42578125" style="68" customWidth="1"/>
    <col min="9735" max="9735" width="9.7109375" style="68" bestFit="1" customWidth="1"/>
    <col min="9736" max="9738" width="9.28515625" style="68" bestFit="1" customWidth="1"/>
    <col min="9739" max="9739" width="10.7109375" style="68" bestFit="1" customWidth="1"/>
    <col min="9740" max="9740" width="11.28515625" style="68" customWidth="1"/>
    <col min="9741" max="9741" width="12.5703125" style="68" customWidth="1"/>
    <col min="9742" max="9742" width="13.5703125" style="68" customWidth="1"/>
    <col min="9743" max="9743" width="13" style="68" customWidth="1"/>
    <col min="9744" max="9982" width="9.140625" style="68"/>
    <col min="9983" max="9983" width="3.7109375" style="68" customWidth="1"/>
    <col min="9984" max="9984" width="4" style="68" bestFit="1" customWidth="1"/>
    <col min="9985" max="9985" width="14.5703125" style="68" customWidth="1"/>
    <col min="9986" max="9986" width="11.140625" style="68" customWidth="1"/>
    <col min="9987" max="9987" width="8.7109375" style="68" customWidth="1"/>
    <col min="9988" max="9988" width="9.7109375" style="68" bestFit="1" customWidth="1"/>
    <col min="9989" max="9989" width="10.85546875" style="68" customWidth="1"/>
    <col min="9990" max="9990" width="10.42578125" style="68" customWidth="1"/>
    <col min="9991" max="9991" width="9.7109375" style="68" bestFit="1" customWidth="1"/>
    <col min="9992" max="9994" width="9.28515625" style="68" bestFit="1" customWidth="1"/>
    <col min="9995" max="9995" width="10.7109375" style="68" bestFit="1" customWidth="1"/>
    <col min="9996" max="9996" width="11.28515625" style="68" customWidth="1"/>
    <col min="9997" max="9997" width="12.5703125" style="68" customWidth="1"/>
    <col min="9998" max="9998" width="13.5703125" style="68" customWidth="1"/>
    <col min="9999" max="9999" width="13" style="68" customWidth="1"/>
    <col min="10000" max="10238" width="9.140625" style="68"/>
    <col min="10239" max="10239" width="3.7109375" style="68" customWidth="1"/>
    <col min="10240" max="10240" width="4" style="68" bestFit="1" customWidth="1"/>
    <col min="10241" max="10241" width="14.5703125" style="68" customWidth="1"/>
    <col min="10242" max="10242" width="11.140625" style="68" customWidth="1"/>
    <col min="10243" max="10243" width="8.7109375" style="68" customWidth="1"/>
    <col min="10244" max="10244" width="9.7109375" style="68" bestFit="1" customWidth="1"/>
    <col min="10245" max="10245" width="10.85546875" style="68" customWidth="1"/>
    <col min="10246" max="10246" width="10.42578125" style="68" customWidth="1"/>
    <col min="10247" max="10247" width="9.7109375" style="68" bestFit="1" customWidth="1"/>
    <col min="10248" max="10250" width="9.28515625" style="68" bestFit="1" customWidth="1"/>
    <col min="10251" max="10251" width="10.7109375" style="68" bestFit="1" customWidth="1"/>
    <col min="10252" max="10252" width="11.28515625" style="68" customWidth="1"/>
    <col min="10253" max="10253" width="12.5703125" style="68" customWidth="1"/>
    <col min="10254" max="10254" width="13.5703125" style="68" customWidth="1"/>
    <col min="10255" max="10255" width="13" style="68" customWidth="1"/>
    <col min="10256" max="10494" width="9.140625" style="68"/>
    <col min="10495" max="10495" width="3.7109375" style="68" customWidth="1"/>
    <col min="10496" max="10496" width="4" style="68" bestFit="1" customWidth="1"/>
    <col min="10497" max="10497" width="14.5703125" style="68" customWidth="1"/>
    <col min="10498" max="10498" width="11.140625" style="68" customWidth="1"/>
    <col min="10499" max="10499" width="8.7109375" style="68" customWidth="1"/>
    <col min="10500" max="10500" width="9.7109375" style="68" bestFit="1" customWidth="1"/>
    <col min="10501" max="10501" width="10.85546875" style="68" customWidth="1"/>
    <col min="10502" max="10502" width="10.42578125" style="68" customWidth="1"/>
    <col min="10503" max="10503" width="9.7109375" style="68" bestFit="1" customWidth="1"/>
    <col min="10504" max="10506" width="9.28515625" style="68" bestFit="1" customWidth="1"/>
    <col min="10507" max="10507" width="10.7109375" style="68" bestFit="1" customWidth="1"/>
    <col min="10508" max="10508" width="11.28515625" style="68" customWidth="1"/>
    <col min="10509" max="10509" width="12.5703125" style="68" customWidth="1"/>
    <col min="10510" max="10510" width="13.5703125" style="68" customWidth="1"/>
    <col min="10511" max="10511" width="13" style="68" customWidth="1"/>
    <col min="10512" max="10750" width="9.140625" style="68"/>
    <col min="10751" max="10751" width="3.7109375" style="68" customWidth="1"/>
    <col min="10752" max="10752" width="4" style="68" bestFit="1" customWidth="1"/>
    <col min="10753" max="10753" width="14.5703125" style="68" customWidth="1"/>
    <col min="10754" max="10754" width="11.140625" style="68" customWidth="1"/>
    <col min="10755" max="10755" width="8.7109375" style="68" customWidth="1"/>
    <col min="10756" max="10756" width="9.7109375" style="68" bestFit="1" customWidth="1"/>
    <col min="10757" max="10757" width="10.85546875" style="68" customWidth="1"/>
    <col min="10758" max="10758" width="10.42578125" style="68" customWidth="1"/>
    <col min="10759" max="10759" width="9.7109375" style="68" bestFit="1" customWidth="1"/>
    <col min="10760" max="10762" width="9.28515625" style="68" bestFit="1" customWidth="1"/>
    <col min="10763" max="10763" width="10.7109375" style="68" bestFit="1" customWidth="1"/>
    <col min="10764" max="10764" width="11.28515625" style="68" customWidth="1"/>
    <col min="10765" max="10765" width="12.5703125" style="68" customWidth="1"/>
    <col min="10766" max="10766" width="13.5703125" style="68" customWidth="1"/>
    <col min="10767" max="10767" width="13" style="68" customWidth="1"/>
    <col min="10768" max="11006" width="9.140625" style="68"/>
    <col min="11007" max="11007" width="3.7109375" style="68" customWidth="1"/>
    <col min="11008" max="11008" width="4" style="68" bestFit="1" customWidth="1"/>
    <col min="11009" max="11009" width="14.5703125" style="68" customWidth="1"/>
    <col min="11010" max="11010" width="11.140625" style="68" customWidth="1"/>
    <col min="11011" max="11011" width="8.7109375" style="68" customWidth="1"/>
    <col min="11012" max="11012" width="9.7109375" style="68" bestFit="1" customWidth="1"/>
    <col min="11013" max="11013" width="10.85546875" style="68" customWidth="1"/>
    <col min="11014" max="11014" width="10.42578125" style="68" customWidth="1"/>
    <col min="11015" max="11015" width="9.7109375" style="68" bestFit="1" customWidth="1"/>
    <col min="11016" max="11018" width="9.28515625" style="68" bestFit="1" customWidth="1"/>
    <col min="11019" max="11019" width="10.7109375" style="68" bestFit="1" customWidth="1"/>
    <col min="11020" max="11020" width="11.28515625" style="68" customWidth="1"/>
    <col min="11021" max="11021" width="12.5703125" style="68" customWidth="1"/>
    <col min="11022" max="11022" width="13.5703125" style="68" customWidth="1"/>
    <col min="11023" max="11023" width="13" style="68" customWidth="1"/>
    <col min="11024" max="11262" width="9.140625" style="68"/>
    <col min="11263" max="11263" width="3.7109375" style="68" customWidth="1"/>
    <col min="11264" max="11264" width="4" style="68" bestFit="1" customWidth="1"/>
    <col min="11265" max="11265" width="14.5703125" style="68" customWidth="1"/>
    <col min="11266" max="11266" width="11.140625" style="68" customWidth="1"/>
    <col min="11267" max="11267" width="8.7109375" style="68" customWidth="1"/>
    <col min="11268" max="11268" width="9.7109375" style="68" bestFit="1" customWidth="1"/>
    <col min="11269" max="11269" width="10.85546875" style="68" customWidth="1"/>
    <col min="11270" max="11270" width="10.42578125" style="68" customWidth="1"/>
    <col min="11271" max="11271" width="9.7109375" style="68" bestFit="1" customWidth="1"/>
    <col min="11272" max="11274" width="9.28515625" style="68" bestFit="1" customWidth="1"/>
    <col min="11275" max="11275" width="10.7109375" style="68" bestFit="1" customWidth="1"/>
    <col min="11276" max="11276" width="11.28515625" style="68" customWidth="1"/>
    <col min="11277" max="11277" width="12.5703125" style="68" customWidth="1"/>
    <col min="11278" max="11278" width="13.5703125" style="68" customWidth="1"/>
    <col min="11279" max="11279" width="13" style="68" customWidth="1"/>
    <col min="11280" max="11518" width="9.140625" style="68"/>
    <col min="11519" max="11519" width="3.7109375" style="68" customWidth="1"/>
    <col min="11520" max="11520" width="4" style="68" bestFit="1" customWidth="1"/>
    <col min="11521" max="11521" width="14.5703125" style="68" customWidth="1"/>
    <col min="11522" max="11522" width="11.140625" style="68" customWidth="1"/>
    <col min="11523" max="11523" width="8.7109375" style="68" customWidth="1"/>
    <col min="11524" max="11524" width="9.7109375" style="68" bestFit="1" customWidth="1"/>
    <col min="11525" max="11525" width="10.85546875" style="68" customWidth="1"/>
    <col min="11526" max="11526" width="10.42578125" style="68" customWidth="1"/>
    <col min="11527" max="11527" width="9.7109375" style="68" bestFit="1" customWidth="1"/>
    <col min="11528" max="11530" width="9.28515625" style="68" bestFit="1" customWidth="1"/>
    <col min="11531" max="11531" width="10.7109375" style="68" bestFit="1" customWidth="1"/>
    <col min="11532" max="11532" width="11.28515625" style="68" customWidth="1"/>
    <col min="11533" max="11533" width="12.5703125" style="68" customWidth="1"/>
    <col min="11534" max="11534" width="13.5703125" style="68" customWidth="1"/>
    <col min="11535" max="11535" width="13" style="68" customWidth="1"/>
    <col min="11536" max="11774" width="9.140625" style="68"/>
    <col min="11775" max="11775" width="3.7109375" style="68" customWidth="1"/>
    <col min="11776" max="11776" width="4" style="68" bestFit="1" customWidth="1"/>
    <col min="11777" max="11777" width="14.5703125" style="68" customWidth="1"/>
    <col min="11778" max="11778" width="11.140625" style="68" customWidth="1"/>
    <col min="11779" max="11779" width="8.7109375" style="68" customWidth="1"/>
    <col min="11780" max="11780" width="9.7109375" style="68" bestFit="1" customWidth="1"/>
    <col min="11781" max="11781" width="10.85546875" style="68" customWidth="1"/>
    <col min="11782" max="11782" width="10.42578125" style="68" customWidth="1"/>
    <col min="11783" max="11783" width="9.7109375" style="68" bestFit="1" customWidth="1"/>
    <col min="11784" max="11786" width="9.28515625" style="68" bestFit="1" customWidth="1"/>
    <col min="11787" max="11787" width="10.7109375" style="68" bestFit="1" customWidth="1"/>
    <col min="11788" max="11788" width="11.28515625" style="68" customWidth="1"/>
    <col min="11789" max="11789" width="12.5703125" style="68" customWidth="1"/>
    <col min="11790" max="11790" width="13.5703125" style="68" customWidth="1"/>
    <col min="11791" max="11791" width="13" style="68" customWidth="1"/>
    <col min="11792" max="12030" width="9.140625" style="68"/>
    <col min="12031" max="12031" width="3.7109375" style="68" customWidth="1"/>
    <col min="12032" max="12032" width="4" style="68" bestFit="1" customWidth="1"/>
    <col min="12033" max="12033" width="14.5703125" style="68" customWidth="1"/>
    <col min="12034" max="12034" width="11.140625" style="68" customWidth="1"/>
    <col min="12035" max="12035" width="8.7109375" style="68" customWidth="1"/>
    <col min="12036" max="12036" width="9.7109375" style="68" bestFit="1" customWidth="1"/>
    <col min="12037" max="12037" width="10.85546875" style="68" customWidth="1"/>
    <col min="12038" max="12038" width="10.42578125" style="68" customWidth="1"/>
    <col min="12039" max="12039" width="9.7109375" style="68" bestFit="1" customWidth="1"/>
    <col min="12040" max="12042" width="9.28515625" style="68" bestFit="1" customWidth="1"/>
    <col min="12043" max="12043" width="10.7109375" style="68" bestFit="1" customWidth="1"/>
    <col min="12044" max="12044" width="11.28515625" style="68" customWidth="1"/>
    <col min="12045" max="12045" width="12.5703125" style="68" customWidth="1"/>
    <col min="12046" max="12046" width="13.5703125" style="68" customWidth="1"/>
    <col min="12047" max="12047" width="13" style="68" customWidth="1"/>
    <col min="12048" max="12286" width="9.140625" style="68"/>
    <col min="12287" max="12287" width="3.7109375" style="68" customWidth="1"/>
    <col min="12288" max="12288" width="4" style="68" bestFit="1" customWidth="1"/>
    <col min="12289" max="12289" width="14.5703125" style="68" customWidth="1"/>
    <col min="12290" max="12290" width="11.140625" style="68" customWidth="1"/>
    <col min="12291" max="12291" width="8.7109375" style="68" customWidth="1"/>
    <col min="12292" max="12292" width="9.7109375" style="68" bestFit="1" customWidth="1"/>
    <col min="12293" max="12293" width="10.85546875" style="68" customWidth="1"/>
    <col min="12294" max="12294" width="10.42578125" style="68" customWidth="1"/>
    <col min="12295" max="12295" width="9.7109375" style="68" bestFit="1" customWidth="1"/>
    <col min="12296" max="12298" width="9.28515625" style="68" bestFit="1" customWidth="1"/>
    <col min="12299" max="12299" width="10.7109375" style="68" bestFit="1" customWidth="1"/>
    <col min="12300" max="12300" width="11.28515625" style="68" customWidth="1"/>
    <col min="12301" max="12301" width="12.5703125" style="68" customWidth="1"/>
    <col min="12302" max="12302" width="13.5703125" style="68" customWidth="1"/>
    <col min="12303" max="12303" width="13" style="68" customWidth="1"/>
    <col min="12304" max="12542" width="9.140625" style="68"/>
    <col min="12543" max="12543" width="3.7109375" style="68" customWidth="1"/>
    <col min="12544" max="12544" width="4" style="68" bestFit="1" customWidth="1"/>
    <col min="12545" max="12545" width="14.5703125" style="68" customWidth="1"/>
    <col min="12546" max="12546" width="11.140625" style="68" customWidth="1"/>
    <col min="12547" max="12547" width="8.7109375" style="68" customWidth="1"/>
    <col min="12548" max="12548" width="9.7109375" style="68" bestFit="1" customWidth="1"/>
    <col min="12549" max="12549" width="10.85546875" style="68" customWidth="1"/>
    <col min="12550" max="12550" width="10.42578125" style="68" customWidth="1"/>
    <col min="12551" max="12551" width="9.7109375" style="68" bestFit="1" customWidth="1"/>
    <col min="12552" max="12554" width="9.28515625" style="68" bestFit="1" customWidth="1"/>
    <col min="12555" max="12555" width="10.7109375" style="68" bestFit="1" customWidth="1"/>
    <col min="12556" max="12556" width="11.28515625" style="68" customWidth="1"/>
    <col min="12557" max="12557" width="12.5703125" style="68" customWidth="1"/>
    <col min="12558" max="12558" width="13.5703125" style="68" customWidth="1"/>
    <col min="12559" max="12559" width="13" style="68" customWidth="1"/>
    <col min="12560" max="12798" width="9.140625" style="68"/>
    <col min="12799" max="12799" width="3.7109375" style="68" customWidth="1"/>
    <col min="12800" max="12800" width="4" style="68" bestFit="1" customWidth="1"/>
    <col min="12801" max="12801" width="14.5703125" style="68" customWidth="1"/>
    <col min="12802" max="12802" width="11.140625" style="68" customWidth="1"/>
    <col min="12803" max="12803" width="8.7109375" style="68" customWidth="1"/>
    <col min="12804" max="12804" width="9.7109375" style="68" bestFit="1" customWidth="1"/>
    <col min="12805" max="12805" width="10.85546875" style="68" customWidth="1"/>
    <col min="12806" max="12806" width="10.42578125" style="68" customWidth="1"/>
    <col min="12807" max="12807" width="9.7109375" style="68" bestFit="1" customWidth="1"/>
    <col min="12808" max="12810" width="9.28515625" style="68" bestFit="1" customWidth="1"/>
    <col min="12811" max="12811" width="10.7109375" style="68" bestFit="1" customWidth="1"/>
    <col min="12812" max="12812" width="11.28515625" style="68" customWidth="1"/>
    <col min="12813" max="12813" width="12.5703125" style="68" customWidth="1"/>
    <col min="12814" max="12814" width="13.5703125" style="68" customWidth="1"/>
    <col min="12815" max="12815" width="13" style="68" customWidth="1"/>
    <col min="12816" max="13054" width="9.140625" style="68"/>
    <col min="13055" max="13055" width="3.7109375" style="68" customWidth="1"/>
    <col min="13056" max="13056" width="4" style="68" bestFit="1" customWidth="1"/>
    <col min="13057" max="13057" width="14.5703125" style="68" customWidth="1"/>
    <col min="13058" max="13058" width="11.140625" style="68" customWidth="1"/>
    <col min="13059" max="13059" width="8.7109375" style="68" customWidth="1"/>
    <col min="13060" max="13060" width="9.7109375" style="68" bestFit="1" customWidth="1"/>
    <col min="13061" max="13061" width="10.85546875" style="68" customWidth="1"/>
    <col min="13062" max="13062" width="10.42578125" style="68" customWidth="1"/>
    <col min="13063" max="13063" width="9.7109375" style="68" bestFit="1" customWidth="1"/>
    <col min="13064" max="13066" width="9.28515625" style="68" bestFit="1" customWidth="1"/>
    <col min="13067" max="13067" width="10.7109375" style="68" bestFit="1" customWidth="1"/>
    <col min="13068" max="13068" width="11.28515625" style="68" customWidth="1"/>
    <col min="13069" max="13069" width="12.5703125" style="68" customWidth="1"/>
    <col min="13070" max="13070" width="13.5703125" style="68" customWidth="1"/>
    <col min="13071" max="13071" width="13" style="68" customWidth="1"/>
    <col min="13072" max="13310" width="9.140625" style="68"/>
    <col min="13311" max="13311" width="3.7109375" style="68" customWidth="1"/>
    <col min="13312" max="13312" width="4" style="68" bestFit="1" customWidth="1"/>
    <col min="13313" max="13313" width="14.5703125" style="68" customWidth="1"/>
    <col min="13314" max="13314" width="11.140625" style="68" customWidth="1"/>
    <col min="13315" max="13315" width="8.7109375" style="68" customWidth="1"/>
    <col min="13316" max="13316" width="9.7109375" style="68" bestFit="1" customWidth="1"/>
    <col min="13317" max="13317" width="10.85546875" style="68" customWidth="1"/>
    <col min="13318" max="13318" width="10.42578125" style="68" customWidth="1"/>
    <col min="13319" max="13319" width="9.7109375" style="68" bestFit="1" customWidth="1"/>
    <col min="13320" max="13322" width="9.28515625" style="68" bestFit="1" customWidth="1"/>
    <col min="13323" max="13323" width="10.7109375" style="68" bestFit="1" customWidth="1"/>
    <col min="13324" max="13324" width="11.28515625" style="68" customWidth="1"/>
    <col min="13325" max="13325" width="12.5703125" style="68" customWidth="1"/>
    <col min="13326" max="13326" width="13.5703125" style="68" customWidth="1"/>
    <col min="13327" max="13327" width="13" style="68" customWidth="1"/>
    <col min="13328" max="13566" width="9.140625" style="68"/>
    <col min="13567" max="13567" width="3.7109375" style="68" customWidth="1"/>
    <col min="13568" max="13568" width="4" style="68" bestFit="1" customWidth="1"/>
    <col min="13569" max="13569" width="14.5703125" style="68" customWidth="1"/>
    <col min="13570" max="13570" width="11.140625" style="68" customWidth="1"/>
    <col min="13571" max="13571" width="8.7109375" style="68" customWidth="1"/>
    <col min="13572" max="13572" width="9.7109375" style="68" bestFit="1" customWidth="1"/>
    <col min="13573" max="13573" width="10.85546875" style="68" customWidth="1"/>
    <col min="13574" max="13574" width="10.42578125" style="68" customWidth="1"/>
    <col min="13575" max="13575" width="9.7109375" style="68" bestFit="1" customWidth="1"/>
    <col min="13576" max="13578" width="9.28515625" style="68" bestFit="1" customWidth="1"/>
    <col min="13579" max="13579" width="10.7109375" style="68" bestFit="1" customWidth="1"/>
    <col min="13580" max="13580" width="11.28515625" style="68" customWidth="1"/>
    <col min="13581" max="13581" width="12.5703125" style="68" customWidth="1"/>
    <col min="13582" max="13582" width="13.5703125" style="68" customWidth="1"/>
    <col min="13583" max="13583" width="13" style="68" customWidth="1"/>
    <col min="13584" max="13822" width="9.140625" style="68"/>
    <col min="13823" max="13823" width="3.7109375" style="68" customWidth="1"/>
    <col min="13824" max="13824" width="4" style="68" bestFit="1" customWidth="1"/>
    <col min="13825" max="13825" width="14.5703125" style="68" customWidth="1"/>
    <col min="13826" max="13826" width="11.140625" style="68" customWidth="1"/>
    <col min="13827" max="13827" width="8.7109375" style="68" customWidth="1"/>
    <col min="13828" max="13828" width="9.7109375" style="68" bestFit="1" customWidth="1"/>
    <col min="13829" max="13829" width="10.85546875" style="68" customWidth="1"/>
    <col min="13830" max="13830" width="10.42578125" style="68" customWidth="1"/>
    <col min="13831" max="13831" width="9.7109375" style="68" bestFit="1" customWidth="1"/>
    <col min="13832" max="13834" width="9.28515625" style="68" bestFit="1" customWidth="1"/>
    <col min="13835" max="13835" width="10.7109375" style="68" bestFit="1" customWidth="1"/>
    <col min="13836" max="13836" width="11.28515625" style="68" customWidth="1"/>
    <col min="13837" max="13837" width="12.5703125" style="68" customWidth="1"/>
    <col min="13838" max="13838" width="13.5703125" style="68" customWidth="1"/>
    <col min="13839" max="13839" width="13" style="68" customWidth="1"/>
    <col min="13840" max="14078" width="9.140625" style="68"/>
    <col min="14079" max="14079" width="3.7109375" style="68" customWidth="1"/>
    <col min="14080" max="14080" width="4" style="68" bestFit="1" customWidth="1"/>
    <col min="14081" max="14081" width="14.5703125" style="68" customWidth="1"/>
    <col min="14082" max="14082" width="11.140625" style="68" customWidth="1"/>
    <col min="14083" max="14083" width="8.7109375" style="68" customWidth="1"/>
    <col min="14084" max="14084" width="9.7109375" style="68" bestFit="1" customWidth="1"/>
    <col min="14085" max="14085" width="10.85546875" style="68" customWidth="1"/>
    <col min="14086" max="14086" width="10.42578125" style="68" customWidth="1"/>
    <col min="14087" max="14087" width="9.7109375" style="68" bestFit="1" customWidth="1"/>
    <col min="14088" max="14090" width="9.28515625" style="68" bestFit="1" customWidth="1"/>
    <col min="14091" max="14091" width="10.7109375" style="68" bestFit="1" customWidth="1"/>
    <col min="14092" max="14092" width="11.28515625" style="68" customWidth="1"/>
    <col min="14093" max="14093" width="12.5703125" style="68" customWidth="1"/>
    <col min="14094" max="14094" width="13.5703125" style="68" customWidth="1"/>
    <col min="14095" max="14095" width="13" style="68" customWidth="1"/>
    <col min="14096" max="14334" width="9.140625" style="68"/>
    <col min="14335" max="14335" width="3.7109375" style="68" customWidth="1"/>
    <col min="14336" max="14336" width="4" style="68" bestFit="1" customWidth="1"/>
    <col min="14337" max="14337" width="14.5703125" style="68" customWidth="1"/>
    <col min="14338" max="14338" width="11.140625" style="68" customWidth="1"/>
    <col min="14339" max="14339" width="8.7109375" style="68" customWidth="1"/>
    <col min="14340" max="14340" width="9.7109375" style="68" bestFit="1" customWidth="1"/>
    <col min="14341" max="14341" width="10.85546875" style="68" customWidth="1"/>
    <col min="14342" max="14342" width="10.42578125" style="68" customWidth="1"/>
    <col min="14343" max="14343" width="9.7109375" style="68" bestFit="1" customWidth="1"/>
    <col min="14344" max="14346" width="9.28515625" style="68" bestFit="1" customWidth="1"/>
    <col min="14347" max="14347" width="10.7109375" style="68" bestFit="1" customWidth="1"/>
    <col min="14348" max="14348" width="11.28515625" style="68" customWidth="1"/>
    <col min="14349" max="14349" width="12.5703125" style="68" customWidth="1"/>
    <col min="14350" max="14350" width="13.5703125" style="68" customWidth="1"/>
    <col min="14351" max="14351" width="13" style="68" customWidth="1"/>
    <col min="14352" max="14590" width="9.140625" style="68"/>
    <col min="14591" max="14591" width="3.7109375" style="68" customWidth="1"/>
    <col min="14592" max="14592" width="4" style="68" bestFit="1" customWidth="1"/>
    <col min="14593" max="14593" width="14.5703125" style="68" customWidth="1"/>
    <col min="14594" max="14594" width="11.140625" style="68" customWidth="1"/>
    <col min="14595" max="14595" width="8.7109375" style="68" customWidth="1"/>
    <col min="14596" max="14596" width="9.7109375" style="68" bestFit="1" customWidth="1"/>
    <col min="14597" max="14597" width="10.85546875" style="68" customWidth="1"/>
    <col min="14598" max="14598" width="10.42578125" style="68" customWidth="1"/>
    <col min="14599" max="14599" width="9.7109375" style="68" bestFit="1" customWidth="1"/>
    <col min="14600" max="14602" width="9.28515625" style="68" bestFit="1" customWidth="1"/>
    <col min="14603" max="14603" width="10.7109375" style="68" bestFit="1" customWidth="1"/>
    <col min="14604" max="14604" width="11.28515625" style="68" customWidth="1"/>
    <col min="14605" max="14605" width="12.5703125" style="68" customWidth="1"/>
    <col min="14606" max="14606" width="13.5703125" style="68" customWidth="1"/>
    <col min="14607" max="14607" width="13" style="68" customWidth="1"/>
    <col min="14608" max="14846" width="9.140625" style="68"/>
    <col min="14847" max="14847" width="3.7109375" style="68" customWidth="1"/>
    <col min="14848" max="14848" width="4" style="68" bestFit="1" customWidth="1"/>
    <col min="14849" max="14849" width="14.5703125" style="68" customWidth="1"/>
    <col min="14850" max="14850" width="11.140625" style="68" customWidth="1"/>
    <col min="14851" max="14851" width="8.7109375" style="68" customWidth="1"/>
    <col min="14852" max="14852" width="9.7109375" style="68" bestFit="1" customWidth="1"/>
    <col min="14853" max="14853" width="10.85546875" style="68" customWidth="1"/>
    <col min="14854" max="14854" width="10.42578125" style="68" customWidth="1"/>
    <col min="14855" max="14855" width="9.7109375" style="68" bestFit="1" customWidth="1"/>
    <col min="14856" max="14858" width="9.28515625" style="68" bestFit="1" customWidth="1"/>
    <col min="14859" max="14859" width="10.7109375" style="68" bestFit="1" customWidth="1"/>
    <col min="14860" max="14860" width="11.28515625" style="68" customWidth="1"/>
    <col min="14861" max="14861" width="12.5703125" style="68" customWidth="1"/>
    <col min="14862" max="14862" width="13.5703125" style="68" customWidth="1"/>
    <col min="14863" max="14863" width="13" style="68" customWidth="1"/>
    <col min="14864" max="15102" width="9.140625" style="68"/>
    <col min="15103" max="15103" width="3.7109375" style="68" customWidth="1"/>
    <col min="15104" max="15104" width="4" style="68" bestFit="1" customWidth="1"/>
    <col min="15105" max="15105" width="14.5703125" style="68" customWidth="1"/>
    <col min="15106" max="15106" width="11.140625" style="68" customWidth="1"/>
    <col min="15107" max="15107" width="8.7109375" style="68" customWidth="1"/>
    <col min="15108" max="15108" width="9.7109375" style="68" bestFit="1" customWidth="1"/>
    <col min="15109" max="15109" width="10.85546875" style="68" customWidth="1"/>
    <col min="15110" max="15110" width="10.42578125" style="68" customWidth="1"/>
    <col min="15111" max="15111" width="9.7109375" style="68" bestFit="1" customWidth="1"/>
    <col min="15112" max="15114" width="9.28515625" style="68" bestFit="1" customWidth="1"/>
    <col min="15115" max="15115" width="10.7109375" style="68" bestFit="1" customWidth="1"/>
    <col min="15116" max="15116" width="11.28515625" style="68" customWidth="1"/>
    <col min="15117" max="15117" width="12.5703125" style="68" customWidth="1"/>
    <col min="15118" max="15118" width="13.5703125" style="68" customWidth="1"/>
    <col min="15119" max="15119" width="13" style="68" customWidth="1"/>
    <col min="15120" max="15358" width="9.140625" style="68"/>
    <col min="15359" max="15359" width="3.7109375" style="68" customWidth="1"/>
    <col min="15360" max="15360" width="4" style="68" bestFit="1" customWidth="1"/>
    <col min="15361" max="15361" width="14.5703125" style="68" customWidth="1"/>
    <col min="15362" max="15362" width="11.140625" style="68" customWidth="1"/>
    <col min="15363" max="15363" width="8.7109375" style="68" customWidth="1"/>
    <col min="15364" max="15364" width="9.7109375" style="68" bestFit="1" customWidth="1"/>
    <col min="15365" max="15365" width="10.85546875" style="68" customWidth="1"/>
    <col min="15366" max="15366" width="10.42578125" style="68" customWidth="1"/>
    <col min="15367" max="15367" width="9.7109375" style="68" bestFit="1" customWidth="1"/>
    <col min="15368" max="15370" width="9.28515625" style="68" bestFit="1" customWidth="1"/>
    <col min="15371" max="15371" width="10.7109375" style="68" bestFit="1" customWidth="1"/>
    <col min="15372" max="15372" width="11.28515625" style="68" customWidth="1"/>
    <col min="15373" max="15373" width="12.5703125" style="68" customWidth="1"/>
    <col min="15374" max="15374" width="13.5703125" style="68" customWidth="1"/>
    <col min="15375" max="15375" width="13" style="68" customWidth="1"/>
    <col min="15376" max="15614" width="9.140625" style="68"/>
    <col min="15615" max="15615" width="3.7109375" style="68" customWidth="1"/>
    <col min="15616" max="15616" width="4" style="68" bestFit="1" customWidth="1"/>
    <col min="15617" max="15617" width="14.5703125" style="68" customWidth="1"/>
    <col min="15618" max="15618" width="11.140625" style="68" customWidth="1"/>
    <col min="15619" max="15619" width="8.7109375" style="68" customWidth="1"/>
    <col min="15620" max="15620" width="9.7109375" style="68" bestFit="1" customWidth="1"/>
    <col min="15621" max="15621" width="10.85546875" style="68" customWidth="1"/>
    <col min="15622" max="15622" width="10.42578125" style="68" customWidth="1"/>
    <col min="15623" max="15623" width="9.7109375" style="68" bestFit="1" customWidth="1"/>
    <col min="15624" max="15626" width="9.28515625" style="68" bestFit="1" customWidth="1"/>
    <col min="15627" max="15627" width="10.7109375" style="68" bestFit="1" customWidth="1"/>
    <col min="15628" max="15628" width="11.28515625" style="68" customWidth="1"/>
    <col min="15629" max="15629" width="12.5703125" style="68" customWidth="1"/>
    <col min="15630" max="15630" width="13.5703125" style="68" customWidth="1"/>
    <col min="15631" max="15631" width="13" style="68" customWidth="1"/>
    <col min="15632" max="15870" width="9.140625" style="68"/>
    <col min="15871" max="15871" width="3.7109375" style="68" customWidth="1"/>
    <col min="15872" max="15872" width="4" style="68" bestFit="1" customWidth="1"/>
    <col min="15873" max="15873" width="14.5703125" style="68" customWidth="1"/>
    <col min="15874" max="15874" width="11.140625" style="68" customWidth="1"/>
    <col min="15875" max="15875" width="8.7109375" style="68" customWidth="1"/>
    <col min="15876" max="15876" width="9.7109375" style="68" bestFit="1" customWidth="1"/>
    <col min="15877" max="15877" width="10.85546875" style="68" customWidth="1"/>
    <col min="15878" max="15878" width="10.42578125" style="68" customWidth="1"/>
    <col min="15879" max="15879" width="9.7109375" style="68" bestFit="1" customWidth="1"/>
    <col min="15880" max="15882" width="9.28515625" style="68" bestFit="1" customWidth="1"/>
    <col min="15883" max="15883" width="10.7109375" style="68" bestFit="1" customWidth="1"/>
    <col min="15884" max="15884" width="11.28515625" style="68" customWidth="1"/>
    <col min="15885" max="15885" width="12.5703125" style="68" customWidth="1"/>
    <col min="15886" max="15886" width="13.5703125" style="68" customWidth="1"/>
    <col min="15887" max="15887" width="13" style="68" customWidth="1"/>
    <col min="15888" max="16126" width="9.140625" style="68"/>
    <col min="16127" max="16127" width="3.7109375" style="68" customWidth="1"/>
    <col min="16128" max="16128" width="4" style="68" bestFit="1" customWidth="1"/>
    <col min="16129" max="16129" width="14.5703125" style="68" customWidth="1"/>
    <col min="16130" max="16130" width="11.140625" style="68" customWidth="1"/>
    <col min="16131" max="16131" width="8.7109375" style="68" customWidth="1"/>
    <col min="16132" max="16132" width="9.7109375" style="68" bestFit="1" customWidth="1"/>
    <col min="16133" max="16133" width="10.85546875" style="68" customWidth="1"/>
    <col min="16134" max="16134" width="10.42578125" style="68" customWidth="1"/>
    <col min="16135" max="16135" width="9.7109375" style="68" bestFit="1" customWidth="1"/>
    <col min="16136" max="16138" width="9.28515625" style="68" bestFit="1" customWidth="1"/>
    <col min="16139" max="16139" width="10.7109375" style="68" bestFit="1" customWidth="1"/>
    <col min="16140" max="16140" width="11.28515625" style="68" customWidth="1"/>
    <col min="16141" max="16141" width="12.5703125" style="68" customWidth="1"/>
    <col min="16142" max="16142" width="13.5703125" style="68" customWidth="1"/>
    <col min="16143" max="16143" width="13" style="68" customWidth="1"/>
    <col min="16144" max="16384" width="9.140625" style="68"/>
  </cols>
  <sheetData>
    <row r="2" spans="2:19" ht="27.6" customHeight="1" x14ac:dyDescent="0.25"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4"/>
    </row>
    <row r="3" spans="2:19" s="70" customFormat="1" ht="22.15" customHeight="1" thickBot="1" x14ac:dyDescent="0.3">
      <c r="B3" s="669" t="s">
        <v>227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1"/>
      <c r="R3" s="67"/>
    </row>
    <row r="4" spans="2:19" s="70" customFormat="1" ht="24.6" customHeight="1" thickBot="1" x14ac:dyDescent="0.3">
      <c r="B4" s="655" t="s">
        <v>228</v>
      </c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  <c r="P4" s="136" t="s">
        <v>229</v>
      </c>
      <c r="Q4" s="154" t="s">
        <v>312</v>
      </c>
      <c r="R4" s="67"/>
    </row>
    <row r="5" spans="2:19" s="70" customFormat="1" x14ac:dyDescent="0.25">
      <c r="B5" s="138" t="s">
        <v>230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19" ht="13.9" customHeight="1" x14ac:dyDescent="0.25">
      <c r="B6" s="658" t="s">
        <v>231</v>
      </c>
      <c r="C6" s="660" t="s">
        <v>232</v>
      </c>
      <c r="D6" s="660" t="s">
        <v>233</v>
      </c>
      <c r="E6" s="660" t="s">
        <v>234</v>
      </c>
      <c r="F6" s="660" t="s">
        <v>235</v>
      </c>
      <c r="G6" s="660"/>
      <c r="H6" s="660"/>
      <c r="I6" s="660" t="s">
        <v>236</v>
      </c>
      <c r="J6" s="660"/>
      <c r="K6" s="660"/>
      <c r="L6" s="660" t="s">
        <v>237</v>
      </c>
      <c r="M6" s="660" t="s">
        <v>289</v>
      </c>
      <c r="N6" s="660" t="s">
        <v>239</v>
      </c>
      <c r="O6" s="662"/>
      <c r="P6" s="660" t="s">
        <v>240</v>
      </c>
      <c r="Q6" s="675"/>
    </row>
    <row r="7" spans="2:19" ht="15.75" thickBot="1" x14ac:dyDescent="0.3">
      <c r="B7" s="659"/>
      <c r="C7" s="661"/>
      <c r="D7" s="661"/>
      <c r="E7" s="661"/>
      <c r="F7" s="142" t="s">
        <v>241</v>
      </c>
      <c r="G7" s="142" t="s">
        <v>26</v>
      </c>
      <c r="H7" s="142" t="s">
        <v>27</v>
      </c>
      <c r="I7" s="142" t="s">
        <v>241</v>
      </c>
      <c r="J7" s="142" t="s">
        <v>26</v>
      </c>
      <c r="K7" s="142" t="s">
        <v>27</v>
      </c>
      <c r="L7" s="661"/>
      <c r="M7" s="661"/>
      <c r="N7" s="661"/>
      <c r="O7" s="663"/>
      <c r="P7" s="661"/>
      <c r="Q7" s="676"/>
    </row>
    <row r="8" spans="2:19" ht="14.45" customHeight="1" x14ac:dyDescent="0.25">
      <c r="B8" s="72"/>
      <c r="C8" s="672" t="s">
        <v>242</v>
      </c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673"/>
      <c r="O8" s="673"/>
      <c r="P8" s="673"/>
      <c r="Q8" s="674"/>
      <c r="R8" s="20"/>
      <c r="S8" s="68" t="s">
        <v>243</v>
      </c>
    </row>
    <row r="9" spans="2:19" x14ac:dyDescent="0.25">
      <c r="B9" s="89">
        <v>1</v>
      </c>
      <c r="C9" s="776" t="s">
        <v>244</v>
      </c>
      <c r="D9" s="777"/>
      <c r="E9" s="74">
        <f>'30'!L9</f>
        <v>12571.751704621598</v>
      </c>
      <c r="F9" s="74">
        <f>Production2!D33</f>
        <v>0</v>
      </c>
      <c r="G9" s="74">
        <f>F9+'30'!G9</f>
        <v>64985.700000000004</v>
      </c>
      <c r="H9" s="74">
        <f>F9+'30'!H9</f>
        <v>64985.700000000004</v>
      </c>
      <c r="I9" s="74">
        <f>Production2!E33</f>
        <v>0</v>
      </c>
      <c r="J9" s="74">
        <f>I9+'30'!J9</f>
        <v>66887</v>
      </c>
      <c r="K9" s="74">
        <f>I9+'30'!K9</f>
        <v>66887</v>
      </c>
      <c r="L9" s="74">
        <f>E9+F9-I9-I21</f>
        <v>12571.751704621598</v>
      </c>
      <c r="M9" s="75">
        <f>I9</f>
        <v>0</v>
      </c>
      <c r="N9" s="75" t="e">
        <f>(I9/I13)*100</f>
        <v>#DIV/0!</v>
      </c>
      <c r="O9" s="667"/>
      <c r="P9" s="289">
        <v>10</v>
      </c>
      <c r="Q9" s="263">
        <f>'Raw mill moisture content'!L35</f>
        <v>0.10000000000000006</v>
      </c>
    </row>
    <row r="10" spans="2:19" ht="13.9" customHeight="1" x14ac:dyDescent="0.25">
      <c r="B10" s="79">
        <v>2</v>
      </c>
      <c r="C10" s="668" t="s">
        <v>30</v>
      </c>
      <c r="D10" s="668"/>
      <c r="E10" s="77">
        <f>'Mines (2)'!L33</f>
        <v>946.5</v>
      </c>
      <c r="F10" s="77">
        <f>'Mines (2)'!M33</f>
        <v>0</v>
      </c>
      <c r="G10" s="75">
        <f>F10+'30'!G10</f>
        <v>1351.4600000000003</v>
      </c>
      <c r="H10" s="74">
        <f>F10+'30'!H10</f>
        <v>1351.4600000000003</v>
      </c>
      <c r="I10" s="77">
        <f>'Mines (2)'!N33</f>
        <v>0</v>
      </c>
      <c r="J10" s="74">
        <f>I10+'30'!J10</f>
        <v>529</v>
      </c>
      <c r="K10" s="74">
        <f>I10+'30'!K10</f>
        <v>529</v>
      </c>
      <c r="L10" s="77">
        <f t="shared" ref="L10:L16" si="0">E10+F10-I10</f>
        <v>946.5</v>
      </c>
      <c r="M10" s="75">
        <f t="shared" ref="M10:M12" si="1">I10</f>
        <v>0</v>
      </c>
      <c r="N10" s="75" t="e">
        <f>(I10/I13)*100</f>
        <v>#DIV/0!</v>
      </c>
      <c r="O10" s="667"/>
      <c r="P10" s="53">
        <v>10</v>
      </c>
      <c r="Q10" s="264">
        <f>'Raw mill moisture content'!M35</f>
        <v>9.9999999999999964E-2</v>
      </c>
    </row>
    <row r="11" spans="2:19" x14ac:dyDescent="0.25">
      <c r="B11" s="79">
        <v>3</v>
      </c>
      <c r="C11" s="668" t="s">
        <v>32</v>
      </c>
      <c r="D11" s="668"/>
      <c r="E11" s="77">
        <f>Clinker!C33</f>
        <v>3998.3399999999997</v>
      </c>
      <c r="F11" s="77">
        <f>Clinker!D33</f>
        <v>0</v>
      </c>
      <c r="G11" s="74">
        <f>F11+'30'!G11</f>
        <v>69.7</v>
      </c>
      <c r="H11" s="74">
        <f>F11+'30'!H11</f>
        <v>69.7</v>
      </c>
      <c r="I11" s="77">
        <f>Clinker!E33</f>
        <v>0</v>
      </c>
      <c r="J11" s="74">
        <f>I11+'30'!J11</f>
        <v>1437</v>
      </c>
      <c r="K11" s="74">
        <f>I11+'30'!K11</f>
        <v>1437</v>
      </c>
      <c r="L11" s="77">
        <f t="shared" si="0"/>
        <v>3998.3399999999997</v>
      </c>
      <c r="M11" s="75">
        <f t="shared" si="1"/>
        <v>0</v>
      </c>
      <c r="N11" s="75" t="e">
        <f>(I11/I13)*100</f>
        <v>#DIV/0!</v>
      </c>
      <c r="O11" s="667"/>
      <c r="P11" s="53">
        <v>7</v>
      </c>
      <c r="Q11" s="264">
        <f>'Raw mill moisture content'!N35</f>
        <v>6.9999999999999937E-2</v>
      </c>
    </row>
    <row r="12" spans="2:19" ht="13.9" customHeight="1" x14ac:dyDescent="0.25">
      <c r="B12" s="79">
        <v>4</v>
      </c>
      <c r="C12" s="668" t="s">
        <v>245</v>
      </c>
      <c r="D12" s="668"/>
      <c r="E12" s="77">
        <f>'Mines (2)'!Q33</f>
        <v>191.03999999999996</v>
      </c>
      <c r="F12" s="77">
        <f>'Mines (2)'!R33</f>
        <v>0</v>
      </c>
      <c r="G12" s="75">
        <f>F12+'30'!G12</f>
        <v>137.76</v>
      </c>
      <c r="H12" s="74">
        <f>F12+'30'!H12</f>
        <v>137.76</v>
      </c>
      <c r="I12" s="77">
        <f>'Mines (2)'!S33</f>
        <v>0</v>
      </c>
      <c r="J12" s="74">
        <f>I12+'30'!J12</f>
        <v>547</v>
      </c>
      <c r="K12" s="74">
        <f>I12+'30'!K12</f>
        <v>547</v>
      </c>
      <c r="L12" s="77">
        <f t="shared" si="0"/>
        <v>191.03999999999996</v>
      </c>
      <c r="M12" s="75">
        <f t="shared" si="1"/>
        <v>0</v>
      </c>
      <c r="N12" s="75" t="e">
        <f>(I12/I13)*100</f>
        <v>#DIV/0!</v>
      </c>
      <c r="O12" s="667"/>
      <c r="P12" s="53">
        <v>10</v>
      </c>
      <c r="Q12" s="264">
        <f>'Raw mill moisture content'!O35</f>
        <v>9.9999999999999881E-2</v>
      </c>
    </row>
    <row r="13" spans="2:19" ht="13.9" customHeight="1" x14ac:dyDescent="0.25">
      <c r="B13" s="79" t="s">
        <v>243</v>
      </c>
      <c r="C13" s="664" t="s">
        <v>246</v>
      </c>
      <c r="D13" s="664"/>
      <c r="E13" s="127">
        <f t="shared" ref="E13:K13" si="2">SUM(E9:E12)</f>
        <v>17707.631704621599</v>
      </c>
      <c r="F13" s="127">
        <f t="shared" si="2"/>
        <v>0</v>
      </c>
      <c r="G13" s="127">
        <f t="shared" si="2"/>
        <v>66544.62</v>
      </c>
      <c r="H13" s="127">
        <f t="shared" si="2"/>
        <v>66544.62</v>
      </c>
      <c r="I13" s="127">
        <f t="shared" si="2"/>
        <v>0</v>
      </c>
      <c r="J13" s="127">
        <f t="shared" si="2"/>
        <v>69400</v>
      </c>
      <c r="K13" s="127">
        <f t="shared" si="2"/>
        <v>69400</v>
      </c>
      <c r="L13" s="127">
        <f t="shared" si="0"/>
        <v>17707.631704621599</v>
      </c>
      <c r="M13" s="128">
        <f>SUM(M9:M12)</f>
        <v>0</v>
      </c>
      <c r="N13" s="128">
        <v>99.999999999999986</v>
      </c>
      <c r="O13" s="667"/>
      <c r="P13" s="665"/>
      <c r="Q13" s="666"/>
    </row>
    <row r="14" spans="2:19" x14ac:dyDescent="0.25">
      <c r="B14" s="677">
        <v>6</v>
      </c>
      <c r="C14" s="678" t="s">
        <v>247</v>
      </c>
      <c r="D14" s="80" t="s">
        <v>69</v>
      </c>
      <c r="E14" s="77">
        <f>Clinker!EA33</f>
        <v>8240.4669999999896</v>
      </c>
      <c r="F14" s="77">
        <f>Clinker!EB33</f>
        <v>0</v>
      </c>
      <c r="G14" s="77">
        <f>F14+'30'!G14</f>
        <v>181.5</v>
      </c>
      <c r="H14" s="77">
        <f>F14+'30'!H14</f>
        <v>181.5</v>
      </c>
      <c r="I14" s="77">
        <f>Clinker!EC33</f>
        <v>0</v>
      </c>
      <c r="J14" s="77">
        <f>I14+'30'!J14</f>
        <v>6836.3</v>
      </c>
      <c r="K14" s="77">
        <f>I14+'30'!K14</f>
        <v>6836.3</v>
      </c>
      <c r="L14" s="77">
        <f>E14+F14-I14-Clinker!N33-Clinker!Z33-Clinker!AR33-Clinker!AW33-Clinker!BB33-Clinker!BV33-Clinker!BG33-Clinker!BL33-Clinker!BQ33-Clinker!CU33-Clinker!DO33</f>
        <v>8240.4669999999896</v>
      </c>
      <c r="M14" s="81"/>
      <c r="N14" s="81"/>
      <c r="O14" s="667"/>
      <c r="P14" s="82">
        <v>10</v>
      </c>
      <c r="Q14" s="266" t="e">
        <f>'Raw mill moisture content'!S35</f>
        <v>#DIV/0!</v>
      </c>
      <c r="R14" s="83"/>
    </row>
    <row r="15" spans="2:19" x14ac:dyDescent="0.25">
      <c r="B15" s="677"/>
      <c r="C15" s="678"/>
      <c r="D15" s="80" t="s">
        <v>68</v>
      </c>
      <c r="E15" s="77">
        <f>Clinker!EE33</f>
        <v>10010.699999999997</v>
      </c>
      <c r="F15" s="77">
        <f>Clinker!EF33</f>
        <v>0</v>
      </c>
      <c r="G15" s="77">
        <f>F15+'30'!G15</f>
        <v>155.05000000000001</v>
      </c>
      <c r="H15" s="77">
        <f>F15+'30'!H15</f>
        <v>155.05000000000001</v>
      </c>
      <c r="I15" s="77">
        <f>Clinker!EG33</f>
        <v>0</v>
      </c>
      <c r="J15" s="77">
        <f>I15+'30'!J15</f>
        <v>3869</v>
      </c>
      <c r="K15" s="77">
        <f>I15+'30'!K15</f>
        <v>3869</v>
      </c>
      <c r="L15" s="77">
        <f>E15+F15-Clinker!AE33-Clinker!AI33-Clinker!CK33-Clinker!CP33-Clinker!CF33</f>
        <v>10010.699999999997</v>
      </c>
      <c r="M15" s="81"/>
      <c r="N15" s="81"/>
      <c r="O15" s="667"/>
      <c r="P15" s="82"/>
      <c r="Q15" s="82"/>
      <c r="R15" s="83"/>
    </row>
    <row r="16" spans="2:19" x14ac:dyDescent="0.25">
      <c r="B16" s="677"/>
      <c r="C16" s="679"/>
      <c r="D16" s="124" t="s">
        <v>152</v>
      </c>
      <c r="E16" s="125">
        <f>E14+E15</f>
        <v>18251.166999999987</v>
      </c>
      <c r="F16" s="125">
        <f>F14+F15</f>
        <v>0</v>
      </c>
      <c r="G16" s="125">
        <f t="shared" ref="G16:K16" si="3">G14+G15</f>
        <v>336.55</v>
      </c>
      <c r="H16" s="125">
        <f t="shared" si="3"/>
        <v>336.55</v>
      </c>
      <c r="I16" s="125">
        <f>I14+I15</f>
        <v>0</v>
      </c>
      <c r="J16" s="425">
        <f>J14+J15</f>
        <v>10705.3</v>
      </c>
      <c r="K16" s="125">
        <f t="shared" si="3"/>
        <v>10705.3</v>
      </c>
      <c r="L16" s="125">
        <f t="shared" si="0"/>
        <v>18251.166999999987</v>
      </c>
      <c r="M16" s="126"/>
      <c r="N16" s="126"/>
      <c r="O16" s="667"/>
      <c r="P16" s="84"/>
      <c r="Q16" s="131"/>
      <c r="R16" s="83"/>
    </row>
    <row r="17" spans="2:18" ht="14.45" customHeight="1" x14ac:dyDescent="0.25">
      <c r="B17" s="72"/>
      <c r="C17" s="682" t="s">
        <v>248</v>
      </c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4"/>
      <c r="R17" s="20"/>
    </row>
    <row r="18" spans="2:18" x14ac:dyDescent="0.25">
      <c r="B18" s="677">
        <v>7</v>
      </c>
      <c r="C18" s="685" t="s">
        <v>249</v>
      </c>
      <c r="D18" s="85" t="s">
        <v>250</v>
      </c>
      <c r="E18" s="74">
        <f>Clinker!EI33</f>
        <v>24919.660087740463</v>
      </c>
      <c r="F18" s="74">
        <f>Clinker!EJ33</f>
        <v>0</v>
      </c>
      <c r="G18" s="74">
        <f>F18+'30'!G18</f>
        <v>40500</v>
      </c>
      <c r="H18" s="74">
        <f>F18+'30'!H18</f>
        <v>40500</v>
      </c>
      <c r="I18" s="74">
        <f>Clinker!EK33</f>
        <v>0</v>
      </c>
      <c r="J18" s="75">
        <f>I18+'30'!J18</f>
        <v>18861.880011886271</v>
      </c>
      <c r="K18" s="74">
        <f>I18+'30'!K18</f>
        <v>18861.880011886271</v>
      </c>
      <c r="L18" s="74">
        <f>E18+F18-I18-I20</f>
        <v>24919.660087740463</v>
      </c>
      <c r="M18" s="75" t="e">
        <f>((I18+I19)/(J40+J46))*100</f>
        <v>#DIV/0!</v>
      </c>
      <c r="N18" s="687"/>
      <c r="O18" s="689"/>
      <c r="P18" s="691"/>
      <c r="Q18" s="692"/>
      <c r="R18" s="20"/>
    </row>
    <row r="19" spans="2:18" ht="45" x14ac:dyDescent="0.25">
      <c r="B19" s="677"/>
      <c r="C19" s="685"/>
      <c r="D19" s="85" t="s">
        <v>75</v>
      </c>
      <c r="E19" s="74">
        <f>Clinker!EN33</f>
        <v>5155.3290080001361</v>
      </c>
      <c r="F19" s="74">
        <f>Clinker!EO33</f>
        <v>0</v>
      </c>
      <c r="G19" s="99">
        <f>F19+'30'!G19</f>
        <v>13239.880000000003</v>
      </c>
      <c r="H19" s="74">
        <f>F19+'30'!H19</f>
        <v>13239.880000000003</v>
      </c>
      <c r="I19" s="75">
        <f>Clinker!EP33</f>
        <v>0</v>
      </c>
      <c r="J19" s="75">
        <f>I19+'30'!J19</f>
        <v>16934.099999999999</v>
      </c>
      <c r="K19" s="74">
        <f>I19+'30'!K19</f>
        <v>16934.099999999999</v>
      </c>
      <c r="L19" s="74">
        <f>E19+F19-I19</f>
        <v>5155.3290080001361</v>
      </c>
      <c r="M19" s="75"/>
      <c r="N19" s="687"/>
      <c r="O19" s="689"/>
      <c r="P19" s="691"/>
      <c r="Q19" s="692"/>
      <c r="R19" s="20"/>
    </row>
    <row r="20" spans="2:18" ht="30" x14ac:dyDescent="0.25">
      <c r="B20" s="677"/>
      <c r="C20" s="686"/>
      <c r="D20" s="86" t="s">
        <v>251</v>
      </c>
      <c r="E20" s="77"/>
      <c r="F20" s="77">
        <v>0</v>
      </c>
      <c r="G20" s="74">
        <f>F20+'30'!G20</f>
        <v>0</v>
      </c>
      <c r="H20" s="74">
        <f>F20+'30'!H20</f>
        <v>0</v>
      </c>
      <c r="I20" s="77">
        <f>Clinker!EM33</f>
        <v>0</v>
      </c>
      <c r="J20" s="74">
        <f>I20+'30'!J20</f>
        <v>0</v>
      </c>
      <c r="K20" s="74">
        <f>I20+'30'!K20</f>
        <v>0</v>
      </c>
      <c r="L20" s="74"/>
      <c r="M20" s="78"/>
      <c r="N20" s="688"/>
      <c r="O20" s="689"/>
      <c r="P20" s="693"/>
      <c r="Q20" s="694"/>
      <c r="R20" s="20"/>
    </row>
    <row r="21" spans="2:18" x14ac:dyDescent="0.25">
      <c r="B21" s="89"/>
      <c r="C21" s="776" t="s">
        <v>244</v>
      </c>
      <c r="D21" s="777"/>
      <c r="E21" s="77">
        <f>Cement!O33</f>
        <v>0</v>
      </c>
      <c r="F21" s="77">
        <f>Cement!P33</f>
        <v>0</v>
      </c>
      <c r="G21" s="74">
        <f>F21+'30'!G21</f>
        <v>0</v>
      </c>
      <c r="H21" s="74">
        <f>F21+'30'!H21</f>
        <v>0</v>
      </c>
      <c r="I21" s="77">
        <f>Cement!Q33</f>
        <v>0</v>
      </c>
      <c r="J21" s="75">
        <f>I21+'30'!J21</f>
        <v>8631.8199925622357</v>
      </c>
      <c r="K21" s="74">
        <f>I21+'30'!K21</f>
        <v>8631.8199925622357</v>
      </c>
      <c r="L21" s="74"/>
      <c r="M21" s="78" t="e">
        <f>(I21/(J40+J46))*100</f>
        <v>#DIV/0!</v>
      </c>
      <c r="N21" s="78"/>
      <c r="O21" s="689"/>
      <c r="P21" s="87"/>
      <c r="Q21" s="695"/>
      <c r="R21" s="20"/>
    </row>
    <row r="22" spans="2:18" x14ac:dyDescent="0.25">
      <c r="B22" s="89">
        <v>9</v>
      </c>
      <c r="C22" s="678" t="s">
        <v>252</v>
      </c>
      <c r="D22" s="678"/>
      <c r="E22" s="77">
        <f>Cement!C33</f>
        <v>7077.0800635982805</v>
      </c>
      <c r="F22" s="77">
        <f>Cement!D33</f>
        <v>0</v>
      </c>
      <c r="G22" s="75">
        <f>F22+'30'!G22</f>
        <v>1970.9</v>
      </c>
      <c r="H22" s="74">
        <f>F22+'30'!H22</f>
        <v>1970.9</v>
      </c>
      <c r="I22" s="77">
        <f>Cement!E33</f>
        <v>0</v>
      </c>
      <c r="J22" s="74">
        <f>I22+'30'!J22</f>
        <v>2339.1999955514993</v>
      </c>
      <c r="K22" s="74">
        <f>I22+'30'!K22</f>
        <v>2339.1999955514993</v>
      </c>
      <c r="L22" s="74">
        <f t="shared" ref="L22:L24" si="4">E22+F22-I22</f>
        <v>7077.0800635982805</v>
      </c>
      <c r="M22" s="78" t="e">
        <f>(I22/(J40+J46))*100</f>
        <v>#DIV/0!</v>
      </c>
      <c r="N22" s="78"/>
      <c r="O22" s="689"/>
      <c r="P22" s="87"/>
      <c r="Q22" s="696"/>
      <c r="R22" s="20"/>
    </row>
    <row r="23" spans="2:18" x14ac:dyDescent="0.25">
      <c r="B23" s="677">
        <v>10</v>
      </c>
      <c r="C23" s="679" t="s">
        <v>253</v>
      </c>
      <c r="D23" s="76" t="s">
        <v>254</v>
      </c>
      <c r="E23" s="77">
        <f>Cement!G33</f>
        <v>0.23999999999796273</v>
      </c>
      <c r="F23" s="77">
        <f>Cement!H33</f>
        <v>0</v>
      </c>
      <c r="G23" s="74">
        <f>F23+'30'!G23</f>
        <v>0</v>
      </c>
      <c r="H23" s="74">
        <f>F23+'30'!H23</f>
        <v>0</v>
      </c>
      <c r="I23" s="77">
        <f>Cement!I33</f>
        <v>0</v>
      </c>
      <c r="J23" s="74">
        <f>I23+'30'!J23</f>
        <v>0</v>
      </c>
      <c r="K23" s="74">
        <f>I23+'30'!K23</f>
        <v>0</v>
      </c>
      <c r="L23" s="74">
        <f t="shared" si="4"/>
        <v>0.23999999999796273</v>
      </c>
      <c r="M23" s="697"/>
      <c r="N23" s="697"/>
      <c r="O23" s="689"/>
      <c r="P23" s="698"/>
      <c r="Q23" s="699"/>
      <c r="R23" s="83"/>
    </row>
    <row r="24" spans="2:18" x14ac:dyDescent="0.25">
      <c r="B24" s="677"/>
      <c r="C24" s="686"/>
      <c r="D24" s="76" t="s">
        <v>255</v>
      </c>
      <c r="E24" s="77">
        <f>Cement!K33</f>
        <v>0</v>
      </c>
      <c r="F24" s="77">
        <f>Cement!L33</f>
        <v>0</v>
      </c>
      <c r="G24" s="74">
        <f>F24+'30'!G24</f>
        <v>0</v>
      </c>
      <c r="H24" s="74">
        <f>F24+'30'!H24</f>
        <v>0</v>
      </c>
      <c r="I24" s="77">
        <f>Cement!M33</f>
        <v>0</v>
      </c>
      <c r="J24" s="74">
        <f>I24+'30'!J24</f>
        <v>0</v>
      </c>
      <c r="K24" s="74">
        <f>I24+'30'!K24</f>
        <v>0</v>
      </c>
      <c r="L24" s="74">
        <f t="shared" si="4"/>
        <v>0</v>
      </c>
      <c r="M24" s="697"/>
      <c r="N24" s="697"/>
      <c r="O24" s="689"/>
      <c r="P24" s="691"/>
      <c r="Q24" s="692"/>
      <c r="R24" s="83"/>
    </row>
    <row r="25" spans="2:18" ht="14.45" customHeight="1" thickBot="1" x14ac:dyDescent="0.3">
      <c r="B25" s="90" t="s">
        <v>243</v>
      </c>
      <c r="C25" s="702" t="s">
        <v>256</v>
      </c>
      <c r="D25" s="702"/>
      <c r="E25" s="122">
        <f>E18+E19+E21+E22+E23+E24</f>
        <v>37152.309159338874</v>
      </c>
      <c r="F25" s="122">
        <f t="shared" ref="F25:L25" si="5">F18+F19+F21+F22+F23+F24</f>
        <v>0</v>
      </c>
      <c r="G25" s="122">
        <f t="shared" si="5"/>
        <v>55710.780000000006</v>
      </c>
      <c r="H25" s="122">
        <f t="shared" si="5"/>
        <v>55710.780000000006</v>
      </c>
      <c r="I25" s="122">
        <f t="shared" si="5"/>
        <v>0</v>
      </c>
      <c r="J25" s="122">
        <f t="shared" si="5"/>
        <v>46767.000000000007</v>
      </c>
      <c r="K25" s="122">
        <f t="shared" si="5"/>
        <v>46767.000000000007</v>
      </c>
      <c r="L25" s="122">
        <f t="shared" si="5"/>
        <v>37152.309159338874</v>
      </c>
      <c r="M25" s="703"/>
      <c r="N25" s="703"/>
      <c r="O25" s="690"/>
      <c r="P25" s="700"/>
      <c r="Q25" s="701"/>
      <c r="R25" s="83"/>
    </row>
    <row r="26" spans="2:18" ht="14.45" customHeight="1" thickBot="1" x14ac:dyDescent="0.3">
      <c r="B26" s="735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7"/>
      <c r="R26" s="83"/>
    </row>
    <row r="27" spans="2:18" x14ac:dyDescent="0.25">
      <c r="B27" s="741" t="s">
        <v>257</v>
      </c>
      <c r="C27" s="742"/>
      <c r="D27" s="742"/>
      <c r="E27" s="742"/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83"/>
    </row>
    <row r="28" spans="2:18" s="70" customFormat="1" ht="13.9" customHeight="1" x14ac:dyDescent="0.25">
      <c r="B28" s="744" t="s">
        <v>231</v>
      </c>
      <c r="C28" s="718" t="s">
        <v>258</v>
      </c>
      <c r="D28" s="719"/>
      <c r="E28" s="134" t="s">
        <v>259</v>
      </c>
      <c r="F28" s="722" t="s">
        <v>260</v>
      </c>
      <c r="G28" s="723"/>
      <c r="H28" s="724"/>
      <c r="I28" s="725" t="s">
        <v>261</v>
      </c>
      <c r="J28" s="727" t="s">
        <v>35</v>
      </c>
      <c r="K28" s="728"/>
      <c r="L28" s="729"/>
      <c r="M28" s="727" t="s">
        <v>34</v>
      </c>
      <c r="N28" s="728"/>
      <c r="O28" s="729"/>
      <c r="P28" s="725" t="s">
        <v>237</v>
      </c>
      <c r="Q28" s="730" t="s">
        <v>103</v>
      </c>
      <c r="R28" s="67"/>
    </row>
    <row r="29" spans="2:18" s="70" customFormat="1" ht="15.75" thickBot="1" x14ac:dyDescent="0.3">
      <c r="B29" s="745"/>
      <c r="C29" s="720"/>
      <c r="D29" s="721"/>
      <c r="E29" s="143" t="s">
        <v>262</v>
      </c>
      <c r="F29" s="144" t="s">
        <v>241</v>
      </c>
      <c r="G29" s="144" t="s">
        <v>26</v>
      </c>
      <c r="H29" s="144" t="s">
        <v>27</v>
      </c>
      <c r="I29" s="726"/>
      <c r="J29" s="144" t="s">
        <v>241</v>
      </c>
      <c r="K29" s="144" t="s">
        <v>26</v>
      </c>
      <c r="L29" s="144" t="s">
        <v>27</v>
      </c>
      <c r="M29" s="144" t="s">
        <v>241</v>
      </c>
      <c r="N29" s="144" t="s">
        <v>26</v>
      </c>
      <c r="O29" s="144" t="s">
        <v>27</v>
      </c>
      <c r="P29" s="726"/>
      <c r="Q29" s="731"/>
      <c r="R29" s="67"/>
    </row>
    <row r="30" spans="2:18" x14ac:dyDescent="0.25">
      <c r="B30" s="91">
        <v>1</v>
      </c>
      <c r="C30" s="751" t="s">
        <v>263</v>
      </c>
      <c r="D30" s="752"/>
      <c r="E30" s="92">
        <v>250</v>
      </c>
      <c r="F30" s="75">
        <v>16.62</v>
      </c>
      <c r="G30" s="75">
        <f>F30+'30'!G30</f>
        <v>449.10000000000008</v>
      </c>
      <c r="H30" s="75">
        <f>F30+'30'!H30</f>
        <v>449.10000000000008</v>
      </c>
      <c r="I30" s="74">
        <f>'Mines (2)'!C33+'Mines (2)'!H33+'Mines (2)'!V33+'Mines (2)'!Z33+'Mines (2)'!AD33</f>
        <v>12571.751704621605</v>
      </c>
      <c r="J30" s="74">
        <f>Production2!D33</f>
        <v>0</v>
      </c>
      <c r="K30" s="75">
        <f>J30+'30'!K30</f>
        <v>64985.700000000004</v>
      </c>
      <c r="L30" s="74">
        <f>J30+'30'!L30</f>
        <v>64985.700000000004</v>
      </c>
      <c r="M30" s="74">
        <f>I9+I21</f>
        <v>0</v>
      </c>
      <c r="N30" s="75">
        <f>M30+'30'!N30</f>
        <v>75518.819992562247</v>
      </c>
      <c r="O30" s="74">
        <f>M30+'30'!O30</f>
        <v>75518.819992562247</v>
      </c>
      <c r="P30" s="74">
        <f>I30+J30-M30</f>
        <v>12571.751704621605</v>
      </c>
      <c r="Q30" s="93">
        <f>J30/F30</f>
        <v>0</v>
      </c>
      <c r="R30" s="94"/>
    </row>
    <row r="31" spans="2:18" x14ac:dyDescent="0.25">
      <c r="B31" s="79">
        <v>2</v>
      </c>
      <c r="C31" s="680" t="s">
        <v>302</v>
      </c>
      <c r="D31" s="681"/>
      <c r="E31" s="95">
        <v>120</v>
      </c>
      <c r="F31" s="78">
        <f>Production2!G33</f>
        <v>0</v>
      </c>
      <c r="G31" s="75">
        <f>F31+'30'!G31</f>
        <v>493.21999999999997</v>
      </c>
      <c r="H31" s="75">
        <f>F31+'30'!H31</f>
        <v>493.21999999999997</v>
      </c>
      <c r="I31" s="747">
        <f>Production2!H33</f>
        <v>1718.1200168375199</v>
      </c>
      <c r="J31" s="77">
        <f>Production2!N33</f>
        <v>0</v>
      </c>
      <c r="K31" s="75">
        <f>J31+'30'!K31</f>
        <v>58857.15</v>
      </c>
      <c r="L31" s="74">
        <f>J31+'30'!L31</f>
        <v>58857.15</v>
      </c>
      <c r="M31" s="747">
        <f>Production2!K33</f>
        <v>0</v>
      </c>
      <c r="N31" s="747">
        <f>M31+'30'!N31</f>
        <v>62775</v>
      </c>
      <c r="O31" s="747">
        <f>M31+'30'!O31</f>
        <v>62775</v>
      </c>
      <c r="P31" s="747">
        <f>I31+J32+J31-M31</f>
        <v>1718.1200168375199</v>
      </c>
      <c r="Q31" s="96" t="e">
        <f t="shared" ref="Q31:Q46" si="6">J31/F31</f>
        <v>#DIV/0!</v>
      </c>
      <c r="R31" s="94"/>
    </row>
    <row r="32" spans="2:18" x14ac:dyDescent="0.25">
      <c r="B32" s="91">
        <v>3</v>
      </c>
      <c r="C32" s="680" t="s">
        <v>265</v>
      </c>
      <c r="D32" s="681"/>
      <c r="E32" s="95">
        <v>20</v>
      </c>
      <c r="F32" s="78">
        <f>Production2!P33</f>
        <v>0</v>
      </c>
      <c r="G32" s="75">
        <f>F32+'30'!G32</f>
        <v>406.28999999999996</v>
      </c>
      <c r="H32" s="75">
        <f>F32+'30'!H32</f>
        <v>406.28999999999996</v>
      </c>
      <c r="I32" s="748"/>
      <c r="J32" s="78">
        <f>Production2!Q33</f>
        <v>0</v>
      </c>
      <c r="K32" s="75">
        <f>J32+'30'!K32</f>
        <v>3642.24</v>
      </c>
      <c r="L32" s="74">
        <f>J32+'30'!L32</f>
        <v>3642.24</v>
      </c>
      <c r="M32" s="748"/>
      <c r="N32" s="748"/>
      <c r="O32" s="748"/>
      <c r="P32" s="748"/>
      <c r="Q32" s="96" t="e">
        <f>J32/F32</f>
        <v>#DIV/0!</v>
      </c>
      <c r="R32" s="94"/>
    </row>
    <row r="33" spans="2:19" x14ac:dyDescent="0.25">
      <c r="B33" s="79">
        <v>4</v>
      </c>
      <c r="C33" s="680" t="s">
        <v>147</v>
      </c>
      <c r="D33" s="681"/>
      <c r="E33" s="95">
        <v>10</v>
      </c>
      <c r="F33" s="78">
        <f>Production2!S33</f>
        <v>0</v>
      </c>
      <c r="G33" s="75">
        <f>F33+'30'!G33</f>
        <v>446.37</v>
      </c>
      <c r="H33" s="75">
        <f>F33+'30'!H33</f>
        <v>446.37</v>
      </c>
      <c r="I33" s="77">
        <f>Production2!T33</f>
        <v>40.209999999999923</v>
      </c>
      <c r="J33" s="77">
        <f>Production2!U33</f>
        <v>0</v>
      </c>
      <c r="K33" s="75">
        <f>J33+'30'!K33</f>
        <v>6152.7</v>
      </c>
      <c r="L33" s="74">
        <f>J33+'30'!L33</f>
        <v>6152.7</v>
      </c>
      <c r="M33" s="77">
        <f>Production2!V33</f>
        <v>0</v>
      </c>
      <c r="N33" s="74">
        <f>M33+'30'!N33</f>
        <v>6128</v>
      </c>
      <c r="O33" s="74">
        <f>M33+'30'!O33</f>
        <v>6128</v>
      </c>
      <c r="P33" s="74">
        <f t="shared" ref="P33" si="7">I33+J33-M33</f>
        <v>40.209999999999923</v>
      </c>
      <c r="Q33" s="96" t="e">
        <f t="shared" si="6"/>
        <v>#DIV/0!</v>
      </c>
      <c r="R33" s="94"/>
    </row>
    <row r="34" spans="2:19" x14ac:dyDescent="0.25">
      <c r="B34" s="91">
        <v>5</v>
      </c>
      <c r="C34" s="680" t="s">
        <v>69</v>
      </c>
      <c r="D34" s="681"/>
      <c r="E34" s="95">
        <v>50</v>
      </c>
      <c r="F34" s="78">
        <f>Production2!Y33</f>
        <v>0</v>
      </c>
      <c r="G34" s="75">
        <f>F34+'30'!G34</f>
        <v>618.27</v>
      </c>
      <c r="H34" s="75">
        <f>F34+'30'!H34</f>
        <v>618.27</v>
      </c>
      <c r="I34" s="77">
        <f>Clinker!EI33</f>
        <v>24919.660087740463</v>
      </c>
      <c r="J34" s="77">
        <f>Clinker!EJ33</f>
        <v>0</v>
      </c>
      <c r="K34" s="74">
        <f>J34+'30'!K34</f>
        <v>40500</v>
      </c>
      <c r="L34" s="74">
        <f>J34+'30'!L34</f>
        <v>40500</v>
      </c>
      <c r="M34" s="77">
        <f>Clinker!EK33</f>
        <v>0</v>
      </c>
      <c r="N34" s="74">
        <f>M34+'30'!N34</f>
        <v>18861.880011886271</v>
      </c>
      <c r="O34" s="74">
        <f>M34+'30'!O34</f>
        <v>18861.880011886271</v>
      </c>
      <c r="P34" s="74">
        <f>I34+J34-M34-I20</f>
        <v>24919.660087740463</v>
      </c>
      <c r="Q34" s="96" t="e">
        <f t="shared" si="6"/>
        <v>#DIV/0!</v>
      </c>
      <c r="R34" s="94"/>
    </row>
    <row r="35" spans="2:19" x14ac:dyDescent="0.25">
      <c r="B35" s="753">
        <v>6</v>
      </c>
      <c r="C35" s="679" t="s">
        <v>148</v>
      </c>
      <c r="D35" s="80" t="s">
        <v>267</v>
      </c>
      <c r="E35" s="97">
        <v>90</v>
      </c>
      <c r="F35" s="78">
        <f>Production2!AE33</f>
        <v>0</v>
      </c>
      <c r="G35" s="75">
        <f>F35+'30'!G35</f>
        <v>9</v>
      </c>
      <c r="H35" s="75">
        <f>F35+'30'!H35</f>
        <v>9</v>
      </c>
      <c r="I35" s="77">
        <f>Production2!BJ33</f>
        <v>411.79999999999995</v>
      </c>
      <c r="J35" s="77">
        <f>Production2!AF33</f>
        <v>0</v>
      </c>
      <c r="K35" s="74">
        <f>J35+'30'!K35</f>
        <v>574</v>
      </c>
      <c r="L35" s="74">
        <f>J35+'30'!L35</f>
        <v>574</v>
      </c>
      <c r="M35" s="77">
        <f>Production2!BL33</f>
        <v>0</v>
      </c>
      <c r="N35" s="74">
        <f>M35+'30'!N35</f>
        <v>2394.5</v>
      </c>
      <c r="O35" s="74">
        <f>M35+'30'!O35</f>
        <v>2394.5</v>
      </c>
      <c r="P35" s="74">
        <f>I35+J35+J41-M35-F59</f>
        <v>411.79999999999995</v>
      </c>
      <c r="Q35" s="96" t="e">
        <f t="shared" si="6"/>
        <v>#DIV/0!</v>
      </c>
      <c r="R35" s="94"/>
    </row>
    <row r="36" spans="2:19" x14ac:dyDescent="0.25">
      <c r="B36" s="754"/>
      <c r="C36" s="685"/>
      <c r="D36" s="80" t="s">
        <v>268</v>
      </c>
      <c r="E36" s="97">
        <v>78</v>
      </c>
      <c r="F36" s="78">
        <f>Production2!AB33</f>
        <v>0</v>
      </c>
      <c r="G36" s="75">
        <f>F36+'30'!G36</f>
        <v>206.33</v>
      </c>
      <c r="H36" s="75">
        <f>F36+'30'!H36</f>
        <v>206.33</v>
      </c>
      <c r="I36" s="77">
        <f>Production2!BF33</f>
        <v>2679.28799999998</v>
      </c>
      <c r="J36" s="77">
        <f>Production2!AC33</f>
        <v>0</v>
      </c>
      <c r="K36" s="74">
        <f>J36+'30'!K36</f>
        <v>12429</v>
      </c>
      <c r="L36" s="74">
        <f>J36+'30'!L36</f>
        <v>12429</v>
      </c>
      <c r="M36" s="77">
        <f>Production2!BH33</f>
        <v>0</v>
      </c>
      <c r="N36" s="74">
        <f>M36+'30'!N36</f>
        <v>35168.269999999997</v>
      </c>
      <c r="O36" s="74">
        <f>M36+'30'!O36</f>
        <v>35168.269999999997</v>
      </c>
      <c r="P36" s="74">
        <f>I36+J36+J42-M36-F57</f>
        <v>2679.28799999998</v>
      </c>
      <c r="Q36" s="96" t="e">
        <f t="shared" si="6"/>
        <v>#DIV/0!</v>
      </c>
      <c r="R36" s="94"/>
    </row>
    <row r="37" spans="2:19" x14ac:dyDescent="0.25">
      <c r="B37" s="754"/>
      <c r="C37" s="685"/>
      <c r="D37" s="80" t="s">
        <v>269</v>
      </c>
      <c r="E37" s="97">
        <v>78</v>
      </c>
      <c r="F37" s="78">
        <f>Production2!AH33</f>
        <v>0</v>
      </c>
      <c r="G37" s="75">
        <f>F37+'30'!G37</f>
        <v>0</v>
      </c>
      <c r="H37" s="75">
        <f>F37+'30'!H37</f>
        <v>0</v>
      </c>
      <c r="I37" s="77">
        <f>Production2!BN33</f>
        <v>2.0900000000008498</v>
      </c>
      <c r="J37" s="77">
        <f>Production2!AI33</f>
        <v>0</v>
      </c>
      <c r="K37" s="74">
        <f>J37+'30'!K37</f>
        <v>0</v>
      </c>
      <c r="L37" s="74">
        <f>J37+'30'!L37</f>
        <v>0</v>
      </c>
      <c r="M37" s="77">
        <f>Production2!BP33</f>
        <v>0</v>
      </c>
      <c r="N37" s="74">
        <f>M37+'30'!N37</f>
        <v>-0.15</v>
      </c>
      <c r="O37" s="74">
        <f>M37+'30'!O37</f>
        <v>-0.15</v>
      </c>
      <c r="P37" s="74">
        <f>I37+J37+J43-M37-F58</f>
        <v>2.0900000000008498</v>
      </c>
      <c r="Q37" s="96" t="e">
        <f t="shared" si="6"/>
        <v>#DIV/0!</v>
      </c>
      <c r="R37" s="94"/>
    </row>
    <row r="38" spans="2:19" x14ac:dyDescent="0.25">
      <c r="B38" s="754"/>
      <c r="C38" s="685"/>
      <c r="D38" s="194" t="s">
        <v>177</v>
      </c>
      <c r="E38" s="97">
        <v>65</v>
      </c>
      <c r="F38" s="84">
        <f>Production2!AK33</f>
        <v>0</v>
      </c>
      <c r="G38" s="75">
        <f>F38+'30'!G38</f>
        <v>0</v>
      </c>
      <c r="H38" s="75">
        <f>F38+'30'!H38</f>
        <v>0</v>
      </c>
      <c r="I38" s="195">
        <f>Production2!BR33</f>
        <v>186.3</v>
      </c>
      <c r="J38" s="195">
        <f>'Daily CEM-1'!F33</f>
        <v>0</v>
      </c>
      <c r="K38" s="74">
        <f>J38+'30'!K38</f>
        <v>0</v>
      </c>
      <c r="L38" s="74">
        <f>J38+'30'!L38</f>
        <v>0</v>
      </c>
      <c r="M38" s="77">
        <f>Production2!BT33</f>
        <v>0</v>
      </c>
      <c r="N38" s="74">
        <f>M38+'30'!N38</f>
        <v>1847</v>
      </c>
      <c r="O38" s="74">
        <f>M38+'30'!O38</f>
        <v>1847</v>
      </c>
      <c r="P38" s="74">
        <f>I38+J38+J44-M38-F60</f>
        <v>186.3</v>
      </c>
      <c r="Q38" s="96" t="e">
        <f t="shared" si="6"/>
        <v>#DIV/0!</v>
      </c>
      <c r="R38" s="94"/>
    </row>
    <row r="39" spans="2:19" x14ac:dyDescent="0.25">
      <c r="B39" s="754"/>
      <c r="C39" s="685"/>
      <c r="D39" s="80" t="s">
        <v>306</v>
      </c>
      <c r="E39" s="97"/>
      <c r="F39" s="84">
        <f>Production2!AN33</f>
        <v>0</v>
      </c>
      <c r="G39" s="75">
        <f>F39+'30'!G39</f>
        <v>40.65</v>
      </c>
      <c r="H39" s="75">
        <f>F39+'30'!H39</f>
        <v>40.65</v>
      </c>
      <c r="I39" s="195">
        <f>Production2!BV33</f>
        <v>755.83000000000015</v>
      </c>
      <c r="J39" s="195">
        <f>Production2!BW33</f>
        <v>0</v>
      </c>
      <c r="K39" s="74">
        <f>J39+'30'!K39</f>
        <v>2532</v>
      </c>
      <c r="L39" s="74">
        <f>J39+'30'!L39</f>
        <v>2532</v>
      </c>
      <c r="M39" s="77">
        <f>Production2!BX33</f>
        <v>0</v>
      </c>
      <c r="N39" s="74">
        <f>M39+'30'!N39</f>
        <v>5421.8799999999992</v>
      </c>
      <c r="O39" s="74">
        <f>M39+'30'!O39</f>
        <v>5421.8799999999992</v>
      </c>
      <c r="P39" s="74">
        <f>I39+J39+J45-M39</f>
        <v>755.83000000000015</v>
      </c>
      <c r="Q39" s="96" t="e">
        <f t="shared" si="6"/>
        <v>#DIV/0!</v>
      </c>
      <c r="R39" s="94"/>
      <c r="S39" s="94"/>
    </row>
    <row r="40" spans="2:19" ht="15.75" thickBot="1" x14ac:dyDescent="0.3">
      <c r="B40" s="755"/>
      <c r="C40" s="756"/>
      <c r="D40" s="120" t="s">
        <v>152</v>
      </c>
      <c r="E40" s="121">
        <v>70</v>
      </c>
      <c r="F40" s="132">
        <f>F35+F36+F37+F38+F39</f>
        <v>0</v>
      </c>
      <c r="G40" s="132">
        <f>G35+G36+G37+G38+G39</f>
        <v>255.98000000000002</v>
      </c>
      <c r="H40" s="132">
        <f t="shared" ref="H40" si="8">H35+H36+H37+H38+H39</f>
        <v>255.98000000000002</v>
      </c>
      <c r="I40" s="122">
        <f>I35+I36+I37+I38+I39</f>
        <v>4035.3079999999809</v>
      </c>
      <c r="J40" s="122">
        <f>J35+J36+J37+J38+J39</f>
        <v>0</v>
      </c>
      <c r="K40" s="122">
        <f>K35+K36+K37+K38+K39</f>
        <v>15535</v>
      </c>
      <c r="L40" s="122">
        <f t="shared" ref="L40" si="9">L35+L36+L37+L38+L39</f>
        <v>15535</v>
      </c>
      <c r="M40" s="122">
        <f>M35+M36+M37+M38+M39</f>
        <v>0</v>
      </c>
      <c r="N40" s="122">
        <f t="shared" ref="N40:O40" si="10">N35+N36+N37+N38+N39</f>
        <v>44831.499999999993</v>
      </c>
      <c r="O40" s="132">
        <f t="shared" si="10"/>
        <v>44831.499999999993</v>
      </c>
      <c r="P40" s="122">
        <f>P35+P36+P37+P38+P39</f>
        <v>4035.3079999999809</v>
      </c>
      <c r="Q40" s="132" t="e">
        <f>J40/F40</f>
        <v>#DIV/0!</v>
      </c>
      <c r="R40" s="94"/>
    </row>
    <row r="41" spans="2:19" ht="15" customHeight="1" x14ac:dyDescent="0.25">
      <c r="B41" s="845">
        <v>7</v>
      </c>
      <c r="C41" s="846" t="s">
        <v>270</v>
      </c>
      <c r="D41" s="80" t="s">
        <v>267</v>
      </c>
      <c r="E41" s="97">
        <v>75</v>
      </c>
      <c r="F41" s="78">
        <f>Production2!AT33</f>
        <v>0</v>
      </c>
      <c r="G41" s="75">
        <f>F41+'30'!G41</f>
        <v>33.099999999999994</v>
      </c>
      <c r="H41" s="75">
        <f>F41+'30'!H41</f>
        <v>33.099999999999994</v>
      </c>
      <c r="I41" s="764"/>
      <c r="J41" s="77">
        <f>Production2!AU33</f>
        <v>0</v>
      </c>
      <c r="K41" s="74">
        <f>J41+'30'!K41</f>
        <v>2000</v>
      </c>
      <c r="L41" s="74">
        <f>J41+'30'!L41</f>
        <v>2000</v>
      </c>
      <c r="M41" s="766"/>
      <c r="N41" s="767"/>
      <c r="O41" s="767"/>
      <c r="P41" s="768"/>
      <c r="Q41" s="96" t="e">
        <f t="shared" si="6"/>
        <v>#DIV/0!</v>
      </c>
      <c r="R41" s="94"/>
    </row>
    <row r="42" spans="2:19" x14ac:dyDescent="0.25">
      <c r="B42" s="754"/>
      <c r="C42" s="685"/>
      <c r="D42" s="80" t="s">
        <v>268</v>
      </c>
      <c r="E42" s="97">
        <v>70</v>
      </c>
      <c r="F42" s="78">
        <f>Production2!AQ33</f>
        <v>0</v>
      </c>
      <c r="G42" s="75">
        <f>F42+'30'!G42</f>
        <v>416.00000000000006</v>
      </c>
      <c r="H42" s="75">
        <f>F42+'30'!H42</f>
        <v>416.00000000000006</v>
      </c>
      <c r="I42" s="765"/>
      <c r="J42" s="77">
        <f>Production2!AR33</f>
        <v>0</v>
      </c>
      <c r="K42" s="74">
        <f>J42+'30'!K42</f>
        <v>24140</v>
      </c>
      <c r="L42" s="74">
        <f>J42+'30'!L42</f>
        <v>24140</v>
      </c>
      <c r="M42" s="769"/>
      <c r="N42" s="770"/>
      <c r="O42" s="770"/>
      <c r="P42" s="771"/>
      <c r="Q42" s="96" t="e">
        <f t="shared" si="6"/>
        <v>#DIV/0!</v>
      </c>
      <c r="R42" s="94"/>
    </row>
    <row r="43" spans="2:19" x14ac:dyDescent="0.25">
      <c r="B43" s="754"/>
      <c r="C43" s="685"/>
      <c r="D43" s="80" t="s">
        <v>269</v>
      </c>
      <c r="E43" s="97">
        <v>70</v>
      </c>
      <c r="F43" s="78">
        <f>Production2!AW33</f>
        <v>0</v>
      </c>
      <c r="G43" s="75">
        <f>F43+'30'!G43</f>
        <v>0</v>
      </c>
      <c r="H43" s="75">
        <f>F43+'30'!H43</f>
        <v>0</v>
      </c>
      <c r="I43" s="765"/>
      <c r="J43" s="77">
        <f>Production2!AX33</f>
        <v>0</v>
      </c>
      <c r="K43" s="74">
        <f>J43+'30'!K43</f>
        <v>0</v>
      </c>
      <c r="L43" s="74">
        <f>J43+'30'!L43</f>
        <v>0</v>
      </c>
      <c r="M43" s="769"/>
      <c r="N43" s="770"/>
      <c r="O43" s="770"/>
      <c r="P43" s="771"/>
      <c r="Q43" s="96" t="e">
        <f t="shared" si="6"/>
        <v>#DIV/0!</v>
      </c>
      <c r="R43" s="94"/>
    </row>
    <row r="44" spans="2:19" x14ac:dyDescent="0.25">
      <c r="B44" s="754"/>
      <c r="C44" s="685"/>
      <c r="D44" s="194" t="s">
        <v>177</v>
      </c>
      <c r="E44" s="97">
        <v>60</v>
      </c>
      <c r="F44" s="84">
        <f>Production2!AZ33</f>
        <v>0</v>
      </c>
      <c r="G44" s="75">
        <f>F44+'30'!G44</f>
        <v>32.880000000000003</v>
      </c>
      <c r="H44" s="75">
        <f>F44+'30'!H44</f>
        <v>32.880000000000003</v>
      </c>
      <c r="I44" s="748"/>
      <c r="J44" s="195">
        <f>Production2!BA33</f>
        <v>0</v>
      </c>
      <c r="K44" s="74">
        <f>J44+'30'!K44</f>
        <v>1820</v>
      </c>
      <c r="L44" s="74">
        <f>J44+'30'!L44</f>
        <v>1820</v>
      </c>
      <c r="M44" s="772"/>
      <c r="N44" s="773"/>
      <c r="O44" s="773"/>
      <c r="P44" s="774"/>
      <c r="Q44" s="96" t="e">
        <f t="shared" si="6"/>
        <v>#DIV/0!</v>
      </c>
      <c r="R44" s="94"/>
    </row>
    <row r="45" spans="2:19" x14ac:dyDescent="0.25">
      <c r="B45" s="754"/>
      <c r="C45" s="685"/>
      <c r="D45" s="80" t="s">
        <v>306</v>
      </c>
      <c r="E45" s="97"/>
      <c r="F45" s="84">
        <f>Production2!BC33</f>
        <v>0</v>
      </c>
      <c r="G45" s="75">
        <f>F45+'30'!G45</f>
        <v>54.970000000000006</v>
      </c>
      <c r="H45" s="75">
        <f>F45+'30'!H45</f>
        <v>54.970000000000006</v>
      </c>
      <c r="I45" s="431"/>
      <c r="J45" s="195">
        <f>Production2!BD33</f>
        <v>0</v>
      </c>
      <c r="K45" s="74">
        <f>J45+'30'!K45</f>
        <v>3272</v>
      </c>
      <c r="L45" s="74">
        <f>J45+'30'!L45</f>
        <v>3272</v>
      </c>
      <c r="M45" s="432"/>
      <c r="N45" s="109"/>
      <c r="O45" s="109"/>
      <c r="P45" s="433"/>
      <c r="Q45" s="96" t="e">
        <f t="shared" si="6"/>
        <v>#DIV/0!</v>
      </c>
      <c r="R45" s="94"/>
      <c r="S45" s="94"/>
    </row>
    <row r="46" spans="2:19" ht="15.75" thickBot="1" x14ac:dyDescent="0.3">
      <c r="B46" s="755"/>
      <c r="C46" s="756"/>
      <c r="D46" s="120" t="s">
        <v>152</v>
      </c>
      <c r="E46" s="121">
        <v>70</v>
      </c>
      <c r="F46" s="132">
        <f>F41+F42+F43+F44+F45</f>
        <v>0</v>
      </c>
      <c r="G46" s="132">
        <f>G41+G42+G43+G44+G45</f>
        <v>536.95000000000005</v>
      </c>
      <c r="H46" s="132">
        <f t="shared" ref="H46" si="11">H41+H42+H43+H44+H45</f>
        <v>536.95000000000005</v>
      </c>
      <c r="I46" s="122">
        <f t="shared" ref="I46" si="12">I41+I42+I43+I44</f>
        <v>0</v>
      </c>
      <c r="J46" s="122">
        <f>J41+J42+J43+J44+J45</f>
        <v>0</v>
      </c>
      <c r="K46" s="122">
        <f t="shared" ref="K46:L46" si="13">K41+K42+K43+K44+K45</f>
        <v>31232</v>
      </c>
      <c r="L46" s="122">
        <f t="shared" si="13"/>
        <v>31232</v>
      </c>
      <c r="M46" s="836"/>
      <c r="N46" s="837"/>
      <c r="O46" s="837"/>
      <c r="P46" s="838"/>
      <c r="Q46" s="123" t="e">
        <f t="shared" si="6"/>
        <v>#DIV/0!</v>
      </c>
      <c r="R46" s="94"/>
    </row>
    <row r="47" spans="2:19" ht="15.75" thickBot="1" x14ac:dyDescent="0.3">
      <c r="B47" s="234"/>
      <c r="C47" s="906"/>
      <c r="D47" s="907"/>
      <c r="E47" s="907"/>
      <c r="F47" s="907"/>
      <c r="G47" s="907"/>
      <c r="H47" s="907"/>
      <c r="I47" s="907"/>
      <c r="J47" s="907"/>
      <c r="K47" s="907"/>
      <c r="L47" s="907"/>
      <c r="M47" s="907"/>
      <c r="N47" s="907"/>
      <c r="O47" s="907"/>
      <c r="P47" s="907"/>
      <c r="Q47" s="908"/>
      <c r="R47" s="94"/>
    </row>
    <row r="48" spans="2:19" s="70" customFormat="1" ht="15" customHeight="1" x14ac:dyDescent="0.25">
      <c r="B48" s="814" t="s">
        <v>271</v>
      </c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6"/>
      <c r="O48" s="814" t="s">
        <v>272</v>
      </c>
      <c r="P48" s="815"/>
      <c r="Q48" s="816"/>
      <c r="R48" s="98"/>
    </row>
    <row r="49" spans="2:18" s="70" customFormat="1" ht="15.6" customHeight="1" thickBot="1" x14ac:dyDescent="0.3">
      <c r="B49" s="187" t="s">
        <v>231</v>
      </c>
      <c r="C49" s="823" t="s">
        <v>232</v>
      </c>
      <c r="D49" s="823"/>
      <c r="E49" s="315" t="s">
        <v>143</v>
      </c>
      <c r="F49" s="316" t="s">
        <v>144</v>
      </c>
      <c r="G49" s="315" t="s">
        <v>145</v>
      </c>
      <c r="H49" s="315" t="s">
        <v>146</v>
      </c>
      <c r="I49" s="315" t="s">
        <v>147</v>
      </c>
      <c r="J49" s="315" t="s">
        <v>273</v>
      </c>
      <c r="K49" s="315" t="s">
        <v>149</v>
      </c>
      <c r="L49" s="315" t="s">
        <v>274</v>
      </c>
      <c r="M49" s="317" t="s">
        <v>275</v>
      </c>
      <c r="N49" s="315" t="s">
        <v>152</v>
      </c>
      <c r="O49" s="750" t="s">
        <v>232</v>
      </c>
      <c r="P49" s="750"/>
      <c r="Q49" s="148"/>
    </row>
    <row r="50" spans="2:18" ht="14.45" customHeight="1" x14ac:dyDescent="0.25">
      <c r="B50" s="91">
        <v>1</v>
      </c>
      <c r="C50" s="746" t="s">
        <v>276</v>
      </c>
      <c r="D50" s="746"/>
      <c r="E50" s="99" t="e">
        <f>E53/J30</f>
        <v>#DIV/0!</v>
      </c>
      <c r="F50" s="99" t="e">
        <f>F53/(J31+J32)</f>
        <v>#DIV/0!</v>
      </c>
      <c r="G50" s="99">
        <v>0</v>
      </c>
      <c r="H50" s="99" t="e">
        <f>H53/J33</f>
        <v>#DIV/0!</v>
      </c>
      <c r="I50" s="99"/>
      <c r="J50" s="99"/>
      <c r="K50" s="99"/>
      <c r="L50" s="99"/>
      <c r="M50" s="100"/>
      <c r="N50" s="101">
        <v>1</v>
      </c>
      <c r="O50" s="749" t="s">
        <v>277</v>
      </c>
      <c r="P50" s="749"/>
      <c r="Q50" s="93" t="e">
        <f>(M33/J34)*100</f>
        <v>#DIV/0!</v>
      </c>
    </row>
    <row r="51" spans="2:18" ht="14.45" customHeight="1" x14ac:dyDescent="0.25">
      <c r="B51" s="79">
        <v>2</v>
      </c>
      <c r="C51" s="668" t="s">
        <v>278</v>
      </c>
      <c r="D51" s="668"/>
      <c r="E51" s="102" t="e">
        <f>E50*(I9/J34)</f>
        <v>#DIV/0!</v>
      </c>
      <c r="F51" s="102" t="e">
        <f>F50*1.55</f>
        <v>#DIV/0!</v>
      </c>
      <c r="G51" s="102">
        <f>G50</f>
        <v>0</v>
      </c>
      <c r="H51" s="102" t="e">
        <f>H50*Q50/100</f>
        <v>#DIV/0!</v>
      </c>
      <c r="I51" s="102"/>
      <c r="J51" s="102"/>
      <c r="K51" s="102"/>
      <c r="L51" s="102"/>
      <c r="M51" s="96" t="e">
        <f>SUM(E51:H51)</f>
        <v>#DIV/0!</v>
      </c>
      <c r="N51" s="103">
        <v>2</v>
      </c>
      <c r="O51" s="668" t="s">
        <v>279</v>
      </c>
      <c r="P51" s="668"/>
      <c r="Q51" s="104">
        <v>0</v>
      </c>
    </row>
    <row r="52" spans="2:18" ht="14.45" customHeight="1" x14ac:dyDescent="0.25">
      <c r="B52" s="79">
        <v>3</v>
      </c>
      <c r="C52" s="708" t="s">
        <v>280</v>
      </c>
      <c r="D52" s="708"/>
      <c r="E52" s="102" t="e">
        <f>E51*M18/100</f>
        <v>#DIV/0!</v>
      </c>
      <c r="F52" s="102" t="e">
        <f>F51*M18/100</f>
        <v>#DIV/0!</v>
      </c>
      <c r="G52" s="102" t="e">
        <f>G51*M18/100</f>
        <v>#DIV/0!</v>
      </c>
      <c r="H52" s="102" t="e">
        <f>H51*M18/100</f>
        <v>#DIV/0!</v>
      </c>
      <c r="I52" s="102" t="e">
        <f>I53/(J40+J46)</f>
        <v>#DIV/0!</v>
      </c>
      <c r="J52" s="99" t="e">
        <f>J53/(J40+J46)</f>
        <v>#DIV/0!</v>
      </c>
      <c r="K52" s="99" t="e">
        <f>K53/M40</f>
        <v>#DIV/0!</v>
      </c>
      <c r="L52" s="99" t="e">
        <f>L53/(J40+J46)</f>
        <v>#DIV/0!</v>
      </c>
      <c r="M52" s="96" t="e">
        <f>SUM(E52:L52)</f>
        <v>#DIV/0!</v>
      </c>
      <c r="N52" s="103">
        <v>3</v>
      </c>
      <c r="O52" s="668" t="s">
        <v>281</v>
      </c>
      <c r="P52" s="668"/>
      <c r="Q52" s="104" t="e">
        <f>Q51*Q50/100</f>
        <v>#DIV/0!</v>
      </c>
    </row>
    <row r="53" spans="2:18" ht="15" customHeight="1" thickBot="1" x14ac:dyDescent="0.3">
      <c r="B53" s="90" t="s">
        <v>243</v>
      </c>
      <c r="C53" s="775" t="s">
        <v>282</v>
      </c>
      <c r="D53" s="775"/>
      <c r="E53" s="118">
        <f>'Daily unit'!B33</f>
        <v>0</v>
      </c>
      <c r="F53" s="118">
        <f>'Daily unit'!C33</f>
        <v>0</v>
      </c>
      <c r="G53" s="118">
        <f>'Daily unit'!E33</f>
        <v>0</v>
      </c>
      <c r="H53" s="118">
        <f>'Daily unit'!F33</f>
        <v>0</v>
      </c>
      <c r="I53" s="118">
        <f>'Daily unit'!G33</f>
        <v>0</v>
      </c>
      <c r="J53" s="118">
        <f>'Daily unit'!H33</f>
        <v>0</v>
      </c>
      <c r="K53" s="118">
        <f>'Daily unit'!I33</f>
        <v>0</v>
      </c>
      <c r="L53" s="118">
        <f>'Daily unit'!J33</f>
        <v>0</v>
      </c>
      <c r="M53" s="119">
        <f>SUM(E53:L53)</f>
        <v>0</v>
      </c>
      <c r="N53" s="105"/>
      <c r="O53" s="106"/>
      <c r="P53" s="107"/>
      <c r="Q53" s="108"/>
    </row>
    <row r="54" spans="2:18" ht="15" customHeight="1" thickBot="1" x14ac:dyDescent="0.3">
      <c r="B54" s="732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4"/>
    </row>
    <row r="55" spans="2:18" ht="14.45" customHeight="1" thickBot="1" x14ac:dyDescent="0.3">
      <c r="B55" s="761" t="s">
        <v>283</v>
      </c>
      <c r="C55" s="762"/>
      <c r="D55" s="762"/>
      <c r="E55" s="762"/>
      <c r="F55" s="762"/>
      <c r="G55" s="762"/>
      <c r="H55" s="762"/>
      <c r="I55" s="893" t="s">
        <v>301</v>
      </c>
      <c r="J55" s="894"/>
      <c r="K55" s="894"/>
      <c r="L55" s="894"/>
      <c r="M55" s="894"/>
      <c r="N55" s="894"/>
      <c r="O55" s="894"/>
      <c r="P55" s="894"/>
      <c r="Q55" s="895"/>
      <c r="R55" s="109"/>
    </row>
    <row r="56" spans="2:18" s="110" customFormat="1" ht="14.45" customHeight="1" x14ac:dyDescent="0.25">
      <c r="B56" s="149" t="s">
        <v>231</v>
      </c>
      <c r="C56" s="739" t="s">
        <v>285</v>
      </c>
      <c r="D56" s="739"/>
      <c r="E56" s="739"/>
      <c r="F56" s="150" t="s">
        <v>286</v>
      </c>
      <c r="G56" s="150" t="s">
        <v>26</v>
      </c>
      <c r="H56" s="183" t="s">
        <v>27</v>
      </c>
      <c r="I56" s="896"/>
      <c r="J56" s="897"/>
      <c r="K56" s="897"/>
      <c r="L56" s="897"/>
      <c r="M56" s="897"/>
      <c r="N56" s="897"/>
      <c r="O56" s="897"/>
      <c r="P56" s="897"/>
      <c r="Q56" s="898"/>
      <c r="R56" s="111"/>
    </row>
    <row r="57" spans="2:18" ht="14.45" customHeight="1" x14ac:dyDescent="0.25">
      <c r="B57" s="841">
        <v>1</v>
      </c>
      <c r="C57" s="757" t="s">
        <v>287</v>
      </c>
      <c r="D57" s="757"/>
      <c r="E57" s="80">
        <v>42.5</v>
      </c>
      <c r="F57" s="53">
        <f>'Internal use cement'!F33</f>
        <v>0</v>
      </c>
      <c r="G57" s="78">
        <f>F57+'30'!G57</f>
        <v>0</v>
      </c>
      <c r="H57" s="287">
        <f>F57+'30'!H57</f>
        <v>0</v>
      </c>
      <c r="I57" s="896"/>
      <c r="J57" s="897"/>
      <c r="K57" s="897"/>
      <c r="L57" s="897"/>
      <c r="M57" s="897"/>
      <c r="N57" s="897"/>
      <c r="O57" s="897"/>
      <c r="P57" s="897"/>
      <c r="Q57" s="898"/>
      <c r="R57" s="109"/>
    </row>
    <row r="58" spans="2:18" ht="14.45" customHeight="1" x14ac:dyDescent="0.25">
      <c r="B58" s="826"/>
      <c r="C58" s="758"/>
      <c r="D58" s="758"/>
      <c r="E58" s="80" t="s">
        <v>197</v>
      </c>
      <c r="F58" s="53">
        <f>'Internal use cement'!Q33</f>
        <v>0</v>
      </c>
      <c r="G58" s="78">
        <f>F58+'30'!G58</f>
        <v>0</v>
      </c>
      <c r="H58" s="287">
        <f>F58+'30'!H58</f>
        <v>0</v>
      </c>
      <c r="I58" s="896"/>
      <c r="J58" s="897"/>
      <c r="K58" s="897"/>
      <c r="L58" s="897"/>
      <c r="M58" s="897"/>
      <c r="N58" s="897"/>
      <c r="O58" s="897"/>
      <c r="P58" s="897"/>
      <c r="Q58" s="898"/>
      <c r="R58" s="109"/>
    </row>
    <row r="59" spans="2:18" ht="15" customHeight="1" x14ac:dyDescent="0.25">
      <c r="B59" s="826"/>
      <c r="C59" s="758"/>
      <c r="D59" s="758"/>
      <c r="E59" s="80">
        <v>32.5</v>
      </c>
      <c r="F59" s="53">
        <f>'Internal use cement'!Y33</f>
        <v>0</v>
      </c>
      <c r="G59" s="78">
        <f>F59+'30'!G59</f>
        <v>0</v>
      </c>
      <c r="H59" s="287">
        <f>F59+'30'!H59</f>
        <v>0</v>
      </c>
      <c r="I59" s="896"/>
      <c r="J59" s="897"/>
      <c r="K59" s="897"/>
      <c r="L59" s="897"/>
      <c r="M59" s="897"/>
      <c r="N59" s="897"/>
      <c r="O59" s="897"/>
      <c r="P59" s="897"/>
      <c r="Q59" s="898"/>
      <c r="R59" s="109"/>
    </row>
    <row r="60" spans="2:18" ht="15" customHeight="1" thickBot="1" x14ac:dyDescent="0.3">
      <c r="B60" s="827"/>
      <c r="C60" s="759"/>
      <c r="D60" s="759"/>
      <c r="E60" s="213" t="s">
        <v>177</v>
      </c>
      <c r="F60" s="113">
        <f>'Internal use cement'!AJ33</f>
        <v>0</v>
      </c>
      <c r="G60" s="78">
        <f>F60+'30'!G60</f>
        <v>0</v>
      </c>
      <c r="H60" s="287">
        <f>F60+'30'!H60</f>
        <v>0</v>
      </c>
      <c r="I60" s="899"/>
      <c r="J60" s="900"/>
      <c r="K60" s="900"/>
      <c r="L60" s="900"/>
      <c r="M60" s="900"/>
      <c r="N60" s="900"/>
      <c r="O60" s="900"/>
      <c r="P60" s="900"/>
      <c r="Q60" s="901"/>
      <c r="R60" s="109"/>
    </row>
    <row r="61" spans="2:18" x14ac:dyDescent="0.25">
      <c r="R61" s="115"/>
    </row>
    <row r="62" spans="2:18" x14ac:dyDescent="0.25">
      <c r="R62" s="116"/>
    </row>
    <row r="63" spans="2:18" x14ac:dyDescent="0.25">
      <c r="R63" s="94"/>
    </row>
    <row r="64" spans="2:18" x14ac:dyDescent="0.25">
      <c r="R64" s="94"/>
    </row>
    <row r="65" spans="2:18" x14ac:dyDescent="0.25">
      <c r="R65" s="94"/>
    </row>
    <row r="66" spans="2:18" x14ac:dyDescent="0.25">
      <c r="R66" s="109"/>
    </row>
    <row r="67" spans="2:18" x14ac:dyDescent="0.25">
      <c r="R67" s="94"/>
    </row>
    <row r="68" spans="2:18" x14ac:dyDescent="0.25">
      <c r="R68" s="117"/>
    </row>
    <row r="69" spans="2:18" x14ac:dyDescent="0.25">
      <c r="R69" s="117"/>
    </row>
    <row r="70" spans="2:18" x14ac:dyDescent="0.25">
      <c r="R70" s="117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</sheetData>
  <mergeCells count="85">
    <mergeCell ref="B14:B16"/>
    <mergeCell ref="C14:C16"/>
    <mergeCell ref="P13:Q13"/>
    <mergeCell ref="C9:D9"/>
    <mergeCell ref="C8:Q8"/>
    <mergeCell ref="C11:D11"/>
    <mergeCell ref="C12:D12"/>
    <mergeCell ref="C13:D13"/>
    <mergeCell ref="O9:O16"/>
    <mergeCell ref="C10:D10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56:E56"/>
    <mergeCell ref="B54:Q54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J28:L28"/>
    <mergeCell ref="M28:O28"/>
    <mergeCell ref="B2:Q2"/>
    <mergeCell ref="B55:H55"/>
    <mergeCell ref="C30:D30"/>
    <mergeCell ref="C31:D31"/>
    <mergeCell ref="C33:D33"/>
    <mergeCell ref="C34:D34"/>
    <mergeCell ref="C47:Q47"/>
    <mergeCell ref="C35:C40"/>
    <mergeCell ref="P28:P29"/>
    <mergeCell ref="Q28:Q29"/>
    <mergeCell ref="C17:Q17"/>
    <mergeCell ref="B18:B20"/>
    <mergeCell ref="C18:C20"/>
    <mergeCell ref="N18:N20"/>
    <mergeCell ref="C57:D60"/>
    <mergeCell ref="B57:B60"/>
    <mergeCell ref="I55:Q60"/>
    <mergeCell ref="C21:D21"/>
    <mergeCell ref="B41:B46"/>
    <mergeCell ref="C41:C46"/>
    <mergeCell ref="I41:I44"/>
    <mergeCell ref="M41:P44"/>
    <mergeCell ref="M46:P46"/>
    <mergeCell ref="B35:B40"/>
    <mergeCell ref="B26:Q26"/>
    <mergeCell ref="B27:Q27"/>
    <mergeCell ref="B28:B29"/>
    <mergeCell ref="C28:D29"/>
    <mergeCell ref="F28:H28"/>
    <mergeCell ref="I28:I29"/>
    <mergeCell ref="P31:P32"/>
    <mergeCell ref="B48:N48"/>
    <mergeCell ref="O48:Q48"/>
    <mergeCell ref="C32:D32"/>
    <mergeCell ref="I31:I32"/>
    <mergeCell ref="M31:M32"/>
    <mergeCell ref="N31:N32"/>
    <mergeCell ref="O31:O32"/>
  </mergeCells>
  <pageMargins left="0" right="0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7</vt:i4>
      </vt:variant>
    </vt:vector>
  </HeadingPairs>
  <TitlesOfParts>
    <vt:vector size="49" baseType="lpstr">
      <vt:lpstr>Mines (2)</vt:lpstr>
      <vt:lpstr>Clinker</vt:lpstr>
      <vt:lpstr>RAW MILL 2</vt:lpstr>
      <vt:lpstr>Cement</vt:lpstr>
      <vt:lpstr>Production2</vt:lpstr>
      <vt:lpstr>CPP</vt:lpstr>
      <vt:lpstr>Daily unit</vt:lpstr>
      <vt:lpstr>Daily CEM-1</vt:lpstr>
      <vt:lpstr>Daily  CEM - 2</vt:lpstr>
      <vt:lpstr>Internal use cement</vt:lpstr>
      <vt:lpstr>Raw mill moisture content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Cement!Print_Area</vt:lpstr>
      <vt:lpstr>Clinker!Print_Area</vt:lpstr>
      <vt:lpstr>'Daily  CEM - 2'!Print_Area</vt:lpstr>
      <vt:lpstr>'Daily CEM-1'!Print_Area</vt:lpstr>
      <vt:lpstr>'Daily unit'!Print_Area</vt:lpstr>
      <vt:lpstr>'Mines (2)'!Print_Area</vt:lpstr>
      <vt:lpstr>Production2!Print_Area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2026-05-15T13:34:36Z</dcterms:modified>
  <cp:category/>
  <cp:contentStatus/>
</cp:coreProperties>
</file>