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1175" documentId="113_{81542DBC-B237-458E-AAE7-B042159BA110}" xr6:coauthVersionLast="36" xr6:coauthVersionMax="47" xr10:uidLastSave="{E557946F-F1BE-44AC-9B45-22C8EC9FAFBA}"/>
  <bookViews>
    <workbookView xWindow="-120" yWindow="-120" windowWidth="20730" windowHeight="11160" activeTab="3" xr2:uid="{00000000-000D-0000-FFFF-FFFF00000000}"/>
  </bookViews>
  <sheets>
    <sheet name="Mines (2)" sheetId="2" r:id="rId1"/>
    <sheet name="Clinker" sheetId="1" r:id="rId2"/>
    <sheet name="RAW MILL 2" sheetId="99" r:id="rId3"/>
    <sheet name="Cement" sheetId="3" r:id="rId4"/>
    <sheet name="Production2" sheetId="6" r:id="rId5"/>
    <sheet name="CPP" sheetId="8" r:id="rId6"/>
    <sheet name="Daily unit" sheetId="55" r:id="rId7"/>
    <sheet name="Daily CEM-1" sheetId="12" r:id="rId8"/>
    <sheet name="Daily  CEM - 2" sheetId="97" r:id="rId9"/>
    <sheet name="Internal use cement" sheetId="64" r:id="rId10"/>
    <sheet name="Raw mill moisture content" sheetId="98" r:id="rId11"/>
    <sheet name="1" sheetId="78" r:id="rId12"/>
    <sheet name="2" sheetId="79" r:id="rId13"/>
    <sheet name="3" sheetId="80" r:id="rId14"/>
    <sheet name="4" sheetId="81" r:id="rId15"/>
    <sheet name="5" sheetId="82" r:id="rId16"/>
    <sheet name="6" sheetId="83" r:id="rId17"/>
    <sheet name="7" sheetId="84" r:id="rId18"/>
    <sheet name="8" sheetId="85" r:id="rId19"/>
    <sheet name="9" sheetId="86" r:id="rId20"/>
    <sheet name="10" sheetId="87" r:id="rId21"/>
    <sheet name="11" sheetId="88" r:id="rId22"/>
    <sheet name="12" sheetId="89" r:id="rId23"/>
    <sheet name="13" sheetId="90" r:id="rId24"/>
    <sheet name="14" sheetId="91" r:id="rId25"/>
    <sheet name="15" sheetId="92" r:id="rId26"/>
    <sheet name="16" sheetId="93" r:id="rId27"/>
    <sheet name="17" sheetId="94" r:id="rId28"/>
    <sheet name="18" sheetId="95" r:id="rId29"/>
    <sheet name="19" sheetId="96" r:id="rId30"/>
    <sheet name="20" sheetId="42" r:id="rId31"/>
    <sheet name="21" sheetId="67" r:id="rId32"/>
    <sheet name="22" sheetId="68" r:id="rId33"/>
    <sheet name="23" sheetId="69" r:id="rId34"/>
    <sheet name="24" sheetId="70" r:id="rId35"/>
    <sheet name="25" sheetId="71" r:id="rId36"/>
    <sheet name="26" sheetId="72" r:id="rId37"/>
    <sheet name="27" sheetId="73" r:id="rId38"/>
    <sheet name="28" sheetId="74" r:id="rId39"/>
    <sheet name="29" sheetId="75" r:id="rId40"/>
    <sheet name="30" sheetId="76" r:id="rId41"/>
    <sheet name="31" sheetId="77" r:id="rId42"/>
  </sheets>
  <definedNames>
    <definedName name="_xlnm.Print_Area" localSheetId="3">Cement!$B:$T</definedName>
    <definedName name="_xlnm.Print_Area" localSheetId="1">Clinker!$EP$3:$ES$31</definedName>
    <definedName name="_xlnm.Print_Area" localSheetId="8">'Daily  CEM - 2'!$27:$33</definedName>
    <definedName name="_xlnm.Print_Area" localSheetId="7">'Daily CEM-1'!$27:$32</definedName>
    <definedName name="_xlnm.Print_Area" localSheetId="6">'Daily unit'!$AA$2:$AE$33</definedName>
    <definedName name="_xlnm.Print_Area" localSheetId="0">'Mines (2)'!$D$2:$D$34</definedName>
    <definedName name="_xlnm.Print_Area" localSheetId="4">Production2!$CK$2:$CO$33</definedName>
    <definedName name="_xlnm.Print_Area" localSheetId="2">'RAW MILL 2'!#REF!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5" i="3" l="1"/>
  <c r="AM35" i="6" l="1"/>
  <c r="AN35" i="6"/>
  <c r="AO35" i="6"/>
  <c r="AP35" i="6"/>
  <c r="AE34" i="55" l="1"/>
  <c r="AD34" i="55"/>
  <c r="AC34" i="55"/>
  <c r="AB34" i="55"/>
  <c r="AE33" i="55"/>
  <c r="AD33" i="55"/>
  <c r="AC33" i="55"/>
  <c r="AB33" i="55"/>
  <c r="B37" i="55"/>
  <c r="AU5" i="97" l="1"/>
  <c r="AY5" i="12" s="1"/>
  <c r="AU6" i="97"/>
  <c r="AY6" i="12" s="1"/>
  <c r="AU7" i="97"/>
  <c r="AY7" i="12" s="1"/>
  <c r="AU8" i="97"/>
  <c r="AY8" i="12" s="1"/>
  <c r="AU9" i="97"/>
  <c r="AY9" i="12" s="1"/>
  <c r="AU10" i="97"/>
  <c r="AU11" i="97"/>
  <c r="AY11" i="12" s="1"/>
  <c r="AU12" i="97"/>
  <c r="AY12" i="12" s="1"/>
  <c r="AU13" i="97"/>
  <c r="AY13" i="12" s="1"/>
  <c r="AU14" i="97"/>
  <c r="AY14" i="12" s="1"/>
  <c r="AU15" i="97"/>
  <c r="AY15" i="12" s="1"/>
  <c r="AU16" i="97"/>
  <c r="AU17" i="97"/>
  <c r="AY17" i="12" s="1"/>
  <c r="AU18" i="97"/>
  <c r="AY18" i="12" s="1"/>
  <c r="AU19" i="97"/>
  <c r="AY19" i="12" s="1"/>
  <c r="AU20" i="97"/>
  <c r="AY20" i="12" s="1"/>
  <c r="AU21" i="97"/>
  <c r="AY21" i="12" s="1"/>
  <c r="AU22" i="97"/>
  <c r="AU23" i="97"/>
  <c r="AY23" i="12" s="1"/>
  <c r="AU24" i="97"/>
  <c r="AY24" i="12" s="1"/>
  <c r="AU25" i="97"/>
  <c r="AY25" i="12" s="1"/>
  <c r="AU26" i="97"/>
  <c r="AY26" i="12" s="1"/>
  <c r="AU27" i="97"/>
  <c r="AY27" i="12" s="1"/>
  <c r="AU28" i="97"/>
  <c r="AU29" i="97"/>
  <c r="AY29" i="12" s="1"/>
  <c r="AU30" i="97"/>
  <c r="AY30" i="12" s="1"/>
  <c r="AU31" i="97"/>
  <c r="AY31" i="12" s="1"/>
  <c r="AU32" i="97"/>
  <c r="AY32" i="12" s="1"/>
  <c r="AU33" i="97"/>
  <c r="AY33" i="12" s="1"/>
  <c r="AU34" i="97"/>
  <c r="AU35" i="97"/>
  <c r="AY35" i="12" s="1"/>
  <c r="AU36" i="97"/>
  <c r="AY36" i="12" s="1"/>
  <c r="AU37" i="97"/>
  <c r="AU38" i="97"/>
  <c r="AU4" i="97"/>
  <c r="AY4" i="12" s="1"/>
  <c r="AX5" i="12"/>
  <c r="AX6" i="12"/>
  <c r="AX7" i="12"/>
  <c r="AX8" i="12"/>
  <c r="AX9" i="12"/>
  <c r="AX10" i="12"/>
  <c r="AX11" i="12"/>
  <c r="AX12" i="12"/>
  <c r="AX13" i="12"/>
  <c r="AX14" i="12"/>
  <c r="AX15" i="12"/>
  <c r="AX16" i="12"/>
  <c r="AX17" i="12"/>
  <c r="AX18" i="12"/>
  <c r="AX19" i="12"/>
  <c r="AX20" i="12"/>
  <c r="AX21" i="12"/>
  <c r="AX22" i="12"/>
  <c r="AX23" i="12"/>
  <c r="AX24" i="12"/>
  <c r="AX25" i="12"/>
  <c r="AX26" i="12"/>
  <c r="AX27" i="12"/>
  <c r="AX28" i="12"/>
  <c r="AX29" i="12"/>
  <c r="AX30" i="12"/>
  <c r="AX31" i="12"/>
  <c r="AX32" i="12"/>
  <c r="AX33" i="12"/>
  <c r="AX34" i="12"/>
  <c r="AX35" i="12"/>
  <c r="AX36" i="12"/>
  <c r="AX4" i="12"/>
  <c r="AY37" i="12"/>
  <c r="AY38" i="12"/>
  <c r="AY39" i="12"/>
  <c r="AY10" i="12"/>
  <c r="AY16" i="12"/>
  <c r="AY22" i="12"/>
  <c r="AY28" i="12"/>
  <c r="AY34" i="12"/>
  <c r="H36" i="92" l="1"/>
  <c r="H37" i="92"/>
  <c r="H38" i="92"/>
  <c r="H39" i="92"/>
  <c r="G36" i="92"/>
  <c r="G37" i="92"/>
  <c r="G38" i="92"/>
  <c r="G39" i="92"/>
  <c r="H36" i="91"/>
  <c r="H37" i="91"/>
  <c r="H38" i="91"/>
  <c r="H39" i="91"/>
  <c r="G36" i="91"/>
  <c r="G37" i="91"/>
  <c r="G38" i="91"/>
  <c r="G39" i="91"/>
  <c r="H36" i="90"/>
  <c r="H37" i="90"/>
  <c r="H38" i="90"/>
  <c r="H39" i="90"/>
  <c r="G36" i="90"/>
  <c r="G37" i="90"/>
  <c r="G38" i="90"/>
  <c r="G39" i="90"/>
  <c r="H36" i="89"/>
  <c r="H37" i="89"/>
  <c r="H38" i="89"/>
  <c r="H39" i="89"/>
  <c r="G36" i="89"/>
  <c r="G37" i="89"/>
  <c r="G38" i="89"/>
  <c r="G39" i="89"/>
  <c r="H36" i="88"/>
  <c r="H37" i="88"/>
  <c r="H38" i="88"/>
  <c r="H39" i="88"/>
  <c r="G36" i="88"/>
  <c r="G37" i="88"/>
  <c r="G38" i="88"/>
  <c r="G39" i="88"/>
  <c r="H36" i="87"/>
  <c r="H37" i="87"/>
  <c r="H38" i="87"/>
  <c r="H39" i="87"/>
  <c r="G36" i="87"/>
  <c r="G37" i="87"/>
  <c r="G38" i="87"/>
  <c r="G39" i="87"/>
  <c r="H36" i="86"/>
  <c r="H37" i="86"/>
  <c r="H38" i="86"/>
  <c r="H39" i="86"/>
  <c r="G36" i="86"/>
  <c r="G37" i="86"/>
  <c r="G38" i="86"/>
  <c r="G39" i="86"/>
  <c r="H36" i="85"/>
  <c r="H37" i="85"/>
  <c r="H38" i="85"/>
  <c r="H39" i="85"/>
  <c r="G36" i="85"/>
  <c r="G37" i="85"/>
  <c r="G38" i="85"/>
  <c r="G39" i="85"/>
  <c r="H36" i="84"/>
  <c r="H37" i="84"/>
  <c r="H38" i="84"/>
  <c r="H39" i="84"/>
  <c r="G36" i="84"/>
  <c r="G37" i="84"/>
  <c r="G38" i="84"/>
  <c r="G39" i="84"/>
  <c r="H36" i="83"/>
  <c r="H37" i="83"/>
  <c r="H38" i="83"/>
  <c r="H39" i="83"/>
  <c r="G35" i="83"/>
  <c r="G36" i="83"/>
  <c r="G37" i="83"/>
  <c r="G38" i="83"/>
  <c r="G39" i="83"/>
  <c r="H42" i="77"/>
  <c r="H43" i="77"/>
  <c r="H44" i="77"/>
  <c r="H45" i="77"/>
  <c r="H42" i="76"/>
  <c r="H43" i="76"/>
  <c r="H44" i="76"/>
  <c r="H45" i="76"/>
  <c r="H42" i="75"/>
  <c r="H43" i="75"/>
  <c r="H44" i="75"/>
  <c r="H45" i="75"/>
  <c r="H42" i="74"/>
  <c r="H43" i="74"/>
  <c r="H44" i="74"/>
  <c r="H45" i="74"/>
  <c r="H42" i="73"/>
  <c r="H43" i="73"/>
  <c r="H44" i="73"/>
  <c r="H45" i="73"/>
  <c r="H42" i="72"/>
  <c r="H43" i="72"/>
  <c r="H44" i="72"/>
  <c r="H45" i="72"/>
  <c r="H42" i="71"/>
  <c r="H43" i="71"/>
  <c r="H44" i="71"/>
  <c r="H45" i="71"/>
  <c r="H42" i="70"/>
  <c r="H43" i="70"/>
  <c r="H44" i="70"/>
  <c r="H45" i="70"/>
  <c r="H42" i="69"/>
  <c r="H43" i="69"/>
  <c r="H44" i="69"/>
  <c r="H45" i="69"/>
  <c r="H42" i="68"/>
  <c r="H43" i="68"/>
  <c r="H44" i="68"/>
  <c r="H45" i="68"/>
  <c r="H42" i="67"/>
  <c r="H43" i="67"/>
  <c r="H44" i="67"/>
  <c r="H45" i="67"/>
  <c r="G43" i="76"/>
  <c r="G44" i="76"/>
  <c r="G45" i="76"/>
  <c r="G43" i="75"/>
  <c r="G44" i="75"/>
  <c r="G45" i="75"/>
  <c r="G43" i="74"/>
  <c r="G44" i="74"/>
  <c r="G45" i="74"/>
  <c r="G43" i="73"/>
  <c r="G44" i="73"/>
  <c r="G45" i="73"/>
  <c r="G43" i="72"/>
  <c r="G44" i="72"/>
  <c r="G45" i="72"/>
  <c r="G43" i="71"/>
  <c r="G44" i="71"/>
  <c r="G45" i="71"/>
  <c r="G42" i="75"/>
  <c r="G42" i="76"/>
  <c r="G42" i="77"/>
  <c r="H51" i="77" l="1"/>
  <c r="ER32" i="1"/>
  <c r="AG29" i="12" l="1"/>
  <c r="AG30" i="12"/>
  <c r="AG31" i="12"/>
  <c r="AG32" i="12"/>
  <c r="AG33" i="12"/>
  <c r="AG34" i="12"/>
  <c r="AG35" i="12"/>
  <c r="AG36" i="12"/>
  <c r="AF26" i="97"/>
  <c r="AF27" i="97"/>
  <c r="AF28" i="97"/>
  <c r="AF29" i="97"/>
  <c r="AF30" i="97"/>
  <c r="AF31" i="97"/>
  <c r="AF32" i="97"/>
  <c r="AF33" i="97"/>
  <c r="AF34" i="97"/>
  <c r="AF35" i="97"/>
  <c r="AH28" i="12"/>
  <c r="AH29" i="12"/>
  <c r="AH30" i="12"/>
  <c r="AH31" i="12"/>
  <c r="AH32" i="12"/>
  <c r="AH33" i="12"/>
  <c r="AH34" i="12"/>
  <c r="AH35" i="12"/>
  <c r="AH36" i="12"/>
  <c r="AH27" i="12"/>
  <c r="AG25" i="97"/>
  <c r="AG26" i="97"/>
  <c r="AG27" i="97"/>
  <c r="AG28" i="97"/>
  <c r="AG29" i="97"/>
  <c r="AG30" i="97"/>
  <c r="AG31" i="97"/>
  <c r="AG32" i="97"/>
  <c r="AG33" i="97"/>
  <c r="AG34" i="97"/>
  <c r="AG24" i="97"/>
  <c r="P39" i="77" l="1"/>
  <c r="P39" i="76"/>
  <c r="P39" i="75"/>
  <c r="P39" i="74"/>
  <c r="P39" i="72"/>
  <c r="P39" i="71"/>
  <c r="P39" i="70"/>
  <c r="P39" i="69"/>
  <c r="H58" i="77"/>
  <c r="H59" i="77"/>
  <c r="H60" i="77"/>
  <c r="H61" i="77"/>
  <c r="G58" i="77"/>
  <c r="G59" i="77"/>
  <c r="G60" i="77"/>
  <c r="G61" i="77"/>
  <c r="F61" i="77"/>
  <c r="H59" i="76"/>
  <c r="H60" i="76"/>
  <c r="H61" i="76"/>
  <c r="G59" i="76"/>
  <c r="G60" i="76"/>
  <c r="G61" i="76"/>
  <c r="F61" i="76"/>
  <c r="H58" i="75"/>
  <c r="H59" i="75"/>
  <c r="H60" i="75"/>
  <c r="H61" i="75"/>
  <c r="G58" i="75"/>
  <c r="G59" i="75"/>
  <c r="G60" i="75"/>
  <c r="G61" i="75"/>
  <c r="F61" i="75"/>
  <c r="H59" i="74"/>
  <c r="H60" i="74"/>
  <c r="H61" i="74"/>
  <c r="G59" i="74"/>
  <c r="G60" i="74"/>
  <c r="G61" i="74"/>
  <c r="F61" i="74"/>
  <c r="H60" i="73"/>
  <c r="H61" i="73"/>
  <c r="G60" i="73"/>
  <c r="G61" i="73"/>
  <c r="F61" i="73"/>
  <c r="H60" i="72"/>
  <c r="H61" i="72"/>
  <c r="G60" i="72"/>
  <c r="G61" i="72"/>
  <c r="F61" i="72"/>
  <c r="H59" i="71"/>
  <c r="H60" i="71"/>
  <c r="H61" i="71"/>
  <c r="G59" i="71"/>
  <c r="G60" i="71"/>
  <c r="G61" i="71"/>
  <c r="F61" i="71"/>
  <c r="H59" i="70"/>
  <c r="H60" i="70"/>
  <c r="H61" i="70"/>
  <c r="G60" i="70"/>
  <c r="G61" i="70"/>
  <c r="F61" i="70"/>
  <c r="H61" i="69"/>
  <c r="G61" i="69"/>
  <c r="F61" i="69"/>
  <c r="BY4" i="6"/>
  <c r="BY3" i="6"/>
  <c r="AO35" i="64"/>
  <c r="AO34" i="64"/>
  <c r="J39" i="77" l="1"/>
  <c r="Z34" i="97" l="1"/>
  <c r="Z34" i="12"/>
  <c r="R34" i="12"/>
  <c r="Q34" i="97"/>
  <c r="F32" i="3" l="1"/>
  <c r="Y31" i="97"/>
  <c r="Z31" i="97"/>
  <c r="R32" i="12" l="1"/>
  <c r="Q32" i="97"/>
  <c r="R32" i="97"/>
  <c r="CW4" i="6" l="1"/>
  <c r="CW5" i="6"/>
  <c r="CW6" i="6"/>
  <c r="CW7" i="6"/>
  <c r="CW8" i="6"/>
  <c r="CW9" i="6"/>
  <c r="CW10" i="6"/>
  <c r="CW11" i="6"/>
  <c r="CW12" i="6"/>
  <c r="CW13" i="6"/>
  <c r="CW14" i="6"/>
  <c r="CW15" i="6"/>
  <c r="CW16" i="6"/>
  <c r="CW17" i="6"/>
  <c r="CW18" i="6"/>
  <c r="CW19" i="6"/>
  <c r="CW20" i="6"/>
  <c r="CW21" i="6"/>
  <c r="CW22" i="6"/>
  <c r="CW23" i="6"/>
  <c r="CW24" i="6"/>
  <c r="CW25" i="6"/>
  <c r="CW26" i="6"/>
  <c r="CW27" i="6"/>
  <c r="CW28" i="6"/>
  <c r="CW29" i="6"/>
  <c r="CW30" i="6"/>
  <c r="CW31" i="6"/>
  <c r="CW32" i="6"/>
  <c r="CW3" i="6"/>
  <c r="X33" i="97" l="1"/>
  <c r="U33" i="12" l="1"/>
  <c r="T33" i="12"/>
  <c r="Z33" i="12"/>
  <c r="R33" i="12"/>
  <c r="Z32" i="12" l="1"/>
  <c r="S32" i="12"/>
  <c r="X32" i="97"/>
  <c r="L15" i="74" l="1"/>
  <c r="AK30" i="1" l="1"/>
  <c r="R31" i="12"/>
  <c r="S31" i="12"/>
  <c r="Q31" i="97"/>
  <c r="R29" i="97" l="1"/>
  <c r="S29" i="12"/>
  <c r="Z29" i="97"/>
  <c r="Z30" i="12" l="1"/>
  <c r="J40" i="73"/>
  <c r="T30" i="12" l="1"/>
  <c r="R30" i="12"/>
  <c r="Q30" i="97"/>
  <c r="Y29" i="97" l="1"/>
  <c r="Q29" i="97"/>
  <c r="R29" i="12"/>
  <c r="J39" i="72" l="1"/>
  <c r="J39" i="71"/>
  <c r="EW4" i="1" l="1"/>
  <c r="EW5" i="1"/>
  <c r="EW6" i="1"/>
  <c r="EW7" i="1"/>
  <c r="EW8" i="1"/>
  <c r="EW9" i="1"/>
  <c r="EW10" i="1"/>
  <c r="EW11" i="1"/>
  <c r="EW12" i="1"/>
  <c r="EW13" i="1"/>
  <c r="EW14" i="1"/>
  <c r="EW15" i="1"/>
  <c r="EW16" i="1"/>
  <c r="EW17" i="1"/>
  <c r="EW18" i="1"/>
  <c r="EW19" i="1"/>
  <c r="EW20" i="1"/>
  <c r="EW21" i="1"/>
  <c r="EW22" i="1"/>
  <c r="EW23" i="1"/>
  <c r="EW24" i="1"/>
  <c r="EW3" i="1"/>
  <c r="Q28" i="97"/>
  <c r="R28" i="12"/>
  <c r="Y28" i="97" l="1"/>
  <c r="Z28" i="97"/>
  <c r="X28" i="97"/>
  <c r="S28" i="97"/>
  <c r="Z28" i="12"/>
  <c r="J39" i="70" l="1"/>
  <c r="Q27" i="97" l="1"/>
  <c r="Y27" i="97"/>
  <c r="Z27" i="97"/>
  <c r="R27" i="12" l="1"/>
  <c r="O15" i="3" l="1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L24" i="67" l="1"/>
  <c r="Y26" i="12" l="1"/>
  <c r="AA26" i="12"/>
  <c r="Z26" i="12"/>
  <c r="R26" i="97"/>
  <c r="Q26" i="97"/>
  <c r="Z25" i="12" l="1"/>
  <c r="S25" i="12"/>
  <c r="R25" i="12"/>
  <c r="R25" i="97"/>
  <c r="Q25" i="97"/>
  <c r="Z24" i="12" l="1"/>
  <c r="L14" i="67"/>
  <c r="Y24" i="97" l="1"/>
  <c r="Q24" i="97"/>
  <c r="R24" i="12"/>
  <c r="S24" i="12"/>
  <c r="L15" i="96" l="1"/>
  <c r="L14" i="96"/>
  <c r="L16" i="42" l="1"/>
  <c r="L15" i="42"/>
  <c r="L14" i="42"/>
  <c r="Z23" i="12" l="1"/>
  <c r="R23" i="12" l="1"/>
  <c r="Y23" i="97"/>
  <c r="Q23" i="97"/>
  <c r="R23" i="97"/>
  <c r="Z22" i="12" l="1"/>
  <c r="Y22" i="97"/>
  <c r="Z22" i="97"/>
  <c r="Q22" i="97"/>
  <c r="R22" i="12"/>
  <c r="S39" i="95" l="1"/>
  <c r="BB18" i="2" l="1"/>
  <c r="BB19" i="2"/>
  <c r="BB20" i="2"/>
  <c r="BB3" i="2"/>
  <c r="CZ4" i="6"/>
  <c r="CZ5" i="6"/>
  <c r="CZ6" i="6"/>
  <c r="CZ7" i="6"/>
  <c r="CZ8" i="6"/>
  <c r="CZ9" i="6"/>
  <c r="CZ10" i="6"/>
  <c r="CZ11" i="6"/>
  <c r="CZ12" i="6"/>
  <c r="CZ13" i="6"/>
  <c r="CZ14" i="6"/>
  <c r="CZ15" i="6"/>
  <c r="CZ16" i="6"/>
  <c r="CZ17" i="6"/>
  <c r="CZ18" i="6"/>
  <c r="CZ19" i="6"/>
  <c r="CZ20" i="6"/>
  <c r="CZ21" i="6"/>
  <c r="CZ22" i="6"/>
  <c r="CZ23" i="6"/>
  <c r="CZ24" i="6"/>
  <c r="CZ3" i="6"/>
  <c r="R21" i="12" l="1"/>
  <c r="L15" i="95" l="1"/>
  <c r="L14" i="95"/>
  <c r="Z21" i="12" l="1"/>
  <c r="AA21" i="12"/>
  <c r="U21" i="12"/>
  <c r="T21" i="12"/>
  <c r="AK16" i="1" l="1"/>
  <c r="AK15" i="1"/>
  <c r="AK12" i="1"/>
  <c r="L14" i="94" l="1"/>
  <c r="Z20" i="12" l="1"/>
  <c r="R20" i="12" l="1"/>
  <c r="T20" i="12"/>
  <c r="R19" i="12" l="1"/>
  <c r="AH19" i="12"/>
  <c r="Z19" i="12"/>
  <c r="S19" i="12"/>
  <c r="R19" i="97"/>
  <c r="Q19" i="97"/>
  <c r="R18" i="97" l="1"/>
  <c r="Q18" i="97"/>
  <c r="S18" i="12"/>
  <c r="R18" i="12"/>
  <c r="CF33" i="6" l="1"/>
  <c r="T40" i="91" l="1"/>
  <c r="S40" i="91"/>
  <c r="S17" i="12" l="1"/>
  <c r="Q17" i="97"/>
  <c r="S17" i="97"/>
  <c r="L14" i="90" l="1"/>
  <c r="L14" i="91"/>
  <c r="L15" i="91"/>
  <c r="ED16" i="1" l="1"/>
  <c r="ED17" i="1"/>
  <c r="ED18" i="1"/>
  <c r="ED19" i="1"/>
  <c r="ED20" i="1"/>
  <c r="ED21" i="1"/>
  <c r="ED22" i="1"/>
  <c r="ED23" i="1"/>
  <c r="ED24" i="1"/>
  <c r="ED25" i="1"/>
  <c r="ED26" i="1"/>
  <c r="ED27" i="1"/>
  <c r="ED28" i="1"/>
  <c r="ED29" i="1"/>
  <c r="ED30" i="1"/>
  <c r="ED31" i="1"/>
  <c r="ED32" i="1"/>
  <c r="ED33" i="1"/>
  <c r="ED15" i="1"/>
  <c r="S16" i="97" l="1"/>
  <c r="R16" i="12" l="1"/>
  <c r="R15" i="97" l="1"/>
  <c r="Y15" i="97"/>
  <c r="Z15" i="97"/>
  <c r="S15" i="12"/>
  <c r="R15" i="12"/>
  <c r="Z14" i="12" l="1"/>
  <c r="Q14" i="97"/>
  <c r="R14" i="12"/>
  <c r="X13" i="97" l="1"/>
  <c r="Q13" i="97"/>
  <c r="Z13" i="12"/>
  <c r="T13" i="12"/>
  <c r="R13" i="12"/>
  <c r="Z12" i="97" l="1"/>
  <c r="Y12" i="97"/>
  <c r="R12" i="97"/>
  <c r="Q12" i="97"/>
  <c r="Y12" i="12" l="1"/>
  <c r="S12" i="12"/>
  <c r="R12" i="12"/>
  <c r="R11" i="12" l="1"/>
  <c r="S11" i="12"/>
  <c r="R11" i="97" l="1"/>
  <c r="I22" i="84"/>
  <c r="S10" i="12" l="1"/>
  <c r="Q10" i="97" l="1"/>
  <c r="R10" i="12"/>
  <c r="R9" i="12" l="1"/>
  <c r="Z9" i="12"/>
  <c r="Z8" i="12" l="1"/>
  <c r="AA8" i="12"/>
  <c r="T8" i="12"/>
  <c r="R8" i="12"/>
  <c r="R7" i="12" l="1"/>
  <c r="Q6" i="97" l="1"/>
  <c r="Z5" i="97" l="1"/>
  <c r="Y5" i="97"/>
  <c r="R5" i="97"/>
  <c r="Q5" i="97"/>
  <c r="Z4" i="97" l="1"/>
  <c r="Y4" i="97"/>
  <c r="R4" i="97"/>
  <c r="Q4" i="97"/>
  <c r="B34" i="55" l="1"/>
  <c r="Q33" i="97" l="1"/>
  <c r="Y32" i="97" l="1"/>
  <c r="Z32" i="97"/>
  <c r="S32" i="97"/>
  <c r="M39" i="76" l="1"/>
  <c r="M39" i="75"/>
  <c r="AZ3" i="1" l="1"/>
  <c r="AE35" i="97" l="1"/>
  <c r="R31" i="97" l="1"/>
  <c r="AE31" i="97" l="1"/>
  <c r="M39" i="74"/>
  <c r="Y30" i="97" l="1"/>
  <c r="Z30" i="97"/>
  <c r="S30" i="97"/>
  <c r="R30" i="97"/>
  <c r="S30" i="12"/>
  <c r="S29" i="97" l="1"/>
  <c r="Z29" i="12" l="1"/>
  <c r="M39" i="71" l="1"/>
  <c r="M39" i="72"/>
  <c r="M39" i="69" l="1"/>
  <c r="M39" i="68" l="1"/>
  <c r="M39" i="67" l="1"/>
  <c r="Z24" i="97" l="1"/>
  <c r="S24" i="97"/>
  <c r="T24" i="97"/>
  <c r="R24" i="97"/>
  <c r="Z23" i="97" l="1"/>
  <c r="S23" i="12"/>
  <c r="L27" i="6"/>
  <c r="M39" i="42" l="1"/>
  <c r="M39" i="96" l="1"/>
  <c r="S21" i="12" l="1"/>
  <c r="Z21" i="97" l="1"/>
  <c r="Y21" i="97"/>
  <c r="R20" i="97" l="1"/>
  <c r="Q20" i="97"/>
  <c r="M39" i="95" l="1"/>
  <c r="M39" i="94"/>
  <c r="I46" i="93" l="1"/>
  <c r="M39" i="93"/>
  <c r="Y19" i="97"/>
  <c r="AO19" i="97" s="1"/>
  <c r="Z19" i="97"/>
  <c r="M33" i="92" l="1"/>
  <c r="Y18" i="97" l="1"/>
  <c r="Z18" i="97"/>
  <c r="X18" i="97"/>
  <c r="I46" i="92"/>
  <c r="M39" i="92"/>
  <c r="R17" i="97" l="1"/>
  <c r="Z17" i="97"/>
  <c r="X17" i="97"/>
  <c r="Y17" i="97"/>
  <c r="AO17" i="97" s="1"/>
  <c r="R17" i="12"/>
  <c r="M39" i="91"/>
  <c r="M39" i="90" l="1"/>
  <c r="Y16" i="97" l="1"/>
  <c r="AO16" i="97" s="1"/>
  <c r="Z16" i="97"/>
  <c r="X16" i="97"/>
  <c r="Q16" i="97"/>
  <c r="Q15" i="97" l="1"/>
  <c r="S15" i="97"/>
  <c r="T15" i="97"/>
  <c r="AO15" i="97"/>
  <c r="R14" i="97" l="1"/>
  <c r="CC12" i="6" l="1"/>
  <c r="CC13" i="6"/>
  <c r="T13" i="97" l="1"/>
  <c r="S13" i="97"/>
  <c r="Z13" i="97"/>
  <c r="Y13" i="97"/>
  <c r="AO13" i="97" s="1"/>
  <c r="M39" i="89" l="1"/>
  <c r="M39" i="88"/>
  <c r="M39" i="87"/>
  <c r="M39" i="86" l="1"/>
  <c r="T12" i="12" l="1"/>
  <c r="U12" i="12"/>
  <c r="Q11" i="97" l="1"/>
  <c r="Z11" i="12"/>
  <c r="X11" i="97"/>
  <c r="M39" i="85" l="1"/>
  <c r="G8" i="99" l="1"/>
  <c r="G9" i="99"/>
  <c r="G10" i="99"/>
  <c r="G11" i="99"/>
  <c r="G12" i="99"/>
  <c r="O5" i="97" l="1"/>
  <c r="O6" i="97"/>
  <c r="O7" i="97"/>
  <c r="O8" i="97"/>
  <c r="O9" i="97"/>
  <c r="O10" i="97"/>
  <c r="O11" i="97"/>
  <c r="O12" i="97"/>
  <c r="O13" i="97"/>
  <c r="O14" i="97"/>
  <c r="O15" i="97"/>
  <c r="O16" i="97"/>
  <c r="O17" i="97"/>
  <c r="O18" i="97"/>
  <c r="O19" i="97"/>
  <c r="O20" i="97"/>
  <c r="O21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4" i="97"/>
  <c r="Y10" i="97"/>
  <c r="AO10" i="97" s="1"/>
  <c r="Z10" i="97"/>
  <c r="U8" i="12" l="1"/>
  <c r="S8" i="12"/>
  <c r="X8" i="97"/>
  <c r="Z8" i="97"/>
  <c r="Y8" i="97"/>
  <c r="AO8" i="97" s="1"/>
  <c r="R8" i="97"/>
  <c r="Q8" i="97"/>
  <c r="R7" i="97" l="1"/>
  <c r="Q7" i="97"/>
  <c r="AA7" i="12"/>
  <c r="Z7" i="12"/>
  <c r="S7" i="12"/>
  <c r="X6" i="97" l="1"/>
  <c r="R6" i="97"/>
  <c r="Z6" i="12"/>
  <c r="S6" i="12"/>
  <c r="R6" i="12"/>
  <c r="Y7" i="97" l="1"/>
  <c r="AO7" i="97" s="1"/>
  <c r="AA6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2" i="12"/>
  <c r="AA23" i="12"/>
  <c r="AA24" i="12"/>
  <c r="AA25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Z10" i="12"/>
  <c r="Z12" i="12"/>
  <c r="Z15" i="12"/>
  <c r="Z16" i="12"/>
  <c r="Z17" i="12"/>
  <c r="Z18" i="12"/>
  <c r="Z27" i="12"/>
  <c r="Z31" i="12"/>
  <c r="Z35" i="12"/>
  <c r="Z36" i="12"/>
  <c r="Z37" i="12"/>
  <c r="Z38" i="12"/>
  <c r="Z5" i="12"/>
  <c r="AA5" i="12"/>
  <c r="Z6" i="97"/>
  <c r="Z7" i="97"/>
  <c r="Z9" i="97"/>
  <c r="Z11" i="97"/>
  <c r="Z14" i="97"/>
  <c r="Z20" i="97"/>
  <c r="Z25" i="97"/>
  <c r="Z26" i="97"/>
  <c r="Z33" i="97"/>
  <c r="AO5" i="97"/>
  <c r="Y6" i="97"/>
  <c r="AO6" i="97" s="1"/>
  <c r="Y9" i="97"/>
  <c r="AO9" i="97" s="1"/>
  <c r="Y11" i="97"/>
  <c r="AO11" i="97" s="1"/>
  <c r="AO12" i="97"/>
  <c r="Y14" i="97"/>
  <c r="AO14" i="97" s="1"/>
  <c r="AO18" i="97"/>
  <c r="Y20" i="97"/>
  <c r="AO20" i="97" s="1"/>
  <c r="AO21" i="97"/>
  <c r="AO22" i="97"/>
  <c r="AO23" i="97"/>
  <c r="AO24" i="97"/>
  <c r="Y25" i="97"/>
  <c r="AO25" i="97" s="1"/>
  <c r="Y26" i="97"/>
  <c r="AO26" i="97" s="1"/>
  <c r="AO27" i="97"/>
  <c r="AO28" i="97"/>
  <c r="AO29" i="97"/>
  <c r="AO30" i="97"/>
  <c r="AO31" i="97"/>
  <c r="Y33" i="97"/>
  <c r="Y34" i="97"/>
  <c r="AO4" i="97"/>
  <c r="AO34" i="97" l="1"/>
  <c r="AE34" i="97"/>
  <c r="AO33" i="97"/>
  <c r="AE33" i="97"/>
  <c r="AO32" i="97"/>
  <c r="AE32" i="97"/>
  <c r="X5" i="97"/>
  <c r="Z4" i="12"/>
  <c r="S5" i="12"/>
  <c r="R5" i="12"/>
  <c r="AP5" i="12" l="1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8" i="12"/>
  <c r="AP29" i="12"/>
  <c r="AP35" i="12"/>
  <c r="AP4" i="12"/>
  <c r="S4" i="97" l="1"/>
  <c r="T4" i="97"/>
  <c r="AM4" i="97"/>
  <c r="M39" i="84" l="1"/>
  <c r="I46" i="83"/>
  <c r="M39" i="83"/>
  <c r="M39" i="82"/>
  <c r="M39" i="81"/>
  <c r="M39" i="80"/>
  <c r="M39" i="79"/>
  <c r="M39" i="78"/>
  <c r="O39" i="78" s="1"/>
  <c r="I39" i="78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4" i="12"/>
  <c r="AD35" i="97"/>
  <c r="AC35" i="97"/>
  <c r="AD35" i="12"/>
  <c r="AD36" i="12"/>
  <c r="AD37" i="12"/>
  <c r="AD38" i="12"/>
  <c r="AD39" i="12"/>
  <c r="AA4" i="12"/>
  <c r="R4" i="12"/>
  <c r="S4" i="12"/>
  <c r="AB4" i="12" l="1"/>
  <c r="AN4" i="12"/>
  <c r="O39" i="79"/>
  <c r="N39" i="78"/>
  <c r="N39" i="79" s="1"/>
  <c r="N39" i="80" s="1"/>
  <c r="N39" i="81" l="1"/>
  <c r="N39" i="82" s="1"/>
  <c r="N39" i="83" s="1"/>
  <c r="N39" i="84" s="1"/>
  <c r="N39" i="85" s="1"/>
  <c r="N39" i="86" s="1"/>
  <c r="N39" i="87" s="1"/>
  <c r="N39" i="88" s="1"/>
  <c r="N39" i="89" s="1"/>
  <c r="N39" i="90" s="1"/>
  <c r="N39" i="91" s="1"/>
  <c r="N39" i="92" s="1"/>
  <c r="N39" i="93" s="1"/>
  <c r="N39" i="94" s="1"/>
  <c r="N39" i="95" s="1"/>
  <c r="N39" i="96" s="1"/>
  <c r="N39" i="42" s="1"/>
  <c r="N39" i="67" s="1"/>
  <c r="N39" i="68" s="1"/>
  <c r="N39" i="69" s="1"/>
  <c r="O39" i="80"/>
  <c r="O39" i="81" s="1"/>
  <c r="O39" i="82" s="1"/>
  <c r="O39" i="83" s="1"/>
  <c r="O39" i="84" s="1"/>
  <c r="O39" i="85" s="1"/>
  <c r="O39" i="86" s="1"/>
  <c r="O39" i="87" s="1"/>
  <c r="O39" i="88" s="1"/>
  <c r="O39" i="89" s="1"/>
  <c r="O39" i="90" s="1"/>
  <c r="O39" i="91" s="1"/>
  <c r="O39" i="92" s="1"/>
  <c r="O39" i="93" s="1"/>
  <c r="O39" i="94" s="1"/>
  <c r="O39" i="95" s="1"/>
  <c r="O39" i="96" s="1"/>
  <c r="O39" i="42" s="1"/>
  <c r="O39" i="67" s="1"/>
  <c r="O39" i="68" s="1"/>
  <c r="O39" i="69" s="1"/>
  <c r="P34" i="6"/>
  <c r="CS4" i="6" l="1"/>
  <c r="CS5" i="6"/>
  <c r="CS6" i="6"/>
  <c r="CS7" i="6"/>
  <c r="CS8" i="6"/>
  <c r="CS9" i="6"/>
  <c r="CS10" i="6"/>
  <c r="CS11" i="6"/>
  <c r="CS12" i="6"/>
  <c r="CS13" i="6"/>
  <c r="CS14" i="6"/>
  <c r="CS15" i="6"/>
  <c r="CS16" i="6"/>
  <c r="CS17" i="6"/>
  <c r="CS18" i="6"/>
  <c r="CS19" i="6"/>
  <c r="CS20" i="6"/>
  <c r="CS21" i="6"/>
  <c r="CS22" i="6"/>
  <c r="CS23" i="6"/>
  <c r="CS24" i="6"/>
  <c r="CS25" i="6"/>
  <c r="CS26" i="6"/>
  <c r="CS27" i="6"/>
  <c r="CS28" i="6"/>
  <c r="CS29" i="6"/>
  <c r="CS30" i="6"/>
  <c r="CS31" i="6"/>
  <c r="CS32" i="6"/>
  <c r="CS33" i="6"/>
  <c r="CS3" i="6"/>
  <c r="M39" i="77" l="1"/>
  <c r="F34" i="64" l="1"/>
  <c r="CC33" i="6"/>
  <c r="CC32" i="6"/>
  <c r="R34" i="97"/>
  <c r="X34" i="97"/>
  <c r="AN34" i="12" l="1"/>
  <c r="AM34" i="97"/>
  <c r="AA34" i="97"/>
  <c r="AP34" i="12"/>
  <c r="T34" i="12"/>
  <c r="K41" i="97"/>
  <c r="P35" i="97"/>
  <c r="AO34" i="12" l="1"/>
  <c r="AP33" i="12"/>
  <c r="AM33" i="97" l="1"/>
  <c r="AO33" i="12"/>
  <c r="AC33" i="12"/>
  <c r="AN33" i="12"/>
  <c r="AP32" i="12"/>
  <c r="BD4" i="6"/>
  <c r="J45" i="79" s="1"/>
  <c r="BD5" i="6"/>
  <c r="J45" i="80" s="1"/>
  <c r="BD6" i="6"/>
  <c r="J45" i="81" s="1"/>
  <c r="BD7" i="6"/>
  <c r="J45" i="82" s="1"/>
  <c r="BD8" i="6"/>
  <c r="J45" i="83" s="1"/>
  <c r="BD9" i="6"/>
  <c r="J45" i="84" s="1"/>
  <c r="BD10" i="6"/>
  <c r="J45" i="85" s="1"/>
  <c r="BD11" i="6"/>
  <c r="J45" i="86" s="1"/>
  <c r="BD12" i="6"/>
  <c r="J45" i="87" s="1"/>
  <c r="BD13" i="6"/>
  <c r="J45" i="88" s="1"/>
  <c r="BD14" i="6"/>
  <c r="J45" i="89" s="1"/>
  <c r="BD15" i="6"/>
  <c r="J45" i="90" s="1"/>
  <c r="BD16" i="6"/>
  <c r="J45" i="91" s="1"/>
  <c r="BD17" i="6"/>
  <c r="J45" i="92" s="1"/>
  <c r="BD18" i="6"/>
  <c r="J45" i="93" s="1"/>
  <c r="BD19" i="6"/>
  <c r="J45" i="94" s="1"/>
  <c r="BD20" i="6"/>
  <c r="J45" i="95" s="1"/>
  <c r="BD21" i="6"/>
  <c r="J45" i="96" s="1"/>
  <c r="BD22" i="6"/>
  <c r="J45" i="42" s="1"/>
  <c r="BD23" i="6"/>
  <c r="J45" i="67" s="1"/>
  <c r="BD24" i="6"/>
  <c r="J45" i="68" s="1"/>
  <c r="BD25" i="6"/>
  <c r="J45" i="69" s="1"/>
  <c r="BD26" i="6"/>
  <c r="J45" i="70" s="1"/>
  <c r="BD27" i="6"/>
  <c r="J45" i="71" s="1"/>
  <c r="BD28" i="6"/>
  <c r="J45" i="72" s="1"/>
  <c r="BD29" i="6"/>
  <c r="J45" i="73" s="1"/>
  <c r="BD30" i="6"/>
  <c r="J45" i="74" s="1"/>
  <c r="BD31" i="6"/>
  <c r="J45" i="75" s="1"/>
  <c r="BD32" i="6"/>
  <c r="J45" i="76" s="1"/>
  <c r="BD33" i="6"/>
  <c r="J45" i="77" s="1"/>
  <c r="BD3" i="6"/>
  <c r="J45" i="78" s="1"/>
  <c r="P39" i="78" s="1"/>
  <c r="BC4" i="6"/>
  <c r="F45" i="79" s="1"/>
  <c r="BC5" i="6"/>
  <c r="F45" i="80" s="1"/>
  <c r="BC6" i="6"/>
  <c r="BC7" i="6"/>
  <c r="F45" i="82" s="1"/>
  <c r="BC8" i="6"/>
  <c r="F45" i="83" s="1"/>
  <c r="BC9" i="6"/>
  <c r="F45" i="84" s="1"/>
  <c r="BC10" i="6"/>
  <c r="F45" i="85" s="1"/>
  <c r="BC11" i="6"/>
  <c r="F45" i="86" s="1"/>
  <c r="BC12" i="6"/>
  <c r="BC13" i="6"/>
  <c r="F45" i="88" s="1"/>
  <c r="BC14" i="6"/>
  <c r="F45" i="89" s="1"/>
  <c r="BC15" i="6"/>
  <c r="F45" i="90" s="1"/>
  <c r="BC16" i="6"/>
  <c r="F45" i="91" s="1"/>
  <c r="BC17" i="6"/>
  <c r="F45" i="92" s="1"/>
  <c r="BC18" i="6"/>
  <c r="BC19" i="6"/>
  <c r="F45" i="94" s="1"/>
  <c r="BC20" i="6"/>
  <c r="F45" i="95" s="1"/>
  <c r="BC21" i="6"/>
  <c r="F45" i="96" s="1"/>
  <c r="BC22" i="6"/>
  <c r="F45" i="42" s="1"/>
  <c r="BC23" i="6"/>
  <c r="F45" i="67" s="1"/>
  <c r="BC24" i="6"/>
  <c r="F45" i="68" s="1"/>
  <c r="BC25" i="6"/>
  <c r="F45" i="69" s="1"/>
  <c r="BC26" i="6"/>
  <c r="F45" i="70" s="1"/>
  <c r="BC27" i="6"/>
  <c r="F45" i="71" s="1"/>
  <c r="BC28" i="6"/>
  <c r="F45" i="72" s="1"/>
  <c r="BC29" i="6"/>
  <c r="F45" i="73" s="1"/>
  <c r="BC30" i="6"/>
  <c r="F45" i="74" s="1"/>
  <c r="BC31" i="6"/>
  <c r="F45" i="75" s="1"/>
  <c r="BC32" i="6"/>
  <c r="F45" i="76" s="1"/>
  <c r="BC33" i="6"/>
  <c r="F45" i="77" s="1"/>
  <c r="BC3" i="6"/>
  <c r="F45" i="78" s="1"/>
  <c r="Q45" i="71" l="1"/>
  <c r="Q45" i="69"/>
  <c r="Q45" i="68"/>
  <c r="Q45" i="70"/>
  <c r="Q45" i="73"/>
  <c r="Q45" i="76"/>
  <c r="Q45" i="72"/>
  <c r="Q45" i="75"/>
  <c r="Q45" i="74"/>
  <c r="Q45" i="67"/>
  <c r="Q45" i="96"/>
  <c r="Q45" i="94"/>
  <c r="Q45" i="42"/>
  <c r="Q45" i="95"/>
  <c r="BE18" i="6"/>
  <c r="F45" i="93"/>
  <c r="Q45" i="92"/>
  <c r="BE22" i="6"/>
  <c r="Q45" i="86"/>
  <c r="Q45" i="88"/>
  <c r="Q45" i="91"/>
  <c r="BE16" i="6"/>
  <c r="Q45" i="90"/>
  <c r="Q45" i="89"/>
  <c r="BE12" i="6"/>
  <c r="F45" i="87"/>
  <c r="Q45" i="87" s="1"/>
  <c r="Q45" i="85"/>
  <c r="Q45" i="82"/>
  <c r="AN32" i="12"/>
  <c r="Q45" i="78"/>
  <c r="L45" i="78"/>
  <c r="L45" i="79" s="1"/>
  <c r="L45" i="81" s="1"/>
  <c r="L45" i="82" s="1"/>
  <c r="L45" i="83" s="1"/>
  <c r="L45" i="84" s="1"/>
  <c r="K45" i="78"/>
  <c r="K45" i="79" s="1"/>
  <c r="K45" i="80" s="1"/>
  <c r="BE6" i="6"/>
  <c r="F45" i="81"/>
  <c r="Q45" i="84"/>
  <c r="Q45" i="80"/>
  <c r="G45" i="78"/>
  <c r="G45" i="79" s="1"/>
  <c r="G45" i="80" s="1"/>
  <c r="H45" i="78"/>
  <c r="Q45" i="83"/>
  <c r="Q45" i="79"/>
  <c r="BE33" i="6"/>
  <c r="BE29" i="6"/>
  <c r="BE23" i="6"/>
  <c r="BE11" i="6"/>
  <c r="BE21" i="6"/>
  <c r="BE27" i="6"/>
  <c r="BE15" i="6"/>
  <c r="BE9" i="6"/>
  <c r="BE4" i="6"/>
  <c r="Q45" i="77"/>
  <c r="BE31" i="6"/>
  <c r="BE30" i="6"/>
  <c r="BE5" i="6"/>
  <c r="BE24" i="6"/>
  <c r="BE28" i="6"/>
  <c r="BE10" i="6"/>
  <c r="BE17" i="6"/>
  <c r="BE19" i="6"/>
  <c r="BE7" i="6"/>
  <c r="BC35" i="6"/>
  <c r="BD35" i="6"/>
  <c r="BE32" i="6"/>
  <c r="BE26" i="6"/>
  <c r="BE20" i="6"/>
  <c r="BE14" i="6"/>
  <c r="BE8" i="6"/>
  <c r="BD34" i="6"/>
  <c r="BE13" i="6"/>
  <c r="BE25" i="6"/>
  <c r="BE3" i="6"/>
  <c r="BC34" i="6"/>
  <c r="X31" i="97"/>
  <c r="T31" i="97"/>
  <c r="S31" i="97"/>
  <c r="AP31" i="12"/>
  <c r="L45" i="80" l="1"/>
  <c r="Q45" i="93"/>
  <c r="L45" i="85"/>
  <c r="L45" i="86" s="1"/>
  <c r="L45" i="87" s="1"/>
  <c r="L45" i="88" s="1"/>
  <c r="L45" i="89" s="1"/>
  <c r="L45" i="90" s="1"/>
  <c r="L45" i="91" s="1"/>
  <c r="L45" i="92" s="1"/>
  <c r="L45" i="93" s="1"/>
  <c r="L45" i="94" s="1"/>
  <c r="L45" i="95" s="1"/>
  <c r="K45" i="81"/>
  <c r="K45" i="82" s="1"/>
  <c r="K45" i="83" s="1"/>
  <c r="K45" i="84" s="1"/>
  <c r="AB31" i="97"/>
  <c r="AN31" i="97"/>
  <c r="G45" i="81"/>
  <c r="G45" i="82" s="1"/>
  <c r="Q45" i="81"/>
  <c r="H45" i="79"/>
  <c r="H45" i="80" s="1"/>
  <c r="H45" i="81" s="1"/>
  <c r="H45" i="82" s="1"/>
  <c r="AN31" i="12"/>
  <c r="AB31" i="12"/>
  <c r="AM31" i="97"/>
  <c r="AA31" i="97"/>
  <c r="BE34" i="6"/>
  <c r="L45" i="96" l="1"/>
  <c r="L45" i="42"/>
  <c r="L45" i="67" s="1"/>
  <c r="L45" i="68" s="1"/>
  <c r="H45" i="83"/>
  <c r="H45" i="84"/>
  <c r="H45" i="85" s="1"/>
  <c r="H45" i="86" s="1"/>
  <c r="H45" i="87" s="1"/>
  <c r="H45" i="88" s="1"/>
  <c r="H45" i="89" s="1"/>
  <c r="H45" i="90" s="1"/>
  <c r="G45" i="84"/>
  <c r="G45" i="85" s="1"/>
  <c r="G45" i="86" s="1"/>
  <c r="G45" i="87" s="1"/>
  <c r="G45" i="88" s="1"/>
  <c r="G45" i="89" s="1"/>
  <c r="G45" i="90" s="1"/>
  <c r="G45" i="83"/>
  <c r="K45" i="85"/>
  <c r="K45" i="86" s="1"/>
  <c r="K45" i="87" s="1"/>
  <c r="K45" i="88" s="1"/>
  <c r="K45" i="89" s="1"/>
  <c r="K45" i="90" s="1"/>
  <c r="K45" i="91" s="1"/>
  <c r="K45" i="92" s="1"/>
  <c r="K45" i="93" s="1"/>
  <c r="K45" i="94" s="1"/>
  <c r="K45" i="95" s="1"/>
  <c r="D34" i="3"/>
  <c r="L45" i="70" l="1"/>
  <c r="L45" i="71" s="1"/>
  <c r="L45" i="72" s="1"/>
  <c r="L45" i="73" s="1"/>
  <c r="L45" i="74" s="1"/>
  <c r="L45" i="75" s="1"/>
  <c r="L45" i="76" s="1"/>
  <c r="L45" i="69"/>
  <c r="K45" i="96"/>
  <c r="K45" i="42"/>
  <c r="G45" i="91"/>
  <c r="G45" i="92" s="1"/>
  <c r="G45" i="93" s="1"/>
  <c r="G45" i="94" s="1"/>
  <c r="G45" i="95" s="1"/>
  <c r="G45" i="96" s="1"/>
  <c r="G45" i="42" s="1"/>
  <c r="G45" i="67" s="1"/>
  <c r="G45" i="68" s="1"/>
  <c r="H45" i="91"/>
  <c r="H45" i="92" s="1"/>
  <c r="H45" i="93" s="1"/>
  <c r="H45" i="94" s="1"/>
  <c r="H45" i="95" s="1"/>
  <c r="H45" i="96" s="1"/>
  <c r="H45" i="42" s="1"/>
  <c r="CC29" i="6"/>
  <c r="W30" i="12"/>
  <c r="V30" i="12"/>
  <c r="AP30" i="12"/>
  <c r="G45" i="77" l="1"/>
  <c r="G45" i="70"/>
  <c r="G45" i="69"/>
  <c r="K45" i="67"/>
  <c r="K45" i="68" s="1"/>
  <c r="AD30" i="12"/>
  <c r="AB30" i="12"/>
  <c r="AN30" i="12"/>
  <c r="AF30" i="12"/>
  <c r="AE5" i="97"/>
  <c r="AE6" i="97"/>
  <c r="AE7" i="97"/>
  <c r="AE8" i="97"/>
  <c r="AE9" i="97"/>
  <c r="AE10" i="97"/>
  <c r="AE11" i="97"/>
  <c r="AE12" i="97"/>
  <c r="AE13" i="97"/>
  <c r="AE14" i="97"/>
  <c r="AE15" i="97"/>
  <c r="AE16" i="97"/>
  <c r="AE17" i="97"/>
  <c r="AE18" i="97"/>
  <c r="AE19" i="97"/>
  <c r="AE20" i="97"/>
  <c r="AE21" i="97"/>
  <c r="AE22" i="97"/>
  <c r="AE23" i="97"/>
  <c r="AE24" i="97"/>
  <c r="AE25" i="97"/>
  <c r="AE26" i="97"/>
  <c r="AE27" i="97"/>
  <c r="AE28" i="97"/>
  <c r="AE29" i="97"/>
  <c r="AE4" i="97"/>
  <c r="X30" i="97"/>
  <c r="AE30" i="97"/>
  <c r="K45" i="70" l="1"/>
  <c r="K45" i="71" s="1"/>
  <c r="K45" i="72" s="1"/>
  <c r="K45" i="73" s="1"/>
  <c r="K45" i="74" s="1"/>
  <c r="K45" i="75" s="1"/>
  <c r="K45" i="76" s="1"/>
  <c r="K45" i="69"/>
  <c r="AM30" i="97"/>
  <c r="AA30" i="97"/>
  <c r="M39" i="73" l="1"/>
  <c r="X29" i="97" l="1"/>
  <c r="U29" i="97"/>
  <c r="AN29" i="12" l="1"/>
  <c r="AM29" i="97"/>
  <c r="CF4" i="6"/>
  <c r="CF5" i="6"/>
  <c r="CF6" i="6"/>
  <c r="CF7" i="6"/>
  <c r="CF8" i="6"/>
  <c r="CF9" i="6"/>
  <c r="CF10" i="6"/>
  <c r="CF11" i="6"/>
  <c r="CF12" i="6"/>
  <c r="CF13" i="6"/>
  <c r="CF14" i="6"/>
  <c r="CF15" i="6"/>
  <c r="CF16" i="6"/>
  <c r="CF17" i="6"/>
  <c r="CF18" i="6"/>
  <c r="CF19" i="6"/>
  <c r="CF20" i="6"/>
  <c r="CF21" i="6"/>
  <c r="CF22" i="6"/>
  <c r="CF23" i="6"/>
  <c r="CF24" i="6"/>
  <c r="CF25" i="6"/>
  <c r="CF26" i="6"/>
  <c r="CF27" i="6"/>
  <c r="CF28" i="6"/>
  <c r="CF29" i="6"/>
  <c r="CF30" i="6"/>
  <c r="CF31" i="6"/>
  <c r="CF32" i="6"/>
  <c r="CF3" i="6"/>
  <c r="V28" i="12" l="1"/>
  <c r="W28" i="12"/>
  <c r="AD28" i="12" l="1"/>
  <c r="AN28" i="12"/>
  <c r="AM28" i="97"/>
  <c r="AF33" i="12" l="1"/>
  <c r="AF34" i="12"/>
  <c r="AF35" i="12"/>
  <c r="AF36" i="12"/>
  <c r="AF37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8" i="12"/>
  <c r="AF29" i="12"/>
  <c r="AF31" i="12"/>
  <c r="AF32" i="12"/>
  <c r="AF4" i="12"/>
  <c r="M39" i="70" l="1"/>
  <c r="BX35" i="6"/>
  <c r="BX34" i="6"/>
  <c r="AO4" i="6"/>
  <c r="BW4" i="6" s="1"/>
  <c r="AO5" i="6"/>
  <c r="BW5" i="6" s="1"/>
  <c r="J39" i="80" s="1"/>
  <c r="AO6" i="6"/>
  <c r="AO7" i="6"/>
  <c r="AO8" i="6"/>
  <c r="AO9" i="6"/>
  <c r="AO10" i="6"/>
  <c r="AO11" i="6"/>
  <c r="AO12" i="6"/>
  <c r="AO13" i="6"/>
  <c r="J39" i="88" s="1"/>
  <c r="AO14" i="6"/>
  <c r="AO15" i="6"/>
  <c r="AO16" i="6"/>
  <c r="AO17" i="6"/>
  <c r="AO18" i="6"/>
  <c r="AO19" i="6"/>
  <c r="J39" i="94" s="1"/>
  <c r="AO20" i="6"/>
  <c r="AO21" i="6"/>
  <c r="AO22" i="6"/>
  <c r="AO23" i="6"/>
  <c r="AO24" i="6"/>
  <c r="AO25" i="6"/>
  <c r="J39" i="69" s="1"/>
  <c r="AO26" i="6"/>
  <c r="BW26" i="6" s="1"/>
  <c r="AO27" i="6"/>
  <c r="AO28" i="6"/>
  <c r="AO29" i="6"/>
  <c r="AO30" i="6"/>
  <c r="AO31" i="6"/>
  <c r="J39" i="75" s="1"/>
  <c r="AO32" i="6"/>
  <c r="AO33" i="6"/>
  <c r="BW33" i="6" s="1"/>
  <c r="AO3" i="6"/>
  <c r="BW3" i="6" s="1"/>
  <c r="AN4" i="6"/>
  <c r="F39" i="79" s="1"/>
  <c r="AN5" i="6"/>
  <c r="F39" i="80" s="1"/>
  <c r="AN6" i="6"/>
  <c r="F39" i="81" s="1"/>
  <c r="AN7" i="6"/>
  <c r="F39" i="82" s="1"/>
  <c r="AN8" i="6"/>
  <c r="F39" i="83" s="1"/>
  <c r="AN9" i="6"/>
  <c r="F39" i="84" s="1"/>
  <c r="AN10" i="6"/>
  <c r="F39" i="85" s="1"/>
  <c r="AN11" i="6"/>
  <c r="F39" i="86" s="1"/>
  <c r="AN12" i="6"/>
  <c r="F39" i="87" s="1"/>
  <c r="AN13" i="6"/>
  <c r="F39" i="88" s="1"/>
  <c r="AN14" i="6"/>
  <c r="F39" i="89" s="1"/>
  <c r="AN15" i="6"/>
  <c r="F39" i="90" s="1"/>
  <c r="AN16" i="6"/>
  <c r="F39" i="91" s="1"/>
  <c r="AN17" i="6"/>
  <c r="F39" i="92" s="1"/>
  <c r="AN18" i="6"/>
  <c r="F39" i="93" s="1"/>
  <c r="AN19" i="6"/>
  <c r="F39" i="94" s="1"/>
  <c r="AN20" i="6"/>
  <c r="F39" i="95" s="1"/>
  <c r="AN21" i="6"/>
  <c r="F39" i="96" s="1"/>
  <c r="AN22" i="6"/>
  <c r="F39" i="42" s="1"/>
  <c r="AN23" i="6"/>
  <c r="F39" i="67" s="1"/>
  <c r="AN24" i="6"/>
  <c r="F39" i="68" s="1"/>
  <c r="AN25" i="6"/>
  <c r="F39" i="69" s="1"/>
  <c r="AN26" i="6"/>
  <c r="F39" i="70" s="1"/>
  <c r="AN27" i="6"/>
  <c r="F39" i="71" s="1"/>
  <c r="AN28" i="6"/>
  <c r="F39" i="72" s="1"/>
  <c r="AN29" i="6"/>
  <c r="F39" i="73" s="1"/>
  <c r="AN30" i="6"/>
  <c r="F39" i="74" s="1"/>
  <c r="AN31" i="6"/>
  <c r="F39" i="75" s="1"/>
  <c r="AN32" i="6"/>
  <c r="F39" i="76" s="1"/>
  <c r="AN33" i="6"/>
  <c r="F39" i="77" s="1"/>
  <c r="AN3" i="6"/>
  <c r="F39" i="78" s="1"/>
  <c r="N39" i="70" l="1"/>
  <c r="N39" i="71" s="1"/>
  <c r="N39" i="72" s="1"/>
  <c r="O39" i="70"/>
  <c r="O39" i="71" s="1"/>
  <c r="O39" i="72" s="1"/>
  <c r="BW30" i="6"/>
  <c r="J39" i="74"/>
  <c r="Q39" i="74" s="1"/>
  <c r="BW24" i="6"/>
  <c r="J39" i="68"/>
  <c r="Q39" i="68" s="1"/>
  <c r="BW32" i="6"/>
  <c r="J39" i="76"/>
  <c r="Q39" i="76" s="1"/>
  <c r="Q39" i="75"/>
  <c r="Q39" i="69"/>
  <c r="BW23" i="6"/>
  <c r="J39" i="67"/>
  <c r="BW22" i="6"/>
  <c r="J39" i="42"/>
  <c r="Q39" i="94"/>
  <c r="BW21" i="6"/>
  <c r="J39" i="96"/>
  <c r="BW20" i="6"/>
  <c r="J39" i="95"/>
  <c r="BW18" i="6"/>
  <c r="J39" i="93"/>
  <c r="BW17" i="6"/>
  <c r="J39" i="92"/>
  <c r="BW12" i="6"/>
  <c r="J39" i="87"/>
  <c r="BW16" i="6"/>
  <c r="J39" i="91"/>
  <c r="BW15" i="6"/>
  <c r="J39" i="90"/>
  <c r="BW14" i="6"/>
  <c r="J39" i="89"/>
  <c r="BW11" i="6"/>
  <c r="J39" i="86"/>
  <c r="Q39" i="88"/>
  <c r="BW6" i="6"/>
  <c r="J39" i="81" s="1"/>
  <c r="Q39" i="81" s="1"/>
  <c r="BW9" i="6"/>
  <c r="J39" i="84"/>
  <c r="BW8" i="6"/>
  <c r="J39" i="83"/>
  <c r="Q39" i="83" s="1"/>
  <c r="J39" i="82"/>
  <c r="Q39" i="82" s="1"/>
  <c r="BW7" i="6"/>
  <c r="BW10" i="6"/>
  <c r="J39" i="85"/>
  <c r="H39" i="78"/>
  <c r="H39" i="79" s="1"/>
  <c r="H39" i="80" s="1"/>
  <c r="H39" i="81" s="1"/>
  <c r="H39" i="82" s="1"/>
  <c r="G39" i="78"/>
  <c r="G39" i="79" s="1"/>
  <c r="G39" i="80" s="1"/>
  <c r="G39" i="81" s="1"/>
  <c r="G39" i="82" s="1"/>
  <c r="BV4" i="6"/>
  <c r="Q39" i="80"/>
  <c r="Q39" i="79"/>
  <c r="BW28" i="6"/>
  <c r="Q39" i="72" s="1"/>
  <c r="Q39" i="77"/>
  <c r="BW27" i="6"/>
  <c r="Q39" i="71" s="1"/>
  <c r="J39" i="73"/>
  <c r="Q39" i="73" s="1"/>
  <c r="BW29" i="6"/>
  <c r="AP12" i="6"/>
  <c r="AP25" i="6"/>
  <c r="BW25" i="6"/>
  <c r="AP19" i="6"/>
  <c r="BW19" i="6"/>
  <c r="AP13" i="6"/>
  <c r="BW13" i="6"/>
  <c r="AP7" i="6"/>
  <c r="AP31" i="6"/>
  <c r="BW31" i="6"/>
  <c r="AP32" i="6"/>
  <c r="AP26" i="6"/>
  <c r="AP20" i="6"/>
  <c r="AP14" i="6"/>
  <c r="AP8" i="6"/>
  <c r="AP18" i="6"/>
  <c r="AP6" i="6"/>
  <c r="AP24" i="6"/>
  <c r="AP30" i="6"/>
  <c r="AP29" i="6"/>
  <c r="AP23" i="6"/>
  <c r="AP17" i="6"/>
  <c r="AP11" i="6"/>
  <c r="AP5" i="6"/>
  <c r="AP3" i="6"/>
  <c r="AP28" i="6"/>
  <c r="AP22" i="6"/>
  <c r="AP16" i="6"/>
  <c r="AP10" i="6"/>
  <c r="AP4" i="6"/>
  <c r="AP33" i="6"/>
  <c r="AP27" i="6"/>
  <c r="AP21" i="6"/>
  <c r="AP15" i="6"/>
  <c r="AP9" i="6"/>
  <c r="Q39" i="84" l="1"/>
  <c r="Q39" i="67"/>
  <c r="Q39" i="42"/>
  <c r="Q39" i="96"/>
  <c r="Q39" i="95"/>
  <c r="Q39" i="92"/>
  <c r="Q39" i="93"/>
  <c r="Q39" i="90"/>
  <c r="Q39" i="89"/>
  <c r="Q39" i="87"/>
  <c r="Q39" i="86"/>
  <c r="Q39" i="91"/>
  <c r="Q39" i="85"/>
  <c r="BV5" i="6"/>
  <c r="I39" i="79"/>
  <c r="P39" i="79" s="1"/>
  <c r="L39" i="78"/>
  <c r="L39" i="79" s="1"/>
  <c r="K39" i="78"/>
  <c r="K39" i="79" s="1"/>
  <c r="Q39" i="78"/>
  <c r="H39" i="93"/>
  <c r="H39" i="94" s="1"/>
  <c r="H39" i="95" s="1"/>
  <c r="H39" i="96" s="1"/>
  <c r="H39" i="42" s="1"/>
  <c r="H39" i="67" s="1"/>
  <c r="H39" i="68" s="1"/>
  <c r="H39" i="69" s="1"/>
  <c r="H39" i="70" s="1"/>
  <c r="H39" i="71" s="1"/>
  <c r="H39" i="72" s="1"/>
  <c r="H39" i="73" s="1"/>
  <c r="H39" i="74" s="1"/>
  <c r="H39" i="75" s="1"/>
  <c r="H39" i="76" s="1"/>
  <c r="H39" i="77" s="1"/>
  <c r="O39" i="73"/>
  <c r="O39" i="74" s="1"/>
  <c r="O39" i="75" s="1"/>
  <c r="O39" i="76" s="1"/>
  <c r="BW34" i="6"/>
  <c r="N39" i="73"/>
  <c r="N39" i="74" s="1"/>
  <c r="N39" i="75" s="1"/>
  <c r="N39" i="76" s="1"/>
  <c r="Q39" i="70"/>
  <c r="BW35" i="6"/>
  <c r="S27" i="12"/>
  <c r="R27" i="97"/>
  <c r="V27" i="97"/>
  <c r="U27" i="97"/>
  <c r="G39" i="93" l="1"/>
  <c r="G39" i="94" s="1"/>
  <c r="G39" i="95" s="1"/>
  <c r="G39" i="96" s="1"/>
  <c r="G39" i="42" s="1"/>
  <c r="G39" i="67" s="1"/>
  <c r="G39" i="68" s="1"/>
  <c r="G39" i="69" s="1"/>
  <c r="G39" i="70" s="1"/>
  <c r="G39" i="71" s="1"/>
  <c r="G39" i="72" s="1"/>
  <c r="G39" i="73" s="1"/>
  <c r="G39" i="74" s="1"/>
  <c r="G39" i="75" s="1"/>
  <c r="G39" i="76" s="1"/>
  <c r="G39" i="77" s="1"/>
  <c r="BY5" i="6"/>
  <c r="BV6" i="6" s="1"/>
  <c r="K39" i="80"/>
  <c r="K39" i="81" s="1"/>
  <c r="K39" i="82" s="1"/>
  <c r="L39" i="80"/>
  <c r="L39" i="81" s="1"/>
  <c r="L39" i="82" s="1"/>
  <c r="I39" i="80"/>
  <c r="P39" i="80" s="1"/>
  <c r="AC27" i="97"/>
  <c r="AN27" i="12"/>
  <c r="AB27" i="12"/>
  <c r="AM27" i="97"/>
  <c r="AA27" i="97"/>
  <c r="AF27" i="12"/>
  <c r="AP27" i="12"/>
  <c r="R26" i="12"/>
  <c r="BY6" i="6" l="1"/>
  <c r="BV7" i="6" s="1"/>
  <c r="BY7" i="6" s="1"/>
  <c r="I39" i="81"/>
  <c r="P39" i="81" s="1"/>
  <c r="L39" i="83"/>
  <c r="L39" i="84" s="1"/>
  <c r="L39" i="85" s="1"/>
  <c r="L39" i="86" s="1"/>
  <c r="L39" i="87" s="1"/>
  <c r="L39" i="88" s="1"/>
  <c r="L39" i="89" s="1"/>
  <c r="L39" i="90" s="1"/>
  <c r="L39" i="91" s="1"/>
  <c r="L39" i="92" s="1"/>
  <c r="L39" i="93" s="1"/>
  <c r="L39" i="94" s="1"/>
  <c r="L39" i="95" s="1"/>
  <c r="L39" i="96" s="1"/>
  <c r="L39" i="42" s="1"/>
  <c r="L39" i="67" s="1"/>
  <c r="L39" i="68" s="1"/>
  <c r="L39" i="69" s="1"/>
  <c r="K39" i="83"/>
  <c r="K39" i="84" s="1"/>
  <c r="K39" i="85" s="1"/>
  <c r="K39" i="86" s="1"/>
  <c r="K39" i="87" s="1"/>
  <c r="K39" i="88" s="1"/>
  <c r="K39" i="89" s="1"/>
  <c r="K39" i="90" s="1"/>
  <c r="K39" i="91" s="1"/>
  <c r="K39" i="92" s="1"/>
  <c r="K39" i="93" s="1"/>
  <c r="K39" i="94" s="1"/>
  <c r="K39" i="95" s="1"/>
  <c r="K39" i="96" s="1"/>
  <c r="K39" i="42" s="1"/>
  <c r="K39" i="67" s="1"/>
  <c r="K39" i="68" s="1"/>
  <c r="K39" i="69" s="1"/>
  <c r="AN26" i="12"/>
  <c r="BV8" i="6"/>
  <c r="BY8" i="6" s="1"/>
  <c r="I39" i="82"/>
  <c r="P39" i="82" s="1"/>
  <c r="O39" i="77"/>
  <c r="N39" i="77"/>
  <c r="U26" i="97"/>
  <c r="S26" i="97"/>
  <c r="K39" i="71" l="1"/>
  <c r="K39" i="72" s="1"/>
  <c r="K39" i="73" s="1"/>
  <c r="K39" i="70"/>
  <c r="K39" i="74"/>
  <c r="K39" i="75" s="1"/>
  <c r="K39" i="76" s="1"/>
  <c r="K39" i="77" s="1"/>
  <c r="L39" i="71"/>
  <c r="L39" i="72" s="1"/>
  <c r="L39" i="73" s="1"/>
  <c r="L39" i="74" s="1"/>
  <c r="L39" i="75" s="1"/>
  <c r="L39" i="76" s="1"/>
  <c r="L39" i="77" s="1"/>
  <c r="L39" i="70"/>
  <c r="AN26" i="97"/>
  <c r="AM26" i="97"/>
  <c r="BV9" i="6"/>
  <c r="BY9" i="6" s="1"/>
  <c r="I39" i="83"/>
  <c r="P39" i="83" s="1"/>
  <c r="G25" i="55"/>
  <c r="C25" i="55"/>
  <c r="G24" i="55"/>
  <c r="C24" i="55"/>
  <c r="V22" i="12"/>
  <c r="K25" i="55" l="1"/>
  <c r="BV10" i="6"/>
  <c r="BY10" i="6" s="1"/>
  <c r="I39" i="84"/>
  <c r="P39" i="84" s="1"/>
  <c r="K24" i="55"/>
  <c r="BV11" i="6" l="1"/>
  <c r="BY11" i="6" s="1"/>
  <c r="I39" i="85"/>
  <c r="P39" i="85" s="1"/>
  <c r="AM25" i="97"/>
  <c r="AN25" i="12"/>
  <c r="U25" i="97"/>
  <c r="V25" i="97"/>
  <c r="X25" i="97"/>
  <c r="BV12" i="6" l="1"/>
  <c r="BY12" i="6" s="1"/>
  <c r="I39" i="86"/>
  <c r="P39" i="86" s="1"/>
  <c r="AC25" i="97"/>
  <c r="V24" i="97"/>
  <c r="U24" i="97"/>
  <c r="W24" i="12"/>
  <c r="V24" i="12"/>
  <c r="AD24" i="12" l="1"/>
  <c r="BV13" i="6"/>
  <c r="BY13" i="6" s="1"/>
  <c r="I39" i="87"/>
  <c r="P39" i="87" s="1"/>
  <c r="AN24" i="12"/>
  <c r="AB24" i="12"/>
  <c r="AM24" i="97"/>
  <c r="AA24" i="97"/>
  <c r="AC24" i="97"/>
  <c r="V23" i="97"/>
  <c r="U23" i="97"/>
  <c r="BV14" i="6" l="1"/>
  <c r="BY14" i="6" s="1"/>
  <c r="I39" i="88"/>
  <c r="P39" i="88" s="1"/>
  <c r="AM23" i="97"/>
  <c r="AA23" i="97"/>
  <c r="AC23" i="97"/>
  <c r="BV15" i="6" l="1"/>
  <c r="BY15" i="6" s="1"/>
  <c r="I39" i="89"/>
  <c r="P39" i="89" s="1"/>
  <c r="AN23" i="12"/>
  <c r="AB23" i="12"/>
  <c r="S22" i="12"/>
  <c r="BV16" i="6" l="1"/>
  <c r="BY16" i="6" s="1"/>
  <c r="I39" i="90"/>
  <c r="P39" i="90" s="1"/>
  <c r="AB22" i="12"/>
  <c r="AN22" i="12"/>
  <c r="U22" i="97"/>
  <c r="V22" i="97"/>
  <c r="BV17" i="6" l="1"/>
  <c r="BY17" i="6" s="1"/>
  <c r="I39" i="91"/>
  <c r="P39" i="91" s="1"/>
  <c r="AC22" i="97"/>
  <c r="AM22" i="97"/>
  <c r="Q21" i="97"/>
  <c r="U21" i="97"/>
  <c r="V21" i="97"/>
  <c r="BV18" i="6" l="1"/>
  <c r="BY18" i="6" s="1"/>
  <c r="I39" i="92"/>
  <c r="P39" i="92" s="1"/>
  <c r="AN21" i="12"/>
  <c r="AM21" i="97"/>
  <c r="AC21" i="97"/>
  <c r="U20" i="97"/>
  <c r="X20" i="97"/>
  <c r="V20" i="12"/>
  <c r="BV19" i="6" l="1"/>
  <c r="BY19" i="6" s="1"/>
  <c r="I39" i="93"/>
  <c r="P39" i="93" s="1"/>
  <c r="AN20" i="12"/>
  <c r="AO20" i="12"/>
  <c r="AM20" i="97"/>
  <c r="AH20" i="12"/>
  <c r="X19" i="97"/>
  <c r="S19" i="97"/>
  <c r="V19" i="12"/>
  <c r="W19" i="12"/>
  <c r="BV20" i="6" l="1"/>
  <c r="I39" i="94"/>
  <c r="AM19" i="97"/>
  <c r="AN19" i="12"/>
  <c r="AD19" i="12"/>
  <c r="AN19" i="97"/>
  <c r="BY20" i="6" l="1"/>
  <c r="BV21" i="6" s="1"/>
  <c r="I39" i="95"/>
  <c r="P39" i="95" s="1"/>
  <c r="P39" i="94"/>
  <c r="AM18" i="97"/>
  <c r="W18" i="12"/>
  <c r="T17" i="97"/>
  <c r="V17" i="12"/>
  <c r="BY21" i="6" l="1"/>
  <c r="BV22" i="6" s="1"/>
  <c r="BY22" i="6" s="1"/>
  <c r="I39" i="96"/>
  <c r="P39" i="96" s="1"/>
  <c r="BV23" i="6"/>
  <c r="BY23" i="6" s="1"/>
  <c r="I39" i="42"/>
  <c r="P39" i="42" s="1"/>
  <c r="AN17" i="97"/>
  <c r="AB17" i="97"/>
  <c r="AB17" i="12"/>
  <c r="AN17" i="12"/>
  <c r="AN18" i="12"/>
  <c r="AM17" i="97"/>
  <c r="AA17" i="97"/>
  <c r="U16" i="97"/>
  <c r="V16" i="97"/>
  <c r="U16" i="12"/>
  <c r="BV24" i="6" l="1"/>
  <c r="BY24" i="6" s="1"/>
  <c r="I39" i="67"/>
  <c r="P39" i="67" s="1"/>
  <c r="AC16" i="97"/>
  <c r="S16" i="12"/>
  <c r="T16" i="12"/>
  <c r="R16" i="97"/>
  <c r="BV25" i="6" l="1"/>
  <c r="BY25" i="6" s="1"/>
  <c r="I39" i="68"/>
  <c r="P39" i="68" s="1"/>
  <c r="AN16" i="12"/>
  <c r="AB16" i="12"/>
  <c r="AM16" i="97"/>
  <c r="AA16" i="97"/>
  <c r="AC16" i="12"/>
  <c r="AO16" i="12"/>
  <c r="U15" i="97"/>
  <c r="V15" i="97"/>
  <c r="BV26" i="6" l="1"/>
  <c r="BY26" i="6" s="1"/>
  <c r="I39" i="69"/>
  <c r="AC15" i="97"/>
  <c r="AN15" i="12"/>
  <c r="AM15" i="97"/>
  <c r="BV27" i="6" l="1"/>
  <c r="I39" i="70"/>
  <c r="AM13" i="97"/>
  <c r="AM12" i="97"/>
  <c r="S14" i="97"/>
  <c r="U14" i="97"/>
  <c r="T14" i="97"/>
  <c r="V14" i="97"/>
  <c r="T14" i="12"/>
  <c r="I39" i="71" l="1"/>
  <c r="BY27" i="6"/>
  <c r="BV28" i="6" s="1"/>
  <c r="AN14" i="12"/>
  <c r="AM14" i="97"/>
  <c r="AA14" i="97"/>
  <c r="AC14" i="97"/>
  <c r="AO14" i="12"/>
  <c r="AB14" i="97"/>
  <c r="AN14" i="97"/>
  <c r="AG14" i="97"/>
  <c r="U13" i="97"/>
  <c r="V13" i="97"/>
  <c r="I39" i="72" l="1"/>
  <c r="BY28" i="6"/>
  <c r="BV29" i="6" s="1"/>
  <c r="BY29" i="6" s="1"/>
  <c r="AN13" i="12"/>
  <c r="AG13" i="97"/>
  <c r="AN13" i="97"/>
  <c r="AC13" i="97"/>
  <c r="P35" i="6"/>
  <c r="Q35" i="6"/>
  <c r="BV30" i="6" l="1"/>
  <c r="I39" i="73"/>
  <c r="P39" i="73" s="1"/>
  <c r="U12" i="97"/>
  <c r="V12" i="97"/>
  <c r="X12" i="97"/>
  <c r="I39" i="74" l="1"/>
  <c r="BY30" i="6"/>
  <c r="BV31" i="6" s="1"/>
  <c r="AO12" i="12"/>
  <c r="AC12" i="97"/>
  <c r="AN12" i="12"/>
  <c r="AM11" i="97"/>
  <c r="V6" i="97"/>
  <c r="U6" i="97"/>
  <c r="I39" i="75" l="1"/>
  <c r="BY31" i="6"/>
  <c r="BV32" i="6" s="1"/>
  <c r="AC6" i="97"/>
  <c r="U11" i="97"/>
  <c r="R10" i="97"/>
  <c r="U10" i="97"/>
  <c r="V10" i="97"/>
  <c r="X10" i="97"/>
  <c r="V11" i="12"/>
  <c r="W11" i="12"/>
  <c r="T10" i="12"/>
  <c r="V10" i="12"/>
  <c r="I39" i="76" l="1"/>
  <c r="BY32" i="6"/>
  <c r="BV33" i="6"/>
  <c r="BY33" i="6" s="1"/>
  <c r="AN11" i="12"/>
  <c r="AO10" i="12"/>
  <c r="AC10" i="97"/>
  <c r="AD11" i="12"/>
  <c r="AH10" i="12"/>
  <c r="AB10" i="12"/>
  <c r="AN10" i="12"/>
  <c r="AM10" i="97"/>
  <c r="AA10" i="97"/>
  <c r="EK35" i="1"/>
  <c r="I39" i="77" l="1"/>
  <c r="X9" i="97"/>
  <c r="U9" i="97"/>
  <c r="S9" i="97"/>
  <c r="Q9" i="97"/>
  <c r="R9" i="97"/>
  <c r="S9" i="12"/>
  <c r="AG9" i="97" l="1"/>
  <c r="AM9" i="97"/>
  <c r="AA9" i="97"/>
  <c r="AN9" i="97"/>
  <c r="AB9" i="12"/>
  <c r="AN9" i="12"/>
  <c r="V8" i="97"/>
  <c r="U8" i="97"/>
  <c r="AC8" i="97" l="1"/>
  <c r="AN8" i="12"/>
  <c r="AM8" i="97"/>
  <c r="X7" i="97"/>
  <c r="U7" i="97" l="1"/>
  <c r="V7" i="97"/>
  <c r="S7" i="97"/>
  <c r="AC7" i="97" l="1"/>
  <c r="AM7" i="97"/>
  <c r="AN7" i="97"/>
  <c r="AN7" i="12"/>
  <c r="AG7" i="97"/>
  <c r="AN6" i="12" l="1"/>
  <c r="AM6" i="97"/>
  <c r="AA6" i="97"/>
  <c r="U5" i="97"/>
  <c r="AM5" i="97" l="1"/>
  <c r="AN5" i="12"/>
  <c r="AB5" i="12"/>
  <c r="X4" i="97"/>
  <c r="V4" i="97"/>
  <c r="U4" i="97"/>
  <c r="AC4" i="97" l="1"/>
  <c r="AA4" i="97"/>
  <c r="AN4" i="97"/>
  <c r="AB4" i="97"/>
  <c r="AG4" i="97"/>
  <c r="AH4" i="97"/>
  <c r="V31" i="12"/>
  <c r="W31" i="12"/>
  <c r="T31" i="12"/>
  <c r="AD31" i="12" l="1"/>
  <c r="AO31" i="12"/>
  <c r="U30" i="97"/>
  <c r="V30" i="97"/>
  <c r="AC30" i="97" l="1"/>
  <c r="T30" i="97"/>
  <c r="AH30" i="97" s="1"/>
  <c r="U28" i="97" l="1"/>
  <c r="V28" i="97"/>
  <c r="AC28" i="97" l="1"/>
  <c r="V26" i="12"/>
  <c r="S26" i="12"/>
  <c r="AB26" i="12" s="1"/>
  <c r="W26" i="12"/>
  <c r="AD26" i="12" l="1"/>
  <c r="AA26" i="97"/>
  <c r="X24" i="97"/>
  <c r="V23" i="12" l="1"/>
  <c r="T22" i="12" l="1"/>
  <c r="X22" i="97"/>
  <c r="AH22" i="12" l="1"/>
  <c r="AO22" i="12"/>
  <c r="AA20" i="97" l="1"/>
  <c r="X21" i="97"/>
  <c r="AD21" i="97" s="1"/>
  <c r="T19" i="97" l="1"/>
  <c r="AB19" i="97" s="1"/>
  <c r="AB19" i="12"/>
  <c r="AA19" i="97" l="1"/>
  <c r="T18" i="12"/>
  <c r="U18" i="12"/>
  <c r="V18" i="12"/>
  <c r="AD18" i="12" s="1"/>
  <c r="AO18" i="12" l="1"/>
  <c r="AC18" i="12"/>
  <c r="AH18" i="12"/>
  <c r="V17" i="97"/>
  <c r="AH17" i="97" s="1"/>
  <c r="U17" i="97"/>
  <c r="U17" i="12"/>
  <c r="T17" i="12"/>
  <c r="AH17" i="12" l="1"/>
  <c r="AO17" i="12"/>
  <c r="AC17" i="12"/>
  <c r="AG17" i="97"/>
  <c r="AC17" i="97"/>
  <c r="X15" i="97" l="1"/>
  <c r="V15" i="12"/>
  <c r="W15" i="12"/>
  <c r="T15" i="12"/>
  <c r="AH15" i="12" l="1"/>
  <c r="AO15" i="12"/>
  <c r="AD15" i="12"/>
  <c r="W13" i="12"/>
  <c r="V13" i="12"/>
  <c r="AD13" i="12" s="1"/>
  <c r="U13" i="12"/>
  <c r="AH13" i="12" l="1"/>
  <c r="AO13" i="12"/>
  <c r="AC13" i="12"/>
  <c r="AB12" i="12"/>
  <c r="AA12" i="97" l="1"/>
  <c r="V6" i="12"/>
  <c r="W9" i="12" l="1"/>
  <c r="V9" i="12"/>
  <c r="AD9" i="12" s="1"/>
  <c r="S8" i="97" l="1"/>
  <c r="V8" i="12"/>
  <c r="W8" i="12"/>
  <c r="AD8" i="12" l="1"/>
  <c r="AG8" i="97"/>
  <c r="AN8" i="97"/>
  <c r="V7" i="12"/>
  <c r="W7" i="12"/>
  <c r="AD7" i="12" l="1"/>
  <c r="R9" i="6"/>
  <c r="W6" i="12"/>
  <c r="AD6" i="12" s="1"/>
  <c r="V5" i="97" l="1"/>
  <c r="AC5" i="97" s="1"/>
  <c r="S5" i="97"/>
  <c r="T5" i="97"/>
  <c r="AH5" i="97" s="1"/>
  <c r="V5" i="12"/>
  <c r="W5" i="12"/>
  <c r="AD5" i="12" l="1"/>
  <c r="AG5" i="97"/>
  <c r="AN5" i="97"/>
  <c r="AB5" i="97"/>
  <c r="AA5" i="97"/>
  <c r="EB3" i="1"/>
  <c r="ED4" i="1"/>
  <c r="ED5" i="1"/>
  <c r="ED6" i="1"/>
  <c r="ED7" i="1"/>
  <c r="ED8" i="1"/>
  <c r="ED9" i="1"/>
  <c r="ED10" i="1"/>
  <c r="ED11" i="1"/>
  <c r="ED12" i="1"/>
  <c r="ED13" i="1"/>
  <c r="ED14" i="1"/>
  <c r="ED3" i="1"/>
  <c r="R3" i="98" s="1"/>
  <c r="S34" i="97" l="1"/>
  <c r="AN34" i="97" l="1"/>
  <c r="U34" i="12"/>
  <c r="AC34" i="12" s="1"/>
  <c r="U33" i="97" l="1"/>
  <c r="V33" i="97"/>
  <c r="AC33" i="97" l="1"/>
  <c r="T32" i="12"/>
  <c r="U32" i="12"/>
  <c r="V32" i="12"/>
  <c r="W32" i="12"/>
  <c r="U32" i="97"/>
  <c r="AM32" i="97" l="1"/>
  <c r="AC32" i="12"/>
  <c r="AO32" i="12"/>
  <c r="AD32" i="12"/>
  <c r="U31" i="97"/>
  <c r="V31" i="97"/>
  <c r="AH31" i="97" s="1"/>
  <c r="AC31" i="97" l="1"/>
  <c r="T29" i="12"/>
  <c r="AO29" i="12" l="1"/>
  <c r="V29" i="97"/>
  <c r="AC29" i="97" s="1"/>
  <c r="AB29" i="12"/>
  <c r="AN28" i="97" l="1"/>
  <c r="R28" i="97"/>
  <c r="S28" i="12"/>
  <c r="AB28" i="12" s="1"/>
  <c r="AA28" i="97" l="1"/>
  <c r="U27" i="12"/>
  <c r="T27" i="12"/>
  <c r="W27" i="12"/>
  <c r="V27" i="12"/>
  <c r="AD27" i="12" s="1"/>
  <c r="T27" i="97"/>
  <c r="S27" i="97"/>
  <c r="X27" i="97"/>
  <c r="J31" i="71"/>
  <c r="AH27" i="97" l="1"/>
  <c r="AO27" i="12"/>
  <c r="AC27" i="12"/>
  <c r="AB27" i="97"/>
  <c r="AN27" i="97"/>
  <c r="I46" i="69"/>
  <c r="U26" i="12" l="1"/>
  <c r="T26" i="12"/>
  <c r="X26" i="97"/>
  <c r="AH26" i="12" l="1"/>
  <c r="AO26" i="12"/>
  <c r="AC26" i="12"/>
  <c r="V25" i="12"/>
  <c r="AB25" i="12"/>
  <c r="AA25" i="97" l="1"/>
  <c r="E21" i="1"/>
  <c r="E22" i="1"/>
  <c r="E23" i="1"/>
  <c r="E24" i="1"/>
  <c r="E25" i="1"/>
  <c r="E26" i="1"/>
  <c r="E27" i="1"/>
  <c r="X23" i="97" l="1"/>
  <c r="S22" i="97" l="1"/>
  <c r="R22" i="97"/>
  <c r="AA22" i="97" l="1"/>
  <c r="AG22" i="97"/>
  <c r="AN22" i="97"/>
  <c r="S20" i="12"/>
  <c r="AB20" i="12" s="1"/>
  <c r="R21" i="97" l="1"/>
  <c r="V20" i="97"/>
  <c r="AC20" i="97" s="1"/>
  <c r="AB21" i="12"/>
  <c r="AA21" i="97" l="1"/>
  <c r="AO21" i="12"/>
  <c r="AC21" i="12"/>
  <c r="I17" i="1"/>
  <c r="V19" i="97" l="1"/>
  <c r="AH19" i="97" s="1"/>
  <c r="U19" i="97"/>
  <c r="L18" i="6"/>
  <c r="AG19" i="97" l="1"/>
  <c r="AC19" i="97"/>
  <c r="AB18" i="12"/>
  <c r="AA18" i="97" l="1"/>
  <c r="W17" i="12"/>
  <c r="AI17" i="12" l="1"/>
  <c r="E16" i="3" s="1"/>
  <c r="F16" i="3" s="1"/>
  <c r="I22" i="91" s="1"/>
  <c r="AD17" i="12"/>
  <c r="AB15" i="12"/>
  <c r="X14" i="97"/>
  <c r="AH14" i="97" s="1"/>
  <c r="S14" i="12"/>
  <c r="AB14" i="12" s="1"/>
  <c r="V14" i="12"/>
  <c r="W14" i="12"/>
  <c r="S13" i="12"/>
  <c r="AB13" i="12" s="1"/>
  <c r="AH14" i="12" l="1"/>
  <c r="AD14" i="12"/>
  <c r="W12" i="12"/>
  <c r="V12" i="12"/>
  <c r="AH12" i="12" l="1"/>
  <c r="AD12" i="12"/>
  <c r="V11" i="97"/>
  <c r="AC11" i="97" s="1"/>
  <c r="AB11" i="12"/>
  <c r="AA11" i="97" l="1"/>
  <c r="T9" i="97"/>
  <c r="V9" i="97"/>
  <c r="AC9" i="97" s="1"/>
  <c r="AB9" i="97" l="1"/>
  <c r="AH9" i="97"/>
  <c r="T8" i="97"/>
  <c r="AB8" i="97" s="1"/>
  <c r="G53" i="82"/>
  <c r="AB8" i="12" l="1"/>
  <c r="AH8" i="97" l="1"/>
  <c r="AA8" i="97" l="1"/>
  <c r="C8" i="55"/>
  <c r="F53" i="83" s="1"/>
  <c r="C9" i="55"/>
  <c r="F53" i="84" s="1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6" i="55"/>
  <c r="C27" i="55"/>
  <c r="C28" i="55"/>
  <c r="C29" i="55"/>
  <c r="C30" i="55"/>
  <c r="C31" i="55"/>
  <c r="C32" i="55"/>
  <c r="C33" i="55"/>
  <c r="C5" i="55"/>
  <c r="C6" i="55"/>
  <c r="C7" i="55"/>
  <c r="F53" i="82" s="1"/>
  <c r="T7" i="97" l="1"/>
  <c r="AB7" i="97" s="1"/>
  <c r="T6" i="97"/>
  <c r="AH6" i="97" s="1"/>
  <c r="S6" i="97"/>
  <c r="AG6" i="97" s="1"/>
  <c r="U7" i="12"/>
  <c r="T7" i="12"/>
  <c r="AB7" i="12"/>
  <c r="AH7" i="97" l="1"/>
  <c r="AA7" i="97"/>
  <c r="AB6" i="97"/>
  <c r="AN6" i="97"/>
  <c r="AH7" i="12"/>
  <c r="AO7" i="12"/>
  <c r="AC7" i="12"/>
  <c r="C4" i="55"/>
  <c r="EF3" i="1" l="1"/>
  <c r="EC4" i="1"/>
  <c r="EC5" i="1"/>
  <c r="EC6" i="1"/>
  <c r="EC7" i="1"/>
  <c r="EC8" i="1"/>
  <c r="EC9" i="1"/>
  <c r="EC10" i="1"/>
  <c r="EC11" i="1"/>
  <c r="EC12" i="1"/>
  <c r="EC13" i="1"/>
  <c r="EC14" i="1"/>
  <c r="EC15" i="1"/>
  <c r="EC16" i="1"/>
  <c r="EC17" i="1"/>
  <c r="EC18" i="1"/>
  <c r="EC19" i="1"/>
  <c r="EC20" i="1"/>
  <c r="EC21" i="1"/>
  <c r="EC22" i="1"/>
  <c r="EC23" i="1"/>
  <c r="EC24" i="1"/>
  <c r="EC25" i="1"/>
  <c r="EC26" i="1"/>
  <c r="EC27" i="1"/>
  <c r="EC28" i="1"/>
  <c r="EC29" i="1"/>
  <c r="EC30" i="1"/>
  <c r="EC31" i="1"/>
  <c r="EC32" i="1"/>
  <c r="EC33" i="1"/>
  <c r="EC3" i="1"/>
  <c r="EG4" i="1"/>
  <c r="EG5" i="1"/>
  <c r="EG6" i="1"/>
  <c r="EG7" i="1"/>
  <c r="EG8" i="1"/>
  <c r="EG9" i="1"/>
  <c r="EG10" i="1"/>
  <c r="EG11" i="1"/>
  <c r="EG12" i="1"/>
  <c r="EG13" i="1"/>
  <c r="EG14" i="1"/>
  <c r="EG15" i="1"/>
  <c r="EG16" i="1"/>
  <c r="EG17" i="1"/>
  <c r="EG18" i="1"/>
  <c r="EG19" i="1"/>
  <c r="EG20" i="1"/>
  <c r="EG21" i="1"/>
  <c r="EG22" i="1"/>
  <c r="EG23" i="1"/>
  <c r="EG24" i="1"/>
  <c r="EG25" i="1"/>
  <c r="EG26" i="1"/>
  <c r="EG27" i="1"/>
  <c r="EG28" i="1"/>
  <c r="EG29" i="1"/>
  <c r="EG30" i="1"/>
  <c r="EG31" i="1"/>
  <c r="EG32" i="1"/>
  <c r="EG33" i="1"/>
  <c r="EG3" i="1"/>
  <c r="G3" i="99" l="1"/>
  <c r="Y34" i="6"/>
  <c r="Y35" i="6"/>
  <c r="V33" i="55" l="1"/>
  <c r="K53" i="77" l="1"/>
  <c r="U34" i="97" l="1"/>
  <c r="AN32" i="97" l="1"/>
  <c r="G30" i="55"/>
  <c r="AB30" i="97" l="1"/>
  <c r="AN30" i="97"/>
  <c r="G4" i="99"/>
  <c r="G5" i="99"/>
  <c r="G6" i="99"/>
  <c r="G7" i="99"/>
  <c r="G13" i="99"/>
  <c r="G14" i="99"/>
  <c r="G15" i="99"/>
  <c r="G16" i="99"/>
  <c r="G17" i="99"/>
  <c r="G18" i="99"/>
  <c r="G19" i="99"/>
  <c r="G20" i="99"/>
  <c r="G21" i="99"/>
  <c r="G22" i="99"/>
  <c r="G23" i="99"/>
  <c r="G24" i="99"/>
  <c r="G25" i="99"/>
  <c r="G26" i="99"/>
  <c r="G27" i="99"/>
  <c r="G28" i="99"/>
  <c r="G29" i="99"/>
  <c r="G30" i="99"/>
  <c r="G31" i="99"/>
  <c r="G32" i="99"/>
  <c r="G33" i="99"/>
  <c r="T28" i="97" l="1"/>
  <c r="AH28" i="97" s="1"/>
  <c r="AA29" i="97" l="1"/>
  <c r="AB28" i="97"/>
  <c r="T25" i="97"/>
  <c r="AH25" i="97" s="1"/>
  <c r="S25" i="97"/>
  <c r="AN25" i="97" l="1"/>
  <c r="AB25" i="97"/>
  <c r="G24" i="64"/>
  <c r="AH24" i="97" l="1"/>
  <c r="AB24" i="97" l="1"/>
  <c r="AN24" i="97"/>
  <c r="T23" i="97"/>
  <c r="AH23" i="97" s="1"/>
  <c r="S23" i="97"/>
  <c r="U23" i="12"/>
  <c r="T23" i="12"/>
  <c r="AH23" i="12" l="1"/>
  <c r="AO23" i="12"/>
  <c r="AC23" i="12"/>
  <c r="AG23" i="97"/>
  <c r="AB23" i="97"/>
  <c r="AN23" i="97"/>
  <c r="L38" i="78"/>
  <c r="L38" i="79" s="1"/>
  <c r="K38" i="78"/>
  <c r="K38" i="79" s="1"/>
  <c r="K38" i="80" l="1"/>
  <c r="K38" i="81" s="1"/>
  <c r="L38" i="80"/>
  <c r="L38" i="81" s="1"/>
  <c r="T22" i="97"/>
  <c r="AH22" i="97" s="1"/>
  <c r="AB22" i="97" l="1"/>
  <c r="W21" i="12"/>
  <c r="V21" i="12"/>
  <c r="AH21" i="12" l="1"/>
  <c r="AD21" i="12"/>
  <c r="S14" i="2"/>
  <c r="L15" i="6" l="1"/>
  <c r="K15" i="6" s="1"/>
  <c r="AH15" i="97" l="1"/>
  <c r="AG15" i="97"/>
  <c r="AB15" i="97"/>
  <c r="AN15" i="97"/>
  <c r="AA15" i="97"/>
  <c r="AH34" i="1"/>
  <c r="AC12" i="12" l="1"/>
  <c r="T10" i="97" l="1"/>
  <c r="AH10" i="97" s="1"/>
  <c r="S10" i="97"/>
  <c r="Y8" i="12"/>
  <c r="AE8" i="12" s="1"/>
  <c r="Y9" i="12"/>
  <c r="Y7" i="12"/>
  <c r="AI7" i="12" s="1"/>
  <c r="E6" i="3" s="1"/>
  <c r="F6" i="3" s="1"/>
  <c r="Y4" i="12"/>
  <c r="AE4" i="12" s="1"/>
  <c r="Y5" i="12"/>
  <c r="AE5" i="12" s="1"/>
  <c r="Y6" i="12"/>
  <c r="AE6" i="12" s="1"/>
  <c r="Y3" i="12"/>
  <c r="AG10" i="97" l="1"/>
  <c r="AB10" i="97"/>
  <c r="AN10" i="97"/>
  <c r="AH8" i="12"/>
  <c r="AC8" i="12"/>
  <c r="AO8" i="12"/>
  <c r="AI8" i="12"/>
  <c r="E7" i="3" s="1"/>
  <c r="F7" i="3" s="1"/>
  <c r="AE7" i="12"/>
  <c r="G7" i="55"/>
  <c r="K7" i="55" s="1"/>
  <c r="E8" i="1" l="1"/>
  <c r="R8" i="6"/>
  <c r="E9" i="2" l="1"/>
  <c r="P6" i="55" l="1"/>
  <c r="N34" i="55"/>
  <c r="J53" i="77" l="1"/>
  <c r="H53" i="77"/>
  <c r="G53" i="77"/>
  <c r="F53" i="77"/>
  <c r="E53" i="77"/>
  <c r="L53" i="77"/>
  <c r="M53" i="76"/>
  <c r="L53" i="76"/>
  <c r="K53" i="76"/>
  <c r="I53" i="76"/>
  <c r="H53" i="76"/>
  <c r="F53" i="76"/>
  <c r="E53" i="76"/>
  <c r="M53" i="75"/>
  <c r="L53" i="75"/>
  <c r="K53" i="75"/>
  <c r="I53" i="75"/>
  <c r="H53" i="75"/>
  <c r="F53" i="75"/>
  <c r="E53" i="75"/>
  <c r="M53" i="74"/>
  <c r="L53" i="74"/>
  <c r="K53" i="74"/>
  <c r="I53" i="74"/>
  <c r="H53" i="74"/>
  <c r="F53" i="74"/>
  <c r="E53" i="74"/>
  <c r="M53" i="73"/>
  <c r="L53" i="73"/>
  <c r="K53" i="73"/>
  <c r="I53" i="73"/>
  <c r="H53" i="73"/>
  <c r="F53" i="73"/>
  <c r="E53" i="73"/>
  <c r="M53" i="72"/>
  <c r="L53" i="72"/>
  <c r="K53" i="72"/>
  <c r="I53" i="72"/>
  <c r="H53" i="72"/>
  <c r="F53" i="72"/>
  <c r="E53" i="72"/>
  <c r="M53" i="71"/>
  <c r="L53" i="71"/>
  <c r="K53" i="71"/>
  <c r="I53" i="71"/>
  <c r="H53" i="71"/>
  <c r="F53" i="71"/>
  <c r="E53" i="71"/>
  <c r="M53" i="70"/>
  <c r="L53" i="70"/>
  <c r="K53" i="70"/>
  <c r="I53" i="70"/>
  <c r="H53" i="70"/>
  <c r="F53" i="70"/>
  <c r="E53" i="70"/>
  <c r="M53" i="69"/>
  <c r="L53" i="69"/>
  <c r="K53" i="69"/>
  <c r="I53" i="69"/>
  <c r="H53" i="69"/>
  <c r="F53" i="69"/>
  <c r="E53" i="69"/>
  <c r="M53" i="68"/>
  <c r="L53" i="68"/>
  <c r="K53" i="68"/>
  <c r="I53" i="68"/>
  <c r="H53" i="68"/>
  <c r="F53" i="68"/>
  <c r="E53" i="68"/>
  <c r="M53" i="67"/>
  <c r="L53" i="67"/>
  <c r="K53" i="67"/>
  <c r="I53" i="67"/>
  <c r="H53" i="67"/>
  <c r="F53" i="67"/>
  <c r="E53" i="67"/>
  <c r="M53" i="42"/>
  <c r="L53" i="42"/>
  <c r="K53" i="42"/>
  <c r="I53" i="42"/>
  <c r="H53" i="42"/>
  <c r="F53" i="42"/>
  <c r="E53" i="42"/>
  <c r="M53" i="96"/>
  <c r="L53" i="96"/>
  <c r="K53" i="96"/>
  <c r="I53" i="96"/>
  <c r="H53" i="96"/>
  <c r="F53" i="96"/>
  <c r="E53" i="96"/>
  <c r="M53" i="95"/>
  <c r="L53" i="95"/>
  <c r="K53" i="95"/>
  <c r="I53" i="95"/>
  <c r="H53" i="95"/>
  <c r="F53" i="95"/>
  <c r="E53" i="95"/>
  <c r="M53" i="94"/>
  <c r="L53" i="94"/>
  <c r="K53" i="94"/>
  <c r="I53" i="94"/>
  <c r="H53" i="94"/>
  <c r="F53" i="94"/>
  <c r="E53" i="94"/>
  <c r="M53" i="93"/>
  <c r="L53" i="93"/>
  <c r="K53" i="93"/>
  <c r="I53" i="93"/>
  <c r="H53" i="93"/>
  <c r="F53" i="93"/>
  <c r="E53" i="93"/>
  <c r="M53" i="92"/>
  <c r="L53" i="92"/>
  <c r="K53" i="92"/>
  <c r="I53" i="92"/>
  <c r="H53" i="92"/>
  <c r="F53" i="92"/>
  <c r="E53" i="92"/>
  <c r="M53" i="91"/>
  <c r="L53" i="91"/>
  <c r="K53" i="91"/>
  <c r="I53" i="91"/>
  <c r="H53" i="91"/>
  <c r="F53" i="91"/>
  <c r="E53" i="91"/>
  <c r="M53" i="90"/>
  <c r="L53" i="90"/>
  <c r="K53" i="90"/>
  <c r="I53" i="90"/>
  <c r="H53" i="90"/>
  <c r="F53" i="90"/>
  <c r="E53" i="90"/>
  <c r="M53" i="89"/>
  <c r="L53" i="89"/>
  <c r="K53" i="89"/>
  <c r="I53" i="89"/>
  <c r="H53" i="89"/>
  <c r="F53" i="89"/>
  <c r="E53" i="89"/>
  <c r="M53" i="88"/>
  <c r="L53" i="88"/>
  <c r="K53" i="88"/>
  <c r="I53" i="88"/>
  <c r="H53" i="88"/>
  <c r="F53" i="88"/>
  <c r="E53" i="88"/>
  <c r="M53" i="87"/>
  <c r="L53" i="87"/>
  <c r="K53" i="87"/>
  <c r="I53" i="87"/>
  <c r="H53" i="87"/>
  <c r="F53" i="87"/>
  <c r="E53" i="87"/>
  <c r="M53" i="86"/>
  <c r="L53" i="86"/>
  <c r="K53" i="86"/>
  <c r="I53" i="86"/>
  <c r="H53" i="86"/>
  <c r="F53" i="86"/>
  <c r="E53" i="86"/>
  <c r="M53" i="82"/>
  <c r="L53" i="82"/>
  <c r="K53" i="82"/>
  <c r="I53" i="82"/>
  <c r="H53" i="82"/>
  <c r="E53" i="82"/>
  <c r="M53" i="83"/>
  <c r="L53" i="83"/>
  <c r="K53" i="83"/>
  <c r="I53" i="83"/>
  <c r="H53" i="83"/>
  <c r="E53" i="83"/>
  <c r="M53" i="84"/>
  <c r="L53" i="84"/>
  <c r="K53" i="84"/>
  <c r="I53" i="84"/>
  <c r="H53" i="84"/>
  <c r="E53" i="84"/>
  <c r="M53" i="85"/>
  <c r="L53" i="85"/>
  <c r="K53" i="85"/>
  <c r="I53" i="85"/>
  <c r="H53" i="85"/>
  <c r="F53" i="85"/>
  <c r="E53" i="85"/>
  <c r="M53" i="81"/>
  <c r="L53" i="81"/>
  <c r="K53" i="81"/>
  <c r="I53" i="81"/>
  <c r="H53" i="81"/>
  <c r="E53" i="81"/>
  <c r="J32" i="77"/>
  <c r="F32" i="77"/>
  <c r="J32" i="76"/>
  <c r="F32" i="76"/>
  <c r="J32" i="75"/>
  <c r="F32" i="75"/>
  <c r="J32" i="74"/>
  <c r="F32" i="74"/>
  <c r="J32" i="73"/>
  <c r="F32" i="73"/>
  <c r="J32" i="72"/>
  <c r="F32" i="72"/>
  <c r="J32" i="71"/>
  <c r="F32" i="71"/>
  <c r="J32" i="70"/>
  <c r="F32" i="70"/>
  <c r="J32" i="69"/>
  <c r="F32" i="69"/>
  <c r="J32" i="68"/>
  <c r="F32" i="68"/>
  <c r="J32" i="67"/>
  <c r="F32" i="67"/>
  <c r="J32" i="42"/>
  <c r="F32" i="42"/>
  <c r="J32" i="96"/>
  <c r="F32" i="96"/>
  <c r="J32" i="95"/>
  <c r="F32" i="95"/>
  <c r="J32" i="94"/>
  <c r="F32" i="94"/>
  <c r="J32" i="93"/>
  <c r="F32" i="93"/>
  <c r="J32" i="92"/>
  <c r="F32" i="92"/>
  <c r="J32" i="91"/>
  <c r="F32" i="91"/>
  <c r="J32" i="90"/>
  <c r="F32" i="90"/>
  <c r="J32" i="89"/>
  <c r="F32" i="89"/>
  <c r="J32" i="88"/>
  <c r="F32" i="88"/>
  <c r="J32" i="87"/>
  <c r="F32" i="87"/>
  <c r="J32" i="86"/>
  <c r="F32" i="86"/>
  <c r="J32" i="85"/>
  <c r="F32" i="85"/>
  <c r="J32" i="84"/>
  <c r="F32" i="84"/>
  <c r="J32" i="83"/>
  <c r="F32" i="83"/>
  <c r="J32" i="82"/>
  <c r="F32" i="82"/>
  <c r="J32" i="81"/>
  <c r="F32" i="81"/>
  <c r="F50" i="71" l="1"/>
  <c r="Q32" i="92"/>
  <c r="Q32" i="90"/>
  <c r="Q32" i="77"/>
  <c r="Q32" i="76"/>
  <c r="Q32" i="88"/>
  <c r="Q32" i="71"/>
  <c r="Q32" i="70"/>
  <c r="Q32" i="69"/>
  <c r="Q32" i="68"/>
  <c r="Q32" i="67"/>
  <c r="Q32" i="42"/>
  <c r="Q32" i="94"/>
  <c r="Q32" i="91"/>
  <c r="Q32" i="89"/>
  <c r="Q32" i="87"/>
  <c r="Q32" i="73"/>
  <c r="Q32" i="83"/>
  <c r="Q32" i="84"/>
  <c r="Q32" i="75"/>
  <c r="Q32" i="74"/>
  <c r="Q32" i="72"/>
  <c r="Q32" i="96"/>
  <c r="Q32" i="95"/>
  <c r="Q32" i="93"/>
  <c r="Q32" i="86"/>
  <c r="Q32" i="85"/>
  <c r="Q32" i="82"/>
  <c r="Q32" i="81"/>
  <c r="Q34" i="6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" i="55"/>
  <c r="S4" i="2" l="1"/>
  <c r="S5" i="2"/>
  <c r="S6" i="2"/>
  <c r="S7" i="2"/>
  <c r="S8" i="2"/>
  <c r="S9" i="2"/>
  <c r="S10" i="2"/>
  <c r="S11" i="2"/>
  <c r="S12" i="2"/>
  <c r="S13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" i="2"/>
  <c r="U3" i="2" s="1"/>
  <c r="T35" i="2"/>
  <c r="T34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P3" i="2" s="1"/>
  <c r="O35" i="2"/>
  <c r="O34" i="2"/>
  <c r="E4" i="2"/>
  <c r="E4" i="6" s="1"/>
  <c r="E5" i="2"/>
  <c r="E5" i="6" s="1"/>
  <c r="E6" i="2"/>
  <c r="E6" i="6" s="1"/>
  <c r="E7" i="2"/>
  <c r="E7" i="6" s="1"/>
  <c r="E8" i="2"/>
  <c r="E8" i="6" s="1"/>
  <c r="E10" i="2"/>
  <c r="E10" i="6" s="1"/>
  <c r="E11" i="2"/>
  <c r="E11" i="6" s="1"/>
  <c r="E12" i="2"/>
  <c r="E12" i="6" s="1"/>
  <c r="E13" i="2"/>
  <c r="E13" i="6" s="1"/>
  <c r="E14" i="2"/>
  <c r="E14" i="6" s="1"/>
  <c r="E15" i="2"/>
  <c r="E15" i="6" s="1"/>
  <c r="E16" i="2"/>
  <c r="E16" i="6" s="1"/>
  <c r="E17" i="2"/>
  <c r="E17" i="6" s="1"/>
  <c r="E18" i="2"/>
  <c r="E18" i="6" s="1"/>
  <c r="E19" i="2"/>
  <c r="E19" i="6" s="1"/>
  <c r="E20" i="2"/>
  <c r="E20" i="6" s="1"/>
  <c r="E21" i="2"/>
  <c r="E22" i="2"/>
  <c r="E22" i="6" s="1"/>
  <c r="E23" i="2"/>
  <c r="E23" i="6" s="1"/>
  <c r="E24" i="2"/>
  <c r="E24" i="6" s="1"/>
  <c r="E25" i="2"/>
  <c r="E25" i="6" s="1"/>
  <c r="E26" i="2"/>
  <c r="E26" i="6" s="1"/>
  <c r="E27" i="2"/>
  <c r="E27" i="6" s="1"/>
  <c r="E28" i="2"/>
  <c r="E28" i="6" s="1"/>
  <c r="E29" i="2"/>
  <c r="E29" i="6" s="1"/>
  <c r="E30" i="2"/>
  <c r="E30" i="6" s="1"/>
  <c r="E31" i="2"/>
  <c r="E31" i="6" s="1"/>
  <c r="E32" i="2"/>
  <c r="E32" i="6" s="1"/>
  <c r="E33" i="2"/>
  <c r="E33" i="6" s="1"/>
  <c r="E3" i="2"/>
  <c r="G3" i="2" s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8" i="1"/>
  <c r="E29" i="1"/>
  <c r="E30" i="1"/>
  <c r="E31" i="1"/>
  <c r="E32" i="1"/>
  <c r="E33" i="1"/>
  <c r="E3" i="1"/>
  <c r="G3" i="1" s="1"/>
  <c r="E21" i="6" l="1"/>
  <c r="BB21" i="2"/>
  <c r="E9" i="6"/>
  <c r="E3" i="6"/>
  <c r="M53" i="80"/>
  <c r="L53" i="80"/>
  <c r="K53" i="80"/>
  <c r="I53" i="80"/>
  <c r="H53" i="80"/>
  <c r="G53" i="80"/>
  <c r="G53" i="81"/>
  <c r="G50" i="81" s="1"/>
  <c r="G51" i="81" s="1"/>
  <c r="G51" i="82"/>
  <c r="G53" i="85"/>
  <c r="G53" i="87"/>
  <c r="G53" i="88"/>
  <c r="G53" i="89"/>
  <c r="G53" i="90"/>
  <c r="G53" i="91"/>
  <c r="G53" i="92"/>
  <c r="G53" i="93"/>
  <c r="G53" i="94"/>
  <c r="G53" i="95"/>
  <c r="G53" i="96"/>
  <c r="G53" i="42"/>
  <c r="G50" i="42" s="1"/>
  <c r="G51" i="42" s="1"/>
  <c r="G53" i="67"/>
  <c r="G53" i="68"/>
  <c r="G50" i="68" s="1"/>
  <c r="G51" i="68" s="1"/>
  <c r="G53" i="69"/>
  <c r="G53" i="71"/>
  <c r="G53" i="72"/>
  <c r="G53" i="75"/>
  <c r="G53" i="76"/>
  <c r="G53" i="70" l="1"/>
  <c r="G50" i="70" s="1"/>
  <c r="G51" i="70" s="1"/>
  <c r="G53" i="74"/>
  <c r="K30" i="55"/>
  <c r="G53" i="73"/>
  <c r="G51" i="73" s="1"/>
  <c r="G51" i="71"/>
  <c r="G50" i="96"/>
  <c r="G51" i="96" s="1"/>
  <c r="G50" i="76"/>
  <c r="G51" i="76" s="1"/>
  <c r="G50" i="95"/>
  <c r="G51" i="95" s="1"/>
  <c r="G50" i="89"/>
  <c r="G51" i="89" s="1"/>
  <c r="G50" i="69"/>
  <c r="G51" i="69" s="1"/>
  <c r="G50" i="94"/>
  <c r="G51" i="94" s="1"/>
  <c r="G51" i="88"/>
  <c r="G50" i="75"/>
  <c r="G51" i="75" s="1"/>
  <c r="G51" i="74"/>
  <c r="G50" i="93"/>
  <c r="G51" i="93" s="1"/>
  <c r="G51" i="87"/>
  <c r="G50" i="67"/>
  <c r="G51" i="67" s="1"/>
  <c r="G51" i="92"/>
  <c r="G51" i="72"/>
  <c r="G51" i="91"/>
  <c r="G53" i="86"/>
  <c r="G51" i="86" s="1"/>
  <c r="G50" i="85"/>
  <c r="G51" i="85" s="1"/>
  <c r="G51" i="84"/>
  <c r="G50" i="83"/>
  <c r="G51" i="83" s="1"/>
  <c r="J32" i="80"/>
  <c r="F32" i="80"/>
  <c r="J32" i="79"/>
  <c r="F32" i="79"/>
  <c r="J32" i="78"/>
  <c r="F32" i="78"/>
  <c r="G32" i="78" s="1"/>
  <c r="AB6" i="12"/>
  <c r="Q32" i="79" l="1"/>
  <c r="L32" i="78"/>
  <c r="L32" i="79" s="1"/>
  <c r="L32" i="80" s="1"/>
  <c r="L32" i="81" s="1"/>
  <c r="L32" i="82" s="1"/>
  <c r="L32" i="83" s="1"/>
  <c r="L32" i="84" s="1"/>
  <c r="L32" i="85" s="1"/>
  <c r="L32" i="86" s="1"/>
  <c r="L32" i="87" s="1"/>
  <c r="L32" i="88" s="1"/>
  <c r="L32" i="89" s="1"/>
  <c r="L32" i="90" s="1"/>
  <c r="L32" i="91" s="1"/>
  <c r="L32" i="92" s="1"/>
  <c r="L32" i="93" s="1"/>
  <c r="L32" i="94" s="1"/>
  <c r="L32" i="95" s="1"/>
  <c r="L32" i="96" s="1"/>
  <c r="L32" i="42" s="1"/>
  <c r="L32" i="67" s="1"/>
  <c r="L32" i="68" s="1"/>
  <c r="L32" i="69" s="1"/>
  <c r="L32" i="70" s="1"/>
  <c r="L32" i="71" s="1"/>
  <c r="L32" i="72" s="1"/>
  <c r="L32" i="73" s="1"/>
  <c r="L32" i="74" s="1"/>
  <c r="L32" i="75" s="1"/>
  <c r="L32" i="76" s="1"/>
  <c r="L32" i="77" s="1"/>
  <c r="Q32" i="78"/>
  <c r="H32" i="78"/>
  <c r="H32" i="79" s="1"/>
  <c r="H32" i="80" s="1"/>
  <c r="H32" i="81" s="1"/>
  <c r="H32" i="82" s="1"/>
  <c r="H32" i="83" s="1"/>
  <c r="H32" i="84" s="1"/>
  <c r="H32" i="85" s="1"/>
  <c r="H32" i="86" s="1"/>
  <c r="H32" i="87" s="1"/>
  <c r="H32" i="88" s="1"/>
  <c r="H32" i="89" s="1"/>
  <c r="H32" i="90" s="1"/>
  <c r="H32" i="91" s="1"/>
  <c r="H32" i="92" s="1"/>
  <c r="H32" i="93" s="1"/>
  <c r="H32" i="94" s="1"/>
  <c r="H32" i="95" s="1"/>
  <c r="H32" i="96" s="1"/>
  <c r="H32" i="42" s="1"/>
  <c r="H32" i="67" s="1"/>
  <c r="H32" i="68" s="1"/>
  <c r="H32" i="69" s="1"/>
  <c r="H32" i="70" s="1"/>
  <c r="H32" i="71" s="1"/>
  <c r="H32" i="72" s="1"/>
  <c r="H32" i="73" s="1"/>
  <c r="H32" i="74" s="1"/>
  <c r="H32" i="75" s="1"/>
  <c r="H32" i="76" s="1"/>
  <c r="H32" i="77" s="1"/>
  <c r="G50" i="80"/>
  <c r="G51" i="80" s="1"/>
  <c r="Q32" i="80"/>
  <c r="G32" i="79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42" s="1"/>
  <c r="G32" i="67" s="1"/>
  <c r="G32" i="68" s="1"/>
  <c r="G32" i="69" s="1"/>
  <c r="G32" i="70" s="1"/>
  <c r="G32" i="71" s="1"/>
  <c r="G32" i="72" s="1"/>
  <c r="G32" i="73" s="1"/>
  <c r="G32" i="74" s="1"/>
  <c r="G32" i="75" s="1"/>
  <c r="G32" i="76" s="1"/>
  <c r="G32" i="77" s="1"/>
  <c r="K32" i="78"/>
  <c r="K32" i="79" s="1"/>
  <c r="K32" i="80" s="1"/>
  <c r="K32" i="81" s="1"/>
  <c r="K32" i="82" s="1"/>
  <c r="K32" i="83" s="1"/>
  <c r="K32" i="84" s="1"/>
  <c r="K32" i="85" s="1"/>
  <c r="K32" i="86" s="1"/>
  <c r="K32" i="87" s="1"/>
  <c r="K32" i="88" s="1"/>
  <c r="K32" i="89" s="1"/>
  <c r="K32" i="90" s="1"/>
  <c r="K32" i="91" s="1"/>
  <c r="K32" i="92" s="1"/>
  <c r="K32" i="93" s="1"/>
  <c r="K32" i="94" s="1"/>
  <c r="K32" i="95" s="1"/>
  <c r="K32" i="96" s="1"/>
  <c r="K32" i="42" s="1"/>
  <c r="K32" i="67" s="1"/>
  <c r="K32" i="68" s="1"/>
  <c r="K32" i="69" s="1"/>
  <c r="K32" i="70" s="1"/>
  <c r="K32" i="71" s="1"/>
  <c r="K32" i="72" s="1"/>
  <c r="K32" i="73" s="1"/>
  <c r="K32" i="74" s="1"/>
  <c r="K32" i="75" s="1"/>
  <c r="K32" i="76" s="1"/>
  <c r="K32" i="77" s="1"/>
  <c r="R4" i="6" l="1"/>
  <c r="R5" i="6"/>
  <c r="R6" i="6"/>
  <c r="R7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" i="6"/>
  <c r="E39" i="99"/>
  <c r="D39" i="99"/>
  <c r="E35" i="99"/>
  <c r="D35" i="99"/>
  <c r="C35" i="99"/>
  <c r="E34" i="99"/>
  <c r="D34" i="99"/>
  <c r="C34" i="99"/>
  <c r="G34" i="99" l="1"/>
  <c r="G35" i="99"/>
  <c r="P3" i="55" l="1"/>
  <c r="V4" i="12" l="1"/>
  <c r="W4" i="12"/>
  <c r="T4" i="12"/>
  <c r="U4" i="12"/>
  <c r="AI4" i="12" s="1"/>
  <c r="E3" i="3" s="1"/>
  <c r="F3" i="3" s="1"/>
  <c r="G3" i="3" s="1"/>
  <c r="AD4" i="12" l="1"/>
  <c r="AH4" i="12"/>
  <c r="AC4" i="12"/>
  <c r="AO4" i="12"/>
  <c r="W4" i="97"/>
  <c r="AD4" i="97" s="1"/>
  <c r="AR4" i="97"/>
  <c r="P4" i="97"/>
  <c r="P41" i="97" s="1"/>
  <c r="N4" i="97"/>
  <c r="M4" i="97"/>
  <c r="AT4" i="97" l="1"/>
  <c r="AS4" i="97"/>
  <c r="AQ4" i="97" l="1"/>
  <c r="AF4" i="97"/>
  <c r="AL4" i="97" s="1"/>
  <c r="AK4" i="97" l="1"/>
  <c r="S11" i="97"/>
  <c r="T11" i="97"/>
  <c r="AH11" i="97" s="1"/>
  <c r="AG11" i="97" l="1"/>
  <c r="AB11" i="97"/>
  <c r="AN11" i="97"/>
  <c r="S33" i="97"/>
  <c r="AN33" i="97" l="1"/>
  <c r="T32" i="55"/>
  <c r="T33" i="55"/>
  <c r="V32" i="55" l="1"/>
  <c r="R4" i="98" l="1"/>
  <c r="R5" i="98"/>
  <c r="R6" i="98"/>
  <c r="R7" i="98"/>
  <c r="R8" i="98"/>
  <c r="R9" i="98"/>
  <c r="R10" i="98"/>
  <c r="R11" i="98"/>
  <c r="R12" i="98"/>
  <c r="R13" i="98"/>
  <c r="R14" i="98"/>
  <c r="R15" i="98"/>
  <c r="R16" i="98"/>
  <c r="R17" i="98"/>
  <c r="R18" i="98"/>
  <c r="R19" i="98"/>
  <c r="R20" i="98"/>
  <c r="R21" i="98"/>
  <c r="R22" i="98"/>
  <c r="R23" i="98"/>
  <c r="R24" i="98"/>
  <c r="R25" i="98"/>
  <c r="R26" i="98"/>
  <c r="R27" i="98"/>
  <c r="R28" i="98"/>
  <c r="R29" i="98"/>
  <c r="R30" i="98"/>
  <c r="R31" i="98"/>
  <c r="R32" i="98"/>
  <c r="R33" i="98"/>
  <c r="D4" i="98"/>
  <c r="L4" i="98" s="1"/>
  <c r="D5" i="98"/>
  <c r="L5" i="98" s="1"/>
  <c r="D6" i="98"/>
  <c r="L6" i="98" s="1"/>
  <c r="D7" i="98"/>
  <c r="L7" i="98" s="1"/>
  <c r="D8" i="98"/>
  <c r="L8" i="98" s="1"/>
  <c r="D9" i="98"/>
  <c r="L9" i="98" s="1"/>
  <c r="D10" i="98"/>
  <c r="L10" i="98" s="1"/>
  <c r="D11" i="98"/>
  <c r="L11" i="98" s="1"/>
  <c r="D12" i="98"/>
  <c r="L12" i="98" s="1"/>
  <c r="D13" i="98"/>
  <c r="L13" i="98" s="1"/>
  <c r="D14" i="98"/>
  <c r="L14" i="98" s="1"/>
  <c r="D15" i="98"/>
  <c r="L15" i="98" s="1"/>
  <c r="D16" i="98"/>
  <c r="L16" i="98" s="1"/>
  <c r="D17" i="98"/>
  <c r="L17" i="98" s="1"/>
  <c r="D18" i="98"/>
  <c r="L18" i="98" s="1"/>
  <c r="D19" i="98"/>
  <c r="L19" i="98" s="1"/>
  <c r="D20" i="98"/>
  <c r="L20" i="98" s="1"/>
  <c r="D21" i="98"/>
  <c r="L21" i="98" s="1"/>
  <c r="D22" i="98"/>
  <c r="L22" i="98" s="1"/>
  <c r="D23" i="98"/>
  <c r="L23" i="98" s="1"/>
  <c r="D24" i="98"/>
  <c r="L24" i="98" s="1"/>
  <c r="D25" i="98"/>
  <c r="L25" i="98" s="1"/>
  <c r="D26" i="98"/>
  <c r="L26" i="98" s="1"/>
  <c r="D27" i="98"/>
  <c r="L27" i="98" s="1"/>
  <c r="D28" i="98"/>
  <c r="D29" i="98"/>
  <c r="L29" i="98" s="1"/>
  <c r="D30" i="98"/>
  <c r="L30" i="98" s="1"/>
  <c r="D31" i="98"/>
  <c r="L31" i="98" s="1"/>
  <c r="D32" i="98"/>
  <c r="L32" i="98" s="1"/>
  <c r="D33" i="98"/>
  <c r="L33" i="98" s="1"/>
  <c r="D3" i="98"/>
  <c r="E4" i="98"/>
  <c r="M4" i="98" s="1"/>
  <c r="E5" i="98"/>
  <c r="M5" i="98" s="1"/>
  <c r="E6" i="98"/>
  <c r="M6" i="98" s="1"/>
  <c r="E7" i="98"/>
  <c r="M7" i="98" s="1"/>
  <c r="E8" i="98"/>
  <c r="M8" i="98" s="1"/>
  <c r="E9" i="98"/>
  <c r="E10" i="98"/>
  <c r="M10" i="98" s="1"/>
  <c r="E11" i="98"/>
  <c r="M11" i="98" s="1"/>
  <c r="E12" i="98"/>
  <c r="M12" i="98" s="1"/>
  <c r="E13" i="98"/>
  <c r="M13" i="98" s="1"/>
  <c r="E14" i="98"/>
  <c r="M14" i="98" s="1"/>
  <c r="E15" i="98"/>
  <c r="M15" i="98" s="1"/>
  <c r="E16" i="98"/>
  <c r="M16" i="98" s="1"/>
  <c r="E17" i="98"/>
  <c r="M17" i="98" s="1"/>
  <c r="E18" i="98"/>
  <c r="M18" i="98" s="1"/>
  <c r="E19" i="98"/>
  <c r="M19" i="98" s="1"/>
  <c r="E20" i="98"/>
  <c r="M20" i="98" s="1"/>
  <c r="E21" i="98"/>
  <c r="E22" i="98"/>
  <c r="M22" i="98" s="1"/>
  <c r="E23" i="98"/>
  <c r="M23" i="98" s="1"/>
  <c r="E24" i="98"/>
  <c r="M24" i="98" s="1"/>
  <c r="E25" i="98"/>
  <c r="M25" i="98" s="1"/>
  <c r="E26" i="98"/>
  <c r="M26" i="98" s="1"/>
  <c r="E27" i="98"/>
  <c r="E28" i="98"/>
  <c r="M28" i="98" s="1"/>
  <c r="E29" i="98"/>
  <c r="M29" i="98" s="1"/>
  <c r="E30" i="98"/>
  <c r="M30" i="98" s="1"/>
  <c r="E31" i="98"/>
  <c r="M31" i="98" s="1"/>
  <c r="E32" i="98"/>
  <c r="M32" i="98" s="1"/>
  <c r="E33" i="98"/>
  <c r="M33" i="98" s="1"/>
  <c r="M9" i="98"/>
  <c r="M21" i="98"/>
  <c r="M27" i="98"/>
  <c r="L28" i="98"/>
  <c r="R33" i="97" l="1"/>
  <c r="S33" i="12"/>
  <c r="AB33" i="12" s="1"/>
  <c r="AA33" i="97" l="1"/>
  <c r="V32" i="97"/>
  <c r="AC32" i="97" s="1"/>
  <c r="D40" i="12" l="1"/>
  <c r="E40" i="12"/>
  <c r="F40" i="12"/>
  <c r="H40" i="12"/>
  <c r="I40" i="12"/>
  <c r="J40" i="12"/>
  <c r="K40" i="12"/>
  <c r="AJ40" i="12"/>
  <c r="AK40" i="12"/>
  <c r="C40" i="12"/>
  <c r="D41" i="97"/>
  <c r="E41" i="97"/>
  <c r="F41" i="97"/>
  <c r="H41" i="97"/>
  <c r="I41" i="97"/>
  <c r="J41" i="97"/>
  <c r="AI41" i="97"/>
  <c r="AJ41" i="97"/>
  <c r="C41" i="97"/>
  <c r="AI42" i="97" l="1"/>
  <c r="AJ42" i="97"/>
  <c r="J42" i="97"/>
  <c r="K42" i="97"/>
  <c r="I42" i="97"/>
  <c r="D42" i="97"/>
  <c r="F42" i="97"/>
  <c r="H42" i="97"/>
  <c r="E42" i="97"/>
  <c r="T29" i="97"/>
  <c r="AH29" i="97" s="1"/>
  <c r="AN29" i="97" l="1"/>
  <c r="AB29" i="97"/>
  <c r="P4" i="55"/>
  <c r="P5" i="55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V26" i="97" l="1"/>
  <c r="AC26" i="97" s="1"/>
  <c r="T26" i="97" l="1"/>
  <c r="AH26" i="97" s="1"/>
  <c r="AB26" i="97" l="1"/>
  <c r="T24" i="12"/>
  <c r="AH24" i="12" l="1"/>
  <c r="AO24" i="12"/>
  <c r="W22" i="12"/>
  <c r="AD22" i="12" s="1"/>
  <c r="S21" i="97" l="1"/>
  <c r="AG21" i="97" l="1"/>
  <c r="AN21" i="97"/>
  <c r="T20" i="97"/>
  <c r="AH20" i="97" s="1"/>
  <c r="AE9" i="12" l="1"/>
  <c r="AE16" i="12"/>
  <c r="AE17" i="12"/>
  <c r="AE34" i="12"/>
  <c r="S20" i="97"/>
  <c r="Y20" i="12"/>
  <c r="AE20" i="12" s="1"/>
  <c r="W20" i="12"/>
  <c r="AD20" i="12" s="1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4" i="12"/>
  <c r="P40" i="12" s="1"/>
  <c r="AG20" i="97" l="1"/>
  <c r="AB20" i="97"/>
  <c r="AN20" i="97"/>
  <c r="T19" i="12"/>
  <c r="U19" i="12"/>
  <c r="V18" i="97"/>
  <c r="U18" i="97"/>
  <c r="AO19" i="12" l="1"/>
  <c r="AC19" i="12"/>
  <c r="AC18" i="97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D34" i="8" l="1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C34" i="8"/>
  <c r="G12" i="55" l="1"/>
  <c r="J53" i="87" s="1"/>
  <c r="G13" i="55"/>
  <c r="J53" i="88" s="1"/>
  <c r="G14" i="55"/>
  <c r="J53" i="89" s="1"/>
  <c r="G15" i="55"/>
  <c r="J53" i="90" s="1"/>
  <c r="G11" i="55"/>
  <c r="G10" i="55"/>
  <c r="J53" i="85" s="1"/>
  <c r="N53" i="85" s="1"/>
  <c r="J53" i="86" l="1"/>
  <c r="N53" i="86" s="1"/>
  <c r="K11" i="55"/>
  <c r="N53" i="88"/>
  <c r="N53" i="90"/>
  <c r="N53" i="89"/>
  <c r="N53" i="87"/>
  <c r="Y11" i="12"/>
  <c r="AE11" i="12" s="1"/>
  <c r="Y13" i="12"/>
  <c r="Y14" i="12"/>
  <c r="AE14" i="12" s="1"/>
  <c r="Y15" i="12"/>
  <c r="AE15" i="12" s="1"/>
  <c r="AE13" i="12" l="1"/>
  <c r="AI13" i="12"/>
  <c r="AE12" i="12"/>
  <c r="AI12" i="12"/>
  <c r="R13" i="97"/>
  <c r="AA13" i="97" l="1"/>
  <c r="EY4" i="1"/>
  <c r="EY5" i="1"/>
  <c r="EY6" i="1"/>
  <c r="EY7" i="1"/>
  <c r="EY8" i="1"/>
  <c r="EY9" i="1"/>
  <c r="EY10" i="1"/>
  <c r="EY11" i="1"/>
  <c r="EY12" i="1"/>
  <c r="EY13" i="1"/>
  <c r="EY3" i="1"/>
  <c r="Y10" i="12"/>
  <c r="AE10" i="12" l="1"/>
  <c r="CC9" i="6" l="1"/>
  <c r="V33" i="12" l="1"/>
  <c r="T33" i="97"/>
  <c r="AB33" i="97" l="1"/>
  <c r="AH33" i="97"/>
  <c r="M33" i="74"/>
  <c r="D29" i="6" l="1"/>
  <c r="S34" i="55" l="1"/>
  <c r="V29" i="12" l="1"/>
  <c r="W29" i="12"/>
  <c r="AD29" i="12" l="1"/>
  <c r="W23" i="12"/>
  <c r="AD23" i="12" s="1"/>
  <c r="W16" i="12" l="1"/>
  <c r="AI16" i="12" s="1"/>
  <c r="V16" i="12"/>
  <c r="AH16" i="12" l="1"/>
  <c r="AD16" i="12"/>
  <c r="AH13" i="97"/>
  <c r="E12" i="3" l="1"/>
  <c r="F12" i="3" s="1"/>
  <c r="I22" i="87" s="1"/>
  <c r="AB13" i="97"/>
  <c r="Z12" i="6"/>
  <c r="U10" i="12" l="1"/>
  <c r="AC10" i="12" s="1"/>
  <c r="V5" i="55" l="1"/>
  <c r="G4" i="55" l="1"/>
  <c r="K4" i="55" s="1"/>
  <c r="G5" i="55"/>
  <c r="J53" i="80" s="1"/>
  <c r="G6" i="55"/>
  <c r="J53" i="82"/>
  <c r="G8" i="55"/>
  <c r="J53" i="83" s="1"/>
  <c r="N53" i="83" s="1"/>
  <c r="G9" i="55"/>
  <c r="J53" i="84" s="1"/>
  <c r="N53" i="84" s="1"/>
  <c r="G16" i="55"/>
  <c r="J53" i="91" s="1"/>
  <c r="G17" i="55"/>
  <c r="J53" i="92" s="1"/>
  <c r="G18" i="55"/>
  <c r="J53" i="93" s="1"/>
  <c r="G19" i="55"/>
  <c r="J53" i="94" s="1"/>
  <c r="G20" i="55"/>
  <c r="J53" i="95" s="1"/>
  <c r="G21" i="55"/>
  <c r="J53" i="96" s="1"/>
  <c r="G22" i="55"/>
  <c r="J53" i="42" s="1"/>
  <c r="G23" i="55"/>
  <c r="J53" i="67" s="1"/>
  <c r="J53" i="68"/>
  <c r="J53" i="69"/>
  <c r="G26" i="55"/>
  <c r="G27" i="55"/>
  <c r="J53" i="71" s="1"/>
  <c r="G28" i="55"/>
  <c r="J53" i="72" s="1"/>
  <c r="G29" i="55"/>
  <c r="J53" i="74"/>
  <c r="G31" i="55"/>
  <c r="J53" i="75" s="1"/>
  <c r="G32" i="55"/>
  <c r="J53" i="76" s="1"/>
  <c r="G33" i="55"/>
  <c r="I53" i="77" s="1"/>
  <c r="G3" i="55"/>
  <c r="F53" i="81"/>
  <c r="C3" i="55"/>
  <c r="V6" i="55"/>
  <c r="V7" i="55"/>
  <c r="V8" i="55"/>
  <c r="V9" i="55"/>
  <c r="V10" i="55"/>
  <c r="V11" i="55"/>
  <c r="V12" i="55"/>
  <c r="V13" i="55"/>
  <c r="V14" i="55"/>
  <c r="V15" i="55"/>
  <c r="V16" i="55"/>
  <c r="V17" i="55"/>
  <c r="V18" i="55"/>
  <c r="V19" i="55"/>
  <c r="V20" i="55"/>
  <c r="V21" i="55"/>
  <c r="V22" i="55"/>
  <c r="V23" i="55"/>
  <c r="V24" i="55"/>
  <c r="V25" i="55"/>
  <c r="V26" i="55"/>
  <c r="V27" i="55"/>
  <c r="V28" i="55"/>
  <c r="V29" i="55"/>
  <c r="V30" i="55"/>
  <c r="V31" i="55"/>
  <c r="J53" i="73" l="1"/>
  <c r="N53" i="73" s="1"/>
  <c r="K29" i="55"/>
  <c r="J53" i="70"/>
  <c r="N53" i="70" s="1"/>
  <c r="K26" i="55"/>
  <c r="N53" i="69"/>
  <c r="N53" i="94"/>
  <c r="N53" i="96"/>
  <c r="N53" i="68"/>
  <c r="N53" i="93"/>
  <c r="J53" i="81"/>
  <c r="N53" i="81" s="1"/>
  <c r="K6" i="55"/>
  <c r="N53" i="71"/>
  <c r="N53" i="76"/>
  <c r="N53" i="75"/>
  <c r="N53" i="67"/>
  <c r="N53" i="92"/>
  <c r="N53" i="95"/>
  <c r="N53" i="74"/>
  <c r="N53" i="72"/>
  <c r="N53" i="42"/>
  <c r="N53" i="91"/>
  <c r="K9" i="55"/>
  <c r="N53" i="82"/>
  <c r="V4" i="55"/>
  <c r="T5" i="12" l="1"/>
  <c r="U5" i="12"/>
  <c r="AI5" i="12" s="1"/>
  <c r="AH5" i="12" l="1"/>
  <c r="AO5" i="12"/>
  <c r="AC5" i="12"/>
  <c r="R34" i="55"/>
  <c r="O34" i="55"/>
  <c r="Q34" i="55" s="1"/>
  <c r="ES4" i="1" l="1"/>
  <c r="ES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" i="1"/>
  <c r="T32" i="97" l="1"/>
  <c r="AB32" i="97" s="1"/>
  <c r="AH32" i="97"/>
  <c r="AB32" i="12"/>
  <c r="AA32" i="97" l="1"/>
  <c r="R40" i="12"/>
  <c r="S12" i="97" l="1"/>
  <c r="AG12" i="97" l="1"/>
  <c r="AN12" i="97"/>
  <c r="T11" i="12"/>
  <c r="AH11" i="12" l="1"/>
  <c r="AO11" i="12"/>
  <c r="W10" i="12"/>
  <c r="AI10" i="12" l="1"/>
  <c r="E9" i="3" s="1"/>
  <c r="AD10" i="12"/>
  <c r="T9" i="12"/>
  <c r="AH9" i="12" l="1"/>
  <c r="AO9" i="12"/>
  <c r="U6" i="12"/>
  <c r="AI6" i="12" s="1"/>
  <c r="CM4" i="6" l="1"/>
  <c r="CM5" i="6"/>
  <c r="CM6" i="6"/>
  <c r="CM7" i="6"/>
  <c r="CM8" i="6"/>
  <c r="CM9" i="6"/>
  <c r="CM10" i="6"/>
  <c r="CM11" i="6"/>
  <c r="CM12" i="6"/>
  <c r="CM13" i="6"/>
  <c r="CM14" i="6"/>
  <c r="CM15" i="6"/>
  <c r="CM16" i="6"/>
  <c r="CM17" i="6"/>
  <c r="CM18" i="6"/>
  <c r="CM19" i="6"/>
  <c r="CM20" i="6"/>
  <c r="CM21" i="6"/>
  <c r="CM22" i="6"/>
  <c r="CM23" i="6"/>
  <c r="CM24" i="6"/>
  <c r="CM25" i="6"/>
  <c r="CM26" i="6"/>
  <c r="CM27" i="6"/>
  <c r="CM28" i="6"/>
  <c r="CM29" i="6"/>
  <c r="CM30" i="6"/>
  <c r="CM31" i="6"/>
  <c r="CM32" i="6"/>
  <c r="CM33" i="6"/>
  <c r="V34" i="12" l="1"/>
  <c r="S34" i="12"/>
  <c r="AB34" i="12" s="1"/>
  <c r="O34" i="12" l="1"/>
  <c r="O31" i="6" l="1"/>
  <c r="R36" i="97" l="1"/>
  <c r="U31" i="12" l="1"/>
  <c r="AC31" i="12" s="1"/>
  <c r="T25" i="12" l="1"/>
  <c r="U25" i="12"/>
  <c r="AH25" i="12" l="1"/>
  <c r="AO25" i="12"/>
  <c r="AC25" i="12"/>
  <c r="U24" i="12"/>
  <c r="AC24" i="12" s="1"/>
  <c r="U22" i="12" l="1"/>
  <c r="AC22" i="12" s="1"/>
  <c r="U41" i="97" l="1"/>
  <c r="U4" i="55" l="1"/>
  <c r="U5" i="55"/>
  <c r="U6" i="55"/>
  <c r="U7" i="55"/>
  <c r="U8" i="55"/>
  <c r="U9" i="55"/>
  <c r="U10" i="55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30" i="55"/>
  <c r="U31" i="55"/>
  <c r="U32" i="55"/>
  <c r="U33" i="55"/>
  <c r="U3" i="55"/>
  <c r="T6" i="55"/>
  <c r="T7" i="55"/>
  <c r="T8" i="55"/>
  <c r="T9" i="55"/>
  <c r="T10" i="55"/>
  <c r="T11" i="55"/>
  <c r="T12" i="55"/>
  <c r="T13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7" i="55"/>
  <c r="T28" i="55"/>
  <c r="T30" i="55"/>
  <c r="T31" i="55"/>
  <c r="T3" i="55"/>
  <c r="T4" i="55" l="1"/>
  <c r="AX40" i="12"/>
  <c r="T34" i="55" s="1"/>
  <c r="U29" i="55"/>
  <c r="AU41" i="97"/>
  <c r="U34" i="55" s="1"/>
  <c r="T29" i="55"/>
  <c r="T5" i="55"/>
  <c r="F38" i="77"/>
  <c r="V34" i="97" l="1"/>
  <c r="AC34" i="97" s="1"/>
  <c r="Q41" i="97"/>
  <c r="T33" i="98"/>
  <c r="G33" i="98"/>
  <c r="O33" i="98" s="1"/>
  <c r="F33" i="98"/>
  <c r="N33" i="98" s="1"/>
  <c r="Q42" i="97" l="1"/>
  <c r="W34" i="12"/>
  <c r="AI34" i="12" l="1"/>
  <c r="AD34" i="12"/>
  <c r="AU34" i="12" s="1"/>
  <c r="AI33" i="6"/>
  <c r="AH33" i="6"/>
  <c r="AV34" i="12" l="1"/>
  <c r="AB4" i="55"/>
  <c r="AB5" i="55"/>
  <c r="AB6" i="55"/>
  <c r="AB7" i="55"/>
  <c r="AB8" i="55"/>
  <c r="AB9" i="55"/>
  <c r="AB10" i="55"/>
  <c r="AB11" i="55"/>
  <c r="AB12" i="55"/>
  <c r="AB13" i="55"/>
  <c r="AB14" i="55"/>
  <c r="AB15" i="55"/>
  <c r="AB16" i="55"/>
  <c r="AB17" i="55"/>
  <c r="AB18" i="55"/>
  <c r="AB19" i="55"/>
  <c r="AB20" i="55"/>
  <c r="AB21" i="55"/>
  <c r="AB22" i="55"/>
  <c r="AB23" i="55"/>
  <c r="AB24" i="55"/>
  <c r="AB25" i="55"/>
  <c r="AB26" i="55"/>
  <c r="AB27" i="55"/>
  <c r="AB28" i="55"/>
  <c r="AB29" i="55"/>
  <c r="AB30" i="55"/>
  <c r="AB31" i="55"/>
  <c r="AB32" i="55"/>
  <c r="AB3" i="55"/>
  <c r="AC4" i="55"/>
  <c r="AC5" i="55"/>
  <c r="AC6" i="55"/>
  <c r="AC7" i="55"/>
  <c r="AC8" i="55"/>
  <c r="AC9" i="55"/>
  <c r="AC10" i="55"/>
  <c r="AC11" i="55"/>
  <c r="AC12" i="55"/>
  <c r="AC13" i="55"/>
  <c r="AC14" i="55"/>
  <c r="AC15" i="55"/>
  <c r="AC16" i="55"/>
  <c r="AC17" i="55"/>
  <c r="AC18" i="55"/>
  <c r="AC19" i="55"/>
  <c r="AC20" i="55"/>
  <c r="AC21" i="55"/>
  <c r="AC22" i="55"/>
  <c r="AC23" i="55"/>
  <c r="AC24" i="55"/>
  <c r="AC25" i="55"/>
  <c r="AC26" i="55"/>
  <c r="AC27" i="55"/>
  <c r="AC28" i="55"/>
  <c r="AC29" i="55"/>
  <c r="AC30" i="55"/>
  <c r="AC31" i="55"/>
  <c r="AC32" i="55"/>
  <c r="AC3" i="55"/>
  <c r="W33" i="12" l="1"/>
  <c r="AD33" i="12" s="1"/>
  <c r="AE30" i="6" l="1"/>
  <c r="AE31" i="6"/>
  <c r="AE32" i="6"/>
  <c r="AE33" i="6"/>
  <c r="AF30" i="6"/>
  <c r="AF31" i="6"/>
  <c r="AF32" i="6"/>
  <c r="AF33" i="6"/>
  <c r="S40" i="12" l="1"/>
  <c r="AB40" i="12" s="1"/>
  <c r="U30" i="12" l="1"/>
  <c r="AO30" i="12" l="1"/>
  <c r="AC30" i="12"/>
  <c r="J31" i="69"/>
  <c r="F50" i="69" s="1"/>
  <c r="F51" i="69" s="1"/>
  <c r="W25" i="12" l="1"/>
  <c r="AD25" i="12" s="1"/>
  <c r="Y22" i="12" l="1"/>
  <c r="AI22" i="12" s="1"/>
  <c r="AE22" i="12" l="1"/>
  <c r="W16" i="97" l="1"/>
  <c r="AD16" i="97" s="1"/>
  <c r="U15" i="12"/>
  <c r="AI15" i="12" l="1"/>
  <c r="E14" i="3" s="1"/>
  <c r="F14" i="3" s="1"/>
  <c r="I22" i="89" s="1"/>
  <c r="AC15" i="12"/>
  <c r="EQ34" i="1"/>
  <c r="W11" i="97" l="1"/>
  <c r="AD11" i="97" s="1"/>
  <c r="BL35" i="6" l="1"/>
  <c r="AL20" i="6" l="1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B33" i="6"/>
  <c r="AC33" i="6"/>
  <c r="CP3" i="6" l="1"/>
  <c r="CU33" i="6"/>
  <c r="CN3" i="6" l="1"/>
  <c r="CU3" i="6"/>
  <c r="CN8" i="6"/>
  <c r="CU8" i="6"/>
  <c r="CN14" i="6"/>
  <c r="CU14" i="6"/>
  <c r="CN6" i="6"/>
  <c r="CU6" i="6"/>
  <c r="CN26" i="6"/>
  <c r="CU26" i="6"/>
  <c r="CN25" i="6"/>
  <c r="CU25" i="6"/>
  <c r="CN13" i="6"/>
  <c r="CU13" i="6"/>
  <c r="CN18" i="6"/>
  <c r="CU18" i="6"/>
  <c r="CN11" i="6"/>
  <c r="CU11" i="6"/>
  <c r="CN5" i="6"/>
  <c r="CU5" i="6"/>
  <c r="CN20" i="6"/>
  <c r="CU20" i="6"/>
  <c r="CN19" i="6"/>
  <c r="CU19" i="6"/>
  <c r="CN30" i="6"/>
  <c r="CU30" i="6"/>
  <c r="CN12" i="6"/>
  <c r="CU12" i="6"/>
  <c r="CN23" i="6"/>
  <c r="CU23" i="6"/>
  <c r="CN16" i="6"/>
  <c r="CU16" i="6"/>
  <c r="CN10" i="6"/>
  <c r="CU10" i="6"/>
  <c r="CN4" i="6"/>
  <c r="CU4" i="6"/>
  <c r="CN32" i="6"/>
  <c r="CU32" i="6"/>
  <c r="CN31" i="6"/>
  <c r="CU31" i="6"/>
  <c r="CN7" i="6"/>
  <c r="CU7" i="6"/>
  <c r="CN24" i="6"/>
  <c r="CU24" i="6"/>
  <c r="CN29" i="6"/>
  <c r="CU29" i="6"/>
  <c r="CN17" i="6"/>
  <c r="CU17" i="6"/>
  <c r="CN28" i="6"/>
  <c r="CU28" i="6"/>
  <c r="CN22" i="6"/>
  <c r="CU22" i="6"/>
  <c r="CN27" i="6"/>
  <c r="CU27" i="6"/>
  <c r="CN21" i="6"/>
  <c r="CU21" i="6"/>
  <c r="CN15" i="6"/>
  <c r="CU15" i="6"/>
  <c r="CN9" i="6"/>
  <c r="CU9" i="6"/>
  <c r="N33" i="3"/>
  <c r="AK24" i="6"/>
  <c r="AK25" i="6"/>
  <c r="F38" i="69" s="1"/>
  <c r="AK26" i="6"/>
  <c r="F38" i="70" s="1"/>
  <c r="Q38" i="70" s="1"/>
  <c r="AK27" i="6"/>
  <c r="F38" i="71" s="1"/>
  <c r="AK28" i="6"/>
  <c r="AK29" i="6"/>
  <c r="F38" i="73" s="1"/>
  <c r="AK30" i="6"/>
  <c r="AK31" i="6"/>
  <c r="F38" i="75" s="1"/>
  <c r="AI24" i="6"/>
  <c r="AI25" i="6"/>
  <c r="AI26" i="6"/>
  <c r="AI27" i="6"/>
  <c r="AI28" i="6"/>
  <c r="AI29" i="6"/>
  <c r="AI30" i="6"/>
  <c r="AI31" i="6"/>
  <c r="AI32" i="6"/>
  <c r="AH26" i="6"/>
  <c r="AH27" i="6"/>
  <c r="AH28" i="6"/>
  <c r="AH29" i="6"/>
  <c r="AH30" i="6"/>
  <c r="AH31" i="6"/>
  <c r="AH32" i="6"/>
  <c r="AF25" i="6"/>
  <c r="AF26" i="6"/>
  <c r="AF27" i="6"/>
  <c r="AF28" i="6"/>
  <c r="AF29" i="6"/>
  <c r="AE28" i="6"/>
  <c r="AE29" i="6"/>
  <c r="AC28" i="6"/>
  <c r="AC29" i="6"/>
  <c r="AC30" i="6"/>
  <c r="AC31" i="6"/>
  <c r="AC32" i="6"/>
  <c r="AB29" i="6"/>
  <c r="AB30" i="6"/>
  <c r="AB31" i="6"/>
  <c r="AB32" i="6"/>
  <c r="AM30" i="6" l="1"/>
  <c r="F38" i="74"/>
  <c r="AM24" i="6"/>
  <c r="F38" i="68"/>
  <c r="AM28" i="6"/>
  <c r="F38" i="72"/>
  <c r="AM27" i="6"/>
  <c r="AD31" i="6"/>
  <c r="AM26" i="6"/>
  <c r="AM31" i="6"/>
  <c r="AM25" i="6"/>
  <c r="AD32" i="6"/>
  <c r="AM29" i="6"/>
  <c r="AD30" i="6"/>
  <c r="U29" i="12" l="1"/>
  <c r="AC29" i="12" s="1"/>
  <c r="T4" i="98" l="1"/>
  <c r="T5" i="98"/>
  <c r="T6" i="98"/>
  <c r="T7" i="98"/>
  <c r="T8" i="98"/>
  <c r="T9" i="98"/>
  <c r="T10" i="98"/>
  <c r="T11" i="98"/>
  <c r="T12" i="98"/>
  <c r="T13" i="98"/>
  <c r="T14" i="98"/>
  <c r="T15" i="98"/>
  <c r="T16" i="98"/>
  <c r="T17" i="98"/>
  <c r="T18" i="98"/>
  <c r="T19" i="98"/>
  <c r="T20" i="98"/>
  <c r="T21" i="98"/>
  <c r="T22" i="98"/>
  <c r="T23" i="98"/>
  <c r="T24" i="98"/>
  <c r="T25" i="98"/>
  <c r="T26" i="98"/>
  <c r="T27" i="98"/>
  <c r="T28" i="98"/>
  <c r="T30" i="98"/>
  <c r="T31" i="98"/>
  <c r="T32" i="98"/>
  <c r="F4" i="98"/>
  <c r="N4" i="98" s="1"/>
  <c r="F5" i="98"/>
  <c r="N5" i="98" s="1"/>
  <c r="F6" i="98"/>
  <c r="N6" i="98" s="1"/>
  <c r="F7" i="98"/>
  <c r="N7" i="98" s="1"/>
  <c r="F8" i="98"/>
  <c r="N8" i="98" s="1"/>
  <c r="F9" i="98"/>
  <c r="N9" i="98" s="1"/>
  <c r="F10" i="98"/>
  <c r="N10" i="98" s="1"/>
  <c r="F11" i="98"/>
  <c r="N11" i="98" s="1"/>
  <c r="F12" i="98"/>
  <c r="N12" i="98" s="1"/>
  <c r="F13" i="98"/>
  <c r="N13" i="98" s="1"/>
  <c r="F14" i="98"/>
  <c r="N14" i="98" s="1"/>
  <c r="F15" i="98"/>
  <c r="N15" i="98" s="1"/>
  <c r="F16" i="98"/>
  <c r="N16" i="98" s="1"/>
  <c r="F17" i="98"/>
  <c r="N17" i="98" s="1"/>
  <c r="F18" i="98"/>
  <c r="N18" i="98" s="1"/>
  <c r="F19" i="98"/>
  <c r="N19" i="98" s="1"/>
  <c r="F20" i="98"/>
  <c r="N20" i="98" s="1"/>
  <c r="F21" i="98"/>
  <c r="N21" i="98" s="1"/>
  <c r="F22" i="98"/>
  <c r="N22" i="98" s="1"/>
  <c r="F23" i="98"/>
  <c r="N23" i="98" s="1"/>
  <c r="F24" i="98"/>
  <c r="N24" i="98" s="1"/>
  <c r="F25" i="98"/>
  <c r="N25" i="98" s="1"/>
  <c r="F26" i="98"/>
  <c r="N26" i="98" s="1"/>
  <c r="F27" i="98"/>
  <c r="N27" i="98" s="1"/>
  <c r="F28" i="98"/>
  <c r="N28" i="98" s="1"/>
  <c r="F29" i="98"/>
  <c r="N29" i="98" s="1"/>
  <c r="F30" i="98"/>
  <c r="N30" i="98" s="1"/>
  <c r="F31" i="98"/>
  <c r="N31" i="98" s="1"/>
  <c r="F32" i="98"/>
  <c r="N32" i="98" s="1"/>
  <c r="G4" i="98"/>
  <c r="O4" i="98" s="1"/>
  <c r="G5" i="98"/>
  <c r="O5" i="98" s="1"/>
  <c r="G6" i="98"/>
  <c r="O6" i="98" s="1"/>
  <c r="G7" i="98"/>
  <c r="O7" i="98" s="1"/>
  <c r="G8" i="98"/>
  <c r="O8" i="98" s="1"/>
  <c r="G9" i="98"/>
  <c r="O9" i="98" s="1"/>
  <c r="G10" i="98"/>
  <c r="O10" i="98" s="1"/>
  <c r="G11" i="98"/>
  <c r="O11" i="98" s="1"/>
  <c r="G12" i="98"/>
  <c r="O12" i="98" s="1"/>
  <c r="G13" i="98"/>
  <c r="O13" i="98" s="1"/>
  <c r="G14" i="98"/>
  <c r="O14" i="98" s="1"/>
  <c r="G15" i="98"/>
  <c r="O15" i="98" s="1"/>
  <c r="G16" i="98"/>
  <c r="O16" i="98" s="1"/>
  <c r="G17" i="98"/>
  <c r="O17" i="98" s="1"/>
  <c r="G18" i="98"/>
  <c r="O18" i="98" s="1"/>
  <c r="G19" i="98"/>
  <c r="O19" i="98" s="1"/>
  <c r="G20" i="98"/>
  <c r="O20" i="98" s="1"/>
  <c r="G21" i="98"/>
  <c r="O21" i="98" s="1"/>
  <c r="G22" i="98"/>
  <c r="O22" i="98" s="1"/>
  <c r="G23" i="98"/>
  <c r="O23" i="98" s="1"/>
  <c r="G24" i="98"/>
  <c r="O24" i="98" s="1"/>
  <c r="G25" i="98"/>
  <c r="O25" i="98" s="1"/>
  <c r="G26" i="98"/>
  <c r="O26" i="98" s="1"/>
  <c r="G27" i="98"/>
  <c r="O27" i="98" s="1"/>
  <c r="G28" i="98"/>
  <c r="O28" i="98" s="1"/>
  <c r="G29" i="98"/>
  <c r="O29" i="98" s="1"/>
  <c r="G30" i="98"/>
  <c r="O30" i="98" s="1"/>
  <c r="G31" i="98"/>
  <c r="O31" i="98" s="1"/>
  <c r="G32" i="98"/>
  <c r="O32" i="98" s="1"/>
  <c r="G3" i="98"/>
  <c r="F3" i="98"/>
  <c r="N3" i="98" s="1"/>
  <c r="E3" i="98"/>
  <c r="G34" i="98" l="1"/>
  <c r="M3" i="98"/>
  <c r="E34" i="98"/>
  <c r="L3" i="98"/>
  <c r="D34" i="98"/>
  <c r="F34" i="98"/>
  <c r="T3" i="98"/>
  <c r="R34" i="98"/>
  <c r="O3" i="98"/>
  <c r="O34" i="98" s="1"/>
  <c r="T29" i="98"/>
  <c r="T28" i="12"/>
  <c r="U28" i="12"/>
  <c r="AC28" i="12" l="1"/>
  <c r="AO28" i="12"/>
  <c r="T34" i="98"/>
  <c r="S35" i="98" s="1"/>
  <c r="Q14" i="78" s="1"/>
  <c r="O35" i="98"/>
  <c r="Q12" i="42" s="1"/>
  <c r="M34" i="98"/>
  <c r="M35" i="98" s="1"/>
  <c r="Q10" i="81" s="1"/>
  <c r="L34" i="98"/>
  <c r="L35" i="98" s="1"/>
  <c r="Q9" i="81" s="1"/>
  <c r="N34" i="98"/>
  <c r="N35" i="98" s="1"/>
  <c r="S36" i="98"/>
  <c r="Q14" i="89" l="1"/>
  <c r="Q14" i="96"/>
  <c r="Q14" i="92"/>
  <c r="Q14" i="42"/>
  <c r="Q14" i="86"/>
  <c r="Q14" i="94"/>
  <c r="Q14" i="79"/>
  <c r="Q14" i="72"/>
  <c r="Q14" i="75"/>
  <c r="Q14" i="77"/>
  <c r="Q14" i="69"/>
  <c r="Q14" i="81"/>
  <c r="Q14" i="80"/>
  <c r="Q14" i="67"/>
  <c r="Q12" i="80"/>
  <c r="Q12" i="81"/>
  <c r="Q11" i="80"/>
  <c r="Q11" i="81"/>
  <c r="Q9" i="79"/>
  <c r="Q9" i="80"/>
  <c r="Q10" i="79"/>
  <c r="Q10" i="80"/>
  <c r="Q11" i="77"/>
  <c r="Q11" i="79"/>
  <c r="Q12" i="77"/>
  <c r="Q12" i="79"/>
  <c r="Q12" i="75"/>
  <c r="Q12" i="76"/>
  <c r="Q11" i="75"/>
  <c r="Q11" i="76"/>
  <c r="Q11" i="73"/>
  <c r="Q11" i="74"/>
  <c r="Q12" i="73"/>
  <c r="Q12" i="74"/>
  <c r="Q11" i="71"/>
  <c r="Q11" i="72"/>
  <c r="Q12" i="71"/>
  <c r="Q12" i="72"/>
  <c r="Q11" i="70"/>
  <c r="Q11" i="69"/>
  <c r="Q11" i="68"/>
  <c r="Q12" i="70"/>
  <c r="Q12" i="69"/>
  <c r="Q12" i="68"/>
  <c r="Q12" i="67"/>
  <c r="Q11" i="42"/>
  <c r="Q11" i="67"/>
  <c r="Q11" i="95"/>
  <c r="Q11" i="96"/>
  <c r="Q12" i="95"/>
  <c r="Q12" i="96"/>
  <c r="Q12" i="91"/>
  <c r="Q12" i="94"/>
  <c r="Q12" i="92"/>
  <c r="Q12" i="93"/>
  <c r="Q11" i="91"/>
  <c r="Q11" i="94"/>
  <c r="Q11" i="92"/>
  <c r="Q11" i="93"/>
  <c r="Q11" i="89"/>
  <c r="Q11" i="90"/>
  <c r="Q12" i="89"/>
  <c r="Q12" i="90"/>
  <c r="Q12" i="86"/>
  <c r="Q12" i="87"/>
  <c r="Q12" i="88"/>
  <c r="Q11" i="87"/>
  <c r="Q11" i="86"/>
  <c r="Q11" i="88"/>
  <c r="Q12" i="84"/>
  <c r="Q12" i="85"/>
  <c r="Q12" i="83"/>
  <c r="Q12" i="82"/>
  <c r="Q11" i="83"/>
  <c r="Q11" i="84"/>
  <c r="Q11" i="85"/>
  <c r="Q11" i="82"/>
  <c r="Q12" i="78"/>
  <c r="Q11" i="78"/>
  <c r="Q9" i="77"/>
  <c r="Q10" i="77"/>
  <c r="AW5" i="12"/>
  <c r="AW6" i="12"/>
  <c r="AW7" i="12"/>
  <c r="AW8" i="12"/>
  <c r="AW9" i="12"/>
  <c r="AW10" i="12"/>
  <c r="AW11" i="12"/>
  <c r="AW12" i="12"/>
  <c r="AW13" i="12"/>
  <c r="AW14" i="12"/>
  <c r="AW15" i="12"/>
  <c r="AW16" i="12"/>
  <c r="AW17" i="12"/>
  <c r="AW4" i="12"/>
  <c r="AW40" i="12" s="1"/>
  <c r="Q14" i="74" l="1"/>
  <c r="Q14" i="90"/>
  <c r="Q14" i="76"/>
  <c r="Q14" i="68"/>
  <c r="Q14" i="84"/>
  <c r="Q14" i="91"/>
  <c r="Q14" i="82"/>
  <c r="Q14" i="87"/>
  <c r="Q14" i="83"/>
  <c r="Q14" i="70"/>
  <c r="Q14" i="88"/>
  <c r="Q14" i="85"/>
  <c r="Q14" i="95"/>
  <c r="Q14" i="71"/>
  <c r="Q9" i="76"/>
  <c r="Q9" i="75"/>
  <c r="Q10" i="75"/>
  <c r="Q10" i="76"/>
  <c r="Q10" i="73"/>
  <c r="Q10" i="74"/>
  <c r="Q9" i="73"/>
  <c r="Q9" i="74"/>
  <c r="Q9" i="71"/>
  <c r="Q9" i="72"/>
  <c r="Q10" i="71"/>
  <c r="Q10" i="72"/>
  <c r="Q9" i="70"/>
  <c r="Q9" i="69"/>
  <c r="Q9" i="68"/>
  <c r="Q10" i="69"/>
  <c r="Q10" i="70"/>
  <c r="Q10" i="68"/>
  <c r="Q10" i="42"/>
  <c r="Q10" i="67"/>
  <c r="Q9" i="42"/>
  <c r="Q9" i="67"/>
  <c r="Q10" i="95"/>
  <c r="Q10" i="96"/>
  <c r="Q9" i="95"/>
  <c r="Q9" i="96"/>
  <c r="Q9" i="91"/>
  <c r="Q9" i="94"/>
  <c r="Q9" i="93"/>
  <c r="Q9" i="92"/>
  <c r="Q10" i="91"/>
  <c r="Q10" i="92"/>
  <c r="Q10" i="94"/>
  <c r="Q10" i="93"/>
  <c r="Q10" i="89"/>
  <c r="Q10" i="90"/>
  <c r="Q9" i="89"/>
  <c r="Q9" i="90"/>
  <c r="Q10" i="88"/>
  <c r="Q10" i="86"/>
  <c r="Q10" i="87"/>
  <c r="Q9" i="87"/>
  <c r="Q9" i="88"/>
  <c r="Q9" i="86"/>
  <c r="Q9" i="85"/>
  <c r="Q9" i="84"/>
  <c r="Q10" i="83"/>
  <c r="Q10" i="85"/>
  <c r="Q10" i="84"/>
  <c r="Q9" i="83"/>
  <c r="Q9" i="82"/>
  <c r="Q10" i="82"/>
  <c r="Q9" i="78"/>
  <c r="Q10" i="78"/>
  <c r="Y25" i="12" l="1"/>
  <c r="AI25" i="12" s="1"/>
  <c r="AE25" i="12" l="1"/>
  <c r="R41" i="97"/>
  <c r="R42" i="97" l="1"/>
  <c r="AA42" i="97" s="1"/>
  <c r="AA41" i="97"/>
  <c r="AG16" i="97" l="1"/>
  <c r="AN16" i="97"/>
  <c r="U14" i="12"/>
  <c r="AI14" i="12" l="1"/>
  <c r="E13" i="3" s="1"/>
  <c r="F13" i="3" s="1"/>
  <c r="AC14" i="12"/>
  <c r="X11" i="6"/>
  <c r="I22" i="88" l="1"/>
  <c r="U11" i="12"/>
  <c r="AI11" i="12" l="1"/>
  <c r="E10" i="3" s="1"/>
  <c r="F10" i="3" s="1"/>
  <c r="AC11" i="12"/>
  <c r="W9" i="97"/>
  <c r="AD9" i="97" s="1"/>
  <c r="I22" i="85" l="1"/>
  <c r="CC4" i="6"/>
  <c r="X3" i="6" l="1"/>
  <c r="W33" i="97" l="1"/>
  <c r="AD33" i="97" s="1"/>
  <c r="W22" i="97" l="1"/>
  <c r="AD22" i="97" s="1"/>
  <c r="W20" i="97" l="1"/>
  <c r="AD20" i="97" s="1"/>
  <c r="X41" i="97"/>
  <c r="S18" i="97" l="1"/>
  <c r="AG18" i="97" l="1"/>
  <c r="AN18" i="97"/>
  <c r="W13" i="97"/>
  <c r="AD13" i="97" s="1"/>
  <c r="U9" i="12" l="1"/>
  <c r="AI9" i="12" l="1"/>
  <c r="E8" i="3" s="1"/>
  <c r="F8" i="3" s="1"/>
  <c r="AC9" i="12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T21" i="97" l="1"/>
  <c r="W19" i="97" l="1"/>
  <c r="AD19" i="97" s="1"/>
  <c r="W15" i="97" l="1"/>
  <c r="AD15" i="97" s="1"/>
  <c r="T18" i="97" l="1"/>
  <c r="AH18" i="97" s="1"/>
  <c r="W17" i="97"/>
  <c r="AD17" i="97" s="1"/>
  <c r="AB18" i="97" l="1"/>
  <c r="T16" i="97"/>
  <c r="AH16" i="97" s="1"/>
  <c r="E15" i="3" s="1"/>
  <c r="F15" i="3" s="1"/>
  <c r="I22" i="90" l="1"/>
  <c r="AB16" i="97"/>
  <c r="W5" i="97"/>
  <c r="AD5" i="97" s="1"/>
  <c r="AF5" i="97" s="1"/>
  <c r="P5" i="97"/>
  <c r="N5" i="97"/>
  <c r="M5" i="97"/>
  <c r="AS5" i="97" l="1"/>
  <c r="AR5" i="97"/>
  <c r="AT5" i="97"/>
  <c r="AQ5" i="97"/>
  <c r="AL5" i="97" l="1"/>
  <c r="AK5" i="97" l="1"/>
  <c r="AL15" i="6"/>
  <c r="AL16" i="6"/>
  <c r="AL17" i="6"/>
  <c r="J38" i="92" s="1"/>
  <c r="AL18" i="6"/>
  <c r="AL19" i="6"/>
  <c r="J38" i="77"/>
  <c r="Y33" i="12"/>
  <c r="AI33" i="12" s="1"/>
  <c r="AW22" i="12"/>
  <c r="Y23" i="12"/>
  <c r="AI23" i="12" s="1"/>
  <c r="Y24" i="12"/>
  <c r="AI24" i="12" s="1"/>
  <c r="AW25" i="12"/>
  <c r="AI26" i="12"/>
  <c r="Y27" i="12"/>
  <c r="AI27" i="12" s="1"/>
  <c r="Y28" i="12"/>
  <c r="AI28" i="12" s="1"/>
  <c r="Y29" i="12"/>
  <c r="AI29" i="12" s="1"/>
  <c r="Y30" i="12"/>
  <c r="AI30" i="12" s="1"/>
  <c r="Y31" i="12"/>
  <c r="AI31" i="12" s="1"/>
  <c r="Y32" i="12"/>
  <c r="AE32" i="12" l="1"/>
  <c r="AI32" i="12"/>
  <c r="AE30" i="12"/>
  <c r="AE29" i="12"/>
  <c r="AW29" i="12" s="1"/>
  <c r="AE31" i="12"/>
  <c r="AE24" i="12"/>
  <c r="AW24" i="12" s="1"/>
  <c r="AE23" i="12"/>
  <c r="AW23" i="12" s="1"/>
  <c r="AE28" i="12"/>
  <c r="AW28" i="12" s="1"/>
  <c r="AE27" i="12"/>
  <c r="AW27" i="12" s="1"/>
  <c r="AE33" i="12"/>
  <c r="AE26" i="12"/>
  <c r="AW26" i="12" s="1"/>
  <c r="AQ7" i="2" l="1"/>
  <c r="Y21" i="12" l="1"/>
  <c r="AI21" i="12" s="1"/>
  <c r="AE21" i="12" l="1"/>
  <c r="AW21" i="12"/>
  <c r="Y19" i="12"/>
  <c r="AI19" i="12" s="1"/>
  <c r="E18" i="3" s="1"/>
  <c r="F18" i="3" s="1"/>
  <c r="I22" i="93" s="1"/>
  <c r="AE19" i="12" l="1"/>
  <c r="AW19" i="12" s="1"/>
  <c r="AW20" i="12"/>
  <c r="AL4" i="6"/>
  <c r="AL5" i="6"/>
  <c r="AL6" i="6"/>
  <c r="AL7" i="6"/>
  <c r="AL8" i="6"/>
  <c r="J38" i="83" s="1"/>
  <c r="AL9" i="6"/>
  <c r="AL10" i="6"/>
  <c r="J38" i="85" s="1"/>
  <c r="AL11" i="6"/>
  <c r="J38" i="86" s="1"/>
  <c r="AL12" i="6"/>
  <c r="J38" i="87" s="1"/>
  <c r="AL13" i="6"/>
  <c r="AL14" i="6"/>
  <c r="J38" i="94"/>
  <c r="J38" i="95"/>
  <c r="J38" i="96"/>
  <c r="J38" i="42"/>
  <c r="J38" i="67"/>
  <c r="J38" i="68"/>
  <c r="J38" i="69"/>
  <c r="AL3" i="6"/>
  <c r="AK4" i="6"/>
  <c r="AK5" i="6"/>
  <c r="F38" i="80" s="1"/>
  <c r="AK6" i="6"/>
  <c r="F38" i="81" s="1"/>
  <c r="AK7" i="6"/>
  <c r="F38" i="82" s="1"/>
  <c r="AK8" i="6"/>
  <c r="F38" i="83" s="1"/>
  <c r="AK9" i="6"/>
  <c r="F38" i="84" s="1"/>
  <c r="AK10" i="6"/>
  <c r="F38" i="85" s="1"/>
  <c r="AK11" i="6"/>
  <c r="F38" i="86" s="1"/>
  <c r="AK12" i="6"/>
  <c r="F38" i="87" s="1"/>
  <c r="AK13" i="6"/>
  <c r="F38" i="88" s="1"/>
  <c r="AK14" i="6"/>
  <c r="F38" i="89" s="1"/>
  <c r="AK15" i="6"/>
  <c r="F38" i="90" s="1"/>
  <c r="AK16" i="6"/>
  <c r="F38" i="91" s="1"/>
  <c r="AK17" i="6"/>
  <c r="F38" i="92" s="1"/>
  <c r="AK18" i="6"/>
  <c r="F38" i="93" s="1"/>
  <c r="AK19" i="6"/>
  <c r="F38" i="94" s="1"/>
  <c r="AK20" i="6"/>
  <c r="F38" i="95" s="1"/>
  <c r="AK21" i="6"/>
  <c r="F38" i="96" s="1"/>
  <c r="AK22" i="6"/>
  <c r="AK23" i="6"/>
  <c r="AK32" i="6"/>
  <c r="F38" i="76" s="1"/>
  <c r="AK3" i="6"/>
  <c r="F38" i="78" s="1"/>
  <c r="J38" i="84" l="1"/>
  <c r="J38" i="82"/>
  <c r="H38" i="78"/>
  <c r="G38" i="78"/>
  <c r="AM23" i="6"/>
  <c r="F38" i="67"/>
  <c r="AM22" i="6"/>
  <c r="F38" i="42"/>
  <c r="AK35" i="6"/>
  <c r="F38" i="79"/>
  <c r="AL35" i="6"/>
  <c r="AM13" i="6"/>
  <c r="AM4" i="6"/>
  <c r="AM16" i="6"/>
  <c r="AM10" i="6"/>
  <c r="AM7" i="6"/>
  <c r="AM32" i="6"/>
  <c r="AM20" i="6"/>
  <c r="AM14" i="6"/>
  <c r="AM8" i="6"/>
  <c r="AM18" i="6"/>
  <c r="AM12" i="6"/>
  <c r="AM6" i="6"/>
  <c r="AM17" i="6"/>
  <c r="AM5" i="6"/>
  <c r="AM11" i="6"/>
  <c r="AM3" i="6"/>
  <c r="AM21" i="6"/>
  <c r="AM15" i="6"/>
  <c r="AM9" i="6"/>
  <c r="AM19" i="6"/>
  <c r="Y18" i="12"/>
  <c r="X18" i="12"/>
  <c r="X40" i="12" s="1"/>
  <c r="L38" i="82" l="1"/>
  <c r="L38" i="83" s="1"/>
  <c r="L38" i="84" s="1"/>
  <c r="K38" i="82"/>
  <c r="K38" i="83" s="1"/>
  <c r="K38" i="84" s="1"/>
  <c r="G38" i="79"/>
  <c r="G38" i="80" s="1"/>
  <c r="G38" i="81" s="1"/>
  <c r="G38" i="82" s="1"/>
  <c r="H38" i="79"/>
  <c r="H38" i="80" s="1"/>
  <c r="H38" i="81" s="1"/>
  <c r="H38" i="82" s="1"/>
  <c r="Y40" i="12"/>
  <c r="X42" i="97" s="1"/>
  <c r="AI18" i="12"/>
  <c r="E17" i="3" s="1"/>
  <c r="F17" i="3" s="1"/>
  <c r="I22" i="92" s="1"/>
  <c r="AE18" i="12"/>
  <c r="AW18" i="12" l="1"/>
  <c r="AE40" i="12"/>
  <c r="S41" i="97"/>
  <c r="G38" i="93" l="1"/>
  <c r="H38" i="93"/>
  <c r="M6" i="97"/>
  <c r="N6" i="97"/>
  <c r="P6" i="97"/>
  <c r="W6" i="97"/>
  <c r="AD6" i="97" s="1"/>
  <c r="AT6" i="97" l="1"/>
  <c r="AR6" i="97"/>
  <c r="AS6" i="97"/>
  <c r="AF6" i="97" l="1"/>
  <c r="AL6" i="97" s="1"/>
  <c r="AQ6" i="97"/>
  <c r="AK6" i="97" l="1"/>
  <c r="AH3" i="2"/>
  <c r="AH4" i="2"/>
  <c r="W31" i="97" l="1"/>
  <c r="AD31" i="97" s="1"/>
  <c r="AS28" i="12" l="1"/>
  <c r="O28" i="12"/>
  <c r="N28" i="12"/>
  <c r="M28" i="12"/>
  <c r="AE27" i="3" l="1"/>
  <c r="AT28" i="12"/>
  <c r="AU28" i="12"/>
  <c r="AG28" i="12" l="1"/>
  <c r="AV28" i="12"/>
  <c r="AL28" i="12" l="1"/>
  <c r="AM28" i="12"/>
  <c r="W28" i="97"/>
  <c r="AD28" i="97" s="1"/>
  <c r="P28" i="97"/>
  <c r="N28" i="97"/>
  <c r="M28" i="97"/>
  <c r="W29" i="97"/>
  <c r="AD29" i="97" s="1"/>
  <c r="E27" i="3" l="1"/>
  <c r="AR28" i="97"/>
  <c r="AT28" i="97"/>
  <c r="AS28" i="97"/>
  <c r="R27" i="3"/>
  <c r="S27" i="3" s="1"/>
  <c r="I21" i="71" s="1"/>
  <c r="F27" i="3" l="1"/>
  <c r="I22" i="71" s="1"/>
  <c r="AL28" i="97"/>
  <c r="AQ28" i="97"/>
  <c r="EL27" i="1" l="1"/>
  <c r="EU27" i="1" s="1"/>
  <c r="EW27" i="1" s="1"/>
  <c r="AK28" i="97"/>
  <c r="W26" i="97" l="1"/>
  <c r="AD26" i="97" s="1"/>
  <c r="P26" i="97"/>
  <c r="N26" i="97"/>
  <c r="M26" i="97"/>
  <c r="AS26" i="12"/>
  <c r="O26" i="12"/>
  <c r="N26" i="12"/>
  <c r="M26" i="12"/>
  <c r="W25" i="97"/>
  <c r="AD25" i="97" s="1"/>
  <c r="W24" i="97"/>
  <c r="AD24" i="97" s="1"/>
  <c r="W23" i="97"/>
  <c r="AD23" i="97" s="1"/>
  <c r="T21" i="97"/>
  <c r="AH21" i="97" s="1"/>
  <c r="E20" i="3" s="1"/>
  <c r="F20" i="3" s="1"/>
  <c r="I22" i="95" s="1"/>
  <c r="AB21" i="97" l="1"/>
  <c r="AE25" i="3"/>
  <c r="AV26" i="12"/>
  <c r="AS26" i="97"/>
  <c r="AR26" i="97"/>
  <c r="AT26" i="97"/>
  <c r="AU26" i="12"/>
  <c r="AL26" i="97" l="1"/>
  <c r="AG26" i="12"/>
  <c r="AM26" i="12" s="1"/>
  <c r="R25" i="3"/>
  <c r="S25" i="3" s="1"/>
  <c r="I21" i="69" s="1"/>
  <c r="E25" i="3"/>
  <c r="AT26" i="12"/>
  <c r="AQ26" i="97"/>
  <c r="AP26" i="97"/>
  <c r="F25" i="3" l="1"/>
  <c r="I22" i="69" s="1"/>
  <c r="EL25" i="1"/>
  <c r="EU25" i="1" s="1"/>
  <c r="EW25" i="1" s="1"/>
  <c r="AL26" i="12"/>
  <c r="AK26" i="97"/>
  <c r="W12" i="97" l="1"/>
  <c r="AD12" i="97" s="1"/>
  <c r="W8" i="97" l="1"/>
  <c r="AD8" i="97" s="1"/>
  <c r="W7" i="97" l="1"/>
  <c r="AD7" i="97" s="1"/>
  <c r="F60" i="77" l="1"/>
  <c r="F60" i="76"/>
  <c r="F60" i="75"/>
  <c r="F60" i="74"/>
  <c r="F60" i="73"/>
  <c r="F60" i="72"/>
  <c r="F60" i="71"/>
  <c r="F60" i="70"/>
  <c r="F60" i="69"/>
  <c r="F60" i="67"/>
  <c r="F60" i="42"/>
  <c r="F60" i="96"/>
  <c r="F60" i="95"/>
  <c r="F60" i="94"/>
  <c r="F60" i="93"/>
  <c r="F60" i="91"/>
  <c r="F60" i="90"/>
  <c r="F60" i="89"/>
  <c r="F60" i="88"/>
  <c r="F60" i="87"/>
  <c r="F60" i="86"/>
  <c r="F60" i="85"/>
  <c r="F60" i="84"/>
  <c r="F60" i="83"/>
  <c r="F60" i="82"/>
  <c r="F60" i="80"/>
  <c r="F60" i="79"/>
  <c r="F60" i="78"/>
  <c r="H60" i="78" s="1"/>
  <c r="F60" i="81"/>
  <c r="G60" i="78" l="1"/>
  <c r="G60" i="79" s="1"/>
  <c r="G60" i="80" s="1"/>
  <c r="G60" i="81" s="1"/>
  <c r="G60" i="82" s="1"/>
  <c r="G60" i="83" s="1"/>
  <c r="G60" i="84" s="1"/>
  <c r="G60" i="85" s="1"/>
  <c r="G60" i="86" s="1"/>
  <c r="G60" i="87" s="1"/>
  <c r="G60" i="88" s="1"/>
  <c r="G60" i="89" s="1"/>
  <c r="G60" i="90" s="1"/>
  <c r="G60" i="91" s="1"/>
  <c r="H60" i="79"/>
  <c r="S35" i="97"/>
  <c r="T34" i="97"/>
  <c r="W34" i="97"/>
  <c r="AD34" i="97" s="1"/>
  <c r="W32" i="97"/>
  <c r="AD32" i="97" s="1"/>
  <c r="EP34" i="1"/>
  <c r="AB34" i="97" l="1"/>
  <c r="AH34" i="97"/>
  <c r="W30" i="97"/>
  <c r="AD30" i="97" s="1"/>
  <c r="U20" i="12" l="1"/>
  <c r="AI20" i="12" l="1"/>
  <c r="E19" i="3" s="1"/>
  <c r="F19" i="3" s="1"/>
  <c r="I22" i="94" s="1"/>
  <c r="AC20" i="12"/>
  <c r="W18" i="97"/>
  <c r="AD18" i="97" s="1"/>
  <c r="V41" i="97" l="1"/>
  <c r="W14" i="97" l="1"/>
  <c r="AD14" i="97" s="1"/>
  <c r="T12" i="97" l="1"/>
  <c r="M38" i="77"/>
  <c r="M38" i="76"/>
  <c r="M38" i="75"/>
  <c r="M38" i="74"/>
  <c r="M38" i="69"/>
  <c r="M38" i="68"/>
  <c r="M38" i="67"/>
  <c r="M38" i="42"/>
  <c r="M38" i="96"/>
  <c r="M38" i="95"/>
  <c r="M38" i="94"/>
  <c r="M38" i="93"/>
  <c r="M38" i="92"/>
  <c r="M38" i="91"/>
  <c r="M38" i="90"/>
  <c r="M38" i="89"/>
  <c r="M38" i="88"/>
  <c r="M38" i="87"/>
  <c r="M38" i="86"/>
  <c r="I46" i="74"/>
  <c r="M38" i="85"/>
  <c r="AB12" i="97" l="1"/>
  <c r="AH12" i="97"/>
  <c r="E11" i="3" s="1"/>
  <c r="F11" i="3" s="1"/>
  <c r="I22" i="86" s="1"/>
  <c r="T41" i="97"/>
  <c r="AB41" i="97" s="1"/>
  <c r="U40" i="12"/>
  <c r="W10" i="97"/>
  <c r="AD10" i="97" s="1"/>
  <c r="M38" i="84"/>
  <c r="T42" i="97" l="1"/>
  <c r="M38" i="83"/>
  <c r="M38" i="82" l="1"/>
  <c r="M38" i="81"/>
  <c r="M38" i="80"/>
  <c r="M38" i="79"/>
  <c r="M38" i="78"/>
  <c r="T6" i="12"/>
  <c r="AH6" i="12" s="1"/>
  <c r="M6" i="12"/>
  <c r="N6" i="12"/>
  <c r="O6" i="12"/>
  <c r="AS6" i="12"/>
  <c r="AO6" i="12" l="1"/>
  <c r="AC6" i="12"/>
  <c r="AU6" i="12" s="1"/>
  <c r="T40" i="12"/>
  <c r="AV6" i="12"/>
  <c r="S42" i="97" l="1"/>
  <c r="AB42" i="97" s="1"/>
  <c r="AC40" i="12"/>
  <c r="AG6" i="12"/>
  <c r="AM6" i="12" s="1"/>
  <c r="AT6" i="12"/>
  <c r="P34" i="97"/>
  <c r="P33" i="97"/>
  <c r="P32" i="97"/>
  <c r="P31" i="97"/>
  <c r="P30" i="97"/>
  <c r="P29" i="97"/>
  <c r="P27" i="97"/>
  <c r="P25" i="97"/>
  <c r="P24" i="97"/>
  <c r="P23" i="97"/>
  <c r="P22" i="97"/>
  <c r="P21" i="97"/>
  <c r="P20" i="97"/>
  <c r="P19" i="97"/>
  <c r="P18" i="97"/>
  <c r="P17" i="97"/>
  <c r="P16" i="97"/>
  <c r="P15" i="97"/>
  <c r="P14" i="97"/>
  <c r="P13" i="97"/>
  <c r="P12" i="97"/>
  <c r="P11" i="97"/>
  <c r="P10" i="97"/>
  <c r="P9" i="97"/>
  <c r="P8" i="97"/>
  <c r="P7" i="97"/>
  <c r="I38" i="78"/>
  <c r="P42" i="97" l="1"/>
  <c r="AL6" i="12"/>
  <c r="L53" i="79"/>
  <c r="K53" i="79"/>
  <c r="J53" i="79"/>
  <c r="I53" i="79"/>
  <c r="H53" i="79"/>
  <c r="G53" i="79"/>
  <c r="F53" i="79"/>
  <c r="E53" i="79"/>
  <c r="L53" i="78"/>
  <c r="K53" i="78"/>
  <c r="J53" i="78"/>
  <c r="I53" i="78"/>
  <c r="H53" i="78"/>
  <c r="G53" i="78"/>
  <c r="F53" i="78"/>
  <c r="E53" i="78"/>
  <c r="O38" i="78" l="1"/>
  <c r="O38" i="79" s="1"/>
  <c r="BT35" i="6"/>
  <c r="O38" i="80" l="1"/>
  <c r="O38" i="81" s="1"/>
  <c r="O38" i="82" s="1"/>
  <c r="O38" i="83" s="1"/>
  <c r="M38" i="73"/>
  <c r="O38" i="84" l="1"/>
  <c r="O38" i="85" s="1"/>
  <c r="M38" i="70"/>
  <c r="W27" i="97"/>
  <c r="M38" i="72"/>
  <c r="M38" i="71"/>
  <c r="O38" i="86" l="1"/>
  <c r="O38" i="87" s="1"/>
  <c r="O38" i="88" s="1"/>
  <c r="O38" i="89" s="1"/>
  <c r="W41" i="97"/>
  <c r="W42" i="97" s="1"/>
  <c r="AD27" i="97"/>
  <c r="O38" i="90" l="1"/>
  <c r="O38" i="91" s="1"/>
  <c r="F53" i="80"/>
  <c r="E53" i="80"/>
  <c r="E9" i="78"/>
  <c r="K5" i="55"/>
  <c r="K8" i="55"/>
  <c r="K10" i="55"/>
  <c r="K3" i="55"/>
  <c r="CC5" i="6"/>
  <c r="CC6" i="6"/>
  <c r="CC7" i="6"/>
  <c r="CC8" i="6"/>
  <c r="CC10" i="6"/>
  <c r="CC11" i="6"/>
  <c r="CC14" i="6"/>
  <c r="CC15" i="6"/>
  <c r="CC16" i="6"/>
  <c r="CC17" i="6"/>
  <c r="CC18" i="6"/>
  <c r="CC19" i="6"/>
  <c r="CC20" i="6"/>
  <c r="CC21" i="6"/>
  <c r="CC22" i="6"/>
  <c r="CC23" i="6"/>
  <c r="CC24" i="6"/>
  <c r="CC25" i="6"/>
  <c r="CC26" i="6"/>
  <c r="CC27" i="6"/>
  <c r="CC28" i="6"/>
  <c r="CC30" i="6"/>
  <c r="CC31" i="6"/>
  <c r="CC3" i="6"/>
  <c r="D35" i="2"/>
  <c r="O38" i="92" l="1"/>
  <c r="O38" i="93" s="1"/>
  <c r="O38" i="94" s="1"/>
  <c r="N21" i="97"/>
  <c r="M21" i="97"/>
  <c r="O38" i="95" l="1"/>
  <c r="O38" i="96" s="1"/>
  <c r="O38" i="42" s="1"/>
  <c r="O38" i="67" s="1"/>
  <c r="O38" i="68" s="1"/>
  <c r="O38" i="69" s="1"/>
  <c r="O38" i="70" s="1"/>
  <c r="O38" i="71" s="1"/>
  <c r="O38" i="72" s="1"/>
  <c r="O38" i="73" s="1"/>
  <c r="O38" i="74" s="1"/>
  <c r="O38" i="75" s="1"/>
  <c r="O38" i="76" s="1"/>
  <c r="AS21" i="97"/>
  <c r="AR21" i="97"/>
  <c r="AQ21" i="97" l="1"/>
  <c r="AF21" i="97"/>
  <c r="AL21" i="97" s="1"/>
  <c r="AK21" i="97" l="1"/>
  <c r="V40" i="12" l="1"/>
  <c r="U42" i="97" l="1"/>
  <c r="AU35" i="12"/>
  <c r="AV4" i="2" l="1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3" i="2"/>
  <c r="CL4" i="6" l="1"/>
  <c r="CL5" i="6"/>
  <c r="CL6" i="6"/>
  <c r="CL7" i="6"/>
  <c r="CL8" i="6"/>
  <c r="CL9" i="6"/>
  <c r="CL10" i="6"/>
  <c r="CL11" i="6"/>
  <c r="CL12" i="6"/>
  <c r="CL13" i="6"/>
  <c r="CL14" i="6"/>
  <c r="CL15" i="6"/>
  <c r="CL16" i="6"/>
  <c r="CL17" i="6"/>
  <c r="CL18" i="6"/>
  <c r="CL19" i="6"/>
  <c r="CL20" i="6"/>
  <c r="CL21" i="6"/>
  <c r="CL22" i="6"/>
  <c r="CL23" i="6"/>
  <c r="CL24" i="6"/>
  <c r="CL3" i="6"/>
  <c r="AX4" i="2" l="1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3" i="2"/>
  <c r="AX26" i="2"/>
  <c r="AW4" i="2" l="1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3" i="2"/>
  <c r="AH15" i="2" l="1"/>
  <c r="AI40" i="12" l="1"/>
  <c r="W40" i="12"/>
  <c r="AS5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7" i="12"/>
  <c r="AS29" i="12"/>
  <c r="AS30" i="12"/>
  <c r="AS31" i="12"/>
  <c r="AS32" i="12"/>
  <c r="AS33" i="12"/>
  <c r="AS4" i="12"/>
  <c r="V42" i="97" l="1"/>
  <c r="AD40" i="12"/>
  <c r="AS40" i="12"/>
  <c r="E26" i="3" l="1"/>
  <c r="F26" i="3" l="1"/>
  <c r="I22" i="70" s="1"/>
  <c r="M35" i="79"/>
  <c r="D31" i="6" l="1"/>
  <c r="D32" i="6"/>
  <c r="D33" i="6"/>
  <c r="F9" i="77" s="1"/>
  <c r="DZ4" i="1" l="1"/>
  <c r="DZ5" i="1"/>
  <c r="DZ6" i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" i="1"/>
  <c r="CP4" i="6" l="1"/>
  <c r="CP5" i="6"/>
  <c r="CP6" i="6"/>
  <c r="CP7" i="6"/>
  <c r="CP8" i="6"/>
  <c r="CP9" i="6"/>
  <c r="CP10" i="6"/>
  <c r="CP11" i="6"/>
  <c r="CP12" i="6"/>
  <c r="CP13" i="6"/>
  <c r="CP14" i="6"/>
  <c r="CP15" i="6"/>
  <c r="CP16" i="6"/>
  <c r="CP17" i="6"/>
  <c r="CP18" i="6"/>
  <c r="CP19" i="6"/>
  <c r="CP20" i="6"/>
  <c r="CP21" i="6"/>
  <c r="CP22" i="6"/>
  <c r="CP23" i="6"/>
  <c r="CP24" i="6"/>
  <c r="CP25" i="6"/>
  <c r="CP26" i="6"/>
  <c r="CP27" i="6"/>
  <c r="CP28" i="6"/>
  <c r="CP29" i="6"/>
  <c r="CP30" i="6"/>
  <c r="CP31" i="6"/>
  <c r="CP32" i="6"/>
  <c r="CP33" i="6"/>
  <c r="CM3" i="6"/>
  <c r="CL25" i="6"/>
  <c r="CL26" i="6"/>
  <c r="CL27" i="6"/>
  <c r="CL28" i="6"/>
  <c r="CL29" i="6"/>
  <c r="CL30" i="6"/>
  <c r="CL31" i="6"/>
  <c r="CL32" i="6"/>
  <c r="CL33" i="6"/>
  <c r="Z17" i="55" l="1"/>
  <c r="Z18" i="55"/>
  <c r="Z4" i="55" l="1"/>
  <c r="Z5" i="55"/>
  <c r="Z6" i="55"/>
  <c r="Z7" i="55"/>
  <c r="Z8" i="55"/>
  <c r="Z9" i="55"/>
  <c r="Z10" i="55"/>
  <c r="Z11" i="55"/>
  <c r="Z12" i="55"/>
  <c r="Z13" i="55"/>
  <c r="Z14" i="55"/>
  <c r="Z15" i="55"/>
  <c r="Z16" i="55"/>
  <c r="Z3" i="55"/>
  <c r="CP34" i="1" l="1"/>
  <c r="CO34" i="1"/>
  <c r="AJ3" i="1" l="1"/>
  <c r="Q38" i="77"/>
  <c r="I46" i="77"/>
  <c r="E14" i="78" l="1"/>
  <c r="AI27" i="2" l="1"/>
  <c r="I12" i="70"/>
  <c r="AI26" i="2"/>
  <c r="DY35" i="1"/>
  <c r="DX35" i="1"/>
  <c r="DY34" i="1"/>
  <c r="DX34" i="1"/>
  <c r="AZ27" i="2" l="1"/>
  <c r="BA27" i="2" s="1"/>
  <c r="AZ26" i="2"/>
  <c r="BA26" i="2" s="1"/>
  <c r="DZ34" i="1"/>
  <c r="DZ35" i="1" s="1"/>
  <c r="EA3" i="1"/>
  <c r="DW4" i="1" s="1"/>
  <c r="EA4" i="1" s="1"/>
  <c r="DW5" i="1" s="1"/>
  <c r="EA5" i="1" s="1"/>
  <c r="DW6" i="1" s="1"/>
  <c r="EA6" i="1" s="1"/>
  <c r="DW7" i="1" s="1"/>
  <c r="EA7" i="1" s="1"/>
  <c r="DW8" i="1" s="1"/>
  <c r="EA8" i="1" s="1"/>
  <c r="DW9" i="1" s="1"/>
  <c r="EA9" i="1" s="1"/>
  <c r="DW10" i="1" s="1"/>
  <c r="EA10" i="1" s="1"/>
  <c r="DW11" i="1" s="1"/>
  <c r="EA11" i="1" s="1"/>
  <c r="DW12" i="1" s="1"/>
  <c r="EA12" i="1" s="1"/>
  <c r="DW13" i="1" s="1"/>
  <c r="EA13" i="1" s="1"/>
  <c r="DW14" i="1" s="1"/>
  <c r="EA14" i="1" s="1"/>
  <c r="DW15" i="1" s="1"/>
  <c r="EA15" i="1" s="1"/>
  <c r="DW16" i="1" s="1"/>
  <c r="EA16" i="1" s="1"/>
  <c r="DW17" i="1" s="1"/>
  <c r="EA17" i="1" s="1"/>
  <c r="DW18" i="1" s="1"/>
  <c r="EA18" i="1" s="1"/>
  <c r="DW19" i="1" s="1"/>
  <c r="EA19" i="1" s="1"/>
  <c r="DW20" i="1" s="1"/>
  <c r="EA20" i="1" s="1"/>
  <c r="DW21" i="1" s="1"/>
  <c r="EA21" i="1" s="1"/>
  <c r="DW22" i="1" s="1"/>
  <c r="EA22" i="1" s="1"/>
  <c r="DW23" i="1" s="1"/>
  <c r="EA23" i="1" s="1"/>
  <c r="DW24" i="1" s="1"/>
  <c r="EA24" i="1" s="1"/>
  <c r="DW25" i="1" s="1"/>
  <c r="EA25" i="1" s="1"/>
  <c r="DW26" i="1" s="1"/>
  <c r="EA26" i="1" s="1"/>
  <c r="DW27" i="1" s="1"/>
  <c r="EA27" i="1" s="1"/>
  <c r="DW28" i="1" s="1"/>
  <c r="EA28" i="1" s="1"/>
  <c r="DW29" i="1" s="1"/>
  <c r="EA29" i="1" s="1"/>
  <c r="DW30" i="1" s="1"/>
  <c r="EA30" i="1" s="1"/>
  <c r="DW31" i="1" s="1"/>
  <c r="EA31" i="1" s="1"/>
  <c r="DW32" i="1" s="1"/>
  <c r="EA32" i="1" s="1"/>
  <c r="DW33" i="1" s="1"/>
  <c r="EA33" i="1" s="1"/>
  <c r="AI25" i="2" l="1"/>
  <c r="I9" i="69"/>
  <c r="AZ25" i="2" l="1"/>
  <c r="BA25" i="2" s="1"/>
  <c r="F60" i="68"/>
  <c r="F60" i="92"/>
  <c r="G60" i="92" s="1"/>
  <c r="G60" i="93" s="1"/>
  <c r="G60" i="94" s="1"/>
  <c r="G60" i="95" s="1"/>
  <c r="G60" i="96" s="1"/>
  <c r="G60" i="42" s="1"/>
  <c r="G60" i="67" s="1"/>
  <c r="G60" i="68" l="1"/>
  <c r="G60" i="69" s="1"/>
  <c r="I9" i="82"/>
  <c r="I9" i="85"/>
  <c r="I9" i="86"/>
  <c r="I9" i="87"/>
  <c r="I9" i="88"/>
  <c r="I9" i="89"/>
  <c r="I9" i="90"/>
  <c r="I9" i="91"/>
  <c r="I9" i="80"/>
  <c r="I9" i="81"/>
  <c r="AI6" i="2"/>
  <c r="AZ6" i="2" l="1"/>
  <c r="BA6" i="2" s="1"/>
  <c r="H60" i="80"/>
  <c r="H60" i="81" s="1"/>
  <c r="H60" i="82" s="1"/>
  <c r="H60" i="83" s="1"/>
  <c r="H60" i="84" s="1"/>
  <c r="H60" i="85" s="1"/>
  <c r="H60" i="86" s="1"/>
  <c r="H60" i="87" s="1"/>
  <c r="H60" i="88" s="1"/>
  <c r="H60" i="89" s="1"/>
  <c r="H60" i="90" s="1"/>
  <c r="H60" i="91" s="1"/>
  <c r="H60" i="92" s="1"/>
  <c r="H60" i="93" s="1"/>
  <c r="H60" i="94" s="1"/>
  <c r="H60" i="95" s="1"/>
  <c r="H60" i="96" s="1"/>
  <c r="H60" i="42" s="1"/>
  <c r="H60" i="67" s="1"/>
  <c r="H60" i="68" s="1"/>
  <c r="H60" i="69" s="1"/>
  <c r="D4" i="6"/>
  <c r="F9" i="79" s="1"/>
  <c r="D5" i="6"/>
  <c r="F9" i="80" s="1"/>
  <c r="D6" i="6"/>
  <c r="F9" i="81" s="1"/>
  <c r="D7" i="6"/>
  <c r="D8" i="6"/>
  <c r="D9" i="6"/>
  <c r="D10" i="6"/>
  <c r="F9" i="85" s="1"/>
  <c r="D11" i="6"/>
  <c r="F9" i="86" s="1"/>
  <c r="D12" i="6"/>
  <c r="F9" i="87" s="1"/>
  <c r="D13" i="6"/>
  <c r="F9" i="88" s="1"/>
  <c r="D14" i="6"/>
  <c r="F9" i="89" s="1"/>
  <c r="D15" i="6"/>
  <c r="F9" i="90" s="1"/>
  <c r="D16" i="6"/>
  <c r="F9" i="91" s="1"/>
  <c r="D17" i="6"/>
  <c r="F9" i="92" s="1"/>
  <c r="D18" i="6"/>
  <c r="F9" i="93" s="1"/>
  <c r="D19" i="6"/>
  <c r="F9" i="94" s="1"/>
  <c r="D20" i="6"/>
  <c r="F9" i="95" s="1"/>
  <c r="D21" i="6"/>
  <c r="F9" i="96" s="1"/>
  <c r="D22" i="6"/>
  <c r="F9" i="42" s="1"/>
  <c r="D23" i="6"/>
  <c r="F9" i="67" s="1"/>
  <c r="D24" i="6"/>
  <c r="F9" i="68" s="1"/>
  <c r="D25" i="6"/>
  <c r="F9" i="69" s="1"/>
  <c r="D26" i="6"/>
  <c r="F9" i="70" s="1"/>
  <c r="D27" i="6"/>
  <c r="F9" i="71" s="1"/>
  <c r="D28" i="6"/>
  <c r="F9" i="72" s="1"/>
  <c r="F9" i="73"/>
  <c r="D30" i="6"/>
  <c r="F9" i="74" s="1"/>
  <c r="F9" i="75"/>
  <c r="F9" i="76"/>
  <c r="I9" i="83"/>
  <c r="M9" i="83" s="1"/>
  <c r="I9" i="84"/>
  <c r="I9" i="92"/>
  <c r="I9" i="93"/>
  <c r="I9" i="94"/>
  <c r="I9" i="95"/>
  <c r="I9" i="96"/>
  <c r="I9" i="42"/>
  <c r="I9" i="67"/>
  <c r="I9" i="68"/>
  <c r="I9" i="70"/>
  <c r="I9" i="71"/>
  <c r="I9" i="72"/>
  <c r="I9" i="73"/>
  <c r="I9" i="74"/>
  <c r="I9" i="75"/>
  <c r="I9" i="76"/>
  <c r="I9" i="77"/>
  <c r="E34" i="6" l="1"/>
  <c r="E35" i="6"/>
  <c r="J30" i="83"/>
  <c r="E50" i="83" s="1"/>
  <c r="F9" i="83"/>
  <c r="J30" i="82"/>
  <c r="E50" i="82" s="1"/>
  <c r="F9" i="82"/>
  <c r="J30" i="84"/>
  <c r="F9" i="84"/>
  <c r="J30" i="79"/>
  <c r="AJ35" i="64"/>
  <c r="AJ34" i="64"/>
  <c r="AG34" i="64"/>
  <c r="AG35" i="64" s="1"/>
  <c r="AK33" i="64"/>
  <c r="AK30" i="64"/>
  <c r="AF31" i="64" s="1"/>
  <c r="AK31" i="64" s="1"/>
  <c r="AF32" i="64" s="1"/>
  <c r="AK32" i="64" s="1"/>
  <c r="AK27" i="64"/>
  <c r="AF28" i="64" s="1"/>
  <c r="AK28" i="64" s="1"/>
  <c r="AF29" i="64" s="1"/>
  <c r="AK29" i="64" s="1"/>
  <c r="AK24" i="64"/>
  <c r="AF25" i="64" s="1"/>
  <c r="AK25" i="64" s="1"/>
  <c r="AF26" i="64" s="1"/>
  <c r="AK26" i="64" s="1"/>
  <c r="AK21" i="64"/>
  <c r="AF22" i="64" s="1"/>
  <c r="AK22" i="64" s="1"/>
  <c r="AF23" i="64" s="1"/>
  <c r="AK23" i="64" s="1"/>
  <c r="AK18" i="64"/>
  <c r="AF19" i="64" s="1"/>
  <c r="AK19" i="64" s="1"/>
  <c r="AF20" i="64" s="1"/>
  <c r="AK20" i="64" s="1"/>
  <c r="AK15" i="64"/>
  <c r="AF16" i="64" s="1"/>
  <c r="AK16" i="64" s="1"/>
  <c r="AF17" i="64" s="1"/>
  <c r="AK17" i="64" s="1"/>
  <c r="AK12" i="64"/>
  <c r="AF13" i="64" s="1"/>
  <c r="AK13" i="64" s="1"/>
  <c r="AF14" i="64" s="1"/>
  <c r="AK14" i="64" s="1"/>
  <c r="AK9" i="64"/>
  <c r="AF10" i="64" s="1"/>
  <c r="AK10" i="64" s="1"/>
  <c r="AF11" i="64" s="1"/>
  <c r="AK11" i="64" s="1"/>
  <c r="AK6" i="64"/>
  <c r="AF7" i="64" s="1"/>
  <c r="AK7" i="64" s="1"/>
  <c r="AF8" i="64" s="1"/>
  <c r="AK8" i="64" s="1"/>
  <c r="AK3" i="64"/>
  <c r="AF4" i="64" s="1"/>
  <c r="AK4" i="64" s="1"/>
  <c r="AF5" i="64" s="1"/>
  <c r="AK5" i="64" s="1"/>
  <c r="I30" i="78"/>
  <c r="I9" i="78"/>
  <c r="I9" i="79"/>
  <c r="D3" i="6"/>
  <c r="F9" i="78" s="1"/>
  <c r="H9" i="78" s="1"/>
  <c r="H9" i="79" s="1"/>
  <c r="DT35" i="1"/>
  <c r="DS35" i="1"/>
  <c r="DO35" i="1"/>
  <c r="DJ35" i="1"/>
  <c r="DI35" i="1"/>
  <c r="DE35" i="1"/>
  <c r="DD35" i="1"/>
  <c r="CZ35" i="1"/>
  <c r="CY35" i="1"/>
  <c r="CA35" i="1"/>
  <c r="W34" i="2"/>
  <c r="W35" i="2" s="1"/>
  <c r="Q38" i="76"/>
  <c r="Q38" i="75"/>
  <c r="Q38" i="74"/>
  <c r="I46" i="75"/>
  <c r="E50" i="84" l="1"/>
  <c r="K9" i="78"/>
  <c r="I46" i="73"/>
  <c r="Q38" i="73"/>
  <c r="Q38" i="72" l="1"/>
  <c r="Q38" i="71"/>
  <c r="I46" i="70" l="1"/>
  <c r="Q38" i="69"/>
  <c r="Q38" i="68"/>
  <c r="I46" i="68"/>
  <c r="Q38" i="67"/>
  <c r="I46" i="67"/>
  <c r="O38" i="77" l="1"/>
  <c r="Q38" i="42"/>
  <c r="I46" i="95" l="1"/>
  <c r="Q38" i="96"/>
  <c r="Q38" i="95" l="1"/>
  <c r="I46" i="94"/>
  <c r="Q38" i="94"/>
  <c r="Q38" i="93"/>
  <c r="Q38" i="92"/>
  <c r="Q38" i="91" l="1"/>
  <c r="I19" i="90"/>
  <c r="Q38" i="90"/>
  <c r="I46" i="90"/>
  <c r="I46" i="89"/>
  <c r="Q38" i="89"/>
  <c r="Q38" i="88"/>
  <c r="Q38" i="87"/>
  <c r="Q38" i="86" l="1"/>
  <c r="I46" i="85"/>
  <c r="Q38" i="85"/>
  <c r="Q38" i="84" l="1"/>
  <c r="I46" i="84"/>
  <c r="Q38" i="82"/>
  <c r="I46" i="82"/>
  <c r="Q38" i="81"/>
  <c r="I46" i="81"/>
  <c r="Q38" i="80"/>
  <c r="Q38" i="79"/>
  <c r="N38" i="78"/>
  <c r="N38" i="79" s="1"/>
  <c r="N38" i="80" l="1"/>
  <c r="N38" i="81" s="1"/>
  <c r="N38" i="82" s="1"/>
  <c r="N38" i="83" s="1"/>
  <c r="G38" i="94"/>
  <c r="G38" i="95" s="1"/>
  <c r="G38" i="96" s="1"/>
  <c r="G38" i="42" s="1"/>
  <c r="G38" i="67" s="1"/>
  <c r="G38" i="68" s="1"/>
  <c r="G38" i="69" s="1"/>
  <c r="G38" i="70" s="1"/>
  <c r="G38" i="71" s="1"/>
  <c r="G38" i="72" s="1"/>
  <c r="G38" i="73" s="1"/>
  <c r="G38" i="74" s="1"/>
  <c r="G38" i="75" s="1"/>
  <c r="G38" i="76" s="1"/>
  <c r="G38" i="77" s="1"/>
  <c r="Q38" i="78"/>
  <c r="N38" i="84" l="1"/>
  <c r="AW3" i="6"/>
  <c r="F43" i="78" s="1"/>
  <c r="H43" i="78" s="1"/>
  <c r="E21" i="3"/>
  <c r="F21" i="3" s="1"/>
  <c r="E22" i="3"/>
  <c r="F22" i="3" s="1"/>
  <c r="I22" i="42" s="1"/>
  <c r="E23" i="3"/>
  <c r="F23" i="3" s="1"/>
  <c r="I22" i="67" s="1"/>
  <c r="E24" i="3"/>
  <c r="E30" i="3"/>
  <c r="E31" i="3"/>
  <c r="F31" i="3" s="1"/>
  <c r="I22" i="75" s="1"/>
  <c r="E32" i="3"/>
  <c r="CI3" i="6"/>
  <c r="I46" i="78"/>
  <c r="BT34" i="6"/>
  <c r="BA4" i="6"/>
  <c r="BS4" i="6" s="1"/>
  <c r="BA5" i="6"/>
  <c r="BS5" i="6" s="1"/>
  <c r="BA6" i="6"/>
  <c r="BS6" i="6" s="1"/>
  <c r="BA7" i="6"/>
  <c r="BA8" i="6"/>
  <c r="BA9" i="6"/>
  <c r="BS9" i="6" s="1"/>
  <c r="BA10" i="6"/>
  <c r="BA11" i="6"/>
  <c r="BS11" i="6" s="1"/>
  <c r="BA12" i="6"/>
  <c r="BA13" i="6"/>
  <c r="BA14" i="6"/>
  <c r="BA15" i="6"/>
  <c r="BS15" i="6" s="1"/>
  <c r="BA16" i="6"/>
  <c r="BA17" i="6"/>
  <c r="BA18" i="6"/>
  <c r="BA19" i="6"/>
  <c r="BS19" i="6" s="1"/>
  <c r="BA20" i="6"/>
  <c r="BS20" i="6" s="1"/>
  <c r="BA21" i="6"/>
  <c r="BS21" i="6" s="1"/>
  <c r="BA22" i="6"/>
  <c r="BS22" i="6" s="1"/>
  <c r="BA23" i="6"/>
  <c r="BS23" i="6" s="1"/>
  <c r="BA24" i="6"/>
  <c r="BS24" i="6" s="1"/>
  <c r="BA25" i="6"/>
  <c r="BS25" i="6" s="1"/>
  <c r="BA26" i="6"/>
  <c r="BS26" i="6" s="1"/>
  <c r="BA27" i="6"/>
  <c r="BS27" i="6" s="1"/>
  <c r="BA28" i="6"/>
  <c r="BA29" i="6"/>
  <c r="BS29" i="6" s="1"/>
  <c r="BA30" i="6"/>
  <c r="BS30" i="6" s="1"/>
  <c r="BA31" i="6"/>
  <c r="BS31" i="6" s="1"/>
  <c r="BA32" i="6"/>
  <c r="BS32" i="6" s="1"/>
  <c r="BA33" i="6"/>
  <c r="BS33" i="6" s="1"/>
  <c r="BA3" i="6"/>
  <c r="AZ4" i="6"/>
  <c r="F44" i="79" s="1"/>
  <c r="AZ5" i="6"/>
  <c r="F44" i="80" s="1"/>
  <c r="AZ6" i="6"/>
  <c r="F44" i="81" s="1"/>
  <c r="AZ7" i="6"/>
  <c r="F44" i="82" s="1"/>
  <c r="AZ8" i="6"/>
  <c r="F44" i="83" s="1"/>
  <c r="AZ9" i="6"/>
  <c r="F44" i="84" s="1"/>
  <c r="AZ10" i="6"/>
  <c r="F44" i="85" s="1"/>
  <c r="AZ11" i="6"/>
  <c r="F44" i="86" s="1"/>
  <c r="AZ12" i="6"/>
  <c r="F44" i="87" s="1"/>
  <c r="AZ13" i="6"/>
  <c r="F44" i="88" s="1"/>
  <c r="AZ14" i="6"/>
  <c r="F44" i="89" s="1"/>
  <c r="AZ15" i="6"/>
  <c r="F44" i="90" s="1"/>
  <c r="AZ16" i="6"/>
  <c r="F44" i="91" s="1"/>
  <c r="AZ17" i="6"/>
  <c r="F44" i="92" s="1"/>
  <c r="AZ18" i="6"/>
  <c r="F44" i="93" s="1"/>
  <c r="AZ19" i="6"/>
  <c r="F44" i="94" s="1"/>
  <c r="AZ20" i="6"/>
  <c r="F44" i="95" s="1"/>
  <c r="AZ21" i="6"/>
  <c r="F44" i="96" s="1"/>
  <c r="AZ22" i="6"/>
  <c r="F44" i="42" s="1"/>
  <c r="AZ23" i="6"/>
  <c r="F44" i="67" s="1"/>
  <c r="AZ24" i="6"/>
  <c r="F44" i="68" s="1"/>
  <c r="AZ25" i="6"/>
  <c r="F44" i="69" s="1"/>
  <c r="AZ26" i="6"/>
  <c r="F44" i="70" s="1"/>
  <c r="AZ27" i="6"/>
  <c r="F44" i="71" s="1"/>
  <c r="AZ28" i="6"/>
  <c r="F44" i="72" s="1"/>
  <c r="AZ29" i="6"/>
  <c r="F44" i="73" s="1"/>
  <c r="AZ30" i="6"/>
  <c r="F44" i="74" s="1"/>
  <c r="AZ31" i="6"/>
  <c r="AZ32" i="6"/>
  <c r="F44" i="76" s="1"/>
  <c r="AZ33" i="6"/>
  <c r="F44" i="77" s="1"/>
  <c r="AZ3" i="6"/>
  <c r="F44" i="78" s="1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" i="6"/>
  <c r="AW4" i="6"/>
  <c r="F43" i="79" s="1"/>
  <c r="AW5" i="6"/>
  <c r="F43" i="80" s="1"/>
  <c r="AW6" i="6"/>
  <c r="F43" i="81" s="1"/>
  <c r="AW7" i="6"/>
  <c r="F43" i="82" s="1"/>
  <c r="AW8" i="6"/>
  <c r="F43" i="83" s="1"/>
  <c r="AW9" i="6"/>
  <c r="F43" i="84" s="1"/>
  <c r="AW10" i="6"/>
  <c r="F43" i="85" s="1"/>
  <c r="AW11" i="6"/>
  <c r="F43" i="86" s="1"/>
  <c r="AW12" i="6"/>
  <c r="F43" i="87" s="1"/>
  <c r="AW13" i="6"/>
  <c r="F43" i="88" s="1"/>
  <c r="AW14" i="6"/>
  <c r="F43" i="89" s="1"/>
  <c r="AW15" i="6"/>
  <c r="F43" i="90" s="1"/>
  <c r="AW16" i="6"/>
  <c r="F43" i="91" s="1"/>
  <c r="AW17" i="6"/>
  <c r="F43" i="92" s="1"/>
  <c r="AW18" i="6"/>
  <c r="F43" i="93" s="1"/>
  <c r="AW19" i="6"/>
  <c r="F43" i="94" s="1"/>
  <c r="AW20" i="6"/>
  <c r="F43" i="95" s="1"/>
  <c r="AW21" i="6"/>
  <c r="F43" i="96" s="1"/>
  <c r="AW22" i="6"/>
  <c r="F43" i="42" s="1"/>
  <c r="AW23" i="6"/>
  <c r="F43" i="67" s="1"/>
  <c r="AW24" i="6"/>
  <c r="F43" i="68" s="1"/>
  <c r="AW25" i="6"/>
  <c r="F43" i="69" s="1"/>
  <c r="AW26" i="6"/>
  <c r="F43" i="70" s="1"/>
  <c r="AW27" i="6"/>
  <c r="F43" i="71" s="1"/>
  <c r="AW28" i="6"/>
  <c r="F43" i="72" s="1"/>
  <c r="AW29" i="6"/>
  <c r="F43" i="73" s="1"/>
  <c r="AW30" i="6"/>
  <c r="F43" i="74" s="1"/>
  <c r="AW31" i="6"/>
  <c r="AW32" i="6"/>
  <c r="F43" i="76" s="1"/>
  <c r="AW33" i="6"/>
  <c r="F43" i="77" s="1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" i="6"/>
  <c r="AT4" i="6"/>
  <c r="F41" i="79" s="1"/>
  <c r="AT5" i="6"/>
  <c r="F41" i="80" s="1"/>
  <c r="AT6" i="6"/>
  <c r="AT7" i="6"/>
  <c r="F41" i="82" s="1"/>
  <c r="AT8" i="6"/>
  <c r="F41" i="83" s="1"/>
  <c r="AT9" i="6"/>
  <c r="F41" i="84" s="1"/>
  <c r="AT10" i="6"/>
  <c r="AT11" i="6"/>
  <c r="F41" i="86" s="1"/>
  <c r="AT12" i="6"/>
  <c r="F41" i="87" s="1"/>
  <c r="AT13" i="6"/>
  <c r="F41" i="88" s="1"/>
  <c r="AT14" i="6"/>
  <c r="F41" i="89" s="1"/>
  <c r="AT15" i="6"/>
  <c r="F41" i="90" s="1"/>
  <c r="AT16" i="6"/>
  <c r="F41" i="91" s="1"/>
  <c r="AT17" i="6"/>
  <c r="F41" i="92" s="1"/>
  <c r="AT18" i="6"/>
  <c r="F41" i="93" s="1"/>
  <c r="AT19" i="6"/>
  <c r="F41" i="94" s="1"/>
  <c r="AT20" i="6"/>
  <c r="F41" i="95" s="1"/>
  <c r="AT21" i="6"/>
  <c r="F41" i="96" s="1"/>
  <c r="AT22" i="6"/>
  <c r="F41" i="42" s="1"/>
  <c r="AT23" i="6"/>
  <c r="AT24" i="6"/>
  <c r="F41" i="68" s="1"/>
  <c r="AT25" i="6"/>
  <c r="F41" i="69" s="1"/>
  <c r="AT26" i="6"/>
  <c r="F41" i="70" s="1"/>
  <c r="AT27" i="6"/>
  <c r="AT28" i="6"/>
  <c r="AT29" i="6"/>
  <c r="F41" i="73" s="1"/>
  <c r="AT30" i="6"/>
  <c r="F41" i="74" s="1"/>
  <c r="AT31" i="6"/>
  <c r="F41" i="75" s="1"/>
  <c r="AT32" i="6"/>
  <c r="F41" i="76" s="1"/>
  <c r="AT33" i="6"/>
  <c r="F41" i="77" s="1"/>
  <c r="AT3" i="6"/>
  <c r="F41" i="78" s="1"/>
  <c r="AR4" i="6"/>
  <c r="AR5" i="6"/>
  <c r="AR6" i="6"/>
  <c r="AR7" i="6"/>
  <c r="AR8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CG30" i="6" s="1"/>
  <c r="AR31" i="6"/>
  <c r="AR32" i="6"/>
  <c r="AR33" i="6"/>
  <c r="AR3" i="6"/>
  <c r="AQ4" i="6"/>
  <c r="AQ5" i="6"/>
  <c r="CT5" i="6" s="1"/>
  <c r="AQ6" i="6"/>
  <c r="CT6" i="6" s="1"/>
  <c r="AQ7" i="6"/>
  <c r="AQ8" i="6"/>
  <c r="AQ9" i="6"/>
  <c r="AQ10" i="6"/>
  <c r="AQ11" i="6"/>
  <c r="AQ12" i="6"/>
  <c r="CT12" i="6" s="1"/>
  <c r="AQ13" i="6"/>
  <c r="AQ14" i="6"/>
  <c r="AQ15" i="6"/>
  <c r="AQ16" i="6"/>
  <c r="AQ17" i="6"/>
  <c r="CT17" i="6" s="1"/>
  <c r="AQ18" i="6"/>
  <c r="CT18" i="6" s="1"/>
  <c r="AQ19" i="6"/>
  <c r="AQ20" i="6"/>
  <c r="AQ21" i="6"/>
  <c r="AQ22" i="6"/>
  <c r="AQ23" i="6"/>
  <c r="AQ24" i="6"/>
  <c r="CT24" i="6" s="1"/>
  <c r="AQ25" i="6"/>
  <c r="AQ26" i="6"/>
  <c r="AQ27" i="6"/>
  <c r="AQ28" i="6"/>
  <c r="AQ29" i="6"/>
  <c r="AQ30" i="6"/>
  <c r="CT30" i="6" s="1"/>
  <c r="AQ31" i="6"/>
  <c r="AQ32" i="6"/>
  <c r="AQ33" i="6"/>
  <c r="AQ3" i="6"/>
  <c r="S53" i="97"/>
  <c r="Q53" i="97"/>
  <c r="T40" i="97"/>
  <c r="S40" i="97"/>
  <c r="R40" i="97"/>
  <c r="Q40" i="97"/>
  <c r="N40" i="97"/>
  <c r="M40" i="97"/>
  <c r="T39" i="97"/>
  <c r="S39" i="97"/>
  <c r="R39" i="97"/>
  <c r="Q39" i="97"/>
  <c r="N39" i="97"/>
  <c r="M39" i="97"/>
  <c r="T38" i="97"/>
  <c r="S38" i="97"/>
  <c r="R38" i="97"/>
  <c r="Q38" i="97"/>
  <c r="N38" i="97"/>
  <c r="M38" i="97"/>
  <c r="T37" i="97"/>
  <c r="S37" i="97"/>
  <c r="R37" i="97"/>
  <c r="Q37" i="97"/>
  <c r="AA37" i="97" s="1"/>
  <c r="N37" i="97"/>
  <c r="M37" i="97"/>
  <c r="T36" i="97"/>
  <c r="AH36" i="97" s="1"/>
  <c r="S36" i="97"/>
  <c r="Q36" i="97"/>
  <c r="AA36" i="97" s="1"/>
  <c r="N36" i="97"/>
  <c r="M36" i="97"/>
  <c r="T35" i="97"/>
  <c r="AB35" i="97" s="1"/>
  <c r="R35" i="97"/>
  <c r="Q35" i="97"/>
  <c r="N35" i="97"/>
  <c r="M35" i="97"/>
  <c r="N34" i="97"/>
  <c r="M34" i="97"/>
  <c r="N33" i="97"/>
  <c r="M33" i="97"/>
  <c r="N32" i="97"/>
  <c r="M32" i="97"/>
  <c r="N31" i="97"/>
  <c r="M31" i="97"/>
  <c r="N30" i="97"/>
  <c r="M30" i="97"/>
  <c r="N29" i="97"/>
  <c r="M29" i="97"/>
  <c r="N27" i="97"/>
  <c r="M27" i="97"/>
  <c r="N25" i="97"/>
  <c r="M25" i="97"/>
  <c r="N24" i="97"/>
  <c r="M24" i="97"/>
  <c r="N23" i="97"/>
  <c r="M23" i="97"/>
  <c r="N22" i="97"/>
  <c r="M22" i="97"/>
  <c r="N20" i="97"/>
  <c r="M20" i="97"/>
  <c r="N19" i="97"/>
  <c r="M19" i="97"/>
  <c r="N18" i="97"/>
  <c r="M18" i="97"/>
  <c r="N17" i="97"/>
  <c r="M17" i="97"/>
  <c r="N16" i="97"/>
  <c r="M16" i="97"/>
  <c r="N15" i="97"/>
  <c r="M15" i="97"/>
  <c r="N14" i="97"/>
  <c r="M14" i="97"/>
  <c r="N13" i="97"/>
  <c r="M13" i="97"/>
  <c r="N12" i="97"/>
  <c r="M12" i="97"/>
  <c r="N11" i="97"/>
  <c r="M11" i="97"/>
  <c r="N10" i="97"/>
  <c r="M10" i="97"/>
  <c r="N9" i="97"/>
  <c r="M9" i="97"/>
  <c r="N8" i="97"/>
  <c r="M8" i="97"/>
  <c r="AP7" i="97"/>
  <c r="N7" i="97"/>
  <c r="N41" i="97" s="1"/>
  <c r="M7" i="97"/>
  <c r="I22" i="96" l="1"/>
  <c r="I22" i="76"/>
  <c r="F30" i="3"/>
  <c r="I22" i="74" s="1"/>
  <c r="F24" i="3"/>
  <c r="I22" i="68" s="1"/>
  <c r="CT29" i="6"/>
  <c r="CO29" i="6" s="1"/>
  <c r="CT23" i="6"/>
  <c r="CO23" i="6" s="1"/>
  <c r="CT3" i="6"/>
  <c r="CO3" i="6" s="1"/>
  <c r="AH35" i="97"/>
  <c r="CT11" i="6"/>
  <c r="CO11" i="6" s="1"/>
  <c r="AA35" i="97"/>
  <c r="AB36" i="97"/>
  <c r="AB37" i="97"/>
  <c r="AB38" i="97"/>
  <c r="AB39" i="97"/>
  <c r="CG31" i="6"/>
  <c r="AA38" i="97"/>
  <c r="AA40" i="97"/>
  <c r="CT28" i="6"/>
  <c r="CO28" i="6" s="1"/>
  <c r="CT22" i="6"/>
  <c r="CO22" i="6" s="1"/>
  <c r="CT16" i="6"/>
  <c r="CO16" i="6" s="1"/>
  <c r="CT10" i="6"/>
  <c r="CO10" i="6" s="1"/>
  <c r="CT4" i="6"/>
  <c r="CO4" i="6" s="1"/>
  <c r="AH37" i="97"/>
  <c r="AH38" i="97"/>
  <c r="AH39" i="97"/>
  <c r="AH40" i="97"/>
  <c r="CT33" i="6"/>
  <c r="CO33" i="6" s="1"/>
  <c r="CT27" i="6"/>
  <c r="CO27" i="6" s="1"/>
  <c r="CT21" i="6"/>
  <c r="CO21" i="6" s="1"/>
  <c r="CT15" i="6"/>
  <c r="CO15" i="6" s="1"/>
  <c r="CT9" i="6"/>
  <c r="CO9" i="6" s="1"/>
  <c r="CG28" i="6"/>
  <c r="AA39" i="97"/>
  <c r="AB40" i="97"/>
  <c r="H41" i="78"/>
  <c r="AQ24" i="97"/>
  <c r="CG29" i="6"/>
  <c r="CT32" i="6"/>
  <c r="CO32" i="6" s="1"/>
  <c r="CT26" i="6"/>
  <c r="CO26" i="6" s="1"/>
  <c r="CT20" i="6"/>
  <c r="CO20" i="6" s="1"/>
  <c r="CT14" i="6"/>
  <c r="CO14" i="6" s="1"/>
  <c r="CT8" i="6"/>
  <c r="CO8" i="6" s="1"/>
  <c r="CG33" i="6"/>
  <c r="CT31" i="6"/>
  <c r="CO31" i="6" s="1"/>
  <c r="CT25" i="6"/>
  <c r="CO25" i="6" s="1"/>
  <c r="CT19" i="6"/>
  <c r="CO19" i="6" s="1"/>
  <c r="CT13" i="6"/>
  <c r="CO13" i="6" s="1"/>
  <c r="CT7" i="6"/>
  <c r="CO7" i="6" s="1"/>
  <c r="CG32" i="6"/>
  <c r="BS28" i="6"/>
  <c r="J44" i="72"/>
  <c r="Q44" i="72" s="1"/>
  <c r="O41" i="97"/>
  <c r="M41" i="97"/>
  <c r="BS7" i="6"/>
  <c r="J44" i="82"/>
  <c r="E29" i="3"/>
  <c r="AH41" i="97"/>
  <c r="AH42" i="97" s="1"/>
  <c r="BS3" i="6"/>
  <c r="BU3" i="6" s="1"/>
  <c r="CO30" i="6"/>
  <c r="CO24" i="6"/>
  <c r="CO18" i="6"/>
  <c r="CO12" i="6"/>
  <c r="CO6" i="6"/>
  <c r="CO17" i="6"/>
  <c r="CO5" i="6"/>
  <c r="BS8" i="6"/>
  <c r="J44" i="83"/>
  <c r="AT20" i="97"/>
  <c r="J44" i="42"/>
  <c r="Q44" i="42" s="1"/>
  <c r="J44" i="85"/>
  <c r="BS10" i="6"/>
  <c r="J44" i="76"/>
  <c r="Q44" i="76" s="1"/>
  <c r="J44" i="95"/>
  <c r="Q44" i="95" s="1"/>
  <c r="J44" i="89"/>
  <c r="Q44" i="89" s="1"/>
  <c r="BS14" i="6"/>
  <c r="J44" i="75"/>
  <c r="J44" i="69"/>
  <c r="Q44" i="69" s="1"/>
  <c r="J44" i="88"/>
  <c r="Q44" i="88" s="1"/>
  <c r="BS13" i="6"/>
  <c r="J44" i="93"/>
  <c r="Q44" i="93" s="1"/>
  <c r="BS18" i="6"/>
  <c r="J44" i="87"/>
  <c r="BS12" i="6"/>
  <c r="J44" i="91"/>
  <c r="Q44" i="91" s="1"/>
  <c r="BS16" i="6"/>
  <c r="J44" i="96"/>
  <c r="J44" i="67"/>
  <c r="J44" i="92"/>
  <c r="BS17" i="6"/>
  <c r="N38" i="85"/>
  <c r="N38" i="86" s="1"/>
  <c r="J43" i="67"/>
  <c r="J41" i="77"/>
  <c r="J41" i="71"/>
  <c r="J41" i="96"/>
  <c r="J41" i="90"/>
  <c r="J43" i="72"/>
  <c r="Q43" i="72" s="1"/>
  <c r="J43" i="42"/>
  <c r="Q43" i="42" s="1"/>
  <c r="J43" i="91"/>
  <c r="Q43" i="91" s="1"/>
  <c r="J41" i="67"/>
  <c r="J43" i="93"/>
  <c r="Q43" i="93" s="1"/>
  <c r="J41" i="76"/>
  <c r="J41" i="70"/>
  <c r="J41" i="95"/>
  <c r="J41" i="89"/>
  <c r="Q41" i="89" s="1"/>
  <c r="J41" i="83"/>
  <c r="J43" i="77"/>
  <c r="Q43" i="77" s="1"/>
  <c r="J43" i="71"/>
  <c r="J43" i="96"/>
  <c r="Q43" i="96" s="1"/>
  <c r="J43" i="90"/>
  <c r="Q43" i="90" s="1"/>
  <c r="J41" i="86"/>
  <c r="J43" i="68"/>
  <c r="Q43" i="68" s="1"/>
  <c r="J43" i="87"/>
  <c r="Q43" i="87" s="1"/>
  <c r="J41" i="42"/>
  <c r="J41" i="91"/>
  <c r="J41" i="79"/>
  <c r="J43" i="73"/>
  <c r="Q43" i="73" s="1"/>
  <c r="J43" i="86"/>
  <c r="Q43" i="86" s="1"/>
  <c r="J41" i="75"/>
  <c r="J41" i="69"/>
  <c r="J41" i="94"/>
  <c r="Q41" i="94" s="1"/>
  <c r="J41" i="88"/>
  <c r="J41" i="82"/>
  <c r="J43" i="76"/>
  <c r="Q43" i="76" s="1"/>
  <c r="J43" i="70"/>
  <c r="Q43" i="70" s="1"/>
  <c r="J43" i="95"/>
  <c r="Q43" i="95" s="1"/>
  <c r="J43" i="89"/>
  <c r="Q43" i="89" s="1"/>
  <c r="J41" i="73"/>
  <c r="J41" i="92"/>
  <c r="Q41" i="92" s="1"/>
  <c r="J41" i="80"/>
  <c r="J43" i="74"/>
  <c r="Q43" i="74" s="1"/>
  <c r="J43" i="81"/>
  <c r="Q43" i="81" s="1"/>
  <c r="J41" i="72"/>
  <c r="J41" i="85"/>
  <c r="J43" i="92"/>
  <c r="Q43" i="92" s="1"/>
  <c r="J41" i="74"/>
  <c r="Q41" i="74" s="1"/>
  <c r="J41" i="68"/>
  <c r="J41" i="93"/>
  <c r="Q41" i="93" s="1"/>
  <c r="J41" i="81"/>
  <c r="J43" i="75"/>
  <c r="J43" i="69"/>
  <c r="Q43" i="69" s="1"/>
  <c r="J43" i="94"/>
  <c r="Q43" i="94" s="1"/>
  <c r="J43" i="88"/>
  <c r="Q43" i="88" s="1"/>
  <c r="G44" i="78"/>
  <c r="H44" i="78"/>
  <c r="J42" i="95"/>
  <c r="CR20" i="6"/>
  <c r="J42" i="75"/>
  <c r="CR31" i="6"/>
  <c r="J42" i="71"/>
  <c r="CR27" i="6"/>
  <c r="J42" i="67"/>
  <c r="J46" i="67" s="1"/>
  <c r="CR23" i="6"/>
  <c r="J42" i="94"/>
  <c r="CR19" i="6"/>
  <c r="J42" i="90"/>
  <c r="CR15" i="6"/>
  <c r="J42" i="86"/>
  <c r="CR11" i="6"/>
  <c r="J42" i="82"/>
  <c r="CR7" i="6"/>
  <c r="J42" i="72"/>
  <c r="CR28" i="6"/>
  <c r="J42" i="91"/>
  <c r="CR16" i="6"/>
  <c r="J42" i="79"/>
  <c r="CR4" i="6"/>
  <c r="J42" i="74"/>
  <c r="CR30" i="6"/>
  <c r="J42" i="70"/>
  <c r="CR26" i="6"/>
  <c r="J42" i="42"/>
  <c r="CR22" i="6"/>
  <c r="J42" i="93"/>
  <c r="J46" i="93" s="1"/>
  <c r="CR18" i="6"/>
  <c r="J42" i="89"/>
  <c r="CR14" i="6"/>
  <c r="CR10" i="6"/>
  <c r="J42" i="81"/>
  <c r="CR6" i="6"/>
  <c r="J42" i="76"/>
  <c r="CR32" i="6"/>
  <c r="J42" i="68"/>
  <c r="CR24" i="6"/>
  <c r="J42" i="87"/>
  <c r="CR12" i="6"/>
  <c r="J42" i="83"/>
  <c r="CR8" i="6"/>
  <c r="J42" i="73"/>
  <c r="CR29" i="6"/>
  <c r="J42" i="69"/>
  <c r="CR25" i="6"/>
  <c r="J42" i="96"/>
  <c r="CR21" i="6"/>
  <c r="J42" i="92"/>
  <c r="CR17" i="6"/>
  <c r="J42" i="88"/>
  <c r="CR13" i="6"/>
  <c r="J42" i="84"/>
  <c r="CR9" i="6"/>
  <c r="J42" i="80"/>
  <c r="CR5" i="6"/>
  <c r="J42" i="78"/>
  <c r="K42" i="78" s="1"/>
  <c r="CR3" i="6"/>
  <c r="J42" i="77"/>
  <c r="CR33" i="6"/>
  <c r="F42" i="77"/>
  <c r="F46" i="77" s="1"/>
  <c r="F42" i="76"/>
  <c r="F46" i="76" s="1"/>
  <c r="F42" i="72"/>
  <c r="F42" i="75"/>
  <c r="F42" i="71"/>
  <c r="AT34" i="97"/>
  <c r="J44" i="77"/>
  <c r="F42" i="67"/>
  <c r="F42" i="86"/>
  <c r="F46" i="86" s="1"/>
  <c r="F42" i="70"/>
  <c r="F46" i="70" s="1"/>
  <c r="F42" i="42"/>
  <c r="F46" i="42" s="1"/>
  <c r="F42" i="93"/>
  <c r="F46" i="93" s="1"/>
  <c r="F42" i="89"/>
  <c r="F46" i="89" s="1"/>
  <c r="F42" i="85"/>
  <c r="F42" i="81"/>
  <c r="F42" i="90"/>
  <c r="F46" i="90" s="1"/>
  <c r="F42" i="69"/>
  <c r="F46" i="69" s="1"/>
  <c r="F42" i="96"/>
  <c r="F46" i="96" s="1"/>
  <c r="F42" i="92"/>
  <c r="F46" i="92" s="1"/>
  <c r="F42" i="88"/>
  <c r="F46" i="88" s="1"/>
  <c r="F42" i="84"/>
  <c r="F46" i="84" s="1"/>
  <c r="F42" i="80"/>
  <c r="F46" i="80" s="1"/>
  <c r="F42" i="94"/>
  <c r="F46" i="94" s="1"/>
  <c r="F42" i="82"/>
  <c r="F46" i="82" s="1"/>
  <c r="F42" i="68"/>
  <c r="F46" i="68" s="1"/>
  <c r="F42" i="95"/>
  <c r="F46" i="95" s="1"/>
  <c r="F42" i="91"/>
  <c r="F46" i="91" s="1"/>
  <c r="F42" i="87"/>
  <c r="F46" i="87" s="1"/>
  <c r="F42" i="78"/>
  <c r="H42" i="78" s="1"/>
  <c r="F43" i="75"/>
  <c r="F41" i="71"/>
  <c r="F41" i="72"/>
  <c r="F42" i="73"/>
  <c r="F46" i="73" s="1"/>
  <c r="F42" i="74"/>
  <c r="F46" i="74" s="1"/>
  <c r="AT17" i="97"/>
  <c r="AS33" i="6"/>
  <c r="J44" i="73"/>
  <c r="J44" i="71"/>
  <c r="F44" i="75"/>
  <c r="J44" i="74"/>
  <c r="AT11" i="97"/>
  <c r="AT27" i="97"/>
  <c r="AV15" i="6"/>
  <c r="J44" i="68"/>
  <c r="J44" i="70"/>
  <c r="AV23" i="6"/>
  <c r="F41" i="67"/>
  <c r="J44" i="94"/>
  <c r="J44" i="90"/>
  <c r="H38" i="94"/>
  <c r="H38" i="95" s="1"/>
  <c r="H38" i="96" s="1"/>
  <c r="H38" i="42" s="1"/>
  <c r="H38" i="67" s="1"/>
  <c r="H38" i="68" s="1"/>
  <c r="H38" i="69" s="1"/>
  <c r="H38" i="70" s="1"/>
  <c r="H38" i="71" s="1"/>
  <c r="H38" i="72" s="1"/>
  <c r="H38" i="73" s="1"/>
  <c r="H38" i="74" s="1"/>
  <c r="H38" i="75" s="1"/>
  <c r="H38" i="76" s="1"/>
  <c r="H38" i="77" s="1"/>
  <c r="AS28" i="6"/>
  <c r="AS24" i="6"/>
  <c r="AS20" i="6"/>
  <c r="AS16" i="6"/>
  <c r="AS4" i="6"/>
  <c r="AV30" i="6"/>
  <c r="AV26" i="6"/>
  <c r="AV22" i="6"/>
  <c r="AV18" i="6"/>
  <c r="AV14" i="6"/>
  <c r="BB29" i="6"/>
  <c r="AS30" i="6"/>
  <c r="AS26" i="6"/>
  <c r="AS22" i="6"/>
  <c r="AS18" i="6"/>
  <c r="AS14" i="6"/>
  <c r="AV32" i="6"/>
  <c r="AV28" i="6"/>
  <c r="AV24" i="6"/>
  <c r="AV20" i="6"/>
  <c r="AV16" i="6"/>
  <c r="AV12" i="6"/>
  <c r="J41" i="87"/>
  <c r="AY33" i="6"/>
  <c r="AY29" i="6"/>
  <c r="AY25" i="6"/>
  <c r="AY21" i="6"/>
  <c r="AY17" i="6"/>
  <c r="AY13" i="6"/>
  <c r="AY5" i="6"/>
  <c r="AT22" i="97"/>
  <c r="AS25" i="6"/>
  <c r="AS12" i="6"/>
  <c r="AT10" i="97"/>
  <c r="J44" i="86"/>
  <c r="AT31" i="97"/>
  <c r="AT23" i="97"/>
  <c r="AT19" i="97"/>
  <c r="AT15" i="97"/>
  <c r="AT7" i="97"/>
  <c r="AT29" i="97"/>
  <c r="AT25" i="97"/>
  <c r="AS10" i="6"/>
  <c r="J42" i="85"/>
  <c r="AV4" i="6"/>
  <c r="AT18" i="97"/>
  <c r="AT14" i="97"/>
  <c r="AV7" i="6"/>
  <c r="AV10" i="6"/>
  <c r="F41" i="85"/>
  <c r="AV33" i="6"/>
  <c r="AY30" i="6"/>
  <c r="AY26" i="6"/>
  <c r="AY18" i="6"/>
  <c r="AY14" i="6"/>
  <c r="AY10" i="6"/>
  <c r="J43" i="85"/>
  <c r="AT9" i="97"/>
  <c r="AY22" i="6"/>
  <c r="F42" i="79"/>
  <c r="F46" i="79" s="1"/>
  <c r="BB3" i="6"/>
  <c r="BB22" i="6"/>
  <c r="BB18" i="6"/>
  <c r="BB14" i="6"/>
  <c r="BB10" i="6"/>
  <c r="AV13" i="6"/>
  <c r="AS6" i="6"/>
  <c r="AY32" i="6"/>
  <c r="AY28" i="6"/>
  <c r="AY24" i="6"/>
  <c r="AY20" i="6"/>
  <c r="AY16" i="6"/>
  <c r="AY12" i="6"/>
  <c r="AY8" i="6"/>
  <c r="J43" i="83"/>
  <c r="BB25" i="6"/>
  <c r="BB21" i="6"/>
  <c r="BB17" i="6"/>
  <c r="BB13" i="6"/>
  <c r="BB9" i="6"/>
  <c r="J44" i="84"/>
  <c r="BB5" i="6"/>
  <c r="AY9" i="6"/>
  <c r="J43" i="84"/>
  <c r="BB6" i="6"/>
  <c r="J44" i="81"/>
  <c r="AY31" i="6"/>
  <c r="AY27" i="6"/>
  <c r="AY23" i="6"/>
  <c r="AY19" i="6"/>
  <c r="AY15" i="6"/>
  <c r="AY11" i="6"/>
  <c r="AY7" i="6"/>
  <c r="J43" i="82"/>
  <c r="BB32" i="6"/>
  <c r="BB28" i="6"/>
  <c r="BB24" i="6"/>
  <c r="BB20" i="6"/>
  <c r="BB16" i="6"/>
  <c r="BB12" i="6"/>
  <c r="BB8" i="6"/>
  <c r="BB4" i="6"/>
  <c r="J43" i="80"/>
  <c r="Q43" i="80" s="1"/>
  <c r="AY6" i="6"/>
  <c r="AV8" i="6"/>
  <c r="AS8" i="6"/>
  <c r="F42" i="83"/>
  <c r="F46" i="83" s="1"/>
  <c r="AS31" i="6"/>
  <c r="AV6" i="6"/>
  <c r="F41" i="81"/>
  <c r="AV29" i="6"/>
  <c r="AV25" i="6"/>
  <c r="AV21" i="6"/>
  <c r="AV17" i="6"/>
  <c r="AV9" i="6"/>
  <c r="J41" i="84"/>
  <c r="BB23" i="6"/>
  <c r="BB7" i="6"/>
  <c r="J44" i="80"/>
  <c r="J43" i="78"/>
  <c r="L43" i="78" s="1"/>
  <c r="G41" i="78"/>
  <c r="H43" i="79"/>
  <c r="H43" i="80" s="1"/>
  <c r="H43" i="81" s="1"/>
  <c r="H43" i="82" s="1"/>
  <c r="H43" i="83" s="1"/>
  <c r="H43" i="84" s="1"/>
  <c r="H43" i="85" s="1"/>
  <c r="H43" i="86" s="1"/>
  <c r="H43" i="87" s="1"/>
  <c r="H43" i="88" s="1"/>
  <c r="H43" i="89" s="1"/>
  <c r="H43" i="90" s="1"/>
  <c r="H43" i="91" s="1"/>
  <c r="H43" i="92" s="1"/>
  <c r="H43" i="93" s="1"/>
  <c r="H43" i="94" s="1"/>
  <c r="H43" i="95" s="1"/>
  <c r="H43" i="96" s="1"/>
  <c r="H43" i="42" s="1"/>
  <c r="G43" i="78"/>
  <c r="G43" i="79" s="1"/>
  <c r="G43" i="80" s="1"/>
  <c r="G43" i="81" s="1"/>
  <c r="G43" i="82" s="1"/>
  <c r="G43" i="83" s="1"/>
  <c r="G43" i="84" s="1"/>
  <c r="G43" i="85" s="1"/>
  <c r="G43" i="86" s="1"/>
  <c r="G43" i="87" s="1"/>
  <c r="G43" i="88" s="1"/>
  <c r="G43" i="89" s="1"/>
  <c r="G43" i="90" s="1"/>
  <c r="AY3" i="6"/>
  <c r="J41" i="78"/>
  <c r="AT32" i="97"/>
  <c r="AT24" i="97"/>
  <c r="AT16" i="97"/>
  <c r="AT12" i="97"/>
  <c r="AT8" i="97"/>
  <c r="BB26" i="6"/>
  <c r="BB30" i="6"/>
  <c r="BB19" i="6"/>
  <c r="BB15" i="6"/>
  <c r="BB11" i="6"/>
  <c r="J44" i="79"/>
  <c r="J44" i="78"/>
  <c r="P38" i="78" s="1"/>
  <c r="AV5" i="6"/>
  <c r="AY4" i="6"/>
  <c r="J43" i="79"/>
  <c r="BB31" i="6"/>
  <c r="BB27" i="6"/>
  <c r="AX35" i="6"/>
  <c r="AV31" i="6"/>
  <c r="AV19" i="6"/>
  <c r="AV11" i="6"/>
  <c r="BA35" i="6"/>
  <c r="AZ34" i="6"/>
  <c r="BB33" i="6"/>
  <c r="AV27" i="6"/>
  <c r="AS27" i="6"/>
  <c r="BA34" i="6"/>
  <c r="AZ35" i="6"/>
  <c r="AU35" i="6"/>
  <c r="AS5" i="6"/>
  <c r="AS9" i="6"/>
  <c r="AS13" i="6"/>
  <c r="AS17" i="6"/>
  <c r="AS21" i="6"/>
  <c r="AQ35" i="6"/>
  <c r="AV3" i="6"/>
  <c r="AX34" i="6"/>
  <c r="AS32" i="6"/>
  <c r="AR35" i="6"/>
  <c r="AW34" i="6"/>
  <c r="AS7" i="6"/>
  <c r="AS11" i="6"/>
  <c r="AS15" i="6"/>
  <c r="AS19" i="6"/>
  <c r="AS23" i="6"/>
  <c r="AT35" i="6"/>
  <c r="AS29" i="6"/>
  <c r="AT34" i="6"/>
  <c r="AS3" i="6"/>
  <c r="AQ34" i="6"/>
  <c r="AU34" i="6"/>
  <c r="AR34" i="6"/>
  <c r="AW35" i="6"/>
  <c r="AM35" i="97"/>
  <c r="AG36" i="97"/>
  <c r="AR27" i="97"/>
  <c r="AR31" i="97"/>
  <c r="AS22" i="97"/>
  <c r="R33" i="3"/>
  <c r="S33" i="3" s="1"/>
  <c r="I21" i="77" s="1"/>
  <c r="AR34" i="97"/>
  <c r="AM37" i="97"/>
  <c r="AS9" i="97"/>
  <c r="AS10" i="97"/>
  <c r="AR12" i="97"/>
  <c r="AS19" i="97"/>
  <c r="AR23" i="97"/>
  <c r="AP20" i="97"/>
  <c r="AP8" i="97"/>
  <c r="R17" i="3"/>
  <c r="S17" i="3" s="1"/>
  <c r="I21" i="92" s="1"/>
  <c r="AS20" i="97"/>
  <c r="AR29" i="97"/>
  <c r="AR7" i="97"/>
  <c r="AS23" i="97"/>
  <c r="AS24" i="97"/>
  <c r="AR32" i="97"/>
  <c r="AM36" i="97"/>
  <c r="AS18" i="97"/>
  <c r="AR22" i="97"/>
  <c r="AR25" i="97"/>
  <c r="AR33" i="97"/>
  <c r="AG37" i="97"/>
  <c r="AS32" i="97"/>
  <c r="AN41" i="97"/>
  <c r="AS27" i="97"/>
  <c r="AS31" i="97"/>
  <c r="AM38" i="97"/>
  <c r="AG38" i="97"/>
  <c r="AM40" i="97"/>
  <c r="AG40" i="97"/>
  <c r="AS8" i="97"/>
  <c r="AR9" i="97"/>
  <c r="AR10" i="97"/>
  <c r="AR11" i="97"/>
  <c r="AS25" i="97"/>
  <c r="AS13" i="97"/>
  <c r="AS29" i="97"/>
  <c r="AS33" i="97"/>
  <c r="AM39" i="97"/>
  <c r="AG39" i="97"/>
  <c r="AR14" i="97"/>
  <c r="AR15" i="97"/>
  <c r="AR16" i="97"/>
  <c r="AR17" i="97"/>
  <c r="AR18" i="97"/>
  <c r="AR19" i="97"/>
  <c r="AR20" i="97"/>
  <c r="AR13" i="97"/>
  <c r="AS14" i="97"/>
  <c r="AS15" i="97"/>
  <c r="AS16" i="97"/>
  <c r="AS17" i="97"/>
  <c r="AG35" i="97"/>
  <c r="Q43" i="71" l="1"/>
  <c r="J46" i="76"/>
  <c r="F29" i="3"/>
  <c r="I22" i="73" s="1"/>
  <c r="J46" i="72"/>
  <c r="J46" i="73"/>
  <c r="J46" i="74"/>
  <c r="Q41" i="69"/>
  <c r="J46" i="69"/>
  <c r="J46" i="68"/>
  <c r="J46" i="75"/>
  <c r="Q41" i="70"/>
  <c r="J46" i="70"/>
  <c r="J46" i="71"/>
  <c r="F46" i="71"/>
  <c r="F46" i="75"/>
  <c r="F46" i="72"/>
  <c r="Q41" i="68"/>
  <c r="J46" i="94"/>
  <c r="Q44" i="67"/>
  <c r="Q44" i="96"/>
  <c r="Q41" i="95"/>
  <c r="J46" i="95"/>
  <c r="Q43" i="67"/>
  <c r="Q41" i="42"/>
  <c r="J46" i="42"/>
  <c r="Q41" i="96"/>
  <c r="J46" i="96"/>
  <c r="F46" i="67"/>
  <c r="Q44" i="92"/>
  <c r="J46" i="92"/>
  <c r="Q41" i="91"/>
  <c r="J46" i="91"/>
  <c r="Q41" i="90"/>
  <c r="J46" i="90"/>
  <c r="J46" i="88"/>
  <c r="F46" i="85"/>
  <c r="J46" i="86"/>
  <c r="J46" i="89"/>
  <c r="J46" i="87"/>
  <c r="J46" i="84"/>
  <c r="Q44" i="85"/>
  <c r="J46" i="85"/>
  <c r="F46" i="81"/>
  <c r="J46" i="81"/>
  <c r="J46" i="82"/>
  <c r="Q46" i="82" s="1"/>
  <c r="F46" i="78"/>
  <c r="J46" i="78"/>
  <c r="J46" i="80"/>
  <c r="J46" i="83"/>
  <c r="H46" i="78"/>
  <c r="L43" i="79"/>
  <c r="L43" i="80" s="1"/>
  <c r="L43" i="81" s="1"/>
  <c r="L43" i="82" s="1"/>
  <c r="H44" i="79"/>
  <c r="H44" i="80" s="1"/>
  <c r="H44" i="81" s="1"/>
  <c r="H44" i="82" s="1"/>
  <c r="H44" i="83" s="1"/>
  <c r="H44" i="84" s="1"/>
  <c r="H44" i="85" s="1"/>
  <c r="H44" i="86" s="1"/>
  <c r="G44" i="79"/>
  <c r="G44" i="80" s="1"/>
  <c r="G44" i="81" s="1"/>
  <c r="G44" i="82" s="1"/>
  <c r="G44" i="83" s="1"/>
  <c r="G44" i="84" s="1"/>
  <c r="G44" i="85" s="1"/>
  <c r="G44" i="86" s="1"/>
  <c r="J46" i="79"/>
  <c r="AF24" i="97"/>
  <c r="AL24" i="97" s="1"/>
  <c r="AL32" i="97"/>
  <c r="AF25" i="97"/>
  <c r="AL25" i="97" s="1"/>
  <c r="AF16" i="97"/>
  <c r="AL16" i="97" s="1"/>
  <c r="AF10" i="97"/>
  <c r="AL10" i="97" s="1"/>
  <c r="AL27" i="97"/>
  <c r="AF18" i="97"/>
  <c r="AL18" i="97" s="1"/>
  <c r="AF13" i="97"/>
  <c r="AL13" i="97" s="1"/>
  <c r="AF8" i="97"/>
  <c r="AL8" i="97" s="1"/>
  <c r="AF7" i="97"/>
  <c r="AL7" i="97" s="1"/>
  <c r="Q41" i="77"/>
  <c r="J46" i="77"/>
  <c r="Q46" i="77" s="1"/>
  <c r="AL31" i="97"/>
  <c r="AQ23" i="97"/>
  <c r="AF23" i="97"/>
  <c r="AL23" i="97" s="1"/>
  <c r="AF19" i="97"/>
  <c r="AL19" i="97" s="1"/>
  <c r="AF12" i="97"/>
  <c r="AL12" i="97" s="1"/>
  <c r="AF14" i="97"/>
  <c r="AL14" i="97" s="1"/>
  <c r="AL30" i="97"/>
  <c r="AQ22" i="97"/>
  <c r="AF22" i="97"/>
  <c r="AL22" i="97" s="1"/>
  <c r="AF11" i="97"/>
  <c r="AL11" i="97" s="1"/>
  <c r="AL29" i="97"/>
  <c r="AF15" i="97"/>
  <c r="AL15" i="97" s="1"/>
  <c r="Q41" i="76"/>
  <c r="AF20" i="97"/>
  <c r="AL20" i="97" s="1"/>
  <c r="AF17" i="97"/>
  <c r="AL17" i="97" s="1"/>
  <c r="AF9" i="97"/>
  <c r="AL9" i="97" s="1"/>
  <c r="Q41" i="75"/>
  <c r="AT33" i="97"/>
  <c r="AL33" i="97"/>
  <c r="Q41" i="73"/>
  <c r="Q46" i="73"/>
  <c r="AO41" i="97"/>
  <c r="AM41" i="97"/>
  <c r="Q41" i="80"/>
  <c r="Q46" i="84"/>
  <c r="Q41" i="86"/>
  <c r="Q41" i="88"/>
  <c r="Q41" i="79"/>
  <c r="Q46" i="79"/>
  <c r="AC41" i="97"/>
  <c r="AG41" i="97"/>
  <c r="AR30" i="97"/>
  <c r="AT30" i="97"/>
  <c r="AD41" i="97"/>
  <c r="AD42" i="97" s="1"/>
  <c r="AT13" i="97"/>
  <c r="AT41" i="97" s="1"/>
  <c r="Q41" i="83"/>
  <c r="Q44" i="87"/>
  <c r="CT34" i="6"/>
  <c r="AL34" i="97"/>
  <c r="AS30" i="97"/>
  <c r="Q42" i="72"/>
  <c r="AR24" i="97"/>
  <c r="AF40" i="97"/>
  <c r="AK40" i="97" s="1"/>
  <c r="AF38" i="97"/>
  <c r="AK38" i="97" s="1"/>
  <c r="AQ7" i="97"/>
  <c r="AQ8" i="97"/>
  <c r="AQ14" i="97"/>
  <c r="AQ10" i="97"/>
  <c r="AQ12" i="97"/>
  <c r="AQ11" i="97"/>
  <c r="EL5" i="1"/>
  <c r="Q41" i="72"/>
  <c r="AL35" i="97"/>
  <c r="AQ25" i="97"/>
  <c r="Q38" i="83"/>
  <c r="AQ15" i="97"/>
  <c r="AQ20" i="97"/>
  <c r="AQ9" i="97"/>
  <c r="Q41" i="82"/>
  <c r="AQ33" i="97"/>
  <c r="AQ32" i="97"/>
  <c r="AQ18" i="97"/>
  <c r="AF36" i="97"/>
  <c r="AL36" i="97" s="1"/>
  <c r="AQ31" i="97"/>
  <c r="AF39" i="97"/>
  <c r="AK39" i="97" s="1"/>
  <c r="AQ16" i="97"/>
  <c r="AQ13" i="97"/>
  <c r="AQ29" i="97"/>
  <c r="AQ30" i="97"/>
  <c r="AF37" i="97"/>
  <c r="AL37" i="97" s="1"/>
  <c r="AQ19" i="97"/>
  <c r="N38" i="87"/>
  <c r="N38" i="88" s="1"/>
  <c r="N38" i="89" s="1"/>
  <c r="AQ17" i="97"/>
  <c r="AS12" i="97"/>
  <c r="Q41" i="85"/>
  <c r="AS11" i="97"/>
  <c r="AR8" i="97"/>
  <c r="AS7" i="97"/>
  <c r="Q41" i="67"/>
  <c r="Q42" i="92"/>
  <c r="Q43" i="75"/>
  <c r="AQ34" i="97"/>
  <c r="AS34" i="97"/>
  <c r="L42" i="78"/>
  <c r="L42" i="79" s="1"/>
  <c r="Q42" i="67"/>
  <c r="Q42" i="85"/>
  <c r="Q42" i="81"/>
  <c r="BS35" i="6"/>
  <c r="AQ27" i="97"/>
  <c r="Q42" i="94"/>
  <c r="Q42" i="83"/>
  <c r="Q42" i="71"/>
  <c r="Q42" i="73"/>
  <c r="AR41" i="97"/>
  <c r="AR42" i="97" s="1"/>
  <c r="Q42" i="75"/>
  <c r="Q42" i="87"/>
  <c r="Q42" i="91"/>
  <c r="G42" i="78"/>
  <c r="G46" i="78" s="1"/>
  <c r="K42" i="79"/>
  <c r="BB34" i="6"/>
  <c r="Q42" i="84"/>
  <c r="Q42" i="69"/>
  <c r="Q42" i="77"/>
  <c r="Q42" i="76"/>
  <c r="Q42" i="42"/>
  <c r="Q42" i="93"/>
  <c r="Q42" i="86"/>
  <c r="Q42" i="89"/>
  <c r="Q42" i="68"/>
  <c r="Q42" i="90"/>
  <c r="Q42" i="95"/>
  <c r="Q44" i="77"/>
  <c r="Q41" i="71"/>
  <c r="Q42" i="88"/>
  <c r="Q42" i="70"/>
  <c r="Q42" i="82"/>
  <c r="Q42" i="80"/>
  <c r="Q42" i="96"/>
  <c r="Q42" i="74"/>
  <c r="Q44" i="80"/>
  <c r="Q44" i="79"/>
  <c r="Q44" i="71"/>
  <c r="Q44" i="75"/>
  <c r="Q44" i="74"/>
  <c r="Q44" i="73"/>
  <c r="Q44" i="70"/>
  <c r="Q44" i="68"/>
  <c r="G43" i="91"/>
  <c r="G43" i="92" s="1"/>
  <c r="G43" i="93" s="1"/>
  <c r="G43" i="94" s="1"/>
  <c r="G43" i="95" s="1"/>
  <c r="G43" i="96" s="1"/>
  <c r="G43" i="42" s="1"/>
  <c r="Q44" i="90"/>
  <c r="Q44" i="94"/>
  <c r="Q41" i="87"/>
  <c r="Q44" i="86"/>
  <c r="H42" i="79"/>
  <c r="Q43" i="85"/>
  <c r="Q42" i="79"/>
  <c r="BR4" i="6"/>
  <c r="BU4" i="6" s="1"/>
  <c r="Q44" i="82"/>
  <c r="Q44" i="81"/>
  <c r="BS34" i="6"/>
  <c r="Q44" i="83"/>
  <c r="Q41" i="81"/>
  <c r="Q43" i="84"/>
  <c r="Q43" i="82"/>
  <c r="Q41" i="84"/>
  <c r="Q44" i="84"/>
  <c r="Q43" i="83"/>
  <c r="Q43" i="79"/>
  <c r="K43" i="78"/>
  <c r="K43" i="79" s="1"/>
  <c r="H41" i="79"/>
  <c r="L41" i="78"/>
  <c r="K41" i="78"/>
  <c r="G41" i="79"/>
  <c r="Q44" i="78"/>
  <c r="L44" i="78"/>
  <c r="L44" i="79" s="1"/>
  <c r="L44" i="80" s="1"/>
  <c r="K44" i="78"/>
  <c r="K44" i="79" s="1"/>
  <c r="K44" i="80" s="1"/>
  <c r="AV34" i="6"/>
  <c r="AY34" i="6"/>
  <c r="AS34" i="6"/>
  <c r="AP25" i="97"/>
  <c r="AP41" i="97" s="1"/>
  <c r="K27" i="55"/>
  <c r="K28" i="55"/>
  <c r="L43" i="83" l="1"/>
  <c r="G43" i="67"/>
  <c r="N38" i="90"/>
  <c r="N38" i="91" s="1"/>
  <c r="H44" i="87"/>
  <c r="H44" i="88" s="1"/>
  <c r="H44" i="89" s="1"/>
  <c r="H44" i="90" s="1"/>
  <c r="G44" i="87"/>
  <c r="G44" i="88" s="1"/>
  <c r="G44" i="89" s="1"/>
  <c r="G44" i="90" s="1"/>
  <c r="L46" i="78"/>
  <c r="K43" i="80"/>
  <c r="K43" i="81" s="1"/>
  <c r="K43" i="82" s="1"/>
  <c r="K46" i="78"/>
  <c r="H42" i="80"/>
  <c r="H46" i="79"/>
  <c r="L42" i="80"/>
  <c r="K42" i="80"/>
  <c r="Q46" i="75"/>
  <c r="AS41" i="97"/>
  <c r="AQ41" i="97"/>
  <c r="K41" i="79"/>
  <c r="K46" i="79" s="1"/>
  <c r="Q46" i="87"/>
  <c r="Q46" i="95"/>
  <c r="Q46" i="69"/>
  <c r="Q46" i="93"/>
  <c r="Q46" i="70"/>
  <c r="Q46" i="88"/>
  <c r="Q46" i="89"/>
  <c r="Q46" i="96"/>
  <c r="Q46" i="80"/>
  <c r="Q46" i="68"/>
  <c r="Q46" i="90"/>
  <c r="Q46" i="76"/>
  <c r="Q46" i="42"/>
  <c r="Q46" i="86"/>
  <c r="EV5" i="1"/>
  <c r="EU5" i="1"/>
  <c r="AF41" i="97"/>
  <c r="L38" i="85"/>
  <c r="L38" i="86" s="1"/>
  <c r="L38" i="87" s="1"/>
  <c r="L38" i="88" s="1"/>
  <c r="L38" i="89" s="1"/>
  <c r="AK37" i="97"/>
  <c r="AK35" i="97"/>
  <c r="AK13" i="97"/>
  <c r="AK29" i="97"/>
  <c r="AK22" i="97"/>
  <c r="AK23" i="97"/>
  <c r="Q46" i="91"/>
  <c r="Q46" i="92"/>
  <c r="Q46" i="67"/>
  <c r="BR5" i="6"/>
  <c r="BU5" i="6" s="1"/>
  <c r="I38" i="79"/>
  <c r="P38" i="79" s="1"/>
  <c r="L41" i="79"/>
  <c r="L41" i="80" s="1"/>
  <c r="L41" i="81" s="1"/>
  <c r="L41" i="82" s="1"/>
  <c r="L41" i="83" s="1"/>
  <c r="AK34" i="97"/>
  <c r="Q46" i="71"/>
  <c r="G42" i="79"/>
  <c r="Q46" i="94"/>
  <c r="Q46" i="72"/>
  <c r="Q46" i="81"/>
  <c r="Q46" i="74"/>
  <c r="Q46" i="83"/>
  <c r="Q46" i="85"/>
  <c r="AK12" i="97"/>
  <c r="AK33" i="97"/>
  <c r="AK7" i="97"/>
  <c r="G41" i="80"/>
  <c r="H41" i="80"/>
  <c r="I46" i="79"/>
  <c r="AK24" i="97"/>
  <c r="AK32" i="97"/>
  <c r="AK27" i="97"/>
  <c r="AK36" i="97"/>
  <c r="AK11" i="97"/>
  <c r="AK14" i="97"/>
  <c r="AK25" i="97"/>
  <c r="AK31" i="97"/>
  <c r="AK10" i="97"/>
  <c r="AK9" i="97"/>
  <c r="AK16" i="97"/>
  <c r="AK20" i="97"/>
  <c r="AK17" i="97"/>
  <c r="AK19" i="97"/>
  <c r="AK8" i="97"/>
  <c r="AK30" i="97"/>
  <c r="AK15" i="97"/>
  <c r="AK18" i="97"/>
  <c r="K43" i="83" l="1"/>
  <c r="K43" i="84" s="1"/>
  <c r="K43" i="85" s="1"/>
  <c r="K43" i="86" s="1"/>
  <c r="K43" i="87" s="1"/>
  <c r="K43" i="88" s="1"/>
  <c r="K43" i="89" s="1"/>
  <c r="K43" i="90" s="1"/>
  <c r="K43" i="91" s="1"/>
  <c r="K43" i="92" s="1"/>
  <c r="K43" i="93" s="1"/>
  <c r="K43" i="94" s="1"/>
  <c r="K43" i="95" s="1"/>
  <c r="K43" i="96" s="1"/>
  <c r="K43" i="42" s="1"/>
  <c r="K43" i="67" s="1"/>
  <c r="L43" i="84"/>
  <c r="L43" i="85" s="1"/>
  <c r="L43" i="86" s="1"/>
  <c r="L43" i="87" s="1"/>
  <c r="L43" i="88" s="1"/>
  <c r="L43" i="89" s="1"/>
  <c r="L43" i="90" s="1"/>
  <c r="L43" i="91" s="1"/>
  <c r="L43" i="92" s="1"/>
  <c r="L43" i="93" s="1"/>
  <c r="L43" i="94" s="1"/>
  <c r="L43" i="95" s="1"/>
  <c r="L43" i="96" s="1"/>
  <c r="L43" i="42" s="1"/>
  <c r="L43" i="67" s="1"/>
  <c r="L43" i="68" s="1"/>
  <c r="L43" i="69" s="1"/>
  <c r="L43" i="70" s="1"/>
  <c r="L41" i="84"/>
  <c r="L41" i="85" s="1"/>
  <c r="L41" i="86" s="1"/>
  <c r="G43" i="68"/>
  <c r="G43" i="69" s="1"/>
  <c r="G43" i="70" s="1"/>
  <c r="N38" i="92"/>
  <c r="N38" i="93" s="1"/>
  <c r="N38" i="94" s="1"/>
  <c r="L38" i="90"/>
  <c r="L38" i="91" s="1"/>
  <c r="G44" i="91"/>
  <c r="H44" i="91"/>
  <c r="H44" i="92" s="1"/>
  <c r="H44" i="93" s="1"/>
  <c r="L46" i="79"/>
  <c r="G42" i="80"/>
  <c r="G46" i="79"/>
  <c r="H42" i="81"/>
  <c r="H46" i="80"/>
  <c r="K42" i="81"/>
  <c r="L42" i="81"/>
  <c r="L46" i="80"/>
  <c r="K41" i="80"/>
  <c r="K46" i="80" s="1"/>
  <c r="K38" i="85"/>
  <c r="K38" i="86" s="1"/>
  <c r="K38" i="87" s="1"/>
  <c r="K38" i="88" s="1"/>
  <c r="K38" i="89" s="1"/>
  <c r="AK41" i="97"/>
  <c r="AL41" i="97"/>
  <c r="BR6" i="6"/>
  <c r="BU6" i="6" s="1"/>
  <c r="I38" i="80"/>
  <c r="P38" i="80" s="1"/>
  <c r="H41" i="81"/>
  <c r="L44" i="81"/>
  <c r="L44" i="82" s="1"/>
  <c r="L44" i="83" s="1"/>
  <c r="L44" i="84" s="1"/>
  <c r="G41" i="81"/>
  <c r="I46" i="80"/>
  <c r="G43" i="77" l="1"/>
  <c r="L43" i="71"/>
  <c r="L43" i="72" s="1"/>
  <c r="L43" i="73" s="1"/>
  <c r="L43" i="74" s="1"/>
  <c r="L43" i="75" s="1"/>
  <c r="L43" i="76" s="1"/>
  <c r="L43" i="77" s="1"/>
  <c r="K43" i="68"/>
  <c r="K43" i="69" s="1"/>
  <c r="K43" i="70" s="1"/>
  <c r="K43" i="71" s="1"/>
  <c r="K43" i="72" s="1"/>
  <c r="K43" i="73" s="1"/>
  <c r="H44" i="94"/>
  <c r="H44" i="95" s="1"/>
  <c r="N38" i="95"/>
  <c r="N38" i="96" s="1"/>
  <c r="N38" i="42" s="1"/>
  <c r="N38" i="67" s="1"/>
  <c r="G44" i="92"/>
  <c r="G44" i="93" s="1"/>
  <c r="L38" i="92"/>
  <c r="L38" i="93" s="1"/>
  <c r="L38" i="94" s="1"/>
  <c r="L41" i="87"/>
  <c r="L41" i="88" s="1"/>
  <c r="L41" i="89" s="1"/>
  <c r="L41" i="90" s="1"/>
  <c r="L41" i="91" s="1"/>
  <c r="K38" i="90"/>
  <c r="K38" i="91" s="1"/>
  <c r="H42" i="82"/>
  <c r="H46" i="81"/>
  <c r="G42" i="81"/>
  <c r="G46" i="80"/>
  <c r="L42" i="82"/>
  <c r="L42" i="83" s="1"/>
  <c r="L46" i="81"/>
  <c r="K42" i="82"/>
  <c r="K42" i="83" s="1"/>
  <c r="K41" i="81"/>
  <c r="BR7" i="6"/>
  <c r="BU7" i="6" s="1"/>
  <c r="I38" i="81"/>
  <c r="P38" i="81" s="1"/>
  <c r="G41" i="82"/>
  <c r="H41" i="82"/>
  <c r="K44" i="81"/>
  <c r="K44" i="82" s="1"/>
  <c r="K44" i="83" s="1"/>
  <c r="K44" i="84" s="1"/>
  <c r="L46" i="83" l="1"/>
  <c r="L42" i="84"/>
  <c r="L46" i="84" s="1"/>
  <c r="N38" i="68"/>
  <c r="N38" i="69" s="1"/>
  <c r="N38" i="70" s="1"/>
  <c r="N38" i="71" s="1"/>
  <c r="N38" i="72" s="1"/>
  <c r="N38" i="73" s="1"/>
  <c r="K43" i="74"/>
  <c r="K43" i="75" s="1"/>
  <c r="K43" i="76" s="1"/>
  <c r="K43" i="77" s="1"/>
  <c r="L38" i="95"/>
  <c r="L38" i="96" s="1"/>
  <c r="L38" i="42" s="1"/>
  <c r="L38" i="67" s="1"/>
  <c r="G44" i="94"/>
  <c r="G44" i="95" s="1"/>
  <c r="H44" i="96"/>
  <c r="H44" i="42" s="1"/>
  <c r="K38" i="92"/>
  <c r="K38" i="93" s="1"/>
  <c r="K38" i="94" s="1"/>
  <c r="K46" i="81"/>
  <c r="G42" i="82"/>
  <c r="G46" i="81"/>
  <c r="H46" i="82"/>
  <c r="H42" i="83"/>
  <c r="L46" i="82"/>
  <c r="K41" i="82"/>
  <c r="K46" i="82" s="1"/>
  <c r="BR8" i="6"/>
  <c r="BU8" i="6" s="1"/>
  <c r="I38" i="82"/>
  <c r="P38" i="82" s="1"/>
  <c r="L41" i="92"/>
  <c r="H41" i="83"/>
  <c r="G41" i="83"/>
  <c r="N38" i="74" l="1"/>
  <c r="N38" i="75" s="1"/>
  <c r="N38" i="76" s="1"/>
  <c r="N38" i="77" s="1"/>
  <c r="L38" i="68"/>
  <c r="L38" i="69" s="1"/>
  <c r="L38" i="70" s="1"/>
  <c r="L38" i="71" s="1"/>
  <c r="L38" i="72" s="1"/>
  <c r="L38" i="73" s="1"/>
  <c r="G44" i="96"/>
  <c r="G44" i="42" s="1"/>
  <c r="G44" i="67" s="1"/>
  <c r="K38" i="95"/>
  <c r="K38" i="96" s="1"/>
  <c r="K38" i="42" s="1"/>
  <c r="K38" i="67" s="1"/>
  <c r="H46" i="83"/>
  <c r="H42" i="84"/>
  <c r="G42" i="83"/>
  <c r="G46" i="82"/>
  <c r="K42" i="84"/>
  <c r="K41" i="83"/>
  <c r="BR9" i="6"/>
  <c r="BU9" i="6" s="1"/>
  <c r="I38" i="83"/>
  <c r="P38" i="83" s="1"/>
  <c r="L41" i="93"/>
  <c r="G41" i="84"/>
  <c r="H41" i="84"/>
  <c r="K41" i="84" l="1"/>
  <c r="K46" i="84" s="1"/>
  <c r="K46" i="83"/>
  <c r="G44" i="68"/>
  <c r="G44" i="69" s="1"/>
  <c r="G44" i="70" s="1"/>
  <c r="K38" i="68"/>
  <c r="K38" i="69" s="1"/>
  <c r="K38" i="70" s="1"/>
  <c r="K38" i="71" s="1"/>
  <c r="K38" i="72" s="1"/>
  <c r="K38" i="73" s="1"/>
  <c r="L38" i="74"/>
  <c r="L38" i="75" s="1"/>
  <c r="L38" i="76" s="1"/>
  <c r="L38" i="77" s="1"/>
  <c r="H42" i="85"/>
  <c r="H46" i="84"/>
  <c r="G46" i="83"/>
  <c r="G42" i="84"/>
  <c r="K42" i="85"/>
  <c r="K42" i="86" s="1"/>
  <c r="K42" i="87" s="1"/>
  <c r="L42" i="85"/>
  <c r="L42" i="86" s="1"/>
  <c r="BR10" i="6"/>
  <c r="BU10" i="6" s="1"/>
  <c r="I38" i="84"/>
  <c r="P38" i="84" s="1"/>
  <c r="L41" i="94"/>
  <c r="H41" i="85"/>
  <c r="L44" i="85"/>
  <c r="G41" i="85"/>
  <c r="AH8" i="2"/>
  <c r="G44" i="77" l="1"/>
  <c r="K41" i="85"/>
  <c r="K41" i="86" s="1"/>
  <c r="K41" i="87" s="1"/>
  <c r="K41" i="88" s="1"/>
  <c r="K41" i="89" s="1"/>
  <c r="K41" i="90" s="1"/>
  <c r="K38" i="74"/>
  <c r="K38" i="75" s="1"/>
  <c r="K38" i="76" s="1"/>
  <c r="K38" i="77" s="1"/>
  <c r="L42" i="87"/>
  <c r="L42" i="88" s="1"/>
  <c r="L46" i="85"/>
  <c r="L44" i="86"/>
  <c r="L44" i="87" s="1"/>
  <c r="K41" i="91"/>
  <c r="K42" i="88"/>
  <c r="H42" i="86"/>
  <c r="H42" i="87" s="1"/>
  <c r="H46" i="85"/>
  <c r="G42" i="85"/>
  <c r="G46" i="84"/>
  <c r="BR11" i="6"/>
  <c r="BU11" i="6" s="1"/>
  <c r="I38" i="85"/>
  <c r="P38" i="85" s="1"/>
  <c r="L41" i="95"/>
  <c r="K44" i="85"/>
  <c r="G41" i="86"/>
  <c r="H41" i="86"/>
  <c r="L46" i="87" l="1"/>
  <c r="K41" i="92"/>
  <c r="K41" i="93" s="1"/>
  <c r="K41" i="94" s="1"/>
  <c r="H46" i="86"/>
  <c r="K46" i="85"/>
  <c r="K44" i="86"/>
  <c r="L46" i="86"/>
  <c r="H42" i="88"/>
  <c r="L42" i="89"/>
  <c r="K42" i="89"/>
  <c r="G42" i="86"/>
  <c r="G42" i="87" s="1"/>
  <c r="G46" i="85"/>
  <c r="BR12" i="6"/>
  <c r="BU12" i="6" s="1"/>
  <c r="I38" i="86"/>
  <c r="P38" i="86" s="1"/>
  <c r="L41" i="96"/>
  <c r="K41" i="95"/>
  <c r="H41" i="87"/>
  <c r="H46" i="87" s="1"/>
  <c r="G41" i="87"/>
  <c r="E28" i="3"/>
  <c r="F28" i="3" l="1"/>
  <c r="I22" i="72" s="1"/>
  <c r="L41" i="42"/>
  <c r="G46" i="86"/>
  <c r="K44" i="87"/>
  <c r="K46" i="87" s="1"/>
  <c r="K46" i="86"/>
  <c r="G42" i="88"/>
  <c r="G46" i="87"/>
  <c r="H42" i="89"/>
  <c r="K42" i="90"/>
  <c r="L42" i="90"/>
  <c r="BR13" i="6"/>
  <c r="BU13" i="6" s="1"/>
  <c r="I38" i="87"/>
  <c r="P38" i="87" s="1"/>
  <c r="G41" i="88"/>
  <c r="K41" i="96"/>
  <c r="L44" i="88"/>
  <c r="L46" i="88" s="1"/>
  <c r="H41" i="88"/>
  <c r="H46" i="88" s="1"/>
  <c r="AE35" i="2"/>
  <c r="L41" i="67" l="1"/>
  <c r="L41" i="68" s="1"/>
  <c r="K42" i="91"/>
  <c r="L42" i="91"/>
  <c r="H42" i="90"/>
  <c r="H42" i="91" s="1"/>
  <c r="H42" i="92" s="1"/>
  <c r="G42" i="89"/>
  <c r="G46" i="88"/>
  <c r="I38" i="88"/>
  <c r="P38" i="88" s="1"/>
  <c r="BR14" i="6"/>
  <c r="BU14" i="6" s="1"/>
  <c r="L44" i="89"/>
  <c r="K44" i="88"/>
  <c r="K46" i="88" s="1"/>
  <c r="H41" i="89"/>
  <c r="H46" i="89" s="1"/>
  <c r="K41" i="42"/>
  <c r="G41" i="89"/>
  <c r="L41" i="69" l="1"/>
  <c r="K41" i="67"/>
  <c r="K41" i="68" s="1"/>
  <c r="K41" i="69" s="1"/>
  <c r="H42" i="93"/>
  <c r="L46" i="89"/>
  <c r="L44" i="90"/>
  <c r="L46" i="90" s="1"/>
  <c r="L42" i="92"/>
  <c r="K42" i="92"/>
  <c r="G42" i="90"/>
  <c r="G42" i="91" s="1"/>
  <c r="G42" i="92" s="1"/>
  <c r="G46" i="89"/>
  <c r="I38" i="89"/>
  <c r="P38" i="89" s="1"/>
  <c r="BR15" i="6"/>
  <c r="BU15" i="6" s="1"/>
  <c r="K44" i="89"/>
  <c r="G41" i="90"/>
  <c r="H41" i="90"/>
  <c r="H46" i="90" s="1"/>
  <c r="C34" i="64"/>
  <c r="AI9" i="2"/>
  <c r="AZ9" i="2" s="1"/>
  <c r="BA9" i="2" s="1"/>
  <c r="L41" i="70" l="1"/>
  <c r="G46" i="90"/>
  <c r="H42" i="94"/>
  <c r="G42" i="93"/>
  <c r="K42" i="93"/>
  <c r="L42" i="93"/>
  <c r="K46" i="89"/>
  <c r="K44" i="90"/>
  <c r="K46" i="90" s="1"/>
  <c r="I38" i="90"/>
  <c r="BR16" i="6"/>
  <c r="BU16" i="6" s="1"/>
  <c r="AU9" i="2"/>
  <c r="K41" i="70"/>
  <c r="K41" i="71" s="1"/>
  <c r="K41" i="72" s="1"/>
  <c r="K41" i="73" s="1"/>
  <c r="L44" i="91"/>
  <c r="G41" i="91"/>
  <c r="G46" i="91" s="1"/>
  <c r="H41" i="91"/>
  <c r="H46" i="91" s="1"/>
  <c r="Z26" i="6"/>
  <c r="W26" i="55" s="1"/>
  <c r="L41" i="71" l="1"/>
  <c r="H42" i="95"/>
  <c r="L46" i="91"/>
  <c r="L44" i="92"/>
  <c r="L46" i="92" s="1"/>
  <c r="G42" i="94"/>
  <c r="L42" i="94"/>
  <c r="K42" i="94"/>
  <c r="K41" i="74"/>
  <c r="K41" i="75" s="1"/>
  <c r="BR17" i="6"/>
  <c r="BU17" i="6" s="1"/>
  <c r="I38" i="91"/>
  <c r="P38" i="91" s="1"/>
  <c r="G41" i="92"/>
  <c r="G46" i="92" s="1"/>
  <c r="K44" i="91"/>
  <c r="H41" i="92"/>
  <c r="H46" i="92" s="1"/>
  <c r="L41" i="72" l="1"/>
  <c r="K41" i="76"/>
  <c r="G42" i="95"/>
  <c r="H42" i="96"/>
  <c r="H42" i="42" s="1"/>
  <c r="K42" i="95"/>
  <c r="L42" i="95"/>
  <c r="K46" i="91"/>
  <c r="K44" i="92"/>
  <c r="K46" i="92" s="1"/>
  <c r="I38" i="92"/>
  <c r="P38" i="92" s="1"/>
  <c r="BR18" i="6"/>
  <c r="BU18" i="6" s="1"/>
  <c r="L44" i="93"/>
  <c r="L46" i="93" s="1"/>
  <c r="H41" i="93"/>
  <c r="H46" i="93" s="1"/>
  <c r="G41" i="93"/>
  <c r="G46" i="93" s="1"/>
  <c r="L41" i="73" l="1"/>
  <c r="L41" i="74" s="1"/>
  <c r="L41" i="75" s="1"/>
  <c r="L41" i="76" s="1"/>
  <c r="L41" i="77" s="1"/>
  <c r="K41" i="77"/>
  <c r="G42" i="96"/>
  <c r="G42" i="42" s="1"/>
  <c r="G42" i="67" s="1"/>
  <c r="L42" i="96"/>
  <c r="K42" i="96"/>
  <c r="BR19" i="6"/>
  <c r="BU19" i="6" s="1"/>
  <c r="I38" i="93"/>
  <c r="P38" i="93" s="1"/>
  <c r="L44" i="94"/>
  <c r="L46" i="94" s="1"/>
  <c r="H41" i="94"/>
  <c r="H46" i="94" s="1"/>
  <c r="G41" i="94"/>
  <c r="G46" i="94" s="1"/>
  <c r="K44" i="93"/>
  <c r="K46" i="93" s="1"/>
  <c r="M14" i="12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L15" i="67" s="1"/>
  <c r="AJ24" i="1"/>
  <c r="AJ25" i="1"/>
  <c r="AJ26" i="1"/>
  <c r="AJ27" i="1"/>
  <c r="AJ28" i="1"/>
  <c r="AJ29" i="1"/>
  <c r="AJ30" i="1"/>
  <c r="AJ31" i="1"/>
  <c r="AJ32" i="1"/>
  <c r="AJ33" i="1"/>
  <c r="AK26" i="1" l="1"/>
  <c r="L42" i="42"/>
  <c r="K42" i="42"/>
  <c r="G42" i="68"/>
  <c r="G42" i="69" s="1"/>
  <c r="BR20" i="6"/>
  <c r="BU20" i="6" s="1"/>
  <c r="I38" i="94"/>
  <c r="P38" i="94" s="1"/>
  <c r="H41" i="95"/>
  <c r="H46" i="95" s="1"/>
  <c r="K44" i="94"/>
  <c r="K46" i="94" s="1"/>
  <c r="G41" i="95"/>
  <c r="G46" i="95" s="1"/>
  <c r="L44" i="95"/>
  <c r="AH10" i="2"/>
  <c r="O13" i="12"/>
  <c r="M12" i="12"/>
  <c r="G42" i="70" l="1"/>
  <c r="G42" i="71" s="1"/>
  <c r="L44" i="96"/>
  <c r="L46" i="96" s="1"/>
  <c r="L46" i="95"/>
  <c r="U39" i="95" s="1"/>
  <c r="K42" i="67"/>
  <c r="L42" i="67"/>
  <c r="BR21" i="6"/>
  <c r="BU21" i="6" s="1"/>
  <c r="I38" i="95"/>
  <c r="P38" i="95" s="1"/>
  <c r="K44" i="95"/>
  <c r="G41" i="96"/>
  <c r="G46" i="96" s="1"/>
  <c r="H41" i="96"/>
  <c r="H46" i="96" s="1"/>
  <c r="G42" i="72" l="1"/>
  <c r="G42" i="73" s="1"/>
  <c r="G42" i="74" s="1"/>
  <c r="K42" i="68"/>
  <c r="L42" i="68"/>
  <c r="K44" i="96"/>
  <c r="K46" i="96" s="1"/>
  <c r="K46" i="95"/>
  <c r="T39" i="95" s="1"/>
  <c r="I38" i="96"/>
  <c r="P38" i="96" s="1"/>
  <c r="BR22" i="6"/>
  <c r="BU22" i="6" s="1"/>
  <c r="H41" i="42"/>
  <c r="H46" i="42" s="1"/>
  <c r="G41" i="42"/>
  <c r="G46" i="42" s="1"/>
  <c r="L44" i="42"/>
  <c r="O29" i="12"/>
  <c r="N29" i="12"/>
  <c r="M29" i="12"/>
  <c r="K42" i="69" l="1"/>
  <c r="L42" i="69"/>
  <c r="L44" i="67"/>
  <c r="L46" i="42"/>
  <c r="BR23" i="6"/>
  <c r="BU23" i="6" s="1"/>
  <c r="I38" i="42"/>
  <c r="P38" i="42" s="1"/>
  <c r="K44" i="42"/>
  <c r="H41" i="67"/>
  <c r="H46" i="67" s="1"/>
  <c r="G41" i="67"/>
  <c r="G46" i="67" s="1"/>
  <c r="R28" i="3"/>
  <c r="S28" i="3" s="1"/>
  <c r="I21" i="72" s="1"/>
  <c r="AU29" i="12"/>
  <c r="AV29" i="12"/>
  <c r="K42" i="70" l="1"/>
  <c r="K42" i="71" s="1"/>
  <c r="K42" i="72" s="1"/>
  <c r="K42" i="73" s="1"/>
  <c r="L46" i="67"/>
  <c r="L44" i="68"/>
  <c r="L42" i="70"/>
  <c r="L42" i="71" s="1"/>
  <c r="L42" i="72" s="1"/>
  <c r="L42" i="73" s="1"/>
  <c r="K44" i="67"/>
  <c r="K46" i="42"/>
  <c r="AM29" i="12"/>
  <c r="AE28" i="3"/>
  <c r="AT29" i="12"/>
  <c r="BR24" i="6"/>
  <c r="BU24" i="6" s="1"/>
  <c r="I38" i="67"/>
  <c r="P38" i="67" s="1"/>
  <c r="G41" i="68"/>
  <c r="G46" i="68" s="1"/>
  <c r="H41" i="68"/>
  <c r="H46" i="68" s="1"/>
  <c r="K46" i="67" l="1"/>
  <c r="K44" i="68"/>
  <c r="L44" i="69"/>
  <c r="L46" i="69" s="1"/>
  <c r="L46" i="68"/>
  <c r="EL28" i="1"/>
  <c r="EU28" i="1" s="1"/>
  <c r="EW28" i="1" s="1"/>
  <c r="BR25" i="6"/>
  <c r="BU25" i="6" s="1"/>
  <c r="I38" i="68"/>
  <c r="H41" i="69"/>
  <c r="H46" i="69" s="1"/>
  <c r="G41" i="69"/>
  <c r="G46" i="69" s="1"/>
  <c r="AL29" i="12"/>
  <c r="K44" i="69" l="1"/>
  <c r="K46" i="69" s="1"/>
  <c r="K46" i="68"/>
  <c r="BR26" i="6"/>
  <c r="BU26" i="6" s="1"/>
  <c r="BR27" i="6" s="1"/>
  <c r="I38" i="69"/>
  <c r="H41" i="70"/>
  <c r="H46" i="70" s="1"/>
  <c r="G41" i="70"/>
  <c r="G46" i="70" s="1"/>
  <c r="L44" i="70"/>
  <c r="L46" i="70" l="1"/>
  <c r="L44" i="71"/>
  <c r="L44" i="72" s="1"/>
  <c r="L44" i="73" s="1"/>
  <c r="K42" i="74"/>
  <c r="L42" i="74"/>
  <c r="L42" i="75" s="1"/>
  <c r="BU27" i="6"/>
  <c r="BR28" i="6" s="1"/>
  <c r="I38" i="71"/>
  <c r="I38" i="70"/>
  <c r="P38" i="70" s="1"/>
  <c r="L46" i="71"/>
  <c r="G41" i="71"/>
  <c r="G46" i="71" s="1"/>
  <c r="H41" i="71"/>
  <c r="H46" i="71" s="1"/>
  <c r="K44" i="70"/>
  <c r="K46" i="70" l="1"/>
  <c r="K44" i="71"/>
  <c r="K44" i="72" s="1"/>
  <c r="K44" i="73" s="1"/>
  <c r="K42" i="75"/>
  <c r="L42" i="76"/>
  <c r="BU28" i="6"/>
  <c r="BR29" i="6" s="1"/>
  <c r="I38" i="73" s="1"/>
  <c r="P38" i="73" s="1"/>
  <c r="K46" i="71"/>
  <c r="H41" i="72"/>
  <c r="H46" i="72" s="1"/>
  <c r="G41" i="72"/>
  <c r="G46" i="72" s="1"/>
  <c r="AI30" i="2"/>
  <c r="AZ30" i="2" s="1"/>
  <c r="BA30" i="2" s="1"/>
  <c r="K42" i="76" l="1"/>
  <c r="L44" i="74"/>
  <c r="L44" i="75" s="1"/>
  <c r="L46" i="72"/>
  <c r="L42" i="77"/>
  <c r="I38" i="72"/>
  <c r="BU29" i="6"/>
  <c r="AU30" i="2"/>
  <c r="G41" i="73"/>
  <c r="H41" i="73"/>
  <c r="R24" i="3"/>
  <c r="S24" i="3" s="1"/>
  <c r="I21" i="68" s="1"/>
  <c r="I25" i="68" s="1"/>
  <c r="K44" i="74" l="1"/>
  <c r="K46" i="72"/>
  <c r="K42" i="77"/>
  <c r="L44" i="76"/>
  <c r="L46" i="76" s="1"/>
  <c r="L46" i="75"/>
  <c r="BR30" i="6"/>
  <c r="BU30" i="6" s="1"/>
  <c r="H41" i="74"/>
  <c r="G41" i="74"/>
  <c r="DU4" i="1"/>
  <c r="DU5" i="1"/>
  <c r="DU6" i="1"/>
  <c r="DU7" i="1"/>
  <c r="DU8" i="1"/>
  <c r="DU9" i="1"/>
  <c r="DU10" i="1"/>
  <c r="DU11" i="1"/>
  <c r="DU12" i="1"/>
  <c r="DU13" i="1"/>
  <c r="DU14" i="1"/>
  <c r="DU15" i="1"/>
  <c r="DU16" i="1"/>
  <c r="DU17" i="1"/>
  <c r="DU18" i="1"/>
  <c r="DU19" i="1"/>
  <c r="DU20" i="1"/>
  <c r="DU21" i="1"/>
  <c r="DU22" i="1"/>
  <c r="DU23" i="1"/>
  <c r="DU24" i="1"/>
  <c r="DU25" i="1"/>
  <c r="DU26" i="1"/>
  <c r="DU27" i="1"/>
  <c r="DU28" i="1"/>
  <c r="DU29" i="1"/>
  <c r="DU30" i="1"/>
  <c r="DU31" i="1"/>
  <c r="DU32" i="1"/>
  <c r="DU33" i="1"/>
  <c r="DU3" i="1"/>
  <c r="K44" i="75" l="1"/>
  <c r="K46" i="74"/>
  <c r="BR31" i="6"/>
  <c r="BU31" i="6" s="1"/>
  <c r="I38" i="74"/>
  <c r="P38" i="74" s="1"/>
  <c r="G41" i="75"/>
  <c r="G46" i="75" s="1"/>
  <c r="H41" i="75"/>
  <c r="H46" i="75" s="1"/>
  <c r="AI16" i="2"/>
  <c r="AZ16" i="2" s="1"/>
  <c r="BA16" i="2" s="1"/>
  <c r="AI17" i="2"/>
  <c r="AZ17" i="2" s="1"/>
  <c r="BA17" i="2" s="1"/>
  <c r="K44" i="76" l="1"/>
  <c r="K46" i="76" s="1"/>
  <c r="K46" i="75"/>
  <c r="L44" i="77"/>
  <c r="I38" i="75"/>
  <c r="BR32" i="6"/>
  <c r="BU32" i="6" s="1"/>
  <c r="AU16" i="2"/>
  <c r="AU17" i="2"/>
  <c r="H41" i="76"/>
  <c r="H46" i="76" s="1"/>
  <c r="G41" i="76"/>
  <c r="G46" i="76" s="1"/>
  <c r="K44" i="77" l="1"/>
  <c r="I38" i="76"/>
  <c r="P38" i="76" s="1"/>
  <c r="BR33" i="6"/>
  <c r="BU33" i="6" s="1"/>
  <c r="G41" i="77"/>
  <c r="H41" i="77"/>
  <c r="I38" i="77" l="1"/>
  <c r="P38" i="77" s="1"/>
  <c r="F15" i="88"/>
  <c r="F15" i="42"/>
  <c r="DT34" i="1"/>
  <c r="DS34" i="1"/>
  <c r="DV3" i="1"/>
  <c r="DR4" i="1" s="1"/>
  <c r="DV4" i="1" s="1"/>
  <c r="DR5" i="1" s="1"/>
  <c r="DV5" i="1" l="1"/>
  <c r="DR6" i="1" s="1"/>
  <c r="DU34" i="1"/>
  <c r="DU35" i="1" s="1"/>
  <c r="DV6" i="1" l="1"/>
  <c r="DR7" i="1" s="1"/>
  <c r="DV7" i="1" l="1"/>
  <c r="DR8" i="1" s="1"/>
  <c r="DV8" i="1" l="1"/>
  <c r="DR9" i="1" s="1"/>
  <c r="AH5" i="2"/>
  <c r="AH6" i="2"/>
  <c r="AH7" i="2"/>
  <c r="AH9" i="2"/>
  <c r="AH11" i="2"/>
  <c r="AH12" i="2"/>
  <c r="AH13" i="2"/>
  <c r="AH14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DV9" i="1" l="1"/>
  <c r="DR10" i="1" s="1"/>
  <c r="DV10" i="1" l="1"/>
  <c r="DR11" i="1" s="1"/>
  <c r="DV11" i="1" s="1"/>
  <c r="F14" i="42"/>
  <c r="DR12" i="1" l="1"/>
  <c r="F16" i="42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" i="1"/>
  <c r="I14" i="42"/>
  <c r="DO34" i="1"/>
  <c r="DN34" i="1"/>
  <c r="DN35" i="1" s="1"/>
  <c r="DV12" i="1" l="1"/>
  <c r="DR13" i="1" s="1"/>
  <c r="DP34" i="1"/>
  <c r="DP35" i="1" s="1"/>
  <c r="DQ3" i="1"/>
  <c r="DM4" i="1" s="1"/>
  <c r="DQ4" i="1" s="1"/>
  <c r="DM5" i="1" s="1"/>
  <c r="DQ5" i="1" s="1"/>
  <c r="DM6" i="1" s="1"/>
  <c r="DQ6" i="1" s="1"/>
  <c r="DM7" i="1" s="1"/>
  <c r="DQ7" i="1" s="1"/>
  <c r="DM8" i="1" s="1"/>
  <c r="DQ8" i="1" s="1"/>
  <c r="DM9" i="1" s="1"/>
  <c r="DQ9" i="1" s="1"/>
  <c r="DM10" i="1" s="1"/>
  <c r="DQ10" i="1" s="1"/>
  <c r="DM11" i="1" s="1"/>
  <c r="DQ11" i="1" s="1"/>
  <c r="DM12" i="1" s="1"/>
  <c r="DQ12" i="1" s="1"/>
  <c r="DM13" i="1" s="1"/>
  <c r="DQ13" i="1" s="1"/>
  <c r="DM14" i="1" s="1"/>
  <c r="DQ14" i="1" s="1"/>
  <c r="DM15" i="1" s="1"/>
  <c r="DQ15" i="1" s="1"/>
  <c r="DM16" i="1" s="1"/>
  <c r="DQ16" i="1" s="1"/>
  <c r="DM17" i="1" s="1"/>
  <c r="DQ17" i="1" s="1"/>
  <c r="DM18" i="1" s="1"/>
  <c r="DQ18" i="1" s="1"/>
  <c r="DM19" i="1" s="1"/>
  <c r="DQ19" i="1" s="1"/>
  <c r="DM20" i="1" s="1"/>
  <c r="DQ20" i="1" s="1"/>
  <c r="DM21" i="1" s="1"/>
  <c r="DQ21" i="1" s="1"/>
  <c r="DM22" i="1" s="1"/>
  <c r="DQ22" i="1" s="1"/>
  <c r="DM23" i="1" s="1"/>
  <c r="DQ23" i="1" s="1"/>
  <c r="DM24" i="1" s="1"/>
  <c r="DQ24" i="1" s="1"/>
  <c r="DM25" i="1" s="1"/>
  <c r="DQ25" i="1" s="1"/>
  <c r="DM26" i="1" s="1"/>
  <c r="DQ26" i="1" s="1"/>
  <c r="DM27" i="1" s="1"/>
  <c r="DQ27" i="1" s="1"/>
  <c r="DM28" i="1" s="1"/>
  <c r="DQ28" i="1" s="1"/>
  <c r="DM29" i="1" s="1"/>
  <c r="DQ29" i="1" s="1"/>
  <c r="DM30" i="1" s="1"/>
  <c r="DQ30" i="1" s="1"/>
  <c r="DM31" i="1" s="1"/>
  <c r="DQ31" i="1" s="1"/>
  <c r="DM32" i="1" s="1"/>
  <c r="DQ32" i="1" s="1"/>
  <c r="DM33" i="1" s="1"/>
  <c r="DQ33" i="1" s="1"/>
  <c r="DV13" i="1" l="1"/>
  <c r="DR14" i="1" s="1"/>
  <c r="DV14" i="1" s="1"/>
  <c r="E34" i="55"/>
  <c r="AU18" i="12"/>
  <c r="DR15" i="1" l="1"/>
  <c r="DV15" i="1" l="1"/>
  <c r="DR16" i="1" s="1"/>
  <c r="D35" i="8"/>
  <c r="F19" i="89"/>
  <c r="DV16" i="1" l="1"/>
  <c r="DR17" i="1" s="1"/>
  <c r="M53" i="79"/>
  <c r="DV17" i="1" l="1"/>
  <c r="DR18" i="1" s="1"/>
  <c r="DV18" i="1" l="1"/>
  <c r="DR19" i="1" s="1"/>
  <c r="DV19" i="1" l="1"/>
  <c r="DR20" i="1" s="1"/>
  <c r="DV20" i="1" l="1"/>
  <c r="DR21" i="1" s="1"/>
  <c r="N21" i="12"/>
  <c r="M21" i="12"/>
  <c r="M20" i="12"/>
  <c r="M22" i="12"/>
  <c r="M23" i="12"/>
  <c r="AV18" i="12"/>
  <c r="DV21" i="1" l="1"/>
  <c r="DR22" i="1" s="1"/>
  <c r="O14" i="12"/>
  <c r="N14" i="12"/>
  <c r="DV22" i="1" l="1"/>
  <c r="DR23" i="1" s="1"/>
  <c r="AE13" i="3"/>
  <c r="AU14" i="12"/>
  <c r="AV14" i="12"/>
  <c r="AG14" i="12"/>
  <c r="AM14" i="12" s="1"/>
  <c r="R13" i="3"/>
  <c r="S13" i="3" s="1"/>
  <c r="I21" i="88" s="1"/>
  <c r="M30" i="88" l="1"/>
  <c r="DV23" i="1"/>
  <c r="DR24" i="1" s="1"/>
  <c r="AT14" i="12"/>
  <c r="DV24" i="1" l="1"/>
  <c r="DR25" i="1" s="1"/>
  <c r="EL13" i="1"/>
  <c r="AL14" i="12"/>
  <c r="DV25" i="1" l="1"/>
  <c r="DR26" i="1" s="1"/>
  <c r="EV13" i="1"/>
  <c r="EU1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" i="1"/>
  <c r="DV26" i="1" l="1"/>
  <c r="DR27" i="1" s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" i="1"/>
  <c r="DF30" i="1"/>
  <c r="DF31" i="1"/>
  <c r="DF32" i="1"/>
  <c r="DF33" i="1"/>
  <c r="DF4" i="1"/>
  <c r="DF5" i="1"/>
  <c r="DF6" i="1"/>
  <c r="DF7" i="1"/>
  <c r="DF8" i="1"/>
  <c r="DF9" i="1"/>
  <c r="DF10" i="1"/>
  <c r="DF11" i="1"/>
  <c r="DF12" i="1"/>
  <c r="DF13" i="1"/>
  <c r="DF14" i="1"/>
  <c r="DF15" i="1"/>
  <c r="DF16" i="1"/>
  <c r="DF17" i="1"/>
  <c r="DF18" i="1"/>
  <c r="DF19" i="1"/>
  <c r="DF20" i="1"/>
  <c r="DF21" i="1"/>
  <c r="DF22" i="1"/>
  <c r="DF23" i="1"/>
  <c r="DF24" i="1"/>
  <c r="DF25" i="1"/>
  <c r="DF26" i="1"/>
  <c r="DF27" i="1"/>
  <c r="DF28" i="1"/>
  <c r="DF29" i="1"/>
  <c r="DF3" i="1"/>
  <c r="DV27" i="1" l="1"/>
  <c r="DR28" i="1" s="1"/>
  <c r="EH25" i="1"/>
  <c r="EH31" i="1"/>
  <c r="EH27" i="1"/>
  <c r="EH23" i="1"/>
  <c r="EH19" i="1"/>
  <c r="EH15" i="1"/>
  <c r="EH11" i="1"/>
  <c r="EH7" i="1"/>
  <c r="EH3" i="1"/>
  <c r="EH33" i="1"/>
  <c r="EH30" i="1"/>
  <c r="EH26" i="1"/>
  <c r="EH22" i="1"/>
  <c r="I15" i="42" s="1"/>
  <c r="EH18" i="1"/>
  <c r="EH14" i="1"/>
  <c r="EH10" i="1"/>
  <c r="EH6" i="1"/>
  <c r="EH29" i="1"/>
  <c r="EH21" i="1"/>
  <c r="EH17" i="1"/>
  <c r="EH13" i="1"/>
  <c r="EH9" i="1"/>
  <c r="EH32" i="1"/>
  <c r="EH28" i="1"/>
  <c r="EH24" i="1"/>
  <c r="EH20" i="1"/>
  <c r="EH16" i="1"/>
  <c r="EH12" i="1"/>
  <c r="EH8" i="1"/>
  <c r="EH5" i="1"/>
  <c r="EH4" i="1"/>
  <c r="DJ34" i="1"/>
  <c r="DI34" i="1"/>
  <c r="DL3" i="1"/>
  <c r="DH4" i="1" s="1"/>
  <c r="DL4" i="1" s="1"/>
  <c r="DH5" i="1" s="1"/>
  <c r="DL5" i="1" s="1"/>
  <c r="DH6" i="1" s="1"/>
  <c r="DL6" i="1" s="1"/>
  <c r="DH7" i="1" s="1"/>
  <c r="DL7" i="1" s="1"/>
  <c r="DH8" i="1" s="1"/>
  <c r="DL8" i="1" s="1"/>
  <c r="DH9" i="1" s="1"/>
  <c r="DL9" i="1" s="1"/>
  <c r="DH10" i="1" s="1"/>
  <c r="DL10" i="1" s="1"/>
  <c r="DH11" i="1" s="1"/>
  <c r="DL11" i="1" s="1"/>
  <c r="DH12" i="1" s="1"/>
  <c r="DL12" i="1" s="1"/>
  <c r="DH13" i="1" s="1"/>
  <c r="DL13" i="1" s="1"/>
  <c r="DH14" i="1" s="1"/>
  <c r="DL14" i="1" s="1"/>
  <c r="DH15" i="1" s="1"/>
  <c r="DL15" i="1" s="1"/>
  <c r="DH16" i="1" s="1"/>
  <c r="DL16" i="1" s="1"/>
  <c r="DH17" i="1" s="1"/>
  <c r="DL17" i="1" s="1"/>
  <c r="DH18" i="1" s="1"/>
  <c r="DL18" i="1" s="1"/>
  <c r="DH19" i="1" s="1"/>
  <c r="DL19" i="1" s="1"/>
  <c r="DH20" i="1" s="1"/>
  <c r="DL20" i="1" s="1"/>
  <c r="DH21" i="1" s="1"/>
  <c r="DL21" i="1" s="1"/>
  <c r="DH22" i="1" s="1"/>
  <c r="DL22" i="1" s="1"/>
  <c r="DH23" i="1" s="1"/>
  <c r="DL23" i="1" s="1"/>
  <c r="DH24" i="1" s="1"/>
  <c r="DL24" i="1" s="1"/>
  <c r="DH25" i="1" s="1"/>
  <c r="DL25" i="1" s="1"/>
  <c r="DH26" i="1" s="1"/>
  <c r="DL26" i="1" s="1"/>
  <c r="DH27" i="1" s="1"/>
  <c r="DL27" i="1" s="1"/>
  <c r="DH28" i="1" s="1"/>
  <c r="DL28" i="1" s="1"/>
  <c r="DH29" i="1" s="1"/>
  <c r="DL29" i="1" s="1"/>
  <c r="DH30" i="1" s="1"/>
  <c r="DL30" i="1" s="1"/>
  <c r="DH31" i="1" s="1"/>
  <c r="DL31" i="1" s="1"/>
  <c r="DH32" i="1" s="1"/>
  <c r="DL32" i="1" s="1"/>
  <c r="DH33" i="1" s="1"/>
  <c r="DL33" i="1" s="1"/>
  <c r="DV28" i="1" l="1"/>
  <c r="DR29" i="1" s="1"/>
  <c r="I16" i="42"/>
  <c r="DK34" i="1"/>
  <c r="DK35" i="1" s="1"/>
  <c r="AV17" i="12"/>
  <c r="DV29" i="1" l="1"/>
  <c r="DR30" i="1" s="1"/>
  <c r="DV30" i="1" l="1"/>
  <c r="DR31" i="1" s="1"/>
  <c r="DE34" i="1"/>
  <c r="DD34" i="1"/>
  <c r="DV31" i="1" l="1"/>
  <c r="DR32" i="1" s="1"/>
  <c r="DF34" i="1"/>
  <c r="DF35" i="1" s="1"/>
  <c r="DG3" i="1"/>
  <c r="DC4" i="1" s="1"/>
  <c r="DG4" i="1" s="1"/>
  <c r="DC5" i="1" s="1"/>
  <c r="DG5" i="1" s="1"/>
  <c r="DC6" i="1" s="1"/>
  <c r="DG6" i="1" s="1"/>
  <c r="DC7" i="1" s="1"/>
  <c r="DG7" i="1" s="1"/>
  <c r="DC8" i="1" s="1"/>
  <c r="DG8" i="1" s="1"/>
  <c r="DC9" i="1" s="1"/>
  <c r="DG9" i="1" s="1"/>
  <c r="DC10" i="1" s="1"/>
  <c r="DG10" i="1" s="1"/>
  <c r="DC11" i="1" s="1"/>
  <c r="DG11" i="1" s="1"/>
  <c r="DC12" i="1" s="1"/>
  <c r="DG12" i="1" s="1"/>
  <c r="DC13" i="1" s="1"/>
  <c r="DG13" i="1" s="1"/>
  <c r="DC14" i="1" s="1"/>
  <c r="DG14" i="1" s="1"/>
  <c r="DC15" i="1" s="1"/>
  <c r="DG15" i="1" s="1"/>
  <c r="DC16" i="1" s="1"/>
  <c r="DG16" i="1" s="1"/>
  <c r="DC17" i="1" s="1"/>
  <c r="DG17" i="1" s="1"/>
  <c r="DC18" i="1" s="1"/>
  <c r="DG18" i="1" s="1"/>
  <c r="DC19" i="1" s="1"/>
  <c r="DG19" i="1" s="1"/>
  <c r="DC20" i="1" s="1"/>
  <c r="DG20" i="1" s="1"/>
  <c r="DC21" i="1" s="1"/>
  <c r="DG21" i="1" s="1"/>
  <c r="DC22" i="1" s="1"/>
  <c r="DG22" i="1" s="1"/>
  <c r="DC23" i="1" s="1"/>
  <c r="DG23" i="1" s="1"/>
  <c r="DC24" i="1" s="1"/>
  <c r="DG24" i="1" s="1"/>
  <c r="DC25" i="1" s="1"/>
  <c r="DG25" i="1" s="1"/>
  <c r="DC26" i="1" s="1"/>
  <c r="DG26" i="1" s="1"/>
  <c r="DC27" i="1" s="1"/>
  <c r="DG27" i="1" s="1"/>
  <c r="DC28" i="1" s="1"/>
  <c r="DG28" i="1" s="1"/>
  <c r="DC29" i="1" s="1"/>
  <c r="DG29" i="1" s="1"/>
  <c r="DC30" i="1" s="1"/>
  <c r="DG30" i="1" s="1"/>
  <c r="DC31" i="1" s="1"/>
  <c r="DG31" i="1" s="1"/>
  <c r="DC32" i="1" s="1"/>
  <c r="DG32" i="1" s="1"/>
  <c r="DC33" i="1" s="1"/>
  <c r="DG33" i="1" s="1"/>
  <c r="E15" i="78"/>
  <c r="DV32" i="1" l="1"/>
  <c r="DR33" i="1" s="1"/>
  <c r="DV33" i="1" l="1"/>
  <c r="AI24" i="2"/>
  <c r="AZ24" i="2" s="1"/>
  <c r="BA24" i="2" s="1"/>
  <c r="AG18" i="12"/>
  <c r="AM18" i="12" s="1"/>
  <c r="AU24" i="2" l="1"/>
  <c r="AU6" i="2"/>
  <c r="L4" i="6"/>
  <c r="L5" i="6"/>
  <c r="L6" i="6"/>
  <c r="K6" i="6" s="1"/>
  <c r="L7" i="6"/>
  <c r="L8" i="6"/>
  <c r="L9" i="6"/>
  <c r="L10" i="6"/>
  <c r="L11" i="6"/>
  <c r="L12" i="6"/>
  <c r="L13" i="6"/>
  <c r="L14" i="6"/>
  <c r="L16" i="6"/>
  <c r="L17" i="6"/>
  <c r="K17" i="6" s="1"/>
  <c r="L19" i="6"/>
  <c r="K19" i="6" s="1"/>
  <c r="L20" i="6"/>
  <c r="L21" i="6"/>
  <c r="L22" i="6"/>
  <c r="L23" i="6"/>
  <c r="L24" i="6"/>
  <c r="L25" i="6"/>
  <c r="L26" i="6"/>
  <c r="L28" i="6"/>
  <c r="L29" i="6"/>
  <c r="L30" i="6"/>
  <c r="L31" i="6"/>
  <c r="L32" i="6"/>
  <c r="L33" i="6"/>
  <c r="L3" i="6"/>
  <c r="M31" i="94" l="1"/>
  <c r="L35" i="6"/>
  <c r="CT35" i="1" l="1"/>
  <c r="CU35" i="1"/>
  <c r="CZ34" i="1"/>
  <c r="CY34" i="1"/>
  <c r="DB3" i="1"/>
  <c r="CX4" i="1" s="1"/>
  <c r="DB4" i="1" l="1"/>
  <c r="CX5" i="1" s="1"/>
  <c r="DB5" i="1" s="1"/>
  <c r="CX6" i="1" s="1"/>
  <c r="DB6" i="1" s="1"/>
  <c r="CX7" i="1" s="1"/>
  <c r="DB7" i="1" s="1"/>
  <c r="CX8" i="1" s="1"/>
  <c r="DB8" i="1" s="1"/>
  <c r="CX9" i="1" s="1"/>
  <c r="DB9" i="1" s="1"/>
  <c r="CX10" i="1" s="1"/>
  <c r="DB10" i="1" s="1"/>
  <c r="CX11" i="1" s="1"/>
  <c r="DB11" i="1" s="1"/>
  <c r="CX12" i="1" s="1"/>
  <c r="DB12" i="1" s="1"/>
  <c r="CX13" i="1" s="1"/>
  <c r="DB13" i="1" s="1"/>
  <c r="CX14" i="1" s="1"/>
  <c r="DB14" i="1" s="1"/>
  <c r="CX15" i="1" s="1"/>
  <c r="DB15" i="1" s="1"/>
  <c r="CX16" i="1" s="1"/>
  <c r="DB16" i="1" s="1"/>
  <c r="CX17" i="1" s="1"/>
  <c r="DB17" i="1" s="1"/>
  <c r="CX18" i="1" s="1"/>
  <c r="DB18" i="1" s="1"/>
  <c r="CX19" i="1" s="1"/>
  <c r="DB19" i="1" s="1"/>
  <c r="CX20" i="1" s="1"/>
  <c r="DB20" i="1" s="1"/>
  <c r="CX21" i="1" s="1"/>
  <c r="DB21" i="1" s="1"/>
  <c r="CX22" i="1" s="1"/>
  <c r="DB22" i="1" s="1"/>
  <c r="CX23" i="1" s="1"/>
  <c r="DB23" i="1" s="1"/>
  <c r="CX24" i="1" s="1"/>
  <c r="DB24" i="1" s="1"/>
  <c r="CX25" i="1" s="1"/>
  <c r="DB25" i="1" s="1"/>
  <c r="CX26" i="1" s="1"/>
  <c r="DB26" i="1" s="1"/>
  <c r="CX27" i="1" s="1"/>
  <c r="DB27" i="1" s="1"/>
  <c r="CX28" i="1" s="1"/>
  <c r="DB28" i="1" s="1"/>
  <c r="CX29" i="1" s="1"/>
  <c r="DB29" i="1" s="1"/>
  <c r="CX30" i="1" s="1"/>
  <c r="DB30" i="1" s="1"/>
  <c r="CX31" i="1" s="1"/>
  <c r="DB31" i="1" s="1"/>
  <c r="CX32" i="1" s="1"/>
  <c r="DB32" i="1" s="1"/>
  <c r="CX33" i="1" s="1"/>
  <c r="DB33" i="1" s="1"/>
  <c r="DA34" i="1"/>
  <c r="DA35" i="1" s="1"/>
  <c r="K20" i="55" l="1"/>
  <c r="F59" i="71" l="1"/>
  <c r="P38" i="71" s="1"/>
  <c r="F59" i="72"/>
  <c r="P38" i="72" s="1"/>
  <c r="F59" i="70" l="1"/>
  <c r="F59" i="69"/>
  <c r="P38" i="69" s="1"/>
  <c r="F59" i="68" l="1"/>
  <c r="F59" i="67"/>
  <c r="P38" i="68" l="1"/>
  <c r="M33" i="95"/>
  <c r="M33" i="94"/>
  <c r="M33" i="93"/>
  <c r="M33" i="91"/>
  <c r="O4" i="12" l="1"/>
  <c r="N4" i="12"/>
  <c r="M4" i="12"/>
  <c r="AV4" i="12" l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" i="1"/>
  <c r="I19" i="73"/>
  <c r="F19" i="73"/>
  <c r="I19" i="72"/>
  <c r="F19" i="72"/>
  <c r="AG4" i="12" l="1"/>
  <c r="AM4" i="12" s="1"/>
  <c r="AU4" i="12"/>
  <c r="R3" i="3"/>
  <c r="S3" i="3" s="1"/>
  <c r="K3" i="2" s="1"/>
  <c r="AT4" i="12"/>
  <c r="I22" i="78"/>
  <c r="X3" i="3"/>
  <c r="EL3" i="1" l="1"/>
  <c r="AL4" i="12"/>
  <c r="I19" i="71"/>
  <c r="F19" i="71"/>
  <c r="I19" i="70"/>
  <c r="F19" i="70"/>
  <c r="F20" i="87"/>
  <c r="F20" i="88"/>
  <c r="F20" i="89"/>
  <c r="F20" i="90"/>
  <c r="F20" i="91"/>
  <c r="F20" i="92"/>
  <c r="F20" i="93"/>
  <c r="F20" i="94"/>
  <c r="F20" i="95"/>
  <c r="F20" i="96"/>
  <c r="F20" i="42"/>
  <c r="F20" i="67"/>
  <c r="F20" i="68"/>
  <c r="F20" i="69"/>
  <c r="F20" i="70"/>
  <c r="F20" i="86"/>
  <c r="F20" i="85"/>
  <c r="F20" i="84"/>
  <c r="F20" i="83"/>
  <c r="F20" i="82"/>
  <c r="F20" i="81"/>
  <c r="F20" i="80"/>
  <c r="F20" i="79"/>
  <c r="F20" i="78"/>
  <c r="EM3" i="1" l="1"/>
  <c r="I18" i="78"/>
  <c r="EV3" i="1"/>
  <c r="EU3" i="1"/>
  <c r="I19" i="69"/>
  <c r="F19" i="69"/>
  <c r="I19" i="68"/>
  <c r="F19" i="68"/>
  <c r="I19" i="67" l="1"/>
  <c r="F19" i="67"/>
  <c r="I19" i="42" l="1"/>
  <c r="F19" i="42"/>
  <c r="I19" i="96"/>
  <c r="F19" i="96"/>
  <c r="I19" i="95" l="1"/>
  <c r="F19" i="95"/>
  <c r="F19" i="90" l="1"/>
  <c r="F35" i="64"/>
  <c r="Q35" i="64"/>
  <c r="AB35" i="64"/>
  <c r="I19" i="94" l="1"/>
  <c r="F19" i="94"/>
  <c r="I19" i="93"/>
  <c r="F19" i="93"/>
  <c r="I19" i="92" l="1"/>
  <c r="F19" i="92"/>
  <c r="CU34" i="1"/>
  <c r="CV34" i="1"/>
  <c r="CV35" i="1" s="1"/>
  <c r="CT34" i="1"/>
  <c r="I19" i="91"/>
  <c r="F19" i="91"/>
  <c r="CQ4" i="1"/>
  <c r="CQ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" i="1"/>
  <c r="CQ34" i="1" l="1"/>
  <c r="I19" i="88"/>
  <c r="F19" i="88"/>
  <c r="F19" i="87"/>
  <c r="F19" i="86" l="1"/>
  <c r="F19" i="85" l="1"/>
  <c r="EP35" i="1"/>
  <c r="I19" i="83" l="1"/>
  <c r="F19" i="83"/>
  <c r="F19" i="84"/>
  <c r="I19" i="82" l="1"/>
  <c r="F19" i="82"/>
  <c r="I19" i="81"/>
  <c r="F19" i="81"/>
  <c r="I19" i="80" l="1"/>
  <c r="F19" i="80"/>
  <c r="I19" i="79"/>
  <c r="F19" i="79"/>
  <c r="E19" i="78"/>
  <c r="I19" i="78"/>
  <c r="F19" i="78"/>
  <c r="H19" i="78" s="1"/>
  <c r="J19" i="78" l="1"/>
  <c r="J19" i="79" s="1"/>
  <c r="J19" i="80" s="1"/>
  <c r="J19" i="81" s="1"/>
  <c r="J19" i="82" s="1"/>
  <c r="K19" i="78"/>
  <c r="K19" i="79" s="1"/>
  <c r="K19" i="80" s="1"/>
  <c r="K19" i="81" s="1"/>
  <c r="K19" i="82" s="1"/>
  <c r="G19" i="78"/>
  <c r="G19" i="79" s="1"/>
  <c r="G19" i="80" s="1"/>
  <c r="G19" i="81" s="1"/>
  <c r="G19" i="82" s="1"/>
  <c r="L19" i="78"/>
  <c r="H19" i="79"/>
  <c r="H19" i="80" s="1"/>
  <c r="H19" i="81" s="1"/>
  <c r="H19" i="82" s="1"/>
  <c r="I19" i="77"/>
  <c r="F19" i="77"/>
  <c r="J19" i="83" l="1"/>
  <c r="G19" i="83"/>
  <c r="G19" i="84" s="1"/>
  <c r="G19" i="85" s="1"/>
  <c r="G19" i="86" s="1"/>
  <c r="G19" i="87" s="1"/>
  <c r="G19" i="88" s="1"/>
  <c r="K19" i="83"/>
  <c r="H19" i="83"/>
  <c r="F19" i="76"/>
  <c r="I19" i="74"/>
  <c r="F19" i="75"/>
  <c r="H19" i="84" l="1"/>
  <c r="H19" i="85" s="1"/>
  <c r="H19" i="86" s="1"/>
  <c r="H19" i="87" s="1"/>
  <c r="H19" i="88" s="1"/>
  <c r="H19" i="89" s="1"/>
  <c r="H19" i="90" s="1"/>
  <c r="H19" i="91" s="1"/>
  <c r="H19" i="92" s="1"/>
  <c r="H19" i="93" s="1"/>
  <c r="H19" i="94" s="1"/>
  <c r="H19" i="95" s="1"/>
  <c r="H19" i="96" s="1"/>
  <c r="H19" i="42" s="1"/>
  <c r="H19" i="67" s="1"/>
  <c r="H19" i="68" s="1"/>
  <c r="H19" i="69" s="1"/>
  <c r="H19" i="70" s="1"/>
  <c r="H19" i="71" s="1"/>
  <c r="H19" i="72" s="1"/>
  <c r="H19" i="73" s="1"/>
  <c r="G19" i="89"/>
  <c r="G19" i="90" s="1"/>
  <c r="G19" i="91" s="1"/>
  <c r="G19" i="92" s="1"/>
  <c r="G19" i="93" s="1"/>
  <c r="G19" i="94" s="1"/>
  <c r="G19" i="95" s="1"/>
  <c r="G19" i="96" s="1"/>
  <c r="G19" i="42" s="1"/>
  <c r="G19" i="67" s="1"/>
  <c r="G19" i="68" s="1"/>
  <c r="G19" i="69" s="1"/>
  <c r="G19" i="70" s="1"/>
  <c r="G19" i="71" s="1"/>
  <c r="G19" i="72" s="1"/>
  <c r="G19" i="73" s="1"/>
  <c r="ER3" i="1"/>
  <c r="EO4" i="1" s="1"/>
  <c r="F19" i="74"/>
  <c r="ER4" i="1" l="1"/>
  <c r="EO5" i="1" s="1"/>
  <c r="E19" i="79"/>
  <c r="L19" i="79" s="1"/>
  <c r="H19" i="74"/>
  <c r="H19" i="75" s="1"/>
  <c r="H19" i="76" s="1"/>
  <c r="H19" i="77" s="1"/>
  <c r="G19" i="74"/>
  <c r="G19" i="75" s="1"/>
  <c r="G19" i="76" s="1"/>
  <c r="G19" i="77" s="1"/>
  <c r="K26" i="6"/>
  <c r="O26" i="6"/>
  <c r="X26" i="6"/>
  <c r="AA26" i="6"/>
  <c r="AB26" i="6"/>
  <c r="AC26" i="6"/>
  <c r="CG26" i="6" s="1"/>
  <c r="AE26" i="6"/>
  <c r="BK26" i="6"/>
  <c r="BO26" i="6"/>
  <c r="K24" i="6"/>
  <c r="O24" i="6"/>
  <c r="X24" i="6"/>
  <c r="Z24" i="6"/>
  <c r="AB24" i="6"/>
  <c r="F36" i="68" s="1"/>
  <c r="AC24" i="6"/>
  <c r="AE24" i="6"/>
  <c r="AF24" i="6"/>
  <c r="BK24" i="6" s="1"/>
  <c r="AH24" i="6"/>
  <c r="F37" i="68" s="1"/>
  <c r="BO24" i="6"/>
  <c r="K25" i="6"/>
  <c r="O25" i="6"/>
  <c r="X25" i="6"/>
  <c r="Z25" i="6"/>
  <c r="AB25" i="6"/>
  <c r="AC25" i="6"/>
  <c r="CG25" i="6" s="1"/>
  <c r="AE25" i="6"/>
  <c r="BK25" i="6"/>
  <c r="AH25" i="6"/>
  <c r="BO25" i="6"/>
  <c r="CW3" i="1"/>
  <c r="CS4" i="1" s="1"/>
  <c r="CW4" i="1" s="1"/>
  <c r="CS5" i="1" s="1"/>
  <c r="CW5" i="1" s="1"/>
  <c r="CS6" i="1" s="1"/>
  <c r="CW6" i="1" s="1"/>
  <c r="CS7" i="1" s="1"/>
  <c r="CW7" i="1" s="1"/>
  <c r="CS8" i="1" s="1"/>
  <c r="CW8" i="1" s="1"/>
  <c r="CS9" i="1" s="1"/>
  <c r="CW9" i="1" s="1"/>
  <c r="CS10" i="1" s="1"/>
  <c r="CW10" i="1" s="1"/>
  <c r="CS11" i="1" s="1"/>
  <c r="CW11" i="1" s="1"/>
  <c r="CS12" i="1" s="1"/>
  <c r="CW12" i="1" s="1"/>
  <c r="CS13" i="1" s="1"/>
  <c r="CW13" i="1" s="1"/>
  <c r="CS14" i="1" s="1"/>
  <c r="CW14" i="1" s="1"/>
  <c r="CS15" i="1" s="1"/>
  <c r="CW15" i="1" s="1"/>
  <c r="CS16" i="1" s="1"/>
  <c r="CW16" i="1" s="1"/>
  <c r="CS17" i="1" s="1"/>
  <c r="CW17" i="1" s="1"/>
  <c r="CS18" i="1" s="1"/>
  <c r="CW18" i="1" s="1"/>
  <c r="CS19" i="1" s="1"/>
  <c r="CW19" i="1" s="1"/>
  <c r="CS20" i="1" s="1"/>
  <c r="CW20" i="1" s="1"/>
  <c r="CS21" i="1" s="1"/>
  <c r="CW21" i="1" s="1"/>
  <c r="CS22" i="1" s="1"/>
  <c r="CW22" i="1" s="1"/>
  <c r="CS23" i="1" s="1"/>
  <c r="CW23" i="1" s="1"/>
  <c r="CS24" i="1" s="1"/>
  <c r="CW24" i="1" s="1"/>
  <c r="CS25" i="1" s="1"/>
  <c r="CW25" i="1" s="1"/>
  <c r="CS26" i="1" s="1"/>
  <c r="CW26" i="1" s="1"/>
  <c r="CS27" i="1" s="1"/>
  <c r="CW27" i="1" s="1"/>
  <c r="CS28" i="1" s="1"/>
  <c r="CW28" i="1" s="1"/>
  <c r="CS29" i="1" s="1"/>
  <c r="CW29" i="1" s="1"/>
  <c r="CS30" i="1" s="1"/>
  <c r="CW30" i="1" s="1"/>
  <c r="CS31" i="1" s="1"/>
  <c r="CW31" i="1" s="1"/>
  <c r="CS32" i="1" s="1"/>
  <c r="CW32" i="1" s="1"/>
  <c r="CS33" i="1" s="1"/>
  <c r="CW33" i="1" s="1"/>
  <c r="CG24" i="6" l="1"/>
  <c r="AA24" i="6"/>
  <c r="W24" i="55"/>
  <c r="AA25" i="6"/>
  <c r="W25" i="55"/>
  <c r="BG26" i="6"/>
  <c r="BG25" i="6"/>
  <c r="BG24" i="6"/>
  <c r="CJ25" i="6"/>
  <c r="CJ24" i="6"/>
  <c r="CJ26" i="6"/>
  <c r="F25" i="6"/>
  <c r="F24" i="6"/>
  <c r="F26" i="6"/>
  <c r="AJ24" i="6"/>
  <c r="AG24" i="6"/>
  <c r="ER5" i="1"/>
  <c r="EO6" i="1" s="1"/>
  <c r="E19" i="80"/>
  <c r="L19" i="80" s="1"/>
  <c r="AG25" i="6"/>
  <c r="AG26" i="6"/>
  <c r="AD26" i="6"/>
  <c r="AJ26" i="6"/>
  <c r="AD25" i="6"/>
  <c r="AJ25" i="6"/>
  <c r="AD24" i="6"/>
  <c r="ER6" i="1" l="1"/>
  <c r="EO7" i="1" s="1"/>
  <c r="E19" i="81"/>
  <c r="L19" i="81" s="1"/>
  <c r="CP35" i="1"/>
  <c r="CO35" i="1"/>
  <c r="CF35" i="1"/>
  <c r="CJ35" i="1"/>
  <c r="CK35" i="1"/>
  <c r="CE35" i="1"/>
  <c r="ER7" i="1" l="1"/>
  <c r="EO8" i="1" s="1"/>
  <c r="E19" i="82"/>
  <c r="L19" i="82" s="1"/>
  <c r="CQ35" i="1"/>
  <c r="CR3" i="1"/>
  <c r="CN4" i="1" s="1"/>
  <c r="CR4" i="1" s="1"/>
  <c r="CN5" i="1" s="1"/>
  <c r="CR5" i="1" s="1"/>
  <c r="CN6" i="1" s="1"/>
  <c r="CR6" i="1" s="1"/>
  <c r="CN7" i="1" s="1"/>
  <c r="CR7" i="1" s="1"/>
  <c r="CN8" i="1" s="1"/>
  <c r="CR8" i="1" s="1"/>
  <c r="CN9" i="1" s="1"/>
  <c r="CR9" i="1" s="1"/>
  <c r="CN10" i="1" s="1"/>
  <c r="CR10" i="1" s="1"/>
  <c r="CN11" i="1" s="1"/>
  <c r="CR11" i="1" s="1"/>
  <c r="CN12" i="1" s="1"/>
  <c r="CR12" i="1" s="1"/>
  <c r="CN13" i="1" s="1"/>
  <c r="CR13" i="1" s="1"/>
  <c r="CN14" i="1" s="1"/>
  <c r="CR14" i="1" s="1"/>
  <c r="CN15" i="1" s="1"/>
  <c r="CR15" i="1" s="1"/>
  <c r="CN16" i="1" s="1"/>
  <c r="CR16" i="1" s="1"/>
  <c r="CN17" i="1" s="1"/>
  <c r="CR17" i="1" s="1"/>
  <c r="CN18" i="1" s="1"/>
  <c r="CR18" i="1" s="1"/>
  <c r="CN19" i="1" s="1"/>
  <c r="CR19" i="1" s="1"/>
  <c r="CN20" i="1" s="1"/>
  <c r="CR20" i="1" s="1"/>
  <c r="CN21" i="1" s="1"/>
  <c r="CR21" i="1" s="1"/>
  <c r="CN22" i="1" s="1"/>
  <c r="CR22" i="1" s="1"/>
  <c r="CN23" i="1" s="1"/>
  <c r="CR23" i="1" s="1"/>
  <c r="CN24" i="1" s="1"/>
  <c r="CR24" i="1" s="1"/>
  <c r="CN25" i="1" s="1"/>
  <c r="CR25" i="1" s="1"/>
  <c r="CN26" i="1" s="1"/>
  <c r="CR26" i="1" s="1"/>
  <c r="CN27" i="1" s="1"/>
  <c r="CR27" i="1" s="1"/>
  <c r="CN28" i="1" s="1"/>
  <c r="CR28" i="1" s="1"/>
  <c r="CN29" i="1" s="1"/>
  <c r="CR29" i="1" s="1"/>
  <c r="CN30" i="1" s="1"/>
  <c r="CR30" i="1" l="1"/>
  <c r="CN31" i="1" s="1"/>
  <c r="ER8" i="1"/>
  <c r="EO9" i="1" s="1"/>
  <c r="E19" i="83"/>
  <c r="L19" i="83" s="1"/>
  <c r="CR31" i="1" l="1"/>
  <c r="CN32" i="1" s="1"/>
  <c r="E19" i="84"/>
  <c r="CR32" i="1" l="1"/>
  <c r="CN33" i="1" s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" i="1"/>
  <c r="EI3" i="1" s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" i="1"/>
  <c r="CH3" i="1" s="1"/>
  <c r="CD4" i="1" s="1"/>
  <c r="CR33" i="1" l="1"/>
  <c r="CH4" i="1"/>
  <c r="CD5" i="1" s="1"/>
  <c r="CM3" i="1"/>
  <c r="CI4" i="1" s="1"/>
  <c r="CM4" i="1" s="1"/>
  <c r="CI5" i="1" s="1"/>
  <c r="CM5" i="1" s="1"/>
  <c r="CI6" i="1" s="1"/>
  <c r="CM6" i="1" s="1"/>
  <c r="CI7" i="1" s="1"/>
  <c r="CM7" i="1" s="1"/>
  <c r="CI8" i="1" s="1"/>
  <c r="CM8" i="1" s="1"/>
  <c r="CI9" i="1" s="1"/>
  <c r="CM9" i="1" s="1"/>
  <c r="CI10" i="1" s="1"/>
  <c r="CM10" i="1" s="1"/>
  <c r="CI11" i="1" s="1"/>
  <c r="CM11" i="1" s="1"/>
  <c r="CI12" i="1" s="1"/>
  <c r="CM12" i="1" s="1"/>
  <c r="CI13" i="1" s="1"/>
  <c r="CL35" i="1"/>
  <c r="CG35" i="1"/>
  <c r="CM13" i="1" l="1"/>
  <c r="CI14" i="1" s="1"/>
  <c r="CH5" i="1"/>
  <c r="CD6" i="1" s="1"/>
  <c r="CH6" i="1" s="1"/>
  <c r="CD7" i="1" s="1"/>
  <c r="CM14" i="1" l="1"/>
  <c r="CI15" i="1" s="1"/>
  <c r="CH7" i="1"/>
  <c r="CD8" i="1" s="1"/>
  <c r="CM15" i="1" l="1"/>
  <c r="CI16" i="1" s="1"/>
  <c r="CH8" i="1"/>
  <c r="CD9" i="1" s="1"/>
  <c r="CM16" i="1" l="1"/>
  <c r="CI17" i="1" s="1"/>
  <c r="CH9" i="1"/>
  <c r="CD10" i="1" s="1"/>
  <c r="O19" i="12"/>
  <c r="N19" i="12"/>
  <c r="M19" i="12"/>
  <c r="CM17" i="1" l="1"/>
  <c r="CI18" i="1" s="1"/>
  <c r="CH10" i="1"/>
  <c r="CD11" i="1" s="1"/>
  <c r="R18" i="3"/>
  <c r="S18" i="3" s="1"/>
  <c r="I21" i="93" s="1"/>
  <c r="AU19" i="12"/>
  <c r="AE18" i="3"/>
  <c r="AV19" i="12"/>
  <c r="AG19" i="12" l="1"/>
  <c r="AM19" i="12" s="1"/>
  <c r="AT19" i="12"/>
  <c r="CM18" i="1"/>
  <c r="CI19" i="1" s="1"/>
  <c r="CH11" i="1"/>
  <c r="CD12" i="1" s="1"/>
  <c r="EL18" i="1" l="1"/>
  <c r="EU18" i="1" s="1"/>
  <c r="CM19" i="1"/>
  <c r="CI20" i="1" s="1"/>
  <c r="CH12" i="1"/>
  <c r="CD13" i="1" s="1"/>
  <c r="AL19" i="12"/>
  <c r="CM20" i="1" l="1"/>
  <c r="CI21" i="1" s="1"/>
  <c r="CH13" i="1"/>
  <c r="CD14" i="1" s="1"/>
  <c r="CM21" i="1" l="1"/>
  <c r="CI22" i="1" s="1"/>
  <c r="CH14" i="1"/>
  <c r="CD15" i="1" s="1"/>
  <c r="CM22" i="1" l="1"/>
  <c r="CI23" i="1" s="1"/>
  <c r="CH15" i="1"/>
  <c r="CD16" i="1" s="1"/>
  <c r="CM23" i="1" l="1"/>
  <c r="CI24" i="1" s="1"/>
  <c r="CH16" i="1"/>
  <c r="CD17" i="1" s="1"/>
  <c r="CM24" i="1" l="1"/>
  <c r="CI25" i="1" s="1"/>
  <c r="CH17" i="1"/>
  <c r="CD18" i="1" s="1"/>
  <c r="CM25" i="1" l="1"/>
  <c r="CI26" i="1" s="1"/>
  <c r="CH18" i="1"/>
  <c r="CD19" i="1" s="1"/>
  <c r="CM26" i="1" l="1"/>
  <c r="CI27" i="1" s="1"/>
  <c r="CH19" i="1"/>
  <c r="CD20" i="1" s="1"/>
  <c r="CM27" i="1" l="1"/>
  <c r="CI28" i="1" s="1"/>
  <c r="CH20" i="1"/>
  <c r="CD21" i="1" s="1"/>
  <c r="CM28" i="1" l="1"/>
  <c r="CI29" i="1" s="1"/>
  <c r="CH21" i="1"/>
  <c r="CD22" i="1" s="1"/>
  <c r="Z34" i="3"/>
  <c r="CM29" i="1" l="1"/>
  <c r="CI30" i="1" s="1"/>
  <c r="CH22" i="1"/>
  <c r="CD23" i="1" s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" i="1"/>
  <c r="BX3" i="1" l="1"/>
  <c r="CM30" i="1"/>
  <c r="CI31" i="1" s="1"/>
  <c r="CH23" i="1"/>
  <c r="CD24" i="1" s="1"/>
  <c r="CM31" i="1" l="1"/>
  <c r="CI32" i="1" s="1"/>
  <c r="CH24" i="1"/>
  <c r="CD25" i="1" s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" i="1"/>
  <c r="CM32" i="1" l="1"/>
  <c r="CI33" i="1" s="1"/>
  <c r="CH25" i="1"/>
  <c r="CD26" i="1" s="1"/>
  <c r="AI18" i="2"/>
  <c r="AZ18" i="2" l="1"/>
  <c r="BA18" i="2" s="1"/>
  <c r="AT18" i="2"/>
  <c r="AU18" i="2"/>
  <c r="CM33" i="1"/>
  <c r="CH26" i="1"/>
  <c r="CD27" i="1" s="1"/>
  <c r="CH27" i="1" l="1"/>
  <c r="CD28" i="1" s="1"/>
  <c r="F31" i="74"/>
  <c r="F33" i="74"/>
  <c r="F34" i="74"/>
  <c r="CH28" i="1" l="1"/>
  <c r="CD29" i="1" s="1"/>
  <c r="CH29" i="1" l="1"/>
  <c r="CD30" i="1" s="1"/>
  <c r="CH30" i="1" l="1"/>
  <c r="CD31" i="1" s="1"/>
  <c r="CH31" i="1" l="1"/>
  <c r="CD32" i="1" s="1"/>
  <c r="CH32" i="1" l="1"/>
  <c r="CD33" i="1" s="1"/>
  <c r="CH33" i="1" l="1"/>
  <c r="BM4" i="1" l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" i="1"/>
  <c r="M34" i="1"/>
  <c r="Y34" i="1"/>
  <c r="O34" i="1"/>
  <c r="E34" i="1"/>
  <c r="J30" i="76" l="1"/>
  <c r="E50" i="76" s="1"/>
  <c r="AI12" i="2" l="1"/>
  <c r="AI13" i="2"/>
  <c r="AI14" i="2"/>
  <c r="AI15" i="2"/>
  <c r="AT16" i="2"/>
  <c r="AT17" i="2"/>
  <c r="AI19" i="2"/>
  <c r="AI20" i="2"/>
  <c r="AI21" i="2"/>
  <c r="AI22" i="2"/>
  <c r="AI23" i="2"/>
  <c r="AT24" i="2"/>
  <c r="AZ23" i="2" l="1"/>
  <c r="BA23" i="2" s="1"/>
  <c r="AZ20" i="2"/>
  <c r="BA20" i="2" s="1"/>
  <c r="AZ21" i="2"/>
  <c r="BA21" i="2" s="1"/>
  <c r="AZ13" i="2"/>
  <c r="BA13" i="2" s="1"/>
  <c r="AZ22" i="2"/>
  <c r="BA22" i="2" s="1"/>
  <c r="AZ19" i="2"/>
  <c r="BA19" i="2" s="1"/>
  <c r="AZ15" i="2"/>
  <c r="BA15" i="2" s="1"/>
  <c r="AZ14" i="2"/>
  <c r="BA14" i="2" s="1"/>
  <c r="AZ12" i="2"/>
  <c r="BA12" i="2" s="1"/>
  <c r="AT21" i="2"/>
  <c r="AU21" i="2"/>
  <c r="AT12" i="2"/>
  <c r="AU12" i="2"/>
  <c r="AT25" i="2"/>
  <c r="AU25" i="2"/>
  <c r="AT23" i="2"/>
  <c r="AU23" i="2"/>
  <c r="AT22" i="2"/>
  <c r="AU22" i="2"/>
  <c r="AT20" i="2"/>
  <c r="AU20" i="2"/>
  <c r="AT19" i="2"/>
  <c r="AU19" i="2"/>
  <c r="AT15" i="2"/>
  <c r="AU15" i="2"/>
  <c r="AT14" i="2"/>
  <c r="AU14" i="2"/>
  <c r="AT13" i="2"/>
  <c r="AU13" i="2"/>
  <c r="AV35" i="1"/>
  <c r="AW35" i="1"/>
  <c r="BF35" i="1"/>
  <c r="BG35" i="1"/>
  <c r="BK35" i="1"/>
  <c r="BL35" i="1"/>
  <c r="BM35" i="1"/>
  <c r="BP35" i="1"/>
  <c r="BQ35" i="1"/>
  <c r="BR35" i="1"/>
  <c r="BU35" i="1"/>
  <c r="BV35" i="1"/>
  <c r="BW35" i="1"/>
  <c r="BZ35" i="1"/>
  <c r="CB35" i="1"/>
  <c r="EN35" i="1"/>
  <c r="S34" i="1"/>
  <c r="U34" i="1"/>
  <c r="AA34" i="1"/>
  <c r="AD34" i="1"/>
  <c r="AM34" i="1"/>
  <c r="AN34" i="1"/>
  <c r="AQ34" i="1"/>
  <c r="AR34" i="1"/>
  <c r="AV34" i="1"/>
  <c r="AW34" i="1"/>
  <c r="BA34" i="1"/>
  <c r="BA35" i="1" s="1"/>
  <c r="BB34" i="1"/>
  <c r="BB35" i="1" s="1"/>
  <c r="BF34" i="1"/>
  <c r="BG34" i="1"/>
  <c r="BK34" i="1"/>
  <c r="BL34" i="1"/>
  <c r="BM34" i="1"/>
  <c r="BP34" i="1"/>
  <c r="BQ34" i="1"/>
  <c r="BR34" i="1"/>
  <c r="BU34" i="1"/>
  <c r="BV34" i="1"/>
  <c r="BW34" i="1"/>
  <c r="BZ34" i="1"/>
  <c r="CA34" i="1"/>
  <c r="CB34" i="1"/>
  <c r="EK34" i="1"/>
  <c r="EN34" i="1"/>
  <c r="M9" i="70" l="1"/>
  <c r="F10" i="70"/>
  <c r="I10" i="70"/>
  <c r="F11" i="70"/>
  <c r="I11" i="70"/>
  <c r="F12" i="70"/>
  <c r="M12" i="70"/>
  <c r="F18" i="70"/>
  <c r="I20" i="70"/>
  <c r="F22" i="70"/>
  <c r="F23" i="70"/>
  <c r="F24" i="70"/>
  <c r="F30" i="70"/>
  <c r="F31" i="70"/>
  <c r="J31" i="70"/>
  <c r="F33" i="70"/>
  <c r="J33" i="70"/>
  <c r="I50" i="70" s="1"/>
  <c r="F34" i="70"/>
  <c r="J34" i="70"/>
  <c r="H50" i="70" s="1"/>
  <c r="H51" i="70" s="1"/>
  <c r="M35" i="70"/>
  <c r="M36" i="70"/>
  <c r="M37" i="70"/>
  <c r="F57" i="70"/>
  <c r="F58" i="70"/>
  <c r="M40" i="70" l="1"/>
  <c r="L52" i="70" s="1"/>
  <c r="F50" i="70"/>
  <c r="F51" i="70" s="1"/>
  <c r="F25" i="70"/>
  <c r="I14" i="93"/>
  <c r="ED34" i="1"/>
  <c r="ED35" i="1" s="1"/>
  <c r="EC34" i="1"/>
  <c r="EC35" i="1" s="1"/>
  <c r="Q31" i="70"/>
  <c r="Q33" i="70"/>
  <c r="BY4" i="1"/>
  <c r="M10" i="70"/>
  <c r="M11" i="70"/>
  <c r="I13" i="70"/>
  <c r="N9" i="70" s="1"/>
  <c r="Q34" i="70"/>
  <c r="F13" i="70"/>
  <c r="I14" i="70"/>
  <c r="F14" i="70"/>
  <c r="M13" i="70" l="1"/>
  <c r="CC4" i="1"/>
  <c r="BT4" i="1"/>
  <c r="BX4" i="1" s="1"/>
  <c r="N10" i="70"/>
  <c r="N11" i="70"/>
  <c r="N12" i="70"/>
  <c r="BY5" i="1" l="1"/>
  <c r="CC5" i="1" l="1"/>
  <c r="BT5" i="1"/>
  <c r="BX5" i="1" s="1"/>
  <c r="BY6" i="1" l="1"/>
  <c r="CC6" i="1" l="1"/>
  <c r="BT6" i="1"/>
  <c r="BX6" i="1" s="1"/>
  <c r="BY7" i="1" l="1"/>
  <c r="C34" i="6"/>
  <c r="CC7" i="1" l="1"/>
  <c r="BT7" i="1"/>
  <c r="BX7" i="1" s="1"/>
  <c r="BY8" i="1" l="1"/>
  <c r="D35" i="1"/>
  <c r="CC8" i="1" l="1"/>
  <c r="BY9" i="1" s="1"/>
  <c r="CC9" i="1" s="1"/>
  <c r="BY10" i="1" s="1"/>
  <c r="CC10" i="1" s="1"/>
  <c r="BY11" i="1" s="1"/>
  <c r="CC11" i="1" s="1"/>
  <c r="BY12" i="1" s="1"/>
  <c r="CC12" i="1" s="1"/>
  <c r="BY13" i="1" s="1"/>
  <c r="CC13" i="1" s="1"/>
  <c r="BY14" i="1" s="1"/>
  <c r="CC14" i="1" s="1"/>
  <c r="BY15" i="1" s="1"/>
  <c r="CC15" i="1" s="1"/>
  <c r="BY16" i="1" s="1"/>
  <c r="CC16" i="1" s="1"/>
  <c r="BY17" i="1" s="1"/>
  <c r="CC17" i="1" s="1"/>
  <c r="BY18" i="1" s="1"/>
  <c r="CC18" i="1" s="1"/>
  <c r="BY19" i="1" s="1"/>
  <c r="CC19" i="1" s="1"/>
  <c r="BY20" i="1" s="1"/>
  <c r="CC20" i="1" s="1"/>
  <c r="BY21" i="1" s="1"/>
  <c r="CC21" i="1" s="1"/>
  <c r="BY22" i="1" s="1"/>
  <c r="CC22" i="1" s="1"/>
  <c r="BY23" i="1" s="1"/>
  <c r="CC23" i="1" s="1"/>
  <c r="BY24" i="1" s="1"/>
  <c r="CC24" i="1" s="1"/>
  <c r="BY25" i="1" s="1"/>
  <c r="CC25" i="1" s="1"/>
  <c r="BY26" i="1" s="1"/>
  <c r="CC26" i="1" s="1"/>
  <c r="BY27" i="1" s="1"/>
  <c r="CC27" i="1" s="1"/>
  <c r="BY28" i="1" s="1"/>
  <c r="CC28" i="1" s="1"/>
  <c r="BY29" i="1" s="1"/>
  <c r="CC29" i="1" s="1"/>
  <c r="BY30" i="1" s="1"/>
  <c r="CC30" i="1" s="1"/>
  <c r="BY31" i="1" s="1"/>
  <c r="CC31" i="1" s="1"/>
  <c r="BY32" i="1" s="1"/>
  <c r="CC32" i="1" s="1"/>
  <c r="BY33" i="1" s="1"/>
  <c r="CC33" i="1" s="1"/>
  <c r="BT8" i="1"/>
  <c r="BX8" i="1" s="1"/>
  <c r="BS3" i="1"/>
  <c r="CC34" i="1" l="1"/>
  <c r="BT9" i="1"/>
  <c r="BO4" i="1"/>
  <c r="BX9" i="1" l="1"/>
  <c r="BT10" i="1" s="1"/>
  <c r="BS4" i="1"/>
  <c r="BX10" i="1" l="1"/>
  <c r="BT11" i="1" s="1"/>
  <c r="BO5" i="1"/>
  <c r="BX11" i="1" l="1"/>
  <c r="BT12" i="1" s="1"/>
  <c r="BS5" i="1"/>
  <c r="BX12" i="1" l="1"/>
  <c r="BT13" i="1" s="1"/>
  <c r="BO6" i="1"/>
  <c r="BX13" i="1" l="1"/>
  <c r="BT14" i="1" s="1"/>
  <c r="BS6" i="1"/>
  <c r="BO7" i="1" s="1"/>
  <c r="BX14" i="1" l="1"/>
  <c r="BT15" i="1" s="1"/>
  <c r="BS7" i="1"/>
  <c r="BX15" i="1" l="1"/>
  <c r="BT16" i="1" s="1"/>
  <c r="BO8" i="1"/>
  <c r="BX16" i="1" l="1"/>
  <c r="BT17" i="1" s="1"/>
  <c r="BS8" i="1"/>
  <c r="BO9" i="1" s="1"/>
  <c r="BX17" i="1" l="1"/>
  <c r="BT18" i="1" s="1"/>
  <c r="BS9" i="1"/>
  <c r="BO10" i="1" s="1"/>
  <c r="BX18" i="1" l="1"/>
  <c r="BT19" i="1" s="1"/>
  <c r="BS10" i="1"/>
  <c r="BO11" i="1" s="1"/>
  <c r="BX19" i="1" l="1"/>
  <c r="BT20" i="1" s="1"/>
  <c r="BS11" i="1"/>
  <c r="BO12" i="1" s="1"/>
  <c r="BX20" i="1" l="1"/>
  <c r="BT21" i="1" s="1"/>
  <c r="BS12" i="1"/>
  <c r="BO13" i="1" s="1"/>
  <c r="BX21" i="1" l="1"/>
  <c r="BT22" i="1" s="1"/>
  <c r="BS13" i="1"/>
  <c r="BO14" i="1" s="1"/>
  <c r="BX22" i="1" l="1"/>
  <c r="BT23" i="1" s="1"/>
  <c r="BS14" i="1"/>
  <c r="BO15" i="1" s="1"/>
  <c r="BX23" i="1" l="1"/>
  <c r="BT24" i="1" s="1"/>
  <c r="BS15" i="1"/>
  <c r="BO16" i="1" s="1"/>
  <c r="BX24" i="1" l="1"/>
  <c r="BT25" i="1" s="1"/>
  <c r="BS16" i="1"/>
  <c r="BO17" i="1" s="1"/>
  <c r="BX25" i="1" l="1"/>
  <c r="BT26" i="1" s="1"/>
  <c r="BS17" i="1"/>
  <c r="BO18" i="1" s="1"/>
  <c r="BX26" i="1" l="1"/>
  <c r="BT27" i="1" s="1"/>
  <c r="BS18" i="1"/>
  <c r="BO19" i="1" s="1"/>
  <c r="BX27" i="1" l="1"/>
  <c r="BT28" i="1" s="1"/>
  <c r="BS19" i="1"/>
  <c r="BO20" i="1" s="1"/>
  <c r="BX28" i="1" l="1"/>
  <c r="BT29" i="1" s="1"/>
  <c r="BS20" i="1"/>
  <c r="BO21" i="1" s="1"/>
  <c r="BX29" i="1" l="1"/>
  <c r="BT30" i="1" s="1"/>
  <c r="BS21" i="1"/>
  <c r="BO22" i="1" s="1"/>
  <c r="BX30" i="1" l="1"/>
  <c r="BT31" i="1" s="1"/>
  <c r="BS22" i="1"/>
  <c r="BO23" i="1" s="1"/>
  <c r="BX31" i="1" l="1"/>
  <c r="BT32" i="1" s="1"/>
  <c r="BS23" i="1"/>
  <c r="BO24" i="1" s="1"/>
  <c r="BX32" i="1" l="1"/>
  <c r="BT33" i="1" s="1"/>
  <c r="BS24" i="1"/>
  <c r="BO25" i="1" s="1"/>
  <c r="BX33" i="1" l="1"/>
  <c r="BT34" i="1"/>
  <c r="BS25" i="1"/>
  <c r="BO26" i="1" s="1"/>
  <c r="BS26" i="1" l="1"/>
  <c r="BO27" i="1" s="1"/>
  <c r="BS27" i="1" l="1"/>
  <c r="BO28" i="1" s="1"/>
  <c r="BS28" i="1" l="1"/>
  <c r="BO29" i="1" s="1"/>
  <c r="BS29" i="1" l="1"/>
  <c r="BO30" i="1" s="1"/>
  <c r="I15" i="70"/>
  <c r="BS30" i="1" l="1"/>
  <c r="BO31" i="1" s="1"/>
  <c r="EH34" i="1"/>
  <c r="EH35" i="1" s="1"/>
  <c r="I16" i="70"/>
  <c r="T52" i="12"/>
  <c r="R52" i="12"/>
  <c r="BS31" i="1" l="1"/>
  <c r="BO32" i="1" s="1"/>
  <c r="M33" i="70"/>
  <c r="BS32" i="1" l="1"/>
  <c r="BO33" i="1" s="1"/>
  <c r="Q50" i="70"/>
  <c r="I51" i="70" s="1"/>
  <c r="O5" i="12"/>
  <c r="N5" i="12"/>
  <c r="N40" i="12" s="1"/>
  <c r="N42" i="97" s="1"/>
  <c r="M5" i="12"/>
  <c r="M7" i="12"/>
  <c r="N7" i="12"/>
  <c r="O7" i="12"/>
  <c r="M8" i="12"/>
  <c r="N8" i="12"/>
  <c r="O8" i="12"/>
  <c r="M9" i="12"/>
  <c r="N9" i="12"/>
  <c r="O9" i="12"/>
  <c r="O40" i="12" l="1"/>
  <c r="O42" i="97" s="1"/>
  <c r="BS33" i="1"/>
  <c r="Q52" i="70"/>
  <c r="J30" i="70"/>
  <c r="E50" i="70" s="1"/>
  <c r="E51" i="70" s="1"/>
  <c r="N51" i="70" s="1"/>
  <c r="J30" i="72"/>
  <c r="E50" i="72" s="1"/>
  <c r="M9" i="72"/>
  <c r="F10" i="72"/>
  <c r="I10" i="72"/>
  <c r="F11" i="72"/>
  <c r="I11" i="72"/>
  <c r="M11" i="72" s="1"/>
  <c r="F12" i="72"/>
  <c r="I12" i="72"/>
  <c r="M12" i="72" s="1"/>
  <c r="F18" i="72"/>
  <c r="I20" i="72"/>
  <c r="F21" i="72"/>
  <c r="F22" i="72"/>
  <c r="F23" i="72"/>
  <c r="F24" i="72"/>
  <c r="F30" i="72"/>
  <c r="F31" i="72"/>
  <c r="J31" i="72"/>
  <c r="F33" i="72"/>
  <c r="J33" i="72"/>
  <c r="I50" i="72" s="1"/>
  <c r="F34" i="72"/>
  <c r="J34" i="72"/>
  <c r="H50" i="72" s="1"/>
  <c r="H51" i="72" s="1"/>
  <c r="M35" i="72"/>
  <c r="M36" i="72"/>
  <c r="M37" i="72"/>
  <c r="F57" i="72"/>
  <c r="F58" i="72"/>
  <c r="M40" i="72" l="1"/>
  <c r="E51" i="72"/>
  <c r="F50" i="72"/>
  <c r="F51" i="72" s="1"/>
  <c r="L52" i="72"/>
  <c r="F25" i="72"/>
  <c r="Q30" i="70"/>
  <c r="I13" i="72"/>
  <c r="M10" i="72"/>
  <c r="Q34" i="72"/>
  <c r="Q33" i="72"/>
  <c r="Q31" i="72"/>
  <c r="Q30" i="72"/>
  <c r="F13" i="72"/>
  <c r="N9" i="72" l="1"/>
  <c r="N10" i="72"/>
  <c r="N11" i="72"/>
  <c r="N12" i="72"/>
  <c r="M13" i="72"/>
  <c r="N13" i="72" l="1"/>
  <c r="AI33" i="2"/>
  <c r="AI4" i="2"/>
  <c r="AI5" i="2"/>
  <c r="AT6" i="2"/>
  <c r="AI7" i="2"/>
  <c r="AI8" i="2"/>
  <c r="AZ8" i="2" s="1"/>
  <c r="AT9" i="2"/>
  <c r="AI10" i="2"/>
  <c r="AI11" i="2"/>
  <c r="AI28" i="2"/>
  <c r="AI29" i="2"/>
  <c r="AT29" i="2" s="1"/>
  <c r="AT30" i="2"/>
  <c r="AI31" i="2"/>
  <c r="AI32" i="2"/>
  <c r="AI3" i="2"/>
  <c r="AZ3" i="2" s="1"/>
  <c r="BA3" i="2" s="1"/>
  <c r="AF34" i="2"/>
  <c r="AF35" i="2" s="1"/>
  <c r="AE34" i="2"/>
  <c r="AG3" i="2"/>
  <c r="AD4" i="2" s="1"/>
  <c r="AG4" i="2" s="1"/>
  <c r="AD5" i="2" s="1"/>
  <c r="AG5" i="2" s="1"/>
  <c r="AD6" i="2" s="1"/>
  <c r="AG6" i="2" s="1"/>
  <c r="AD7" i="2" s="1"/>
  <c r="AG7" i="2" s="1"/>
  <c r="AD8" i="2" s="1"/>
  <c r="AG8" i="2" s="1"/>
  <c r="AD9" i="2" s="1"/>
  <c r="AG9" i="2" s="1"/>
  <c r="AD10" i="2" s="1"/>
  <c r="AG10" i="2" s="1"/>
  <c r="AD11" i="2" s="1"/>
  <c r="AG11" i="2" s="1"/>
  <c r="AD12" i="2" s="1"/>
  <c r="AG12" i="2" s="1"/>
  <c r="AD13" i="2" s="1"/>
  <c r="AG13" i="2" s="1"/>
  <c r="AD14" i="2" s="1"/>
  <c r="AG14" i="2" s="1"/>
  <c r="AD15" i="2" s="1"/>
  <c r="AG15" i="2" s="1"/>
  <c r="AD16" i="2" s="1"/>
  <c r="AG16" i="2" s="1"/>
  <c r="AD17" i="2" s="1"/>
  <c r="AG17" i="2" s="1"/>
  <c r="AD18" i="2" s="1"/>
  <c r="AG18" i="2" s="1"/>
  <c r="AD19" i="2" s="1"/>
  <c r="AG19" i="2" s="1"/>
  <c r="AD20" i="2" s="1"/>
  <c r="AG20" i="2" s="1"/>
  <c r="AD21" i="2" s="1"/>
  <c r="AG21" i="2" s="1"/>
  <c r="AD22" i="2" s="1"/>
  <c r="AG22" i="2" s="1"/>
  <c r="AD23" i="2" s="1"/>
  <c r="BA8" i="2" l="1"/>
  <c r="AZ11" i="2"/>
  <c r="BA11" i="2" s="1"/>
  <c r="AZ5" i="2"/>
  <c r="BA5" i="2" s="1"/>
  <c r="AZ7" i="2"/>
  <c r="BA7" i="2" s="1"/>
  <c r="AZ4" i="2"/>
  <c r="BA4" i="2" s="1"/>
  <c r="AZ10" i="2"/>
  <c r="BA10" i="2" s="1"/>
  <c r="AZ32" i="2"/>
  <c r="AZ31" i="2"/>
  <c r="BA31" i="2" s="1"/>
  <c r="AZ29" i="2"/>
  <c r="BA29" i="2" s="1"/>
  <c r="AZ28" i="2"/>
  <c r="BA28" i="2" s="1"/>
  <c r="AU3" i="2"/>
  <c r="AT3" i="2"/>
  <c r="AT33" i="2"/>
  <c r="AU29" i="2"/>
  <c r="AT7" i="2"/>
  <c r="AU7" i="2"/>
  <c r="AT28" i="2"/>
  <c r="AU28" i="2"/>
  <c r="AT5" i="2"/>
  <c r="AU5" i="2"/>
  <c r="AT8" i="2"/>
  <c r="AU8" i="2"/>
  <c r="AT4" i="2"/>
  <c r="AU4" i="2"/>
  <c r="AT32" i="2"/>
  <c r="AU32" i="2"/>
  <c r="AT31" i="2"/>
  <c r="AU31" i="2"/>
  <c r="AT27" i="2"/>
  <c r="AU27" i="2"/>
  <c r="AT26" i="2"/>
  <c r="AU26" i="2"/>
  <c r="AT11" i="2"/>
  <c r="AU11" i="2"/>
  <c r="AT10" i="2"/>
  <c r="AU10" i="2"/>
  <c r="AG23" i="2"/>
  <c r="AD24" i="2" s="1"/>
  <c r="AG24" i="2" s="1"/>
  <c r="AD25" i="2" s="1"/>
  <c r="AG25" i="2" l="1"/>
  <c r="AD26" i="2" l="1"/>
  <c r="AG26" i="2" l="1"/>
  <c r="AD27" i="2" l="1"/>
  <c r="AG27" i="2" l="1"/>
  <c r="AD28" i="2" l="1"/>
  <c r="AG28" i="2" l="1"/>
  <c r="AD29" i="2" l="1"/>
  <c r="AG29" i="2" l="1"/>
  <c r="AD30" i="2" l="1"/>
  <c r="AG30" i="2" l="1"/>
  <c r="AD31" i="2" s="1"/>
  <c r="AG31" i="2" l="1"/>
  <c r="AD32" i="2" s="1"/>
  <c r="AG32" i="2" l="1"/>
  <c r="AD33" i="2" s="1"/>
  <c r="AD34" i="2" s="1"/>
  <c r="I14" i="72"/>
  <c r="F14" i="72"/>
  <c r="L14" i="72" s="1"/>
  <c r="BN3" i="1"/>
  <c r="AG33" i="2" l="1"/>
  <c r="AG34" i="2" s="1"/>
  <c r="BJ4" i="1"/>
  <c r="BN4" i="1" s="1"/>
  <c r="M33" i="72" l="1"/>
  <c r="Q50" i="72" s="1"/>
  <c r="I51" i="72" s="1"/>
  <c r="N51" i="72" s="1"/>
  <c r="BJ5" i="1" l="1"/>
  <c r="Q52" i="72"/>
  <c r="BN5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" i="1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F36" i="70"/>
  <c r="AB27" i="6"/>
  <c r="AB28" i="6"/>
  <c r="I15" i="72"/>
  <c r="I16" i="72" s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" i="1"/>
  <c r="AJ34" i="1"/>
  <c r="F36" i="72" l="1"/>
  <c r="BI3" i="1"/>
  <c r="BE4" i="1" s="1"/>
  <c r="BI4" i="1" s="1"/>
  <c r="BH34" i="1"/>
  <c r="BH35" i="1"/>
  <c r="BD3" i="1"/>
  <c r="BC34" i="1"/>
  <c r="BC35" i="1" s="1"/>
  <c r="BJ6" i="1"/>
  <c r="AS33" i="1"/>
  <c r="AS31" i="1"/>
  <c r="AS32" i="1"/>
  <c r="F58" i="75"/>
  <c r="BN6" i="1" l="1"/>
  <c r="BE5" i="1"/>
  <c r="BI5" i="1" s="1"/>
  <c r="BE6" i="1" s="1"/>
  <c r="BI6" i="1" s="1"/>
  <c r="BE7" i="1" s="1"/>
  <c r="BI7" i="1" s="1"/>
  <c r="BE8" i="1" s="1"/>
  <c r="BI8" i="1" s="1"/>
  <c r="BE9" i="1" s="1"/>
  <c r="BI9" i="1" s="1"/>
  <c r="BE10" i="1" s="1"/>
  <c r="BI10" i="1" s="1"/>
  <c r="BE11" i="1" s="1"/>
  <c r="BI11" i="1" s="1"/>
  <c r="BE12" i="1" s="1"/>
  <c r="BI12" i="1" s="1"/>
  <c r="BE13" i="1" s="1"/>
  <c r="BJ7" i="1" l="1"/>
  <c r="BI13" i="1"/>
  <c r="BE14" i="1" s="1"/>
  <c r="BI14" i="1" s="1"/>
  <c r="BE15" i="1" s="1"/>
  <c r="BI15" i="1" s="1"/>
  <c r="BE16" i="1" s="1"/>
  <c r="BI16" i="1" s="1"/>
  <c r="BE17" i="1" s="1"/>
  <c r="BI17" i="1" s="1"/>
  <c r="BE18" i="1" s="1"/>
  <c r="BI18" i="1" s="1"/>
  <c r="BE19" i="1" s="1"/>
  <c r="BI19" i="1" s="1"/>
  <c r="BE20" i="1" s="1"/>
  <c r="BI20" i="1" s="1"/>
  <c r="BE21" i="1" s="1"/>
  <c r="BI21" i="1" s="1"/>
  <c r="BE22" i="1" s="1"/>
  <c r="BI22" i="1" s="1"/>
  <c r="BE23" i="1" s="1"/>
  <c r="BI23" i="1" s="1"/>
  <c r="BE24" i="1" s="1"/>
  <c r="BI24" i="1" s="1"/>
  <c r="BE25" i="1" s="1"/>
  <c r="BI25" i="1" s="1"/>
  <c r="BE26" i="1" s="1"/>
  <c r="BI26" i="1" s="1"/>
  <c r="BE27" i="1" s="1"/>
  <c r="BI27" i="1" s="1"/>
  <c r="BE28" i="1" s="1"/>
  <c r="BI28" i="1" s="1"/>
  <c r="BE29" i="1" s="1"/>
  <c r="BI29" i="1" s="1"/>
  <c r="BE30" i="1" s="1"/>
  <c r="BI30" i="1" s="1"/>
  <c r="BE31" i="1" s="1"/>
  <c r="BI31" i="1" s="1"/>
  <c r="BE32" i="1" s="1"/>
  <c r="BI32" i="1" s="1"/>
  <c r="BE33" i="1" s="1"/>
  <c r="BI33" i="1" s="1"/>
  <c r="AZ4" i="1"/>
  <c r="BN7" i="1" l="1"/>
  <c r="BE35" i="1"/>
  <c r="BE34" i="1"/>
  <c r="BD4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" i="1"/>
  <c r="AX34" i="1" l="1"/>
  <c r="AX35" i="1" s="1"/>
  <c r="BJ8" i="1"/>
  <c r="AZ5" i="1"/>
  <c r="AY3" i="1"/>
  <c r="BN8" i="1" l="1"/>
  <c r="BJ9" i="1" s="1"/>
  <c r="BN9" i="1" s="1"/>
  <c r="BJ10" i="1" s="1"/>
  <c r="BN10" i="1" s="1"/>
  <c r="BJ11" i="1" s="1"/>
  <c r="BN11" i="1" s="1"/>
  <c r="BJ12" i="1" s="1"/>
  <c r="BN12" i="1" s="1"/>
  <c r="BJ13" i="1" s="1"/>
  <c r="BN13" i="1" s="1"/>
  <c r="BJ14" i="1" s="1"/>
  <c r="BN14" i="1" s="1"/>
  <c r="BJ15" i="1" s="1"/>
  <c r="BD5" i="1"/>
  <c r="AZ6" i="1" l="1"/>
  <c r="BN15" i="1"/>
  <c r="BJ16" i="1" s="1"/>
  <c r="BD6" i="1" l="1"/>
  <c r="BN16" i="1"/>
  <c r="BJ17" i="1" s="1"/>
  <c r="AZ7" i="1" l="1"/>
  <c r="BN17" i="1"/>
  <c r="BJ18" i="1" s="1"/>
  <c r="BD7" i="1" l="1"/>
  <c r="BN18" i="1"/>
  <c r="BJ19" i="1" s="1"/>
  <c r="AZ8" i="1" l="1"/>
  <c r="BN19" i="1"/>
  <c r="BJ20" i="1" s="1"/>
  <c r="BD8" i="1" l="1"/>
  <c r="AZ9" i="1" s="1"/>
  <c r="BN20" i="1"/>
  <c r="BJ21" i="1" s="1"/>
  <c r="BD9" i="1" l="1"/>
  <c r="AZ10" i="1" s="1"/>
  <c r="BN21" i="1"/>
  <c r="BJ22" i="1" s="1"/>
  <c r="J30" i="93"/>
  <c r="E50" i="93" s="1"/>
  <c r="D35" i="6"/>
  <c r="BD10" i="1" l="1"/>
  <c r="AZ11" i="1" s="1"/>
  <c r="BN22" i="1"/>
  <c r="BJ23" i="1" s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" i="1"/>
  <c r="AT3" i="1" s="1"/>
  <c r="BD11" i="1" l="1"/>
  <c r="AZ12" i="1" s="1"/>
  <c r="AS34" i="1"/>
  <c r="BN23" i="1"/>
  <c r="BJ24" i="1" s="1"/>
  <c r="AS35" i="1"/>
  <c r="AD32" i="55"/>
  <c r="AD31" i="55"/>
  <c r="AD30" i="55"/>
  <c r="AD29" i="55"/>
  <c r="AD28" i="55"/>
  <c r="AD27" i="55"/>
  <c r="V34" i="3"/>
  <c r="BD12" i="1" l="1"/>
  <c r="AZ13" i="1" s="1"/>
  <c r="BN24" i="1"/>
  <c r="BJ25" i="1" s="1"/>
  <c r="BD13" i="1" l="1"/>
  <c r="AZ14" i="1" s="1"/>
  <c r="BN25" i="1"/>
  <c r="BJ26" i="1" s="1"/>
  <c r="AE22" i="3"/>
  <c r="R22" i="3"/>
  <c r="S22" i="3" s="1"/>
  <c r="I21" i="42" s="1"/>
  <c r="BD14" i="1" l="1"/>
  <c r="AZ15" i="1" s="1"/>
  <c r="BN26" i="1"/>
  <c r="BJ27" i="1" s="1"/>
  <c r="R12" i="3"/>
  <c r="S12" i="3" s="1"/>
  <c r="I21" i="87" s="1"/>
  <c r="M30" i="87" s="1"/>
  <c r="AE12" i="3"/>
  <c r="BD15" i="1" l="1"/>
  <c r="AZ16" i="1" s="1"/>
  <c r="AJ22" i="3"/>
  <c r="AJ18" i="3"/>
  <c r="BN27" i="1"/>
  <c r="BJ28" i="1" s="1"/>
  <c r="BD16" i="1" l="1"/>
  <c r="AZ17" i="1" s="1"/>
  <c r="AJ12" i="3"/>
  <c r="BN28" i="1"/>
  <c r="BJ29" i="1" s="1"/>
  <c r="F37" i="67"/>
  <c r="AE23" i="3"/>
  <c r="R23" i="3"/>
  <c r="S23" i="3" s="1"/>
  <c r="I21" i="67" s="1"/>
  <c r="AJ27" i="3" l="1"/>
  <c r="BD17" i="1"/>
  <c r="AZ18" i="1" s="1"/>
  <c r="BN29" i="1"/>
  <c r="BJ30" i="1" s="1"/>
  <c r="R14" i="3"/>
  <c r="S14" i="3" s="1"/>
  <c r="I21" i="89" s="1"/>
  <c r="BD18" i="1" l="1"/>
  <c r="AZ19" i="1" s="1"/>
  <c r="U4" i="3"/>
  <c r="AJ23" i="3"/>
  <c r="AJ3" i="3"/>
  <c r="AJ14" i="3"/>
  <c r="AB3" i="3"/>
  <c r="Y4" i="3" s="1"/>
  <c r="BN30" i="1"/>
  <c r="BJ31" i="1" s="1"/>
  <c r="R11" i="3"/>
  <c r="S11" i="3" s="1"/>
  <c r="I21" i="86" s="1"/>
  <c r="M30" i="86" s="1"/>
  <c r="BD19" i="1" l="1"/>
  <c r="AZ20" i="1" s="1"/>
  <c r="BN31" i="1"/>
  <c r="BJ32" i="1" s="1"/>
  <c r="AU4" i="1"/>
  <c r="BD20" i="1" l="1"/>
  <c r="AZ21" i="1" s="1"/>
  <c r="AJ11" i="3"/>
  <c r="BN32" i="1"/>
  <c r="BJ33" i="1" s="1"/>
  <c r="AY4" i="1"/>
  <c r="BD21" i="1" l="1"/>
  <c r="AZ22" i="1" s="1"/>
  <c r="AU5" i="1"/>
  <c r="AY5" i="1" s="1"/>
  <c r="AU6" i="1" s="1"/>
  <c r="BN33" i="1"/>
  <c r="R6" i="3"/>
  <c r="S6" i="3" s="1"/>
  <c r="I21" i="81" l="1"/>
  <c r="BD22" i="1"/>
  <c r="AZ23" i="1" s="1"/>
  <c r="AJ6" i="3"/>
  <c r="AY6" i="1"/>
  <c r="C35" i="6"/>
  <c r="G35" i="6"/>
  <c r="N35" i="6"/>
  <c r="S35" i="6"/>
  <c r="U35" i="6"/>
  <c r="BH35" i="6"/>
  <c r="BP35" i="6"/>
  <c r="BD23" i="1" l="1"/>
  <c r="AZ24" i="1" s="1"/>
  <c r="AU7" i="1"/>
  <c r="AY7" i="1" s="1"/>
  <c r="AU8" i="1" s="1"/>
  <c r="I19" i="1"/>
  <c r="N19" i="1"/>
  <c r="P19" i="1" s="1"/>
  <c r="T19" i="1"/>
  <c r="V19" i="1" s="1"/>
  <c r="Z19" i="1"/>
  <c r="I20" i="1"/>
  <c r="N20" i="1"/>
  <c r="T20" i="1"/>
  <c r="V20" i="1" s="1"/>
  <c r="Z20" i="1"/>
  <c r="I21" i="1"/>
  <c r="N21" i="1"/>
  <c r="P21" i="1" s="1"/>
  <c r="T21" i="1"/>
  <c r="V21" i="1" s="1"/>
  <c r="Z21" i="1"/>
  <c r="I22" i="1"/>
  <c r="N22" i="1"/>
  <c r="P22" i="1" s="1"/>
  <c r="T22" i="1"/>
  <c r="V22" i="1" s="1"/>
  <c r="Z22" i="1"/>
  <c r="I23" i="1"/>
  <c r="N23" i="1"/>
  <c r="P23" i="1" s="1"/>
  <c r="T23" i="1"/>
  <c r="V23" i="1" s="1"/>
  <c r="Z23" i="1"/>
  <c r="BD24" i="1" l="1"/>
  <c r="P20" i="1"/>
  <c r="AY8" i="1"/>
  <c r="AE21" i="3"/>
  <c r="R21" i="3"/>
  <c r="S21" i="3" s="1"/>
  <c r="I21" i="96" s="1"/>
  <c r="AU9" i="1" l="1"/>
  <c r="AY9" i="1" s="1"/>
  <c r="AU10" i="1" s="1"/>
  <c r="AZ25" i="1"/>
  <c r="BD25" i="1" l="1"/>
  <c r="AJ21" i="3"/>
  <c r="R20" i="3"/>
  <c r="S20" i="3" s="1"/>
  <c r="I21" i="95" s="1"/>
  <c r="AY10" i="1"/>
  <c r="AU11" i="1" s="1"/>
  <c r="AE15" i="3"/>
  <c r="R15" i="3"/>
  <c r="S15" i="3" s="1"/>
  <c r="I21" i="90" s="1"/>
  <c r="AJ15" i="3" l="1"/>
  <c r="AZ26" i="1"/>
  <c r="AY11" i="1"/>
  <c r="AU12" i="1" s="1"/>
  <c r="BD26" i="1" l="1"/>
  <c r="AZ27" i="1" s="1"/>
  <c r="AJ20" i="3"/>
  <c r="R10" i="3"/>
  <c r="S10" i="3" s="1"/>
  <c r="I21" i="85" s="1"/>
  <c r="AY12" i="1"/>
  <c r="AU13" i="1" s="1"/>
  <c r="R8" i="3"/>
  <c r="S8" i="3" s="1"/>
  <c r="M30" i="85" l="1"/>
  <c r="I21" i="83"/>
  <c r="M30" i="83"/>
  <c r="BD27" i="1"/>
  <c r="AZ28" i="1" s="1"/>
  <c r="AY13" i="1"/>
  <c r="AU14" i="1" s="1"/>
  <c r="AR35" i="1"/>
  <c r="AQ35" i="1"/>
  <c r="AP4" i="1"/>
  <c r="AJ10" i="3" l="1"/>
  <c r="BD28" i="1"/>
  <c r="AZ29" i="1" s="1"/>
  <c r="AJ8" i="3"/>
  <c r="AT4" i="1"/>
  <c r="AP5" i="1" s="1"/>
  <c r="AY14" i="1"/>
  <c r="AU15" i="1" s="1"/>
  <c r="BD29" i="1" l="1"/>
  <c r="AZ30" i="1" s="1"/>
  <c r="AY15" i="1"/>
  <c r="AU16" i="1" s="1"/>
  <c r="AT5" i="1"/>
  <c r="AP6" i="1" s="1"/>
  <c r="AO3" i="1"/>
  <c r="AN35" i="1"/>
  <c r="R4" i="3" l="1"/>
  <c r="S4" i="3" s="1"/>
  <c r="E4" i="3"/>
  <c r="F4" i="3" s="1"/>
  <c r="BD30" i="1"/>
  <c r="AZ31" i="1" s="1"/>
  <c r="AL4" i="1"/>
  <c r="AY16" i="1"/>
  <c r="AU17" i="1" s="1"/>
  <c r="AT6" i="1"/>
  <c r="V35" i="6"/>
  <c r="I21" i="79" l="1"/>
  <c r="M30" i="79" s="1"/>
  <c r="BD31" i="1"/>
  <c r="AZ32" i="1" s="1"/>
  <c r="X4" i="3"/>
  <c r="U5" i="3" s="1"/>
  <c r="AJ4" i="3"/>
  <c r="AB4" i="3"/>
  <c r="AO4" i="1"/>
  <c r="AP7" i="1"/>
  <c r="AT7" i="1" s="1"/>
  <c r="AP8" i="1" s="1"/>
  <c r="AY17" i="1"/>
  <c r="AU18" i="1" s="1"/>
  <c r="U34" i="6"/>
  <c r="BD32" i="1" l="1"/>
  <c r="AZ33" i="1" s="1"/>
  <c r="Y5" i="3"/>
  <c r="AY18" i="1"/>
  <c r="AU19" i="1" s="1"/>
  <c r="AT8" i="1"/>
  <c r="AP9" i="1" s="1"/>
  <c r="AT9" i="1" s="1"/>
  <c r="AP10" i="1" s="1"/>
  <c r="BD33" i="1" l="1"/>
  <c r="AZ34" i="1"/>
  <c r="AY19" i="1"/>
  <c r="AU20" i="1" s="1"/>
  <c r="AT10" i="1"/>
  <c r="R30" i="3"/>
  <c r="S30" i="3" s="1"/>
  <c r="I21" i="74" s="1"/>
  <c r="R29" i="3" l="1"/>
  <c r="S29" i="3" s="1"/>
  <c r="I21" i="73" s="1"/>
  <c r="AE30" i="3"/>
  <c r="AJ30" i="3"/>
  <c r="BD34" i="1"/>
  <c r="AY20" i="1"/>
  <c r="AU21" i="1" s="1"/>
  <c r="AP11" i="1"/>
  <c r="R26" i="3"/>
  <c r="S26" i="3" s="1"/>
  <c r="I21" i="70" s="1"/>
  <c r="J30" i="67"/>
  <c r="E50" i="67" s="1"/>
  <c r="J30" i="68"/>
  <c r="E50" i="68" s="1"/>
  <c r="J37" i="67"/>
  <c r="AE26" i="3" l="1"/>
  <c r="AY21" i="1"/>
  <c r="AU22" i="1" s="1"/>
  <c r="AT11" i="1"/>
  <c r="J30" i="42"/>
  <c r="E50" i="42" s="1"/>
  <c r="F37" i="42"/>
  <c r="M9" i="42"/>
  <c r="M30" i="70" l="1"/>
  <c r="AJ26" i="3"/>
  <c r="AY22" i="1"/>
  <c r="AU23" i="1" s="1"/>
  <c r="AP12" i="1"/>
  <c r="AD22" i="55"/>
  <c r="AD21" i="55"/>
  <c r="AD20" i="55"/>
  <c r="AD19" i="55"/>
  <c r="AD18" i="55"/>
  <c r="AD17" i="55"/>
  <c r="AD16" i="55"/>
  <c r="AD15" i="55"/>
  <c r="AD14" i="55"/>
  <c r="AD13" i="55"/>
  <c r="AD12" i="55"/>
  <c r="AD11" i="55"/>
  <c r="AD10" i="55"/>
  <c r="AD9" i="55"/>
  <c r="AD8" i="55"/>
  <c r="AD7" i="55"/>
  <c r="AD6" i="55"/>
  <c r="AD5" i="55"/>
  <c r="AD4" i="55"/>
  <c r="AD3" i="55"/>
  <c r="F59" i="96"/>
  <c r="F58" i="96"/>
  <c r="F57" i="96"/>
  <c r="M37" i="96"/>
  <c r="M36" i="96"/>
  <c r="M35" i="96"/>
  <c r="J34" i="96"/>
  <c r="H50" i="96" s="1"/>
  <c r="H51" i="96" s="1"/>
  <c r="J33" i="96"/>
  <c r="I50" i="96" s="1"/>
  <c r="J31" i="96"/>
  <c r="F34" i="96"/>
  <c r="F33" i="96"/>
  <c r="F31" i="96"/>
  <c r="F30" i="96"/>
  <c r="I20" i="96"/>
  <c r="F24" i="96"/>
  <c r="F23" i="96"/>
  <c r="F22" i="96"/>
  <c r="F21" i="96"/>
  <c r="F18" i="96"/>
  <c r="I12" i="96"/>
  <c r="M12" i="96" s="1"/>
  <c r="I11" i="96"/>
  <c r="M11" i="96" s="1"/>
  <c r="I10" i="96"/>
  <c r="M9" i="96"/>
  <c r="F12" i="96"/>
  <c r="F11" i="96"/>
  <c r="F10" i="96"/>
  <c r="F59" i="95"/>
  <c r="F58" i="95"/>
  <c r="F57" i="95"/>
  <c r="M37" i="95"/>
  <c r="M36" i="95"/>
  <c r="M35" i="95"/>
  <c r="J34" i="95"/>
  <c r="H50" i="95" s="1"/>
  <c r="H51" i="95" s="1"/>
  <c r="J33" i="95"/>
  <c r="I50" i="95" s="1"/>
  <c r="J31" i="95"/>
  <c r="F34" i="95"/>
  <c r="F33" i="95"/>
  <c r="F31" i="95"/>
  <c r="F30" i="95"/>
  <c r="I20" i="95"/>
  <c r="F24" i="95"/>
  <c r="F23" i="95"/>
  <c r="F22" i="95"/>
  <c r="F21" i="95"/>
  <c r="F18" i="95"/>
  <c r="I12" i="95"/>
  <c r="M12" i="95" s="1"/>
  <c r="I11" i="95"/>
  <c r="M11" i="95" s="1"/>
  <c r="I10" i="95"/>
  <c r="F12" i="95"/>
  <c r="F11" i="95"/>
  <c r="F10" i="95"/>
  <c r="J30" i="96"/>
  <c r="E50" i="96" s="1"/>
  <c r="E51" i="96" s="1"/>
  <c r="J30" i="95"/>
  <c r="E50" i="95" s="1"/>
  <c r="E51" i="95" s="1"/>
  <c r="I15" i="95"/>
  <c r="I15" i="96"/>
  <c r="I20" i="94"/>
  <c r="I15" i="94"/>
  <c r="I12" i="94"/>
  <c r="M12" i="94" s="1"/>
  <c r="I11" i="94"/>
  <c r="M11" i="94" s="1"/>
  <c r="I10" i="94"/>
  <c r="M10" i="94" s="1"/>
  <c r="M9" i="94"/>
  <c r="F24" i="94"/>
  <c r="F23" i="94"/>
  <c r="F22" i="94"/>
  <c r="F18" i="94"/>
  <c r="F12" i="94"/>
  <c r="F11" i="94"/>
  <c r="F10" i="94"/>
  <c r="M37" i="94"/>
  <c r="M36" i="94"/>
  <c r="M35" i="94"/>
  <c r="J34" i="94"/>
  <c r="H50" i="94" s="1"/>
  <c r="H51" i="94" s="1"/>
  <c r="J33" i="94"/>
  <c r="I50" i="94" s="1"/>
  <c r="J31" i="94"/>
  <c r="F59" i="94"/>
  <c r="F58" i="94"/>
  <c r="F57" i="94"/>
  <c r="F34" i="94"/>
  <c r="F33" i="94"/>
  <c r="F31" i="94"/>
  <c r="F30" i="94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L14" i="92" s="1"/>
  <c r="Z18" i="1"/>
  <c r="Z24" i="1"/>
  <c r="Z25" i="1"/>
  <c r="Z26" i="1"/>
  <c r="Z27" i="1"/>
  <c r="Z28" i="1"/>
  <c r="Z29" i="1"/>
  <c r="Z30" i="1"/>
  <c r="Z31" i="1"/>
  <c r="Z32" i="1"/>
  <c r="Z33" i="1"/>
  <c r="Z3" i="1"/>
  <c r="AB34" i="2"/>
  <c r="AB35" i="2" s="1"/>
  <c r="AA34" i="2"/>
  <c r="AA35" i="2" s="1"/>
  <c r="AC3" i="2"/>
  <c r="Z4" i="2" s="1"/>
  <c r="M40" i="96" l="1"/>
  <c r="M40" i="95"/>
  <c r="M40" i="94"/>
  <c r="F50" i="96"/>
  <c r="F51" i="96" s="1"/>
  <c r="F50" i="94"/>
  <c r="F51" i="94" s="1"/>
  <c r="F50" i="95"/>
  <c r="F51" i="95" s="1"/>
  <c r="M10" i="95"/>
  <c r="I13" i="95"/>
  <c r="L52" i="94"/>
  <c r="F25" i="95"/>
  <c r="L52" i="95"/>
  <c r="L52" i="96"/>
  <c r="F25" i="96"/>
  <c r="F25" i="94"/>
  <c r="M9" i="95"/>
  <c r="Z34" i="1"/>
  <c r="M10" i="96"/>
  <c r="AB3" i="1"/>
  <c r="AY23" i="1"/>
  <c r="AU24" i="1" s="1"/>
  <c r="R19" i="3"/>
  <c r="S19" i="3" s="1"/>
  <c r="I21" i="94" s="1"/>
  <c r="AQ42" i="97"/>
  <c r="AE19" i="3"/>
  <c r="AT12" i="1"/>
  <c r="I13" i="96"/>
  <c r="F13" i="96"/>
  <c r="Q33" i="95"/>
  <c r="Q31" i="95"/>
  <c r="Q30" i="95"/>
  <c r="Q34" i="95"/>
  <c r="Q30" i="96"/>
  <c r="Q31" i="96"/>
  <c r="Q33" i="96"/>
  <c r="Q34" i="96"/>
  <c r="F13" i="95"/>
  <c r="F13" i="94"/>
  <c r="Q34" i="94"/>
  <c r="Q33" i="94"/>
  <c r="Q31" i="94"/>
  <c r="I13" i="94"/>
  <c r="AC4" i="2"/>
  <c r="Z5" i="2" s="1"/>
  <c r="I12" i="93"/>
  <c r="M12" i="93" s="1"/>
  <c r="I11" i="93"/>
  <c r="M11" i="93" s="1"/>
  <c r="I10" i="93"/>
  <c r="M10" i="93" s="1"/>
  <c r="M9" i="93"/>
  <c r="F12" i="93"/>
  <c r="F11" i="93"/>
  <c r="F10" i="93"/>
  <c r="I20" i="93"/>
  <c r="F24" i="93"/>
  <c r="F23" i="93"/>
  <c r="F22" i="93"/>
  <c r="F18" i="93"/>
  <c r="M37" i="93"/>
  <c r="M36" i="93"/>
  <c r="M35" i="93"/>
  <c r="J34" i="93"/>
  <c r="J33" i="93"/>
  <c r="I50" i="93" s="1"/>
  <c r="J31" i="93"/>
  <c r="F59" i="93"/>
  <c r="F58" i="93"/>
  <c r="F57" i="93"/>
  <c r="F34" i="93"/>
  <c r="F33" i="93"/>
  <c r="F31" i="93"/>
  <c r="F30" i="93"/>
  <c r="I20" i="92"/>
  <c r="I12" i="92"/>
  <c r="M12" i="92" s="1"/>
  <c r="I11" i="92"/>
  <c r="M11" i="92" s="1"/>
  <c r="I10" i="92"/>
  <c r="M10" i="92" s="1"/>
  <c r="M9" i="92"/>
  <c r="F24" i="92"/>
  <c r="F23" i="92"/>
  <c r="F22" i="92"/>
  <c r="F18" i="92"/>
  <c r="F12" i="92"/>
  <c r="F11" i="92"/>
  <c r="F10" i="92"/>
  <c r="M37" i="92"/>
  <c r="M36" i="92"/>
  <c r="M35" i="92"/>
  <c r="J34" i="92"/>
  <c r="H50" i="92" s="1"/>
  <c r="H51" i="92" s="1"/>
  <c r="J33" i="92"/>
  <c r="I50" i="92" s="1"/>
  <c r="J31" i="92"/>
  <c r="F50" i="92" s="1"/>
  <c r="F51" i="92" s="1"/>
  <c r="F59" i="92"/>
  <c r="F58" i="92"/>
  <c r="F57" i="92"/>
  <c r="F34" i="92"/>
  <c r="F33" i="92"/>
  <c r="F31" i="92"/>
  <c r="F30" i="92"/>
  <c r="F59" i="91"/>
  <c r="F58" i="91"/>
  <c r="F57" i="91"/>
  <c r="M37" i="91"/>
  <c r="M36" i="91"/>
  <c r="M35" i="91"/>
  <c r="J34" i="91"/>
  <c r="H50" i="91" s="1"/>
  <c r="H51" i="91" s="1"/>
  <c r="J33" i="91"/>
  <c r="I50" i="91" s="1"/>
  <c r="J31" i="91"/>
  <c r="F34" i="91"/>
  <c r="F33" i="91"/>
  <c r="F31" i="91"/>
  <c r="F30" i="91"/>
  <c r="I20" i="91"/>
  <c r="F24" i="91"/>
  <c r="F23" i="91"/>
  <c r="F22" i="91"/>
  <c r="F18" i="91"/>
  <c r="I11" i="91"/>
  <c r="M11" i="91" s="1"/>
  <c r="I12" i="91"/>
  <c r="M12" i="91" s="1"/>
  <c r="I10" i="91"/>
  <c r="M10" i="91" s="1"/>
  <c r="M9" i="91"/>
  <c r="F12" i="91"/>
  <c r="F11" i="91"/>
  <c r="F10" i="91"/>
  <c r="I20" i="90"/>
  <c r="F24" i="90"/>
  <c r="F23" i="90"/>
  <c r="F22" i="90"/>
  <c r="F18" i="90"/>
  <c r="I12" i="90"/>
  <c r="M12" i="90" s="1"/>
  <c r="I11" i="90"/>
  <c r="M11" i="90" s="1"/>
  <c r="I10" i="90"/>
  <c r="M9" i="90"/>
  <c r="F12" i="90"/>
  <c r="F11" i="90"/>
  <c r="F10" i="90"/>
  <c r="M37" i="90"/>
  <c r="M36" i="90"/>
  <c r="M35" i="90"/>
  <c r="J34" i="90"/>
  <c r="H50" i="90" s="1"/>
  <c r="H51" i="90" s="1"/>
  <c r="J33" i="90"/>
  <c r="I50" i="90" s="1"/>
  <c r="J31" i="90"/>
  <c r="F59" i="90"/>
  <c r="P38" i="90" s="1"/>
  <c r="F58" i="90"/>
  <c r="F57" i="90"/>
  <c r="F34" i="90"/>
  <c r="F33" i="90"/>
  <c r="F31" i="90"/>
  <c r="F30" i="90"/>
  <c r="I12" i="89"/>
  <c r="M12" i="89" s="1"/>
  <c r="I11" i="89"/>
  <c r="M11" i="89" s="1"/>
  <c r="I10" i="89"/>
  <c r="M10" i="89" s="1"/>
  <c r="M9" i="89"/>
  <c r="I20" i="89"/>
  <c r="F24" i="89"/>
  <c r="F23" i="89"/>
  <c r="F22" i="89"/>
  <c r="F18" i="89"/>
  <c r="F12" i="89"/>
  <c r="F11" i="89"/>
  <c r="F10" i="89"/>
  <c r="M37" i="89"/>
  <c r="M36" i="89"/>
  <c r="M35" i="89"/>
  <c r="J34" i="89"/>
  <c r="H50" i="89" s="1"/>
  <c r="H51" i="89" s="1"/>
  <c r="J33" i="89"/>
  <c r="I50" i="89" s="1"/>
  <c r="J31" i="89"/>
  <c r="F59" i="89"/>
  <c r="F58" i="89"/>
  <c r="F57" i="89"/>
  <c r="F34" i="89"/>
  <c r="F33" i="89"/>
  <c r="F31" i="89"/>
  <c r="F30" i="89"/>
  <c r="M40" i="93" l="1"/>
  <c r="L52" i="93" s="1"/>
  <c r="M40" i="91"/>
  <c r="M40" i="92"/>
  <c r="L52" i="92" s="1"/>
  <c r="M40" i="90"/>
  <c r="L52" i="90" s="1"/>
  <c r="M40" i="89"/>
  <c r="L52" i="89" s="1"/>
  <c r="F50" i="93"/>
  <c r="F51" i="93" s="1"/>
  <c r="F50" i="91"/>
  <c r="F51" i="91" s="1"/>
  <c r="F50" i="89"/>
  <c r="F51" i="89" s="1"/>
  <c r="F50" i="90"/>
  <c r="F51" i="90" s="1"/>
  <c r="H50" i="93"/>
  <c r="H51" i="93" s="1"/>
  <c r="E51" i="93"/>
  <c r="L52" i="91"/>
  <c r="M10" i="90"/>
  <c r="I13" i="90"/>
  <c r="F25" i="89"/>
  <c r="F25" i="90"/>
  <c r="F25" i="91"/>
  <c r="F25" i="93"/>
  <c r="F25" i="92"/>
  <c r="AY24" i="1"/>
  <c r="AU25" i="1" s="1"/>
  <c r="AY25" i="1" s="1"/>
  <c r="AU26" i="1" s="1"/>
  <c r="AP13" i="1"/>
  <c r="AC5" i="2"/>
  <c r="Z6" i="2" s="1"/>
  <c r="N12" i="96"/>
  <c r="N11" i="96"/>
  <c r="N10" i="96"/>
  <c r="N9" i="96"/>
  <c r="N11" i="95"/>
  <c r="N9" i="95"/>
  <c r="N12" i="95"/>
  <c r="N10" i="95"/>
  <c r="Q31" i="93"/>
  <c r="Q34" i="93"/>
  <c r="N12" i="94"/>
  <c r="N11" i="94"/>
  <c r="N10" i="94"/>
  <c r="N9" i="94"/>
  <c r="I13" i="92"/>
  <c r="Q31" i="92"/>
  <c r="F13" i="93"/>
  <c r="Q33" i="93"/>
  <c r="I13" i="93"/>
  <c r="F13" i="92"/>
  <c r="Q33" i="92"/>
  <c r="Q34" i="92"/>
  <c r="Q34" i="91"/>
  <c r="Q33" i="91"/>
  <c r="Q31" i="91"/>
  <c r="F13" i="91"/>
  <c r="I13" i="91"/>
  <c r="F13" i="90"/>
  <c r="Q31" i="90"/>
  <c r="Q33" i="90"/>
  <c r="Q34" i="90"/>
  <c r="F13" i="89"/>
  <c r="I13" i="89"/>
  <c r="Q31" i="89"/>
  <c r="Q33" i="89"/>
  <c r="Q34" i="89"/>
  <c r="F59" i="88"/>
  <c r="F58" i="88"/>
  <c r="F57" i="88"/>
  <c r="M37" i="88"/>
  <c r="M36" i="88"/>
  <c r="M35" i="88"/>
  <c r="J34" i="88"/>
  <c r="H50" i="88" s="1"/>
  <c r="H51" i="88" s="1"/>
  <c r="J33" i="88"/>
  <c r="I50" i="88" s="1"/>
  <c r="J31" i="88"/>
  <c r="F34" i="88"/>
  <c r="F33" i="88"/>
  <c r="F31" i="88"/>
  <c r="F30" i="88"/>
  <c r="I20" i="88"/>
  <c r="F24" i="88"/>
  <c r="F23" i="88"/>
  <c r="F22" i="88"/>
  <c r="F18" i="88"/>
  <c r="I12" i="88"/>
  <c r="M12" i="88" s="1"/>
  <c r="I11" i="88"/>
  <c r="M11" i="88" s="1"/>
  <c r="I10" i="88"/>
  <c r="M10" i="88" s="1"/>
  <c r="F12" i="88"/>
  <c r="F11" i="88"/>
  <c r="F10" i="88"/>
  <c r="I14" i="87"/>
  <c r="I14" i="88"/>
  <c r="M37" i="87"/>
  <c r="M36" i="87"/>
  <c r="M35" i="87"/>
  <c r="J34" i="87"/>
  <c r="H50" i="87" s="1"/>
  <c r="H51" i="87" s="1"/>
  <c r="J33" i="87"/>
  <c r="I50" i="87" s="1"/>
  <c r="J31" i="87"/>
  <c r="I20" i="87"/>
  <c r="I12" i="87"/>
  <c r="M12" i="87" s="1"/>
  <c r="I11" i="87"/>
  <c r="M11" i="87" s="1"/>
  <c r="I10" i="87"/>
  <c r="M10" i="87" s="1"/>
  <c r="F24" i="87"/>
  <c r="F23" i="87"/>
  <c r="F22" i="87"/>
  <c r="F18" i="87"/>
  <c r="F12" i="87"/>
  <c r="F11" i="87"/>
  <c r="F10" i="87"/>
  <c r="F59" i="87"/>
  <c r="F58" i="87"/>
  <c r="F57" i="87"/>
  <c r="F34" i="87"/>
  <c r="F33" i="87"/>
  <c r="F31" i="87"/>
  <c r="F30" i="87"/>
  <c r="I12" i="86"/>
  <c r="M12" i="86" s="1"/>
  <c r="I11" i="86"/>
  <c r="M11" i="86" s="1"/>
  <c r="I10" i="86"/>
  <c r="M10" i="86" s="1"/>
  <c r="I20" i="86"/>
  <c r="F24" i="86"/>
  <c r="F23" i="86"/>
  <c r="F22" i="86"/>
  <c r="F18" i="86"/>
  <c r="F12" i="86"/>
  <c r="F11" i="86"/>
  <c r="F10" i="86"/>
  <c r="M37" i="86"/>
  <c r="M36" i="86"/>
  <c r="M35" i="86"/>
  <c r="J34" i="86"/>
  <c r="J33" i="86"/>
  <c r="I50" i="86" s="1"/>
  <c r="J31" i="86"/>
  <c r="F59" i="86"/>
  <c r="F58" i="86"/>
  <c r="F57" i="86"/>
  <c r="F34" i="86"/>
  <c r="F33" i="86"/>
  <c r="F31" i="86"/>
  <c r="F30" i="86"/>
  <c r="R9" i="3"/>
  <c r="S9" i="3" s="1"/>
  <c r="I21" i="84" s="1"/>
  <c r="M30" i="84" s="1"/>
  <c r="I20" i="85"/>
  <c r="I12" i="85"/>
  <c r="M12" i="85" s="1"/>
  <c r="I11" i="85"/>
  <c r="M11" i="85" s="1"/>
  <c r="I10" i="85"/>
  <c r="M10" i="85" s="1"/>
  <c r="M37" i="85"/>
  <c r="M36" i="85"/>
  <c r="M35" i="85"/>
  <c r="J34" i="85"/>
  <c r="J33" i="85"/>
  <c r="I50" i="85" s="1"/>
  <c r="J31" i="85"/>
  <c r="F24" i="85"/>
  <c r="F23" i="85"/>
  <c r="F22" i="85"/>
  <c r="F18" i="85"/>
  <c r="F12" i="85"/>
  <c r="F11" i="85"/>
  <c r="F10" i="85"/>
  <c r="F59" i="84"/>
  <c r="F58" i="84"/>
  <c r="F57" i="84"/>
  <c r="F59" i="85"/>
  <c r="F58" i="85"/>
  <c r="F57" i="85"/>
  <c r="F34" i="85"/>
  <c r="F33" i="85"/>
  <c r="F31" i="85"/>
  <c r="F30" i="85"/>
  <c r="I14" i="84"/>
  <c r="I14" i="85"/>
  <c r="I14" i="86"/>
  <c r="I14" i="89"/>
  <c r="I14" i="90"/>
  <c r="I14" i="91"/>
  <c r="I14" i="92"/>
  <c r="I14" i="94"/>
  <c r="I16" i="94" s="1"/>
  <c r="I14" i="95"/>
  <c r="I14" i="96"/>
  <c r="I20" i="84"/>
  <c r="I12" i="84"/>
  <c r="M12" i="84" s="1"/>
  <c r="I11" i="84"/>
  <c r="M11" i="84" s="1"/>
  <c r="I10" i="84"/>
  <c r="M10" i="84" s="1"/>
  <c r="M40" i="85" l="1"/>
  <c r="M40" i="88"/>
  <c r="M40" i="87"/>
  <c r="L52" i="87" s="1"/>
  <c r="M40" i="86"/>
  <c r="L52" i="85"/>
  <c r="F50" i="88"/>
  <c r="F51" i="88" s="1"/>
  <c r="F50" i="85"/>
  <c r="F51" i="85" s="1"/>
  <c r="F50" i="87"/>
  <c r="F51" i="87" s="1"/>
  <c r="F50" i="86"/>
  <c r="F51" i="86" s="1"/>
  <c r="H50" i="86"/>
  <c r="H51" i="86" s="1"/>
  <c r="H50" i="85"/>
  <c r="H51" i="85" s="1"/>
  <c r="N13" i="95"/>
  <c r="N13" i="96"/>
  <c r="N13" i="94"/>
  <c r="L52" i="88"/>
  <c r="L52" i="86"/>
  <c r="F25" i="87"/>
  <c r="F25" i="86"/>
  <c r="F25" i="88"/>
  <c r="F25" i="85"/>
  <c r="AJ9" i="3"/>
  <c r="M9" i="84"/>
  <c r="M13" i="84" s="1"/>
  <c r="M9" i="85"/>
  <c r="M9" i="86"/>
  <c r="M9" i="87"/>
  <c r="M9" i="88"/>
  <c r="AJ13" i="3"/>
  <c r="I16" i="96"/>
  <c r="AJ19" i="3"/>
  <c r="AY26" i="1"/>
  <c r="AU27" i="1" s="1"/>
  <c r="AT13" i="1"/>
  <c r="Q34" i="87"/>
  <c r="AC6" i="2"/>
  <c r="Z7" i="2" s="1"/>
  <c r="M13" i="96"/>
  <c r="I16" i="95"/>
  <c r="M13" i="95"/>
  <c r="M13" i="94"/>
  <c r="N11" i="92"/>
  <c r="N9" i="93"/>
  <c r="N11" i="93"/>
  <c r="N10" i="93"/>
  <c r="N12" i="93"/>
  <c r="N10" i="92"/>
  <c r="N12" i="92"/>
  <c r="N9" i="92"/>
  <c r="N11" i="91"/>
  <c r="N12" i="91"/>
  <c r="N9" i="91"/>
  <c r="N10" i="91"/>
  <c r="N9" i="90"/>
  <c r="N12" i="90"/>
  <c r="N11" i="90"/>
  <c r="N10" i="90"/>
  <c r="N11" i="89"/>
  <c r="N12" i="89"/>
  <c r="N10" i="89"/>
  <c r="N9" i="89"/>
  <c r="Q33" i="88"/>
  <c r="Q31" i="88"/>
  <c r="Q34" i="88"/>
  <c r="F13" i="88"/>
  <c r="I13" i="88"/>
  <c r="Q33" i="87"/>
  <c r="I13" i="87"/>
  <c r="F13" i="87"/>
  <c r="Q31" i="87"/>
  <c r="F13" i="86"/>
  <c r="Q33" i="86"/>
  <c r="Q31" i="86"/>
  <c r="Q34" i="86"/>
  <c r="I13" i="86"/>
  <c r="I13" i="85"/>
  <c r="Q33" i="85"/>
  <c r="Q31" i="85"/>
  <c r="F13" i="85"/>
  <c r="Q34" i="85"/>
  <c r="F24" i="84"/>
  <c r="F23" i="84"/>
  <c r="F22" i="84"/>
  <c r="F18" i="84"/>
  <c r="F12" i="84"/>
  <c r="F11" i="84"/>
  <c r="F10" i="84"/>
  <c r="M37" i="84"/>
  <c r="M36" i="84"/>
  <c r="M35" i="84"/>
  <c r="J34" i="84"/>
  <c r="J33" i="84"/>
  <c r="I50" i="84" s="1"/>
  <c r="J31" i="84"/>
  <c r="F34" i="84"/>
  <c r="F33" i="84"/>
  <c r="F31" i="84"/>
  <c r="F30" i="84"/>
  <c r="I20" i="83"/>
  <c r="I14" i="83"/>
  <c r="I12" i="83"/>
  <c r="M12" i="83" s="1"/>
  <c r="I11" i="83"/>
  <c r="M11" i="83" s="1"/>
  <c r="I10" i="83"/>
  <c r="M10" i="83" s="1"/>
  <c r="J34" i="83"/>
  <c r="J33" i="83"/>
  <c r="I50" i="83" s="1"/>
  <c r="J31" i="83"/>
  <c r="F50" i="83" s="1"/>
  <c r="M37" i="83"/>
  <c r="M36" i="83"/>
  <c r="M35" i="83"/>
  <c r="F24" i="83"/>
  <c r="F23" i="83"/>
  <c r="F22" i="83"/>
  <c r="F18" i="83"/>
  <c r="F12" i="83"/>
  <c r="F11" i="83"/>
  <c r="F10" i="83"/>
  <c r="F59" i="83"/>
  <c r="F58" i="83"/>
  <c r="F57" i="83"/>
  <c r="F34" i="83"/>
  <c r="F33" i="83"/>
  <c r="F31" i="83"/>
  <c r="F30" i="83"/>
  <c r="I20" i="82"/>
  <c r="I12" i="82"/>
  <c r="M12" i="82" s="1"/>
  <c r="I11" i="82"/>
  <c r="M11" i="82" s="1"/>
  <c r="I10" i="82"/>
  <c r="M10" i="82" s="1"/>
  <c r="M37" i="82"/>
  <c r="M36" i="82"/>
  <c r="M35" i="82"/>
  <c r="J34" i="82"/>
  <c r="J33" i="82"/>
  <c r="I50" i="82" s="1"/>
  <c r="J31" i="82"/>
  <c r="F30" i="82"/>
  <c r="F24" i="82"/>
  <c r="F23" i="82"/>
  <c r="F22" i="82"/>
  <c r="F18" i="82"/>
  <c r="F12" i="82"/>
  <c r="F11" i="82"/>
  <c r="F10" i="82"/>
  <c r="F59" i="82"/>
  <c r="F58" i="82"/>
  <c r="F57" i="82"/>
  <c r="F34" i="82"/>
  <c r="F33" i="82"/>
  <c r="F31" i="82"/>
  <c r="I20" i="81"/>
  <c r="I12" i="81"/>
  <c r="M12" i="81" s="1"/>
  <c r="I11" i="81"/>
  <c r="M11" i="81" s="1"/>
  <c r="I10" i="81"/>
  <c r="M37" i="81"/>
  <c r="M36" i="81"/>
  <c r="M35" i="81"/>
  <c r="J34" i="81"/>
  <c r="J33" i="81"/>
  <c r="J31" i="81"/>
  <c r="F50" i="81" s="1"/>
  <c r="F24" i="81"/>
  <c r="F23" i="81"/>
  <c r="F22" i="81"/>
  <c r="F18" i="81"/>
  <c r="F12" i="81"/>
  <c r="F11" i="81"/>
  <c r="F10" i="81"/>
  <c r="F59" i="81"/>
  <c r="F58" i="81"/>
  <c r="F57" i="81"/>
  <c r="F34" i="81"/>
  <c r="F33" i="81"/>
  <c r="F31" i="81"/>
  <c r="F30" i="81"/>
  <c r="I20" i="80"/>
  <c r="I20" i="79"/>
  <c r="I20" i="78"/>
  <c r="M40" i="84" l="1"/>
  <c r="M40" i="83"/>
  <c r="M40" i="82"/>
  <c r="L52" i="82" s="1"/>
  <c r="M40" i="81"/>
  <c r="L52" i="81" s="1"/>
  <c r="F51" i="83"/>
  <c r="F50" i="84"/>
  <c r="F51" i="84" s="1"/>
  <c r="F50" i="82"/>
  <c r="F51" i="82" s="1"/>
  <c r="F51" i="81"/>
  <c r="H50" i="82"/>
  <c r="H51" i="82" s="1"/>
  <c r="E51" i="82"/>
  <c r="H50" i="83"/>
  <c r="H51" i="83" s="1"/>
  <c r="E51" i="83"/>
  <c r="H50" i="84"/>
  <c r="H51" i="84" s="1"/>
  <c r="E51" i="84"/>
  <c r="I50" i="81"/>
  <c r="H50" i="81"/>
  <c r="H51" i="81" s="1"/>
  <c r="R7" i="3"/>
  <c r="S7" i="3" s="1"/>
  <c r="L52" i="83"/>
  <c r="N13" i="90"/>
  <c r="N13" i="92"/>
  <c r="N13" i="93"/>
  <c r="N13" i="91"/>
  <c r="N13" i="89"/>
  <c r="L52" i="84"/>
  <c r="M10" i="81"/>
  <c r="I13" i="81"/>
  <c r="F25" i="81"/>
  <c r="F25" i="84"/>
  <c r="M30" i="81"/>
  <c r="F25" i="83"/>
  <c r="F25" i="82"/>
  <c r="M9" i="81"/>
  <c r="M9" i="82"/>
  <c r="AY27" i="1"/>
  <c r="AU28" i="1" s="1"/>
  <c r="AP14" i="1"/>
  <c r="AC7" i="2"/>
  <c r="Z8" i="2" s="1"/>
  <c r="M13" i="93"/>
  <c r="M13" i="92"/>
  <c r="M13" i="91"/>
  <c r="M13" i="90"/>
  <c r="M13" i="89"/>
  <c r="N9" i="88"/>
  <c r="N12" i="88"/>
  <c r="N11" i="88"/>
  <c r="N10" i="88"/>
  <c r="N10" i="87"/>
  <c r="N12" i="87"/>
  <c r="N9" i="87"/>
  <c r="N11" i="87"/>
  <c r="N12" i="86"/>
  <c r="N10" i="86"/>
  <c r="N11" i="86"/>
  <c r="N9" i="86"/>
  <c r="N11" i="85"/>
  <c r="N9" i="85"/>
  <c r="N12" i="85"/>
  <c r="N10" i="85"/>
  <c r="F13" i="84"/>
  <c r="I13" i="84"/>
  <c r="Q31" i="84"/>
  <c r="Q33" i="84"/>
  <c r="Q34" i="84"/>
  <c r="Q34" i="83"/>
  <c r="Q33" i="83"/>
  <c r="Q31" i="83"/>
  <c r="F13" i="83"/>
  <c r="I13" i="83"/>
  <c r="N9" i="83" s="1"/>
  <c r="F13" i="82"/>
  <c r="I13" i="82"/>
  <c r="Q34" i="82"/>
  <c r="Q33" i="82"/>
  <c r="Q31" i="82"/>
  <c r="I12" i="80"/>
  <c r="M12" i="80" s="1"/>
  <c r="I11" i="80"/>
  <c r="M11" i="80" s="1"/>
  <c r="I10" i="80"/>
  <c r="M10" i="80" s="1"/>
  <c r="M9" i="80"/>
  <c r="M37" i="80"/>
  <c r="M36" i="80"/>
  <c r="M35" i="80"/>
  <c r="J34" i="80"/>
  <c r="H50" i="80" s="1"/>
  <c r="J33" i="80"/>
  <c r="J31" i="80"/>
  <c r="F50" i="80" s="1"/>
  <c r="F59" i="80"/>
  <c r="F58" i="80"/>
  <c r="F57" i="80"/>
  <c r="F34" i="80"/>
  <c r="F33" i="80"/>
  <c r="F31" i="80"/>
  <c r="F30" i="80"/>
  <c r="F24" i="80"/>
  <c r="F23" i="80"/>
  <c r="F22" i="80"/>
  <c r="F18" i="80"/>
  <c r="F12" i="80"/>
  <c r="F11" i="80"/>
  <c r="F10" i="80"/>
  <c r="M37" i="79"/>
  <c r="M36" i="79"/>
  <c r="I21" i="82" l="1"/>
  <c r="M40" i="79"/>
  <c r="K52" i="79" s="1"/>
  <c r="M40" i="80"/>
  <c r="L52" i="80" s="1"/>
  <c r="H51" i="80"/>
  <c r="I50" i="80"/>
  <c r="AJ7" i="3"/>
  <c r="N13" i="85"/>
  <c r="N13" i="86"/>
  <c r="N13" i="88"/>
  <c r="N13" i="87"/>
  <c r="F25" i="80"/>
  <c r="AE34" i="1"/>
  <c r="AY28" i="1"/>
  <c r="AU29" i="1" s="1"/>
  <c r="AT14" i="1"/>
  <c r="AP15" i="1" s="1"/>
  <c r="AC8" i="2"/>
  <c r="Z9" i="2" s="1"/>
  <c r="N12" i="82"/>
  <c r="M13" i="88"/>
  <c r="M13" i="87"/>
  <c r="M13" i="86"/>
  <c r="M13" i="85"/>
  <c r="N11" i="84"/>
  <c r="N12" i="84"/>
  <c r="N10" i="84"/>
  <c r="N9" i="84"/>
  <c r="N12" i="83"/>
  <c r="N10" i="83"/>
  <c r="N11" i="83"/>
  <c r="N10" i="82"/>
  <c r="N9" i="82"/>
  <c r="N11" i="82"/>
  <c r="F13" i="80"/>
  <c r="F13" i="81"/>
  <c r="Q34" i="81"/>
  <c r="Q33" i="81"/>
  <c r="Q31" i="81"/>
  <c r="I13" i="80"/>
  <c r="Q33" i="80"/>
  <c r="Q34" i="80"/>
  <c r="Q31" i="80"/>
  <c r="E35" i="1"/>
  <c r="M35" i="1"/>
  <c r="O35" i="1"/>
  <c r="S35" i="1"/>
  <c r="Y35" i="1"/>
  <c r="AA35" i="1"/>
  <c r="AD35" i="1"/>
  <c r="AE35" i="1"/>
  <c r="AH35" i="1"/>
  <c r="Y3" i="2"/>
  <c r="V4" i="2" s="1"/>
  <c r="Y4" i="2" s="1"/>
  <c r="V5" i="2" s="1"/>
  <c r="N13" i="82" l="1"/>
  <c r="N13" i="83"/>
  <c r="N13" i="84"/>
  <c r="AY29" i="1"/>
  <c r="AU30" i="1" s="1"/>
  <c r="AT15" i="1"/>
  <c r="AP16" i="1" s="1"/>
  <c r="AC9" i="2"/>
  <c r="Z10" i="2" s="1"/>
  <c r="F51" i="80"/>
  <c r="M13" i="83"/>
  <c r="M13" i="82"/>
  <c r="Y5" i="2"/>
  <c r="V6" i="2" s="1"/>
  <c r="N12" i="81"/>
  <c r="N10" i="81"/>
  <c r="N9" i="81"/>
  <c r="N11" i="81"/>
  <c r="N11" i="80"/>
  <c r="N10" i="80"/>
  <c r="N12" i="80"/>
  <c r="N9" i="80"/>
  <c r="J34" i="79"/>
  <c r="J33" i="79"/>
  <c r="J31" i="79"/>
  <c r="I12" i="79"/>
  <c r="M12" i="79" s="1"/>
  <c r="I11" i="79"/>
  <c r="M11" i="79" s="1"/>
  <c r="I10" i="79"/>
  <c r="M10" i="79" s="1"/>
  <c r="F24" i="79"/>
  <c r="F23" i="79"/>
  <c r="F22" i="79"/>
  <c r="F18" i="79"/>
  <c r="F12" i="79"/>
  <c r="F11" i="79"/>
  <c r="F10" i="79"/>
  <c r="F59" i="79"/>
  <c r="F58" i="79"/>
  <c r="F57" i="79"/>
  <c r="F34" i="79"/>
  <c r="F33" i="79"/>
  <c r="F31" i="79"/>
  <c r="F30" i="79"/>
  <c r="M37" i="78"/>
  <c r="O37" i="78" s="1"/>
  <c r="O37" i="79" s="1"/>
  <c r="O37" i="80" s="1"/>
  <c r="M36" i="78"/>
  <c r="N36" i="78" s="1"/>
  <c r="M35" i="78"/>
  <c r="J34" i="78"/>
  <c r="J33" i="78"/>
  <c r="J31" i="78"/>
  <c r="F50" i="78" s="1"/>
  <c r="I37" i="78"/>
  <c r="I36" i="78"/>
  <c r="I35" i="78"/>
  <c r="I34" i="78"/>
  <c r="I33" i="78"/>
  <c r="I31" i="78"/>
  <c r="J20" i="78"/>
  <c r="I12" i="78"/>
  <c r="I11" i="78"/>
  <c r="I10" i="78"/>
  <c r="F30" i="78"/>
  <c r="H30" i="78" s="1"/>
  <c r="F24" i="78"/>
  <c r="F23" i="78"/>
  <c r="F22" i="78"/>
  <c r="F21" i="78"/>
  <c r="F18" i="78"/>
  <c r="F12" i="78"/>
  <c r="F11" i="78"/>
  <c r="G11" i="78" s="1"/>
  <c r="F10" i="78"/>
  <c r="F59" i="78"/>
  <c r="H59" i="78" s="1"/>
  <c r="F58" i="78"/>
  <c r="F57" i="78"/>
  <c r="H57" i="78" s="1"/>
  <c r="F34" i="78"/>
  <c r="H34" i="78" s="1"/>
  <c r="F33" i="78"/>
  <c r="H33" i="78" s="1"/>
  <c r="F31" i="78"/>
  <c r="H31" i="78" s="1"/>
  <c r="E24" i="78"/>
  <c r="E23" i="78"/>
  <c r="E22" i="78"/>
  <c r="E18" i="78"/>
  <c r="E12" i="78"/>
  <c r="E11" i="78"/>
  <c r="E10" i="78"/>
  <c r="M37" i="77"/>
  <c r="M36" i="77"/>
  <c r="M35" i="77"/>
  <c r="J34" i="77"/>
  <c r="J33" i="77"/>
  <c r="J31" i="77"/>
  <c r="F50" i="77" s="1"/>
  <c r="F51" i="77" s="1"/>
  <c r="I20" i="77"/>
  <c r="I12" i="77"/>
  <c r="M12" i="77" s="1"/>
  <c r="I11" i="77"/>
  <c r="I10" i="77"/>
  <c r="M9" i="77"/>
  <c r="F24" i="77"/>
  <c r="F23" i="77"/>
  <c r="F22" i="77"/>
  <c r="F21" i="77"/>
  <c r="F18" i="77"/>
  <c r="F12" i="77"/>
  <c r="F11" i="77"/>
  <c r="F10" i="77"/>
  <c r="F59" i="77"/>
  <c r="F58" i="77"/>
  <c r="F57" i="77"/>
  <c r="F34" i="77"/>
  <c r="F33" i="77"/>
  <c r="F31" i="77"/>
  <c r="M37" i="76"/>
  <c r="M36" i="76"/>
  <c r="M35" i="76"/>
  <c r="J34" i="76"/>
  <c r="J33" i="76"/>
  <c r="I50" i="76" s="1"/>
  <c r="J31" i="76"/>
  <c r="I20" i="76"/>
  <c r="I12" i="76"/>
  <c r="M12" i="76" s="1"/>
  <c r="I11" i="76"/>
  <c r="M11" i="76" s="1"/>
  <c r="I10" i="76"/>
  <c r="M10" i="76" s="1"/>
  <c r="M9" i="76"/>
  <c r="F24" i="76"/>
  <c r="F23" i="76"/>
  <c r="F22" i="76"/>
  <c r="F21" i="76"/>
  <c r="F18" i="76"/>
  <c r="F12" i="76"/>
  <c r="F11" i="76"/>
  <c r="F10" i="76"/>
  <c r="F59" i="76"/>
  <c r="F58" i="76"/>
  <c r="F57" i="76"/>
  <c r="F34" i="76"/>
  <c r="F33" i="76"/>
  <c r="F31" i="76"/>
  <c r="F30" i="76"/>
  <c r="I20" i="75"/>
  <c r="I12" i="75"/>
  <c r="M12" i="75" s="1"/>
  <c r="I11" i="75"/>
  <c r="M11" i="75" s="1"/>
  <c r="I10" i="75"/>
  <c r="M10" i="75" s="1"/>
  <c r="M37" i="75"/>
  <c r="M36" i="75"/>
  <c r="M35" i="75"/>
  <c r="J34" i="75"/>
  <c r="H50" i="75" s="1"/>
  <c r="H51" i="75" s="1"/>
  <c r="J33" i="75"/>
  <c r="I50" i="75" s="1"/>
  <c r="J31" i="75"/>
  <c r="F50" i="75" s="1"/>
  <c r="F24" i="75"/>
  <c r="F23" i="75"/>
  <c r="F22" i="75"/>
  <c r="F18" i="75"/>
  <c r="F12" i="75"/>
  <c r="F11" i="75"/>
  <c r="F10" i="75"/>
  <c r="F59" i="75"/>
  <c r="F57" i="75"/>
  <c r="F34" i="75"/>
  <c r="F33" i="75"/>
  <c r="F31" i="75"/>
  <c r="F30" i="75"/>
  <c r="AD26" i="55"/>
  <c r="AD25" i="55"/>
  <c r="AD24" i="55"/>
  <c r="AD23" i="55"/>
  <c r="M37" i="74"/>
  <c r="M36" i="74"/>
  <c r="M35" i="74"/>
  <c r="J34" i="74"/>
  <c r="H50" i="74" s="1"/>
  <c r="H51" i="74" s="1"/>
  <c r="J33" i="74"/>
  <c r="I50" i="74" s="1"/>
  <c r="J31" i="74"/>
  <c r="F24" i="74"/>
  <c r="F23" i="74"/>
  <c r="F22" i="74"/>
  <c r="F18" i="74"/>
  <c r="F12" i="74"/>
  <c r="F11" i="74"/>
  <c r="F10" i="74"/>
  <c r="I20" i="74"/>
  <c r="I12" i="74"/>
  <c r="M12" i="74" s="1"/>
  <c r="I11" i="74"/>
  <c r="M11" i="74" s="1"/>
  <c r="I10" i="74"/>
  <c r="M10" i="74" s="1"/>
  <c r="M9" i="74"/>
  <c r="F59" i="74"/>
  <c r="F58" i="74"/>
  <c r="F57" i="74"/>
  <c r="F30" i="74"/>
  <c r="M40" i="74" l="1"/>
  <c r="F50" i="79"/>
  <c r="M40" i="76"/>
  <c r="L52" i="76" s="1"/>
  <c r="M40" i="75"/>
  <c r="L52" i="75" s="1"/>
  <c r="O37" i="81"/>
  <c r="O37" i="82" s="1"/>
  <c r="O37" i="83" s="1"/>
  <c r="O37" i="84" s="1"/>
  <c r="O37" i="85" s="1"/>
  <c r="O37" i="86" s="1"/>
  <c r="O37" i="87" s="1"/>
  <c r="O37" i="88" s="1"/>
  <c r="O37" i="89" s="1"/>
  <c r="O37" i="90" s="1"/>
  <c r="M40" i="78"/>
  <c r="K52" i="78" s="1"/>
  <c r="I40" i="78"/>
  <c r="M40" i="77"/>
  <c r="L52" i="74"/>
  <c r="L34" i="78"/>
  <c r="L34" i="79" s="1"/>
  <c r="F50" i="76"/>
  <c r="F51" i="76" s="1"/>
  <c r="F51" i="75"/>
  <c r="F50" i="74"/>
  <c r="F51" i="74" s="1"/>
  <c r="H50" i="76"/>
  <c r="H51" i="76" s="1"/>
  <c r="E51" i="76"/>
  <c r="N35" i="78"/>
  <c r="N13" i="80"/>
  <c r="M10" i="78"/>
  <c r="N13" i="81"/>
  <c r="P38" i="75"/>
  <c r="F25" i="77"/>
  <c r="F25" i="76"/>
  <c r="F25" i="75"/>
  <c r="M9" i="75"/>
  <c r="F25" i="74"/>
  <c r="E25" i="78"/>
  <c r="F25" i="78"/>
  <c r="K31" i="78"/>
  <c r="K31" i="79" s="1"/>
  <c r="F25" i="79"/>
  <c r="J30" i="78"/>
  <c r="E50" i="78" s="1"/>
  <c r="E51" i="78" s="1"/>
  <c r="G59" i="78"/>
  <c r="G59" i="79" s="1"/>
  <c r="G59" i="80" s="1"/>
  <c r="G59" i="81" s="1"/>
  <c r="G59" i="82" s="1"/>
  <c r="G59" i="83" s="1"/>
  <c r="G59" i="84" s="1"/>
  <c r="G59" i="85" s="1"/>
  <c r="G59" i="86" s="1"/>
  <c r="G59" i="87" s="1"/>
  <c r="G59" i="88" s="1"/>
  <c r="G59" i="89" s="1"/>
  <c r="G59" i="90" s="1"/>
  <c r="G59" i="91" s="1"/>
  <c r="G59" i="92" s="1"/>
  <c r="G59" i="93" s="1"/>
  <c r="G59" i="94" s="1"/>
  <c r="G59" i="95" s="1"/>
  <c r="G59" i="96" s="1"/>
  <c r="H59" i="79"/>
  <c r="H59" i="80" s="1"/>
  <c r="H59" i="81" s="1"/>
  <c r="H59" i="82" s="1"/>
  <c r="H59" i="83" s="1"/>
  <c r="H59" i="84" s="1"/>
  <c r="H59" i="85" s="1"/>
  <c r="H59" i="86" s="1"/>
  <c r="H59" i="87" s="1"/>
  <c r="H59" i="88" s="1"/>
  <c r="H59" i="89" s="1"/>
  <c r="H59" i="90" s="1"/>
  <c r="H59" i="91" s="1"/>
  <c r="H59" i="92" s="1"/>
  <c r="H59" i="93" s="1"/>
  <c r="H59" i="94" s="1"/>
  <c r="H59" i="95" s="1"/>
  <c r="H59" i="96" s="1"/>
  <c r="M11" i="77"/>
  <c r="M10" i="77"/>
  <c r="AJ29" i="3"/>
  <c r="G21" i="78"/>
  <c r="M9" i="79"/>
  <c r="M9" i="78"/>
  <c r="G58" i="78"/>
  <c r="G58" i="79" s="1"/>
  <c r="G58" i="80" s="1"/>
  <c r="G58" i="81" s="1"/>
  <c r="G58" i="82" s="1"/>
  <c r="G58" i="83" s="1"/>
  <c r="G58" i="84" s="1"/>
  <c r="G58" i="85" s="1"/>
  <c r="G58" i="86" s="1"/>
  <c r="G58" i="87" s="1"/>
  <c r="G58" i="88" s="1"/>
  <c r="G58" i="89" s="1"/>
  <c r="G58" i="90" s="1"/>
  <c r="G58" i="91" s="1"/>
  <c r="G58" i="92" s="1"/>
  <c r="G58" i="93" s="1"/>
  <c r="G58" i="94" s="1"/>
  <c r="AY30" i="1"/>
  <c r="AU31" i="1" s="1"/>
  <c r="J11" i="78"/>
  <c r="J11" i="79" s="1"/>
  <c r="J11" i="80" s="1"/>
  <c r="M11" i="78"/>
  <c r="J12" i="78"/>
  <c r="J12" i="79" s="1"/>
  <c r="J12" i="80" s="1"/>
  <c r="M12" i="78"/>
  <c r="AT16" i="1"/>
  <c r="AP17" i="1" s="1"/>
  <c r="G23" i="78"/>
  <c r="G23" i="79" s="1"/>
  <c r="G23" i="80" s="1"/>
  <c r="G23" i="81" s="1"/>
  <c r="G24" i="78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42" s="1"/>
  <c r="G24" i="67" s="1"/>
  <c r="G10" i="78"/>
  <c r="G10" i="79" s="1"/>
  <c r="G10" i="80" s="1"/>
  <c r="G10" i="81" s="1"/>
  <c r="G10" i="82" s="1"/>
  <c r="G10" i="83" s="1"/>
  <c r="G10" i="84" s="1"/>
  <c r="G10" i="85" s="1"/>
  <c r="G10" i="86" s="1"/>
  <c r="G10" i="87" s="1"/>
  <c r="G10" i="88" s="1"/>
  <c r="G10" i="89" s="1"/>
  <c r="G10" i="90" s="1"/>
  <c r="H18" i="78"/>
  <c r="H57" i="79"/>
  <c r="H57" i="80" s="1"/>
  <c r="H57" i="81" s="1"/>
  <c r="H57" i="82" s="1"/>
  <c r="H57" i="83" s="1"/>
  <c r="H57" i="84" s="1"/>
  <c r="H57" i="85" s="1"/>
  <c r="H57" i="86" s="1"/>
  <c r="H57" i="87" s="1"/>
  <c r="H57" i="88" s="1"/>
  <c r="H57" i="89" s="1"/>
  <c r="H57" i="90" s="1"/>
  <c r="H57" i="91" s="1"/>
  <c r="H57" i="92" s="1"/>
  <c r="H57" i="93" s="1"/>
  <c r="H57" i="94" s="1"/>
  <c r="G11" i="79"/>
  <c r="G11" i="80" s="1"/>
  <c r="G11" i="81" s="1"/>
  <c r="AC10" i="2"/>
  <c r="Z11" i="2" s="1"/>
  <c r="H30" i="79"/>
  <c r="H30" i="80" s="1"/>
  <c r="H30" i="81" s="1"/>
  <c r="H30" i="82" s="1"/>
  <c r="H30" i="83" s="1"/>
  <c r="H30" i="84" s="1"/>
  <c r="H30" i="85" s="1"/>
  <c r="H30" i="86" s="1"/>
  <c r="H30" i="87" s="1"/>
  <c r="H30" i="88" s="1"/>
  <c r="H30" i="89" s="1"/>
  <c r="H30" i="90" s="1"/>
  <c r="H30" i="91" s="1"/>
  <c r="H30" i="92" s="1"/>
  <c r="H30" i="93" s="1"/>
  <c r="H30" i="94" s="1"/>
  <c r="H30" i="95" s="1"/>
  <c r="H30" i="96" s="1"/>
  <c r="Q34" i="76"/>
  <c r="K11" i="78"/>
  <c r="K11" i="79" s="1"/>
  <c r="K11" i="80" s="1"/>
  <c r="K11" i="81" s="1"/>
  <c r="Y6" i="2"/>
  <c r="V7" i="2" s="1"/>
  <c r="G30" i="78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12" i="78"/>
  <c r="G12" i="79" s="1"/>
  <c r="G20" i="78"/>
  <c r="G20" i="79" s="1"/>
  <c r="M13" i="81"/>
  <c r="G22" i="78"/>
  <c r="M13" i="80"/>
  <c r="H34" i="79"/>
  <c r="H34" i="80" s="1"/>
  <c r="H34" i="81" s="1"/>
  <c r="H34" i="82" s="1"/>
  <c r="H11" i="78"/>
  <c r="H11" i="79" s="1"/>
  <c r="H11" i="80" s="1"/>
  <c r="H11" i="81" s="1"/>
  <c r="G18" i="78"/>
  <c r="H50" i="79"/>
  <c r="H50" i="78"/>
  <c r="N37" i="78"/>
  <c r="N37" i="79" s="1"/>
  <c r="N37" i="80" s="1"/>
  <c r="N37" i="81" s="1"/>
  <c r="N37" i="82" s="1"/>
  <c r="N37" i="83" s="1"/>
  <c r="N37" i="84" s="1"/>
  <c r="N37" i="85" s="1"/>
  <c r="N37" i="86" s="1"/>
  <c r="N37" i="87" s="1"/>
  <c r="N37" i="88" s="1"/>
  <c r="N37" i="89" s="1"/>
  <c r="N37" i="90" s="1"/>
  <c r="O35" i="78"/>
  <c r="N36" i="79"/>
  <c r="O36" i="78"/>
  <c r="O36" i="79" s="1"/>
  <c r="G34" i="78"/>
  <c r="G34" i="79" s="1"/>
  <c r="G34" i="80" s="1"/>
  <c r="G34" i="81" s="1"/>
  <c r="G34" i="82" s="1"/>
  <c r="G34" i="83" s="1"/>
  <c r="L33" i="78"/>
  <c r="L33" i="79" s="1"/>
  <c r="L33" i="80" s="1"/>
  <c r="Q33" i="75"/>
  <c r="H33" i="79"/>
  <c r="H33" i="80" s="1"/>
  <c r="G33" i="78"/>
  <c r="G33" i="79" s="1"/>
  <c r="G33" i="80" s="1"/>
  <c r="L31" i="78"/>
  <c r="L31" i="79" s="1"/>
  <c r="L31" i="80" s="1"/>
  <c r="L31" i="81" s="1"/>
  <c r="L31" i="82" s="1"/>
  <c r="L31" i="83" s="1"/>
  <c r="L31" i="84" s="1"/>
  <c r="L31" i="85" s="1"/>
  <c r="L31" i="86" s="1"/>
  <c r="L31" i="87" s="1"/>
  <c r="L31" i="88" s="1"/>
  <c r="L31" i="89" s="1"/>
  <c r="L31" i="90" s="1"/>
  <c r="L31" i="91" s="1"/>
  <c r="L31" i="92" s="1"/>
  <c r="L31" i="93" s="1"/>
  <c r="L31" i="94" s="1"/>
  <c r="L31" i="95" s="1"/>
  <c r="L31" i="96" s="1"/>
  <c r="H31" i="79"/>
  <c r="H31" i="80" s="1"/>
  <c r="H31" i="81" s="1"/>
  <c r="H31" i="82" s="1"/>
  <c r="H31" i="83" s="1"/>
  <c r="H31" i="84" s="1"/>
  <c r="H31" i="85" s="1"/>
  <c r="H31" i="86" s="1"/>
  <c r="H31" i="87" s="1"/>
  <c r="H31" i="88" s="1"/>
  <c r="H31" i="89" s="1"/>
  <c r="H31" i="90" s="1"/>
  <c r="H31" i="91" s="1"/>
  <c r="H31" i="92" s="1"/>
  <c r="H31" i="93" s="1"/>
  <c r="H31" i="94" s="1"/>
  <c r="H31" i="95" s="1"/>
  <c r="H31" i="96" s="1"/>
  <c r="G31" i="78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J20" i="79"/>
  <c r="K20" i="78"/>
  <c r="K20" i="79" s="1"/>
  <c r="K34" i="78"/>
  <c r="K34" i="79" s="1"/>
  <c r="F13" i="76"/>
  <c r="I13" i="76"/>
  <c r="I13" i="75"/>
  <c r="F13" i="78"/>
  <c r="F13" i="79"/>
  <c r="L10" i="78"/>
  <c r="J10" i="78"/>
  <c r="J10" i="79" s="1"/>
  <c r="J10" i="80" s="1"/>
  <c r="I13" i="79"/>
  <c r="N9" i="79" s="1"/>
  <c r="I13" i="78"/>
  <c r="J9" i="78"/>
  <c r="G9" i="78"/>
  <c r="G9" i="79" s="1"/>
  <c r="G50" i="79"/>
  <c r="Q31" i="79"/>
  <c r="Q33" i="79"/>
  <c r="Q34" i="79"/>
  <c r="K33" i="78"/>
  <c r="K33" i="79" s="1"/>
  <c r="K33" i="80" s="1"/>
  <c r="K33" i="81" s="1"/>
  <c r="G57" i="78"/>
  <c r="G57" i="79" s="1"/>
  <c r="G57" i="80" s="1"/>
  <c r="G57" i="81" s="1"/>
  <c r="G57" i="82" s="1"/>
  <c r="G57" i="83" s="1"/>
  <c r="G57" i="84" s="1"/>
  <c r="G57" i="85" s="1"/>
  <c r="G57" i="86" s="1"/>
  <c r="G57" i="87" s="1"/>
  <c r="G57" i="88" s="1"/>
  <c r="G57" i="89" s="1"/>
  <c r="G57" i="90" s="1"/>
  <c r="G57" i="91" s="1"/>
  <c r="G57" i="92" s="1"/>
  <c r="G57" i="93" s="1"/>
  <c r="G57" i="94" s="1"/>
  <c r="L12" i="78"/>
  <c r="M53" i="78"/>
  <c r="Q34" i="78"/>
  <c r="Q33" i="78"/>
  <c r="Q31" i="78"/>
  <c r="L11" i="78"/>
  <c r="G50" i="78"/>
  <c r="E13" i="78"/>
  <c r="Q34" i="77"/>
  <c r="H50" i="77"/>
  <c r="Q33" i="77"/>
  <c r="F13" i="77"/>
  <c r="Q31" i="77"/>
  <c r="I13" i="77"/>
  <c r="Q31" i="76"/>
  <c r="Q33" i="76"/>
  <c r="Q31" i="75"/>
  <c r="F13" i="75"/>
  <c r="Q34" i="75"/>
  <c r="F13" i="74"/>
  <c r="Q34" i="74"/>
  <c r="I13" i="74"/>
  <c r="Q31" i="74"/>
  <c r="Q33" i="74"/>
  <c r="M37" i="73"/>
  <c r="M36" i="73"/>
  <c r="M35" i="73"/>
  <c r="J34" i="73"/>
  <c r="H50" i="73" s="1"/>
  <c r="H51" i="73" s="1"/>
  <c r="J33" i="73"/>
  <c r="I50" i="73" s="1"/>
  <c r="J31" i="73"/>
  <c r="I20" i="73"/>
  <c r="I12" i="73"/>
  <c r="M12" i="73" s="1"/>
  <c r="I11" i="73"/>
  <c r="M11" i="73" s="1"/>
  <c r="I10" i="73"/>
  <c r="M10" i="73" s="1"/>
  <c r="M9" i="73"/>
  <c r="F30" i="73"/>
  <c r="F24" i="73"/>
  <c r="F23" i="73"/>
  <c r="F22" i="73"/>
  <c r="F18" i="73"/>
  <c r="F12" i="73"/>
  <c r="F11" i="73"/>
  <c r="F10" i="73"/>
  <c r="F59" i="73"/>
  <c r="F58" i="73"/>
  <c r="F57" i="73"/>
  <c r="F34" i="73"/>
  <c r="F33" i="73"/>
  <c r="F31" i="73"/>
  <c r="X34" i="2"/>
  <c r="X35" i="2" s="1"/>
  <c r="F58" i="71"/>
  <c r="F57" i="71"/>
  <c r="F58" i="69"/>
  <c r="F57" i="69"/>
  <c r="F58" i="68"/>
  <c r="F57" i="68"/>
  <c r="F58" i="67"/>
  <c r="F57" i="67"/>
  <c r="F58" i="42"/>
  <c r="F57" i="42"/>
  <c r="I20" i="71"/>
  <c r="M37" i="71"/>
  <c r="M36" i="71"/>
  <c r="M35" i="71"/>
  <c r="J34" i="71"/>
  <c r="H50" i="71" s="1"/>
  <c r="H51" i="71" s="1"/>
  <c r="J33" i="71"/>
  <c r="I50" i="71" s="1"/>
  <c r="I12" i="71"/>
  <c r="M12" i="71" s="1"/>
  <c r="I11" i="71"/>
  <c r="M11" i="71" s="1"/>
  <c r="I10" i="71"/>
  <c r="M10" i="71" s="1"/>
  <c r="M9" i="71"/>
  <c r="F24" i="71"/>
  <c r="F23" i="71"/>
  <c r="F22" i="71"/>
  <c r="F21" i="71"/>
  <c r="F18" i="71"/>
  <c r="F12" i="71"/>
  <c r="F11" i="71"/>
  <c r="F10" i="71"/>
  <c r="F34" i="71"/>
  <c r="F33" i="71"/>
  <c r="F31" i="71"/>
  <c r="F30" i="71"/>
  <c r="M37" i="69"/>
  <c r="M36" i="69"/>
  <c r="M35" i="69"/>
  <c r="J34" i="69"/>
  <c r="H50" i="69" s="1"/>
  <c r="H51" i="69" s="1"/>
  <c r="J33" i="69"/>
  <c r="I50" i="69" s="1"/>
  <c r="E50" i="79"/>
  <c r="E51" i="79" s="1"/>
  <c r="J30" i="81"/>
  <c r="E50" i="81" s="1"/>
  <c r="E51" i="81" s="1"/>
  <c r="J30" i="85"/>
  <c r="J30" i="86"/>
  <c r="E50" i="86" s="1"/>
  <c r="E51" i="86" s="1"/>
  <c r="J30" i="87"/>
  <c r="E50" i="87" s="1"/>
  <c r="E51" i="87" s="1"/>
  <c r="J30" i="88"/>
  <c r="E50" i="88" s="1"/>
  <c r="E51" i="88" s="1"/>
  <c r="J30" i="89"/>
  <c r="E50" i="89" s="1"/>
  <c r="E51" i="89" s="1"/>
  <c r="J30" i="90"/>
  <c r="E50" i="90" s="1"/>
  <c r="E51" i="90" s="1"/>
  <c r="J30" i="91"/>
  <c r="E50" i="91" s="1"/>
  <c r="E51" i="91" s="1"/>
  <c r="J30" i="92"/>
  <c r="E50" i="92" s="1"/>
  <c r="E51" i="92" s="1"/>
  <c r="J30" i="94"/>
  <c r="E50" i="94" s="1"/>
  <c r="E51" i="94" s="1"/>
  <c r="J30" i="69"/>
  <c r="E50" i="69" s="1"/>
  <c r="J30" i="71"/>
  <c r="E50" i="71" s="1"/>
  <c r="J30" i="73"/>
  <c r="E50" i="73" s="1"/>
  <c r="J30" i="74"/>
  <c r="E50" i="74" s="1"/>
  <c r="E51" i="74" s="1"/>
  <c r="J30" i="75"/>
  <c r="Q30" i="76"/>
  <c r="J30" i="77"/>
  <c r="E50" i="77" s="1"/>
  <c r="E51" i="77" s="1"/>
  <c r="I20" i="69"/>
  <c r="I12" i="69"/>
  <c r="M12" i="69" s="1"/>
  <c r="I11" i="69"/>
  <c r="M11" i="69" s="1"/>
  <c r="I10" i="69"/>
  <c r="M10" i="69" s="1"/>
  <c r="M9" i="69"/>
  <c r="F34" i="69"/>
  <c r="F33" i="69"/>
  <c r="F31" i="69"/>
  <c r="F30" i="69"/>
  <c r="F24" i="69"/>
  <c r="F23" i="69"/>
  <c r="F22" i="69"/>
  <c r="F18" i="69"/>
  <c r="F12" i="69"/>
  <c r="F11" i="69"/>
  <c r="F10" i="69"/>
  <c r="I20" i="68"/>
  <c r="I12" i="68"/>
  <c r="M12" i="68" s="1"/>
  <c r="I11" i="68"/>
  <c r="M11" i="68" s="1"/>
  <c r="I10" i="68"/>
  <c r="M10" i="68" s="1"/>
  <c r="M9" i="68"/>
  <c r="M37" i="68"/>
  <c r="M36" i="68"/>
  <c r="M35" i="68"/>
  <c r="J34" i="68"/>
  <c r="J33" i="68"/>
  <c r="I50" i="68" s="1"/>
  <c r="J31" i="68"/>
  <c r="F34" i="68"/>
  <c r="F33" i="68"/>
  <c r="F31" i="68"/>
  <c r="F30" i="68"/>
  <c r="F24" i="68"/>
  <c r="F23" i="68"/>
  <c r="F22" i="68"/>
  <c r="F21" i="68"/>
  <c r="F18" i="68"/>
  <c r="F12" i="68"/>
  <c r="F11" i="68"/>
  <c r="F10" i="68"/>
  <c r="I20" i="67"/>
  <c r="I20" i="42"/>
  <c r="F36" i="67"/>
  <c r="F35" i="67"/>
  <c r="J36" i="67"/>
  <c r="J35" i="67"/>
  <c r="M37" i="67"/>
  <c r="M36" i="67"/>
  <c r="M35" i="67"/>
  <c r="J34" i="67"/>
  <c r="J33" i="67"/>
  <c r="I50" i="67" s="1"/>
  <c r="J31" i="67"/>
  <c r="F50" i="67" s="1"/>
  <c r="F51" i="67" s="1"/>
  <c r="I12" i="67"/>
  <c r="M12" i="67" s="1"/>
  <c r="I11" i="67"/>
  <c r="M11" i="67" s="1"/>
  <c r="I10" i="67"/>
  <c r="M10" i="67" s="1"/>
  <c r="M9" i="67"/>
  <c r="F34" i="67"/>
  <c r="F33" i="67"/>
  <c r="F31" i="67"/>
  <c r="F30" i="67"/>
  <c r="F23" i="67"/>
  <c r="F22" i="67"/>
  <c r="F21" i="67"/>
  <c r="F18" i="67"/>
  <c r="F12" i="67"/>
  <c r="F11" i="67"/>
  <c r="F10" i="67"/>
  <c r="F59" i="42"/>
  <c r="M37" i="42"/>
  <c r="M36" i="42"/>
  <c r="M35" i="42"/>
  <c r="J37" i="42"/>
  <c r="J36" i="42"/>
  <c r="J35" i="42"/>
  <c r="J34" i="42"/>
  <c r="J33" i="42"/>
  <c r="I50" i="42" s="1"/>
  <c r="J31" i="42"/>
  <c r="F36" i="42"/>
  <c r="F35" i="42"/>
  <c r="F34" i="42"/>
  <c r="F33" i="42"/>
  <c r="F31" i="42"/>
  <c r="F30" i="42"/>
  <c r="Q30" i="42" s="1"/>
  <c r="F21" i="42"/>
  <c r="F23" i="42"/>
  <c r="L24" i="42"/>
  <c r="F22" i="42"/>
  <c r="F18" i="42"/>
  <c r="I15" i="78"/>
  <c r="I15" i="81"/>
  <c r="I15" i="82"/>
  <c r="I15" i="83"/>
  <c r="I15" i="84"/>
  <c r="I16" i="84" s="1"/>
  <c r="I15" i="85"/>
  <c r="I16" i="85" s="1"/>
  <c r="I15" i="86"/>
  <c r="I15" i="87"/>
  <c r="I15" i="88"/>
  <c r="I15" i="89"/>
  <c r="I16" i="89" s="1"/>
  <c r="I15" i="90"/>
  <c r="I16" i="90" s="1"/>
  <c r="I15" i="91"/>
  <c r="I16" i="91" s="1"/>
  <c r="I15" i="92"/>
  <c r="I16" i="92" s="1"/>
  <c r="I15" i="93"/>
  <c r="I15" i="67"/>
  <c r="I15" i="68"/>
  <c r="I15" i="69"/>
  <c r="I15" i="71"/>
  <c r="I15" i="73"/>
  <c r="I15" i="74"/>
  <c r="I15" i="75"/>
  <c r="I15" i="76"/>
  <c r="I15" i="77"/>
  <c r="F15" i="77"/>
  <c r="F15" i="79"/>
  <c r="F15" i="81"/>
  <c r="F15" i="82"/>
  <c r="F15" i="83"/>
  <c r="F15" i="84"/>
  <c r="F15" i="85"/>
  <c r="F15" i="86"/>
  <c r="F15" i="87"/>
  <c r="F15" i="89"/>
  <c r="F15" i="90"/>
  <c r="F15" i="91"/>
  <c r="F15" i="92"/>
  <c r="F15" i="93"/>
  <c r="F15" i="94"/>
  <c r="F15" i="95"/>
  <c r="F15" i="96"/>
  <c r="F15" i="67"/>
  <c r="F15" i="68"/>
  <c r="F15" i="69"/>
  <c r="F15" i="70"/>
  <c r="F15" i="71"/>
  <c r="F15" i="72"/>
  <c r="L15" i="72" s="1"/>
  <c r="F15" i="73"/>
  <c r="F15" i="74"/>
  <c r="F15" i="75"/>
  <c r="F15" i="76"/>
  <c r="F14" i="79"/>
  <c r="F14" i="81"/>
  <c r="F14" i="82"/>
  <c r="F14" i="83"/>
  <c r="F14" i="84"/>
  <c r="F14" i="85"/>
  <c r="F14" i="86"/>
  <c r="F14" i="87"/>
  <c r="F14" i="88"/>
  <c r="F14" i="89"/>
  <c r="F14" i="90"/>
  <c r="F14" i="91"/>
  <c r="F14" i="92"/>
  <c r="F14" i="93"/>
  <c r="F14" i="95"/>
  <c r="F14" i="96"/>
  <c r="F14" i="67"/>
  <c r="F14" i="68"/>
  <c r="F14" i="71"/>
  <c r="F14" i="73"/>
  <c r="F14" i="74"/>
  <c r="F14" i="75"/>
  <c r="F14" i="76"/>
  <c r="F14" i="77"/>
  <c r="I14" i="81"/>
  <c r="I14" i="82"/>
  <c r="I14" i="67"/>
  <c r="I14" i="68"/>
  <c r="I14" i="69"/>
  <c r="I14" i="71"/>
  <c r="I14" i="73"/>
  <c r="I14" i="74"/>
  <c r="L14" i="74" s="1"/>
  <c r="I14" i="75"/>
  <c r="I14" i="76"/>
  <c r="I14" i="77"/>
  <c r="I14" i="78"/>
  <c r="K14" i="78" s="1"/>
  <c r="I12" i="42"/>
  <c r="M12" i="42" s="1"/>
  <c r="I11" i="42"/>
  <c r="M11" i="42" s="1"/>
  <c r="I10" i="42"/>
  <c r="M10" i="42" s="1"/>
  <c r="F12" i="42"/>
  <c r="F11" i="42"/>
  <c r="F10" i="42"/>
  <c r="E50" i="75" l="1"/>
  <c r="E51" i="75" s="1"/>
  <c r="F40" i="67"/>
  <c r="E51" i="71"/>
  <c r="E50" i="85"/>
  <c r="E51" i="85" s="1"/>
  <c r="J40" i="67"/>
  <c r="K31" i="80"/>
  <c r="K31" i="81" s="1"/>
  <c r="M40" i="68"/>
  <c r="L52" i="68" s="1"/>
  <c r="M40" i="71"/>
  <c r="L52" i="71" s="1"/>
  <c r="M40" i="69"/>
  <c r="J40" i="42"/>
  <c r="F40" i="42"/>
  <c r="M40" i="67"/>
  <c r="L52" i="67" s="1"/>
  <c r="M40" i="42"/>
  <c r="L52" i="42" s="1"/>
  <c r="N37" i="91"/>
  <c r="N37" i="92" s="1"/>
  <c r="N37" i="93" s="1"/>
  <c r="N37" i="94" s="1"/>
  <c r="N37" i="95" s="1"/>
  <c r="N37" i="96" s="1"/>
  <c r="N37" i="42" s="1"/>
  <c r="N37" i="67" s="1"/>
  <c r="N37" i="68" s="1"/>
  <c r="N37" i="69" s="1"/>
  <c r="O37" i="91"/>
  <c r="O37" i="92" s="1"/>
  <c r="O37" i="93" s="1"/>
  <c r="O37" i="94" s="1"/>
  <c r="O36" i="80"/>
  <c r="N36" i="80"/>
  <c r="N36" i="81" s="1"/>
  <c r="N35" i="79"/>
  <c r="N40" i="79" s="1"/>
  <c r="N40" i="78"/>
  <c r="O40" i="78"/>
  <c r="M40" i="73"/>
  <c r="L52" i="73" s="1"/>
  <c r="F50" i="68"/>
  <c r="F51" i="68" s="1"/>
  <c r="F50" i="42"/>
  <c r="F51" i="42" s="1"/>
  <c r="F50" i="73"/>
  <c r="F51" i="73" s="1"/>
  <c r="E51" i="73"/>
  <c r="F51" i="71"/>
  <c r="H33" i="81"/>
  <c r="H33" i="82" s="1"/>
  <c r="H33" i="83" s="1"/>
  <c r="H33" i="84" s="1"/>
  <c r="H33" i="85" s="1"/>
  <c r="H33" i="86" s="1"/>
  <c r="H33" i="87" s="1"/>
  <c r="H33" i="88" s="1"/>
  <c r="H33" i="89" s="1"/>
  <c r="H33" i="90" s="1"/>
  <c r="H33" i="91" s="1"/>
  <c r="H33" i="92" s="1"/>
  <c r="H33" i="93" s="1"/>
  <c r="H33" i="94" s="1"/>
  <c r="H33" i="95" s="1"/>
  <c r="H33" i="96" s="1"/>
  <c r="H33" i="42" s="1"/>
  <c r="L33" i="81"/>
  <c r="L33" i="82" s="1"/>
  <c r="L33" i="83" s="1"/>
  <c r="L33" i="84" s="1"/>
  <c r="L33" i="85" s="1"/>
  <c r="L33" i="86" s="1"/>
  <c r="L33" i="87" s="1"/>
  <c r="L33" i="88" s="1"/>
  <c r="L33" i="89" s="1"/>
  <c r="L33" i="90" s="1"/>
  <c r="L33" i="91" s="1"/>
  <c r="L33" i="92" s="1"/>
  <c r="L33" i="93" s="1"/>
  <c r="L33" i="94" s="1"/>
  <c r="L33" i="95" s="1"/>
  <c r="L33" i="96" s="1"/>
  <c r="L33" i="42" s="1"/>
  <c r="L33" i="67" s="1"/>
  <c r="L33" i="68" s="1"/>
  <c r="H50" i="67"/>
  <c r="H51" i="67" s="1"/>
  <c r="E51" i="67"/>
  <c r="H50" i="68"/>
  <c r="H51" i="68" s="1"/>
  <c r="E51" i="68"/>
  <c r="H50" i="42"/>
  <c r="H51" i="42" s="1"/>
  <c r="E51" i="42"/>
  <c r="E51" i="69"/>
  <c r="G33" i="81"/>
  <c r="G33" i="82" s="1"/>
  <c r="G33" i="83" s="1"/>
  <c r="G33" i="84" s="1"/>
  <c r="G33" i="85" s="1"/>
  <c r="G33" i="86" s="1"/>
  <c r="G33" i="87" s="1"/>
  <c r="G33" i="88" s="1"/>
  <c r="G33" i="89" s="1"/>
  <c r="G33" i="90" s="1"/>
  <c r="G33" i="91" s="1"/>
  <c r="G33" i="92" s="1"/>
  <c r="G33" i="93" s="1"/>
  <c r="G33" i="94" s="1"/>
  <c r="G33" i="95" s="1"/>
  <c r="G33" i="96" s="1"/>
  <c r="G33" i="42" s="1"/>
  <c r="K33" i="82"/>
  <c r="K33" i="83" s="1"/>
  <c r="K33" i="84" s="1"/>
  <c r="K33" i="85" s="1"/>
  <c r="K33" i="86" s="1"/>
  <c r="K33" i="87" s="1"/>
  <c r="K33" i="88" s="1"/>
  <c r="K33" i="89" s="1"/>
  <c r="K33" i="90" s="1"/>
  <c r="K33" i="91" s="1"/>
  <c r="K33" i="92" s="1"/>
  <c r="K33" i="93" s="1"/>
  <c r="K33" i="94" s="1"/>
  <c r="K33" i="95" s="1"/>
  <c r="K33" i="96" s="1"/>
  <c r="K33" i="42" s="1"/>
  <c r="K33" i="67" s="1"/>
  <c r="K33" i="68" s="1"/>
  <c r="H34" i="83"/>
  <c r="H34" i="84" s="1"/>
  <c r="H34" i="85" s="1"/>
  <c r="H34" i="86" s="1"/>
  <c r="H34" i="87" s="1"/>
  <c r="H34" i="88" s="1"/>
  <c r="H34" i="89" s="1"/>
  <c r="H34" i="90" s="1"/>
  <c r="H34" i="91" s="1"/>
  <c r="H34" i="92" s="1"/>
  <c r="H34" i="93" s="1"/>
  <c r="H34" i="94" s="1"/>
  <c r="H34" i="95" s="1"/>
  <c r="H34" i="96" s="1"/>
  <c r="H34" i="42" s="1"/>
  <c r="G34" i="84"/>
  <c r="G34" i="85" s="1"/>
  <c r="G34" i="86" s="1"/>
  <c r="G34" i="87" s="1"/>
  <c r="G34" i="88" s="1"/>
  <c r="G34" i="89" s="1"/>
  <c r="G34" i="90" s="1"/>
  <c r="G34" i="91" s="1"/>
  <c r="G34" i="92" s="1"/>
  <c r="G34" i="93" s="1"/>
  <c r="G34" i="94" s="1"/>
  <c r="G34" i="95" s="1"/>
  <c r="G34" i="96" s="1"/>
  <c r="G34" i="42" s="1"/>
  <c r="J12" i="81"/>
  <c r="J12" i="82" s="1"/>
  <c r="J12" i="83" s="1"/>
  <c r="J12" i="84" s="1"/>
  <c r="J10" i="81"/>
  <c r="J10" i="82" s="1"/>
  <c r="J10" i="83" s="1"/>
  <c r="J11" i="81"/>
  <c r="J11" i="82" s="1"/>
  <c r="K31" i="82"/>
  <c r="K31" i="83" s="1"/>
  <c r="K31" i="84" s="1"/>
  <c r="K31" i="85" s="1"/>
  <c r="K31" i="86" s="1"/>
  <c r="K31" i="87" s="1"/>
  <c r="K31" i="88" s="1"/>
  <c r="K31" i="89" s="1"/>
  <c r="K31" i="90" s="1"/>
  <c r="K31" i="91" s="1"/>
  <c r="K31" i="92" s="1"/>
  <c r="K31" i="93" s="1"/>
  <c r="K31" i="94" s="1"/>
  <c r="K31" i="95" s="1"/>
  <c r="K31" i="96" s="1"/>
  <c r="K31" i="42" s="1"/>
  <c r="G59" i="42"/>
  <c r="G59" i="67" s="1"/>
  <c r="G59" i="68" s="1"/>
  <c r="G59" i="69" s="1"/>
  <c r="G59" i="70" s="1"/>
  <c r="G59" i="72" s="1"/>
  <c r="G59" i="73" s="1"/>
  <c r="H59" i="42"/>
  <c r="H59" i="67" s="1"/>
  <c r="H59" i="68" s="1"/>
  <c r="H59" i="69" s="1"/>
  <c r="H59" i="72" s="1"/>
  <c r="H59" i="73" s="1"/>
  <c r="L52" i="69"/>
  <c r="O35" i="79"/>
  <c r="O40" i="79" s="1"/>
  <c r="L30" i="78"/>
  <c r="L30" i="79" s="1"/>
  <c r="F25" i="71"/>
  <c r="F25" i="73"/>
  <c r="F25" i="42"/>
  <c r="F25" i="68"/>
  <c r="F25" i="69"/>
  <c r="F25" i="67"/>
  <c r="G25" i="78"/>
  <c r="J9" i="79"/>
  <c r="J9" i="80" s="1"/>
  <c r="I16" i="93"/>
  <c r="G23" i="82"/>
  <c r="G23" i="83" s="1"/>
  <c r="G23" i="84" s="1"/>
  <c r="G23" i="85" s="1"/>
  <c r="G22" i="79"/>
  <c r="G22" i="80" s="1"/>
  <c r="G58" i="95"/>
  <c r="G58" i="96" s="1"/>
  <c r="G58" i="42" s="1"/>
  <c r="G58" i="67" s="1"/>
  <c r="G58" i="68" s="1"/>
  <c r="G58" i="69" s="1"/>
  <c r="G58" i="70" s="1"/>
  <c r="G58" i="71" s="1"/>
  <c r="EG34" i="1"/>
  <c r="EG35" i="1" s="1"/>
  <c r="F16" i="70"/>
  <c r="F16" i="72"/>
  <c r="F51" i="78"/>
  <c r="H18" i="79"/>
  <c r="AY31" i="1"/>
  <c r="AU32" i="1" s="1"/>
  <c r="F16" i="89"/>
  <c r="AT17" i="1"/>
  <c r="AP18" i="1" s="1"/>
  <c r="G57" i="95"/>
  <c r="G57" i="96" s="1"/>
  <c r="G57" i="42" s="1"/>
  <c r="F16" i="96"/>
  <c r="H57" i="95"/>
  <c r="H57" i="96" s="1"/>
  <c r="H57" i="42" s="1"/>
  <c r="G18" i="79"/>
  <c r="AC11" i="2"/>
  <c r="Z12" i="2" s="1"/>
  <c r="G51" i="79"/>
  <c r="G51" i="78"/>
  <c r="G51" i="77"/>
  <c r="Q33" i="73"/>
  <c r="Q30" i="71"/>
  <c r="F14" i="69"/>
  <c r="F16" i="95"/>
  <c r="L31" i="42"/>
  <c r="G30" i="42"/>
  <c r="H30" i="42"/>
  <c r="G31" i="42"/>
  <c r="H31" i="42"/>
  <c r="F14" i="94"/>
  <c r="Q30" i="94"/>
  <c r="F16" i="90"/>
  <c r="I16" i="74"/>
  <c r="F16" i="77"/>
  <c r="F16" i="74"/>
  <c r="F16" i="93"/>
  <c r="F16" i="85"/>
  <c r="F16" i="76"/>
  <c r="F16" i="91"/>
  <c r="F16" i="92"/>
  <c r="F16" i="84"/>
  <c r="I16" i="77"/>
  <c r="I16" i="76"/>
  <c r="Q30" i="91"/>
  <c r="Q30" i="92"/>
  <c r="G10" i="91"/>
  <c r="G10" i="92" s="1"/>
  <c r="G10" i="93" s="1"/>
  <c r="G10" i="94" s="1"/>
  <c r="G10" i="95" s="1"/>
  <c r="Y7" i="2"/>
  <c r="V8" i="2" s="1"/>
  <c r="Q30" i="93"/>
  <c r="Q30" i="77"/>
  <c r="Q30" i="90"/>
  <c r="Q30" i="89"/>
  <c r="Q30" i="88"/>
  <c r="F16" i="88"/>
  <c r="I16" i="88"/>
  <c r="Q30" i="87"/>
  <c r="I16" i="87"/>
  <c r="F16" i="87"/>
  <c r="F16" i="86"/>
  <c r="I16" i="86"/>
  <c r="Q30" i="86"/>
  <c r="Q30" i="85"/>
  <c r="Q30" i="84"/>
  <c r="Q30" i="83"/>
  <c r="I16" i="83"/>
  <c r="F16" i="83"/>
  <c r="F16" i="82"/>
  <c r="Q30" i="82"/>
  <c r="I16" i="82"/>
  <c r="G20" i="80"/>
  <c r="G20" i="81" s="1"/>
  <c r="I16" i="75"/>
  <c r="F16" i="75"/>
  <c r="I16" i="78"/>
  <c r="K34" i="80"/>
  <c r="K34" i="81" s="1"/>
  <c r="K34" i="82" s="1"/>
  <c r="K34" i="83" s="1"/>
  <c r="K34" i="84" s="1"/>
  <c r="K34" i="85" s="1"/>
  <c r="K34" i="86" s="1"/>
  <c r="K34" i="87" s="1"/>
  <c r="K34" i="88" s="1"/>
  <c r="K34" i="89" s="1"/>
  <c r="K34" i="90" s="1"/>
  <c r="K34" i="91" s="1"/>
  <c r="K34" i="92" s="1"/>
  <c r="K34" i="93" s="1"/>
  <c r="F15" i="80"/>
  <c r="G12" i="80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42" s="1"/>
  <c r="G12" i="67" s="1"/>
  <c r="G12" i="68" s="1"/>
  <c r="G11" i="82"/>
  <c r="J20" i="80"/>
  <c r="F16" i="81"/>
  <c r="F16" i="79"/>
  <c r="J30" i="80"/>
  <c r="E50" i="80" s="1"/>
  <c r="E51" i="80" s="1"/>
  <c r="G9" i="80"/>
  <c r="G9" i="81" s="1"/>
  <c r="G9" i="82" s="1"/>
  <c r="G9" i="83" s="1"/>
  <c r="G9" i="84" s="1"/>
  <c r="I15" i="80"/>
  <c r="I14" i="80"/>
  <c r="L34" i="80"/>
  <c r="L34" i="81" s="1"/>
  <c r="L34" i="82" s="1"/>
  <c r="L34" i="83" s="1"/>
  <c r="L34" i="84" s="1"/>
  <c r="L34" i="85" s="1"/>
  <c r="L34" i="86" s="1"/>
  <c r="L34" i="87" s="1"/>
  <c r="L34" i="88" s="1"/>
  <c r="L34" i="89" s="1"/>
  <c r="L34" i="90" s="1"/>
  <c r="L34" i="91" s="1"/>
  <c r="L34" i="92" s="1"/>
  <c r="L34" i="93" s="1"/>
  <c r="L34" i="94" s="1"/>
  <c r="L34" i="95" s="1"/>
  <c r="L34" i="96" s="1"/>
  <c r="L34" i="42" s="1"/>
  <c r="K20" i="80"/>
  <c r="H11" i="82"/>
  <c r="F15" i="78"/>
  <c r="H15" i="78" s="1"/>
  <c r="H15" i="79" s="1"/>
  <c r="F14" i="78"/>
  <c r="H14" i="78" s="1"/>
  <c r="H14" i="79" s="1"/>
  <c r="I15" i="79"/>
  <c r="I14" i="79"/>
  <c r="K15" i="78"/>
  <c r="J15" i="78"/>
  <c r="J14" i="78"/>
  <c r="Q30" i="75"/>
  <c r="Q30" i="79"/>
  <c r="Q30" i="74"/>
  <c r="K30" i="78"/>
  <c r="K30" i="79" s="1"/>
  <c r="Q30" i="78"/>
  <c r="G13" i="79"/>
  <c r="F51" i="79"/>
  <c r="N10" i="79"/>
  <c r="N12" i="79"/>
  <c r="N11" i="79"/>
  <c r="G13" i="78"/>
  <c r="L13" i="78"/>
  <c r="N11" i="78"/>
  <c r="N9" i="78"/>
  <c r="N12" i="78"/>
  <c r="N10" i="78"/>
  <c r="J13" i="78"/>
  <c r="N10" i="77"/>
  <c r="N9" i="77"/>
  <c r="N12" i="77"/>
  <c r="N11" i="77"/>
  <c r="N11" i="76"/>
  <c r="N9" i="76"/>
  <c r="N10" i="76"/>
  <c r="N12" i="76"/>
  <c r="N10" i="75"/>
  <c r="N11" i="75"/>
  <c r="N9" i="75"/>
  <c r="N12" i="75"/>
  <c r="F13" i="73"/>
  <c r="N11" i="74"/>
  <c r="N12" i="74"/>
  <c r="N9" i="74"/>
  <c r="N10" i="74"/>
  <c r="F16" i="71"/>
  <c r="I16" i="73"/>
  <c r="F16" i="73"/>
  <c r="Q31" i="73"/>
  <c r="I13" i="73"/>
  <c r="Q30" i="73"/>
  <c r="Q34" i="73"/>
  <c r="F13" i="71"/>
  <c r="G24" i="68"/>
  <c r="G24" i="69" s="1"/>
  <c r="I13" i="71"/>
  <c r="F13" i="69"/>
  <c r="I16" i="69"/>
  <c r="Q31" i="69"/>
  <c r="I16" i="71"/>
  <c r="Q34" i="69"/>
  <c r="Q30" i="68"/>
  <c r="Q36" i="42"/>
  <c r="Q34" i="71"/>
  <c r="Q31" i="71"/>
  <c r="Q33" i="71"/>
  <c r="I13" i="69"/>
  <c r="Q30" i="69"/>
  <c r="Q33" i="69"/>
  <c r="F13" i="67"/>
  <c r="I13" i="68"/>
  <c r="Q33" i="68"/>
  <c r="Q34" i="68"/>
  <c r="Q31" i="68"/>
  <c r="F16" i="68"/>
  <c r="F13" i="68"/>
  <c r="I16" i="68"/>
  <c r="Q33" i="67"/>
  <c r="I16" i="67"/>
  <c r="F16" i="67"/>
  <c r="Q35" i="67"/>
  <c r="Q37" i="67"/>
  <c r="Q31" i="67"/>
  <c r="Q34" i="67"/>
  <c r="Q36" i="67"/>
  <c r="I13" i="67"/>
  <c r="Q35" i="42"/>
  <c r="Q37" i="42"/>
  <c r="Q34" i="42"/>
  <c r="Q33" i="42"/>
  <c r="Q31" i="42"/>
  <c r="I13" i="42"/>
  <c r="F13" i="42"/>
  <c r="N37" i="70" l="1"/>
  <c r="O37" i="95"/>
  <c r="O37" i="96" s="1"/>
  <c r="O37" i="42" s="1"/>
  <c r="O37" i="67" s="1"/>
  <c r="O37" i="68" s="1"/>
  <c r="O37" i="69" s="1"/>
  <c r="N35" i="80"/>
  <c r="H16" i="79"/>
  <c r="I16" i="79"/>
  <c r="N40" i="80"/>
  <c r="O36" i="81"/>
  <c r="J52" i="42"/>
  <c r="M52" i="42"/>
  <c r="K52" i="42"/>
  <c r="J52" i="67"/>
  <c r="M52" i="67"/>
  <c r="K52" i="67"/>
  <c r="K34" i="94"/>
  <c r="K34" i="95" s="1"/>
  <c r="K34" i="96" s="1"/>
  <c r="K34" i="42" s="1"/>
  <c r="J9" i="81"/>
  <c r="J9" i="82" s="1"/>
  <c r="J9" i="83" s="1"/>
  <c r="J9" i="84" s="1"/>
  <c r="J12" i="85"/>
  <c r="J12" i="86" s="1"/>
  <c r="N13" i="78"/>
  <c r="N13" i="79"/>
  <c r="N13" i="76"/>
  <c r="N13" i="74"/>
  <c r="N35" i="81"/>
  <c r="N40" i="81" s="1"/>
  <c r="O35" i="80"/>
  <c r="O40" i="80" s="1"/>
  <c r="G22" i="81"/>
  <c r="G22" i="82" s="1"/>
  <c r="G22" i="83" s="1"/>
  <c r="G22" i="84" s="1"/>
  <c r="G25" i="79"/>
  <c r="AJ24" i="3"/>
  <c r="G21" i="95"/>
  <c r="G20" i="82"/>
  <c r="G20" i="83" s="1"/>
  <c r="G20" i="84" s="1"/>
  <c r="G20" i="85" s="1"/>
  <c r="J20" i="81"/>
  <c r="J20" i="82" s="1"/>
  <c r="J20" i="83" s="1"/>
  <c r="J20" i="84" s="1"/>
  <c r="J20" i="85" s="1"/>
  <c r="K20" i="81"/>
  <c r="K20" i="82" s="1"/>
  <c r="K20" i="83" s="1"/>
  <c r="K20" i="84" s="1"/>
  <c r="K20" i="85" s="1"/>
  <c r="AJ25" i="3"/>
  <c r="G18" i="80"/>
  <c r="G25" i="80" s="1"/>
  <c r="G24" i="70"/>
  <c r="G24" i="71" s="1"/>
  <c r="G24" i="72" s="1"/>
  <c r="G24" i="73" s="1"/>
  <c r="G24" i="74" s="1"/>
  <c r="G24" i="75" s="1"/>
  <c r="G24" i="76" s="1"/>
  <c r="G24" i="77" s="1"/>
  <c r="N12" i="68"/>
  <c r="G10" i="96"/>
  <c r="G10" i="42" s="1"/>
  <c r="G10" i="67" s="1"/>
  <c r="G10" i="68" s="1"/>
  <c r="N9" i="69"/>
  <c r="H18" i="80"/>
  <c r="J13" i="79"/>
  <c r="F16" i="69"/>
  <c r="AY32" i="1"/>
  <c r="AU33" i="1" s="1"/>
  <c r="AT18" i="1"/>
  <c r="AP19" i="1" s="1"/>
  <c r="J10" i="84"/>
  <c r="H11" i="83"/>
  <c r="H11" i="84" s="1"/>
  <c r="H11" i="85" s="1"/>
  <c r="H11" i="86" s="1"/>
  <c r="H11" i="87" s="1"/>
  <c r="H11" i="88" s="1"/>
  <c r="G11" i="83"/>
  <c r="G11" i="84" s="1"/>
  <c r="G11" i="85" s="1"/>
  <c r="G11" i="86" s="1"/>
  <c r="G11" i="87" s="1"/>
  <c r="G11" i="88" s="1"/>
  <c r="G11" i="89" s="1"/>
  <c r="AC12" i="2"/>
  <c r="Z13" i="2" s="1"/>
  <c r="K15" i="79"/>
  <c r="K15" i="80" s="1"/>
  <c r="K15" i="81" s="1"/>
  <c r="K15" i="82" s="1"/>
  <c r="K15" i="83" s="1"/>
  <c r="K15" i="84" s="1"/>
  <c r="N36" i="82"/>
  <c r="G23" i="86"/>
  <c r="M13" i="77"/>
  <c r="N12" i="42"/>
  <c r="N10" i="42"/>
  <c r="N9" i="42"/>
  <c r="N11" i="42"/>
  <c r="M13" i="76"/>
  <c r="M13" i="75"/>
  <c r="M13" i="74"/>
  <c r="N10" i="73"/>
  <c r="N11" i="69"/>
  <c r="N12" i="67"/>
  <c r="N11" i="67"/>
  <c r="N10" i="67"/>
  <c r="N9" i="67"/>
  <c r="Q40" i="42"/>
  <c r="F16" i="94"/>
  <c r="G15" i="78"/>
  <c r="G15" i="79" s="1"/>
  <c r="F16" i="78"/>
  <c r="Y8" i="2"/>
  <c r="V9" i="2" s="1"/>
  <c r="J13" i="80"/>
  <c r="G14" i="78"/>
  <c r="G14" i="79" s="1"/>
  <c r="Q30" i="80"/>
  <c r="Q30" i="81"/>
  <c r="G13" i="80"/>
  <c r="L30" i="80"/>
  <c r="K30" i="80"/>
  <c r="K30" i="81" s="1"/>
  <c r="I16" i="81"/>
  <c r="I16" i="80"/>
  <c r="J15" i="79"/>
  <c r="J14" i="79"/>
  <c r="J16" i="78"/>
  <c r="K14" i="79"/>
  <c r="K16" i="78"/>
  <c r="Q30" i="67"/>
  <c r="M13" i="79"/>
  <c r="M13" i="78"/>
  <c r="N9" i="71"/>
  <c r="N9" i="73"/>
  <c r="N11" i="73"/>
  <c r="N12" i="73"/>
  <c r="N12" i="69"/>
  <c r="N10" i="69"/>
  <c r="N11" i="71"/>
  <c r="N12" i="71"/>
  <c r="N10" i="71"/>
  <c r="N11" i="68"/>
  <c r="N9" i="68"/>
  <c r="N10" i="68"/>
  <c r="Q40" i="67"/>
  <c r="O37" i="70" l="1"/>
  <c r="O37" i="71" s="1"/>
  <c r="N37" i="71"/>
  <c r="N37" i="72" s="1"/>
  <c r="J16" i="79"/>
  <c r="K14" i="80"/>
  <c r="K16" i="80" s="1"/>
  <c r="K16" i="79"/>
  <c r="O36" i="82"/>
  <c r="J10" i="85"/>
  <c r="J10" i="86" s="1"/>
  <c r="J12" i="87"/>
  <c r="J12" i="88" s="1"/>
  <c r="J12" i="89" s="1"/>
  <c r="J12" i="90" s="1"/>
  <c r="J12" i="91" s="1"/>
  <c r="N13" i="42"/>
  <c r="N13" i="73"/>
  <c r="N13" i="71"/>
  <c r="N13" i="67"/>
  <c r="N35" i="82"/>
  <c r="N35" i="83" s="1"/>
  <c r="O35" i="81"/>
  <c r="O40" i="81" s="1"/>
  <c r="L30" i="81"/>
  <c r="L30" i="82" s="1"/>
  <c r="L30" i="83" s="1"/>
  <c r="L30" i="84" s="1"/>
  <c r="L30" i="85" s="1"/>
  <c r="L30" i="86" s="1"/>
  <c r="L30" i="87" s="1"/>
  <c r="L30" i="88" s="1"/>
  <c r="L30" i="89" s="1"/>
  <c r="L30" i="90" s="1"/>
  <c r="L30" i="91" s="1"/>
  <c r="L30" i="92" s="1"/>
  <c r="L30" i="93" s="1"/>
  <c r="L30" i="94" s="1"/>
  <c r="L30" i="95" s="1"/>
  <c r="L30" i="96" s="1"/>
  <c r="L30" i="42" s="1"/>
  <c r="L30" i="67" s="1"/>
  <c r="H18" i="81"/>
  <c r="G18" i="81"/>
  <c r="G25" i="81" s="1"/>
  <c r="G21" i="96"/>
  <c r="J20" i="86"/>
  <c r="J20" i="87" s="1"/>
  <c r="J20" i="88" s="1"/>
  <c r="J20" i="89" s="1"/>
  <c r="G20" i="86"/>
  <c r="G20" i="87" s="1"/>
  <c r="G20" i="88" s="1"/>
  <c r="G20" i="89" s="1"/>
  <c r="G20" i="90" s="1"/>
  <c r="G20" i="91" s="1"/>
  <c r="G20" i="92" s="1"/>
  <c r="G20" i="93" s="1"/>
  <c r="K20" i="86"/>
  <c r="K20" i="87" s="1"/>
  <c r="K20" i="88" s="1"/>
  <c r="K20" i="89" s="1"/>
  <c r="K30" i="82"/>
  <c r="K30" i="83" s="1"/>
  <c r="K30" i="84" s="1"/>
  <c r="K30" i="85" s="1"/>
  <c r="K30" i="86" s="1"/>
  <c r="K30" i="87" s="1"/>
  <c r="K30" i="88" s="1"/>
  <c r="K30" i="89" s="1"/>
  <c r="K30" i="90" s="1"/>
  <c r="K30" i="91" s="1"/>
  <c r="K30" i="92" s="1"/>
  <c r="K30" i="93" s="1"/>
  <c r="K30" i="94" s="1"/>
  <c r="K30" i="95" s="1"/>
  <c r="K30" i="96" s="1"/>
  <c r="K30" i="42" s="1"/>
  <c r="K30" i="67" s="1"/>
  <c r="AY33" i="1"/>
  <c r="AU34" i="1"/>
  <c r="AU35" i="1" s="1"/>
  <c r="G13" i="81"/>
  <c r="H16" i="78"/>
  <c r="AT19" i="1"/>
  <c r="AP20" i="1" s="1"/>
  <c r="G13" i="83"/>
  <c r="G13" i="82"/>
  <c r="G11" i="90"/>
  <c r="G11" i="91" s="1"/>
  <c r="G11" i="92" s="1"/>
  <c r="G11" i="93" s="1"/>
  <c r="G11" i="94" s="1"/>
  <c r="G11" i="95" s="1"/>
  <c r="H11" i="89"/>
  <c r="H11" i="90" s="1"/>
  <c r="H11" i="91" s="1"/>
  <c r="H11" i="92" s="1"/>
  <c r="H11" i="93" s="1"/>
  <c r="H11" i="94" s="1"/>
  <c r="H11" i="95" s="1"/>
  <c r="AC13" i="2"/>
  <c r="Z14" i="2" s="1"/>
  <c r="N36" i="83"/>
  <c r="G23" i="87"/>
  <c r="G16" i="78"/>
  <c r="G16" i="79"/>
  <c r="Y9" i="2"/>
  <c r="V10" i="2" s="1"/>
  <c r="J13" i="81"/>
  <c r="K11" i="82"/>
  <c r="J9" i="85"/>
  <c r="J9" i="86" s="1"/>
  <c r="K15" i="85"/>
  <c r="H20" i="79"/>
  <c r="J14" i="80"/>
  <c r="G15" i="80"/>
  <c r="J15" i="80"/>
  <c r="J15" i="81" s="1"/>
  <c r="J15" i="82" s="1"/>
  <c r="H15" i="80"/>
  <c r="M13" i="73"/>
  <c r="M13" i="71"/>
  <c r="M13" i="69"/>
  <c r="M13" i="42"/>
  <c r="M13" i="67"/>
  <c r="M13" i="68"/>
  <c r="AJ35" i="1"/>
  <c r="O37" i="72" l="1"/>
  <c r="N40" i="83"/>
  <c r="N40" i="82"/>
  <c r="O36" i="83"/>
  <c r="N35" i="84"/>
  <c r="J12" i="92"/>
  <c r="J12" i="93" s="1"/>
  <c r="J10" i="87"/>
  <c r="J10" i="88" s="1"/>
  <c r="J10" i="89" s="1"/>
  <c r="J10" i="90" s="1"/>
  <c r="J10" i="91" s="1"/>
  <c r="O35" i="82"/>
  <c r="O40" i="82" s="1"/>
  <c r="H18" i="82"/>
  <c r="H18" i="83" s="1"/>
  <c r="H18" i="84" s="1"/>
  <c r="G18" i="82"/>
  <c r="G21" i="42"/>
  <c r="G21" i="67" s="1"/>
  <c r="G20" i="94"/>
  <c r="G20" i="95" s="1"/>
  <c r="G20" i="96" s="1"/>
  <c r="G20" i="42" s="1"/>
  <c r="G20" i="67" s="1"/>
  <c r="G20" i="68" s="1"/>
  <c r="G20" i="69" s="1"/>
  <c r="G20" i="70" s="1"/>
  <c r="J20" i="90"/>
  <c r="J20" i="91" s="1"/>
  <c r="J20" i="92" s="1"/>
  <c r="J20" i="93" s="1"/>
  <c r="K20" i="90"/>
  <c r="K20" i="91" s="1"/>
  <c r="K20" i="92" s="1"/>
  <c r="K20" i="93" s="1"/>
  <c r="AY34" i="1"/>
  <c r="AY35" i="1" s="1"/>
  <c r="G11" i="96"/>
  <c r="G11" i="42" s="1"/>
  <c r="G11" i="67" s="1"/>
  <c r="G11" i="68" s="1"/>
  <c r="H11" i="96"/>
  <c r="H11" i="42" s="1"/>
  <c r="H11" i="67" s="1"/>
  <c r="H11" i="68" s="1"/>
  <c r="AT20" i="1"/>
  <c r="AP21" i="1" s="1"/>
  <c r="AC14" i="2"/>
  <c r="Z15" i="2" s="1"/>
  <c r="N36" i="84"/>
  <c r="G23" i="88"/>
  <c r="K14" i="81"/>
  <c r="G15" i="81"/>
  <c r="H15" i="81"/>
  <c r="J16" i="80"/>
  <c r="J14" i="81"/>
  <c r="K15" i="86"/>
  <c r="J15" i="83"/>
  <c r="K11" i="83"/>
  <c r="J11" i="83"/>
  <c r="J13" i="82"/>
  <c r="J9" i="87"/>
  <c r="G9" i="85"/>
  <c r="Y10" i="2"/>
  <c r="V11" i="2" s="1"/>
  <c r="H20" i="80"/>
  <c r="AF3" i="1"/>
  <c r="M33" i="88"/>
  <c r="Q50" i="88" s="1"/>
  <c r="M33" i="89"/>
  <c r="M33" i="90"/>
  <c r="Q50" i="90" s="1"/>
  <c r="I51" i="90" s="1"/>
  <c r="Q50" i="91"/>
  <c r="Q50" i="92"/>
  <c r="I51" i="92" s="1"/>
  <c r="N51" i="92" s="1"/>
  <c r="Q50" i="93"/>
  <c r="I51" i="93" s="1"/>
  <c r="Q50" i="94"/>
  <c r="I51" i="94" s="1"/>
  <c r="N51" i="94" s="1"/>
  <c r="M33" i="96"/>
  <c r="Q50" i="96" s="1"/>
  <c r="I51" i="96" s="1"/>
  <c r="N51" i="96" s="1"/>
  <c r="M33" i="42"/>
  <c r="Q50" i="42" s="1"/>
  <c r="Q52" i="42" s="1"/>
  <c r="M33" i="67"/>
  <c r="Q50" i="67" s="1"/>
  <c r="M33" i="68"/>
  <c r="M33" i="69"/>
  <c r="M33" i="71"/>
  <c r="M33" i="73"/>
  <c r="Q50" i="73" s="1"/>
  <c r="I51" i="73" s="1"/>
  <c r="N51" i="73" s="1"/>
  <c r="M33" i="75"/>
  <c r="Q50" i="75" s="1"/>
  <c r="I51" i="75" s="1"/>
  <c r="N51" i="75" s="1"/>
  <c r="M33" i="76"/>
  <c r="Q50" i="76" s="1"/>
  <c r="M33" i="77"/>
  <c r="Q50" i="77" s="1"/>
  <c r="M33" i="79"/>
  <c r="Q50" i="79" s="1"/>
  <c r="Q52" i="79" s="1"/>
  <c r="M33" i="81"/>
  <c r="Q50" i="81" s="1"/>
  <c r="I51" i="81" s="1"/>
  <c r="N51" i="81" s="1"/>
  <c r="M33" i="82"/>
  <c r="Q50" i="82" s="1"/>
  <c r="I51" i="82" s="1"/>
  <c r="N51" i="82" s="1"/>
  <c r="M33" i="83"/>
  <c r="M33" i="84"/>
  <c r="Q50" i="84" s="1"/>
  <c r="I51" i="84" s="1"/>
  <c r="N51" i="84" s="1"/>
  <c r="M33" i="85"/>
  <c r="Q50" i="85" s="1"/>
  <c r="I51" i="85" s="1"/>
  <c r="N51" i="85" s="1"/>
  <c r="M33" i="86"/>
  <c r="M33" i="87"/>
  <c r="N40" i="84" l="1"/>
  <c r="I51" i="76"/>
  <c r="N51" i="76" s="1"/>
  <c r="Q52" i="76"/>
  <c r="I51" i="88"/>
  <c r="N51" i="88" s="1"/>
  <c r="Q52" i="88"/>
  <c r="N35" i="85"/>
  <c r="N35" i="86" s="1"/>
  <c r="O36" i="84"/>
  <c r="I51" i="67"/>
  <c r="N51" i="67" s="1"/>
  <c r="Q52" i="67"/>
  <c r="AE23" i="55" s="1"/>
  <c r="I51" i="42"/>
  <c r="N51" i="42" s="1"/>
  <c r="Q52" i="91"/>
  <c r="AE16" i="55" s="1"/>
  <c r="I51" i="91"/>
  <c r="Q52" i="81"/>
  <c r="J10" i="92"/>
  <c r="J10" i="93" s="1"/>
  <c r="J12" i="94"/>
  <c r="O35" i="83"/>
  <c r="O40" i="83" s="1"/>
  <c r="Q52" i="73"/>
  <c r="Q50" i="74"/>
  <c r="G18" i="83"/>
  <c r="G25" i="82"/>
  <c r="AC4" i="1"/>
  <c r="G21" i="68"/>
  <c r="G21" i="71" s="1"/>
  <c r="G21" i="72" s="1"/>
  <c r="G21" i="76" s="1"/>
  <c r="G21" i="77" s="1"/>
  <c r="G20" i="75"/>
  <c r="G20" i="76" s="1"/>
  <c r="G20" i="77" s="1"/>
  <c r="J20" i="94"/>
  <c r="J20" i="95" s="1"/>
  <c r="J20" i="96" s="1"/>
  <c r="J20" i="42" s="1"/>
  <c r="K20" i="94"/>
  <c r="K20" i="95" s="1"/>
  <c r="K20" i="96" s="1"/>
  <c r="K20" i="42" s="1"/>
  <c r="H20" i="81"/>
  <c r="H20" i="82" s="1"/>
  <c r="H20" i="83" s="1"/>
  <c r="H20" i="84" s="1"/>
  <c r="H20" i="85" s="1"/>
  <c r="AT21" i="1"/>
  <c r="AP22" i="1" s="1"/>
  <c r="G13" i="84"/>
  <c r="AC15" i="2"/>
  <c r="Z16" i="2" s="1"/>
  <c r="N36" i="85"/>
  <c r="G23" i="89"/>
  <c r="G23" i="90" s="1"/>
  <c r="H18" i="85"/>
  <c r="Q52" i="96"/>
  <c r="AE21" i="55" s="1"/>
  <c r="Q50" i="95"/>
  <c r="AH22" i="55"/>
  <c r="Q52" i="94"/>
  <c r="AE19" i="55" s="1"/>
  <c r="H15" i="82"/>
  <c r="J14" i="82"/>
  <c r="J16" i="81"/>
  <c r="G15" i="82"/>
  <c r="K14" i="82"/>
  <c r="K16" i="81"/>
  <c r="Q52" i="93"/>
  <c r="AE18" i="55" s="1"/>
  <c r="K15" i="87"/>
  <c r="J15" i="84"/>
  <c r="Q52" i="92"/>
  <c r="AE17" i="55" s="1"/>
  <c r="Y11" i="2"/>
  <c r="V12" i="2" s="1"/>
  <c r="J9" i="88"/>
  <c r="J11" i="84"/>
  <c r="J13" i="83"/>
  <c r="G9" i="86"/>
  <c r="G13" i="85"/>
  <c r="K11" i="84"/>
  <c r="K11" i="85" s="1"/>
  <c r="K11" i="86" s="1"/>
  <c r="K11" i="87" s="1"/>
  <c r="Q52" i="90"/>
  <c r="AE15" i="55" s="1"/>
  <c r="Q50" i="89"/>
  <c r="I51" i="89" s="1"/>
  <c r="N51" i="89" s="1"/>
  <c r="Q50" i="87"/>
  <c r="I51" i="87" s="1"/>
  <c r="N51" i="87" s="1"/>
  <c r="Q50" i="86"/>
  <c r="I51" i="86" s="1"/>
  <c r="N51" i="86" s="1"/>
  <c r="Q52" i="85"/>
  <c r="AE10" i="55" s="1"/>
  <c r="Q52" i="84"/>
  <c r="AE9" i="55" s="1"/>
  <c r="Q50" i="83"/>
  <c r="I51" i="83" s="1"/>
  <c r="Q52" i="77"/>
  <c r="M51" i="77"/>
  <c r="M33" i="80"/>
  <c r="AE32" i="55"/>
  <c r="Q52" i="75"/>
  <c r="AE31" i="55" s="1"/>
  <c r="M33" i="78"/>
  <c r="Q50" i="78" s="1"/>
  <c r="Q50" i="71"/>
  <c r="I51" i="71" s="1"/>
  <c r="N51" i="71" s="1"/>
  <c r="Q50" i="69"/>
  <c r="I51" i="69" s="1"/>
  <c r="Q50" i="68"/>
  <c r="I51" i="68" s="1"/>
  <c r="N51" i="68" s="1"/>
  <c r="N35" i="87" l="1"/>
  <c r="N35" i="88" s="1"/>
  <c r="N35" i="89" s="1"/>
  <c r="N35" i="90" s="1"/>
  <c r="N40" i="85"/>
  <c r="O36" i="85"/>
  <c r="O36" i="86" s="1"/>
  <c r="O36" i="87" s="1"/>
  <c r="I51" i="95"/>
  <c r="N51" i="95" s="1"/>
  <c r="Q52" i="95"/>
  <c r="AE20" i="55" s="1"/>
  <c r="Q52" i="74"/>
  <c r="AE30" i="55" s="1"/>
  <c r="I51" i="74"/>
  <c r="N51" i="74" s="1"/>
  <c r="G25" i="83"/>
  <c r="G18" i="84"/>
  <c r="G25" i="84" s="1"/>
  <c r="J12" i="95"/>
  <c r="J12" i="96" s="1"/>
  <c r="J12" i="42" s="1"/>
  <c r="J12" i="67" s="1"/>
  <c r="J10" i="94"/>
  <c r="O35" i="84"/>
  <c r="O40" i="84" s="1"/>
  <c r="AF4" i="1"/>
  <c r="AC5" i="1" s="1"/>
  <c r="AF5" i="1" s="1"/>
  <c r="AC6" i="1" s="1"/>
  <c r="AK3" i="1"/>
  <c r="AG4" i="1" s="1"/>
  <c r="H20" i="86"/>
  <c r="H20" i="87" s="1"/>
  <c r="H20" i="88" s="1"/>
  <c r="H20" i="89" s="1"/>
  <c r="H20" i="90" s="1"/>
  <c r="H20" i="91" s="1"/>
  <c r="H20" i="92" s="1"/>
  <c r="H20" i="93" s="1"/>
  <c r="G22" i="85"/>
  <c r="AT22" i="1"/>
  <c r="AP23" i="1" s="1"/>
  <c r="AC16" i="2"/>
  <c r="Z17" i="2" s="1"/>
  <c r="N36" i="86"/>
  <c r="N40" i="86" s="1"/>
  <c r="H18" i="86"/>
  <c r="AE29" i="55"/>
  <c r="AE22" i="55"/>
  <c r="K14" i="83"/>
  <c r="K16" i="82"/>
  <c r="J14" i="83"/>
  <c r="J16" i="82"/>
  <c r="G15" i="83"/>
  <c r="H15" i="83"/>
  <c r="J15" i="85"/>
  <c r="K15" i="88"/>
  <c r="J9" i="89"/>
  <c r="G9" i="87"/>
  <c r="G13" i="86"/>
  <c r="J11" i="85"/>
  <c r="J11" i="86" s="1"/>
  <c r="J13" i="84"/>
  <c r="Y12" i="2"/>
  <c r="V13" i="2" s="1"/>
  <c r="Q52" i="89"/>
  <c r="AE14" i="55" s="1"/>
  <c r="AE13" i="55"/>
  <c r="Q52" i="87"/>
  <c r="AE12" i="55" s="1"/>
  <c r="Q52" i="86"/>
  <c r="AE11" i="55" s="1"/>
  <c r="Q52" i="83"/>
  <c r="AE8" i="55" s="1"/>
  <c r="Q52" i="82"/>
  <c r="AE7" i="55" s="1"/>
  <c r="Q50" i="80"/>
  <c r="I51" i="80" s="1"/>
  <c r="N51" i="80" s="1"/>
  <c r="O33" i="78"/>
  <c r="O33" i="79" s="1"/>
  <c r="O33" i="80" s="1"/>
  <c r="O33" i="81" s="1"/>
  <c r="O33" i="82" s="1"/>
  <c r="O33" i="83" s="1"/>
  <c r="O33" i="84" s="1"/>
  <c r="O33" i="85" s="1"/>
  <c r="O33" i="86" s="1"/>
  <c r="O33" i="87" s="1"/>
  <c r="O33" i="88" s="1"/>
  <c r="O33" i="89" s="1"/>
  <c r="O33" i="90" s="1"/>
  <c r="O33" i="91" s="1"/>
  <c r="N33" i="78"/>
  <c r="N33" i="79" s="1"/>
  <c r="N33" i="80" s="1"/>
  <c r="N33" i="81" s="1"/>
  <c r="N33" i="82" s="1"/>
  <c r="N33" i="83" s="1"/>
  <c r="N33" i="84" s="1"/>
  <c r="N33" i="85" s="1"/>
  <c r="N33" i="86" s="1"/>
  <c r="N33" i="87" s="1"/>
  <c r="N33" i="88" s="1"/>
  <c r="N33" i="89" s="1"/>
  <c r="N33" i="90" s="1"/>
  <c r="N33" i="91" s="1"/>
  <c r="P33" i="78"/>
  <c r="Q52" i="71"/>
  <c r="AE26" i="55"/>
  <c r="Q52" i="69"/>
  <c r="AE25" i="55" s="1"/>
  <c r="Q52" i="68"/>
  <c r="AE24" i="55" s="1"/>
  <c r="N33" i="92" l="1"/>
  <c r="N33" i="93" s="1"/>
  <c r="N33" i="94" s="1"/>
  <c r="N33" i="95" s="1"/>
  <c r="N33" i="96" s="1"/>
  <c r="N33" i="42" s="1"/>
  <c r="O33" i="92"/>
  <c r="O33" i="93" s="1"/>
  <c r="O33" i="94" s="1"/>
  <c r="O33" i="95" s="1"/>
  <c r="O33" i="96" s="1"/>
  <c r="O33" i="42" s="1"/>
  <c r="N35" i="91"/>
  <c r="O36" i="88"/>
  <c r="J12" i="68"/>
  <c r="J10" i="95"/>
  <c r="J10" i="96" s="1"/>
  <c r="J10" i="42" s="1"/>
  <c r="J10" i="67" s="1"/>
  <c r="J10" i="68" s="1"/>
  <c r="J10" i="69" s="1"/>
  <c r="O35" i="85"/>
  <c r="O40" i="85" s="1"/>
  <c r="G18" i="85"/>
  <c r="G18" i="86" s="1"/>
  <c r="AK4" i="1"/>
  <c r="AG5" i="1" s="1"/>
  <c r="H20" i="94"/>
  <c r="H20" i="95" s="1"/>
  <c r="H20" i="96" s="1"/>
  <c r="H20" i="42" s="1"/>
  <c r="H20" i="67" s="1"/>
  <c r="H20" i="68" s="1"/>
  <c r="H20" i="69" s="1"/>
  <c r="G22" i="86"/>
  <c r="G22" i="87" s="1"/>
  <c r="AT23" i="1"/>
  <c r="AP24" i="1" s="1"/>
  <c r="AC17" i="2"/>
  <c r="Z18" i="2" s="1"/>
  <c r="N36" i="87"/>
  <c r="N40" i="87" s="1"/>
  <c r="G23" i="91"/>
  <c r="H18" i="87"/>
  <c r="AE28" i="55"/>
  <c r="AE27" i="55"/>
  <c r="H15" i="84"/>
  <c r="G15" i="84"/>
  <c r="J14" i="84"/>
  <c r="J16" i="83"/>
  <c r="K14" i="84"/>
  <c r="K16" i="83"/>
  <c r="K15" i="89"/>
  <c r="J15" i="86"/>
  <c r="J13" i="85"/>
  <c r="J9" i="90"/>
  <c r="Y13" i="2"/>
  <c r="V14" i="2" s="1"/>
  <c r="G13" i="87"/>
  <c r="G9" i="88"/>
  <c r="AE6" i="55"/>
  <c r="Q52" i="80"/>
  <c r="AE5" i="55" s="1"/>
  <c r="Q52" i="78"/>
  <c r="AE3" i="55" s="1"/>
  <c r="H51" i="78"/>
  <c r="M51" i="78" s="1"/>
  <c r="AE4" i="55"/>
  <c r="H51" i="79"/>
  <c r="M51" i="79" s="1"/>
  <c r="AF6" i="1"/>
  <c r="AC7" i="1" s="1"/>
  <c r="N35" i="92" l="1"/>
  <c r="N35" i="93" s="1"/>
  <c r="O36" i="89"/>
  <c r="AK5" i="1"/>
  <c r="AG6" i="1" s="1"/>
  <c r="J10" i="70"/>
  <c r="O35" i="86"/>
  <c r="O40" i="86" s="1"/>
  <c r="G25" i="85"/>
  <c r="G18" i="87"/>
  <c r="G25" i="86"/>
  <c r="L15" i="78"/>
  <c r="E16" i="78"/>
  <c r="H20" i="70"/>
  <c r="H20" i="71" s="1"/>
  <c r="H20" i="72" s="1"/>
  <c r="H20" i="73" s="1"/>
  <c r="H20" i="75" s="1"/>
  <c r="H20" i="76" s="1"/>
  <c r="H20" i="77" s="1"/>
  <c r="G22" i="88"/>
  <c r="G22" i="89" s="1"/>
  <c r="AT24" i="1"/>
  <c r="AP25" i="1" s="1"/>
  <c r="AC18" i="2"/>
  <c r="Z19" i="2" s="1"/>
  <c r="N36" i="88"/>
  <c r="N40" i="88" s="1"/>
  <c r="G23" i="92"/>
  <c r="H18" i="88"/>
  <c r="K14" i="85"/>
  <c r="K16" i="84"/>
  <c r="G15" i="85"/>
  <c r="J14" i="85"/>
  <c r="J16" i="84"/>
  <c r="H15" i="85"/>
  <c r="K15" i="90"/>
  <c r="J15" i="87"/>
  <c r="Y14" i="2"/>
  <c r="V15" i="2" s="1"/>
  <c r="J9" i="91"/>
  <c r="G9" i="89"/>
  <c r="G13" i="88"/>
  <c r="J11" i="87"/>
  <c r="J13" i="86"/>
  <c r="AF7" i="1"/>
  <c r="AC8" i="1" s="1"/>
  <c r="N35" i="94" l="1"/>
  <c r="N35" i="95" s="1"/>
  <c r="O36" i="90"/>
  <c r="J10" i="71"/>
  <c r="AE24" i="3"/>
  <c r="N35" i="96"/>
  <c r="O35" i="87"/>
  <c r="O40" i="87" s="1"/>
  <c r="G18" i="88"/>
  <c r="G25" i="87"/>
  <c r="G22" i="90"/>
  <c r="AK6" i="1"/>
  <c r="AT25" i="1"/>
  <c r="AP26" i="1" s="1"/>
  <c r="AC19" i="2"/>
  <c r="Z20" i="2" s="1"/>
  <c r="N36" i="89"/>
  <c r="N40" i="89" s="1"/>
  <c r="G23" i="93"/>
  <c r="H18" i="89"/>
  <c r="H15" i="86"/>
  <c r="H15" i="87" s="1"/>
  <c r="H15" i="88" s="1"/>
  <c r="J14" i="86"/>
  <c r="J16" i="85"/>
  <c r="G15" i="86"/>
  <c r="G15" i="87" s="1"/>
  <c r="K14" i="86"/>
  <c r="K16" i="85"/>
  <c r="J15" i="88"/>
  <c r="K15" i="91"/>
  <c r="J11" i="88"/>
  <c r="J11" i="89" s="1"/>
  <c r="J11" i="90" s="1"/>
  <c r="J13" i="87"/>
  <c r="J9" i="92"/>
  <c r="K11" i="88"/>
  <c r="K11" i="89" s="1"/>
  <c r="K11" i="90" s="1"/>
  <c r="G9" i="90"/>
  <c r="G13" i="89"/>
  <c r="Y15" i="2"/>
  <c r="V16" i="2" s="1"/>
  <c r="AF8" i="1"/>
  <c r="AC9" i="1" s="1"/>
  <c r="N35" i="42" l="1"/>
  <c r="O36" i="91"/>
  <c r="O36" i="92" s="1"/>
  <c r="J10" i="72"/>
  <c r="J10" i="73" s="1"/>
  <c r="O35" i="88"/>
  <c r="O40" i="88" s="1"/>
  <c r="G18" i="89"/>
  <c r="G25" i="88"/>
  <c r="G22" i="91"/>
  <c r="M30" i="72"/>
  <c r="AG7" i="1"/>
  <c r="AT26" i="1"/>
  <c r="AP27" i="1" s="1"/>
  <c r="AC20" i="2"/>
  <c r="Z21" i="2" s="1"/>
  <c r="N36" i="90"/>
  <c r="G23" i="94"/>
  <c r="H18" i="90"/>
  <c r="K14" i="87"/>
  <c r="K16" i="86"/>
  <c r="J14" i="87"/>
  <c r="J16" i="86"/>
  <c r="K15" i="92"/>
  <c r="J15" i="89"/>
  <c r="G9" i="91"/>
  <c r="G13" i="90"/>
  <c r="J9" i="93"/>
  <c r="Y16" i="2"/>
  <c r="V17" i="2" s="1"/>
  <c r="J13" i="88"/>
  <c r="AF9" i="1"/>
  <c r="O36" i="93" l="1"/>
  <c r="O36" i="94" s="1"/>
  <c r="O36" i="95" s="1"/>
  <c r="N36" i="91"/>
  <c r="N40" i="91" s="1"/>
  <c r="N40" i="90"/>
  <c r="J9" i="94"/>
  <c r="O35" i="89"/>
  <c r="O40" i="89" s="1"/>
  <c r="G18" i="90"/>
  <c r="G25" i="89"/>
  <c r="AJ28" i="3"/>
  <c r="AC10" i="1"/>
  <c r="AK7" i="1"/>
  <c r="AG8" i="1" s="1"/>
  <c r="AT27" i="1"/>
  <c r="AP28" i="1" s="1"/>
  <c r="AC21" i="2"/>
  <c r="Z22" i="2" s="1"/>
  <c r="G23" i="95"/>
  <c r="G23" i="96" s="1"/>
  <c r="H18" i="91"/>
  <c r="J14" i="88"/>
  <c r="J16" i="87"/>
  <c r="K14" i="88"/>
  <c r="K16" i="87"/>
  <c r="G15" i="88"/>
  <c r="J15" i="90"/>
  <c r="K15" i="93"/>
  <c r="K15" i="94" s="1"/>
  <c r="K15" i="95" s="1"/>
  <c r="K15" i="96" s="1"/>
  <c r="K15" i="42" s="1"/>
  <c r="Y17" i="2"/>
  <c r="V18" i="2" s="1"/>
  <c r="J13" i="89"/>
  <c r="G9" i="92"/>
  <c r="G13" i="91"/>
  <c r="J9" i="95" l="1"/>
  <c r="J9" i="96" s="1"/>
  <c r="J9" i="42" s="1"/>
  <c r="O35" i="90"/>
  <c r="O40" i="90" s="1"/>
  <c r="O36" i="96"/>
  <c r="O36" i="42" s="1"/>
  <c r="O36" i="67" s="1"/>
  <c r="O36" i="68" s="1"/>
  <c r="O36" i="69" s="1"/>
  <c r="O36" i="70" s="1"/>
  <c r="O36" i="71" s="1"/>
  <c r="O36" i="72" s="1"/>
  <c r="G18" i="91"/>
  <c r="G25" i="90"/>
  <c r="AF10" i="1"/>
  <c r="AC11" i="1" s="1"/>
  <c r="AF11" i="1" s="1"/>
  <c r="AC12" i="1" s="1"/>
  <c r="AK8" i="1"/>
  <c r="AG9" i="1" s="1"/>
  <c r="G22" i="92"/>
  <c r="G22" i="93" s="1"/>
  <c r="G22" i="94" s="1"/>
  <c r="AT28" i="1"/>
  <c r="AP29" i="1" s="1"/>
  <c r="AC22" i="2"/>
  <c r="Z23" i="2" s="1"/>
  <c r="N36" i="92"/>
  <c r="N40" i="92" s="1"/>
  <c r="H18" i="92"/>
  <c r="G15" i="89"/>
  <c r="H15" i="89"/>
  <c r="K14" i="89"/>
  <c r="K16" i="89" s="1"/>
  <c r="K16" i="88"/>
  <c r="J14" i="89"/>
  <c r="J16" i="89" s="1"/>
  <c r="J16" i="88"/>
  <c r="J15" i="91"/>
  <c r="J11" i="91"/>
  <c r="J13" i="90"/>
  <c r="K11" i="91"/>
  <c r="Y18" i="2"/>
  <c r="V19" i="2" s="1"/>
  <c r="G9" i="93"/>
  <c r="G13" i="92"/>
  <c r="O35" i="91" l="1"/>
  <c r="O40" i="91" s="1"/>
  <c r="G18" i="92"/>
  <c r="G25" i="91"/>
  <c r="G22" i="95"/>
  <c r="G22" i="96" s="1"/>
  <c r="AK9" i="1"/>
  <c r="AG10" i="1" s="1"/>
  <c r="AT29" i="1"/>
  <c r="AP30" i="1" s="1"/>
  <c r="AC23" i="2"/>
  <c r="Z24" i="2" s="1"/>
  <c r="N36" i="93"/>
  <c r="N40" i="93" s="1"/>
  <c r="G23" i="42"/>
  <c r="Y19" i="2"/>
  <c r="V20" i="2" s="1"/>
  <c r="H18" i="93"/>
  <c r="G13" i="93"/>
  <c r="G9" i="94"/>
  <c r="J14" i="90"/>
  <c r="H15" i="90"/>
  <c r="K14" i="90"/>
  <c r="G15" i="90"/>
  <c r="J15" i="92"/>
  <c r="J15" i="93" s="1"/>
  <c r="K11" i="92"/>
  <c r="J11" i="92"/>
  <c r="J13" i="91"/>
  <c r="AF12" i="1"/>
  <c r="AC13" i="1" s="1"/>
  <c r="X4" i="6"/>
  <c r="O35" i="92" l="1"/>
  <c r="O40" i="92" s="1"/>
  <c r="G18" i="93"/>
  <c r="G25" i="92"/>
  <c r="G22" i="42"/>
  <c r="G22" i="67" s="1"/>
  <c r="AK10" i="1"/>
  <c r="AG11" i="1" s="1"/>
  <c r="AT30" i="1"/>
  <c r="AP31" i="1" s="1"/>
  <c r="AC24" i="2"/>
  <c r="Z25" i="2" s="1"/>
  <c r="N36" i="94"/>
  <c r="N40" i="94" s="1"/>
  <c r="G13" i="94"/>
  <c r="G9" i="95"/>
  <c r="Y20" i="2"/>
  <c r="V21" i="2" s="1"/>
  <c r="H18" i="94"/>
  <c r="H15" i="91"/>
  <c r="K14" i="91"/>
  <c r="K16" i="90"/>
  <c r="G15" i="91"/>
  <c r="J14" i="91"/>
  <c r="J16" i="90"/>
  <c r="J15" i="94"/>
  <c r="J15" i="95" s="1"/>
  <c r="J15" i="96" s="1"/>
  <c r="J15" i="42" s="1"/>
  <c r="J11" i="93"/>
  <c r="J13" i="92"/>
  <c r="K11" i="93"/>
  <c r="AF13" i="1"/>
  <c r="O35" i="93" l="1"/>
  <c r="O40" i="93" s="1"/>
  <c r="G25" i="93"/>
  <c r="G18" i="94"/>
  <c r="G22" i="68"/>
  <c r="G22" i="69" s="1"/>
  <c r="G22" i="70" s="1"/>
  <c r="AK11" i="1"/>
  <c r="AG12" i="1" s="1"/>
  <c r="AC14" i="1"/>
  <c r="AT31" i="1"/>
  <c r="AP32" i="1" s="1"/>
  <c r="AC25" i="2"/>
  <c r="Z26" i="2" s="1"/>
  <c r="N36" i="95"/>
  <c r="N40" i="95" s="1"/>
  <c r="G9" i="96"/>
  <c r="G13" i="95"/>
  <c r="Y21" i="2"/>
  <c r="V22" i="2" s="1"/>
  <c r="H18" i="95"/>
  <c r="J13" i="93"/>
  <c r="J11" i="94"/>
  <c r="K11" i="94"/>
  <c r="K11" i="95" s="1"/>
  <c r="J14" i="92"/>
  <c r="J16" i="91"/>
  <c r="K14" i="92"/>
  <c r="K16" i="91"/>
  <c r="G15" i="92"/>
  <c r="H15" i="92"/>
  <c r="AE14" i="3"/>
  <c r="O35" i="94" l="1"/>
  <c r="O40" i="94" s="1"/>
  <c r="G25" i="94"/>
  <c r="G18" i="95"/>
  <c r="G25" i="95" s="1"/>
  <c r="AF14" i="1"/>
  <c r="AC15" i="1" s="1"/>
  <c r="AF15" i="1" s="1"/>
  <c r="AC16" i="1" s="1"/>
  <c r="G22" i="71"/>
  <c r="AG13" i="1"/>
  <c r="K11" i="96"/>
  <c r="K11" i="42" s="1"/>
  <c r="K11" i="67" s="1"/>
  <c r="K11" i="68" s="1"/>
  <c r="AT32" i="1"/>
  <c r="AP33" i="1" s="1"/>
  <c r="AP34" i="1" s="1"/>
  <c r="AC26" i="2"/>
  <c r="Z27" i="2" s="1"/>
  <c r="N36" i="96"/>
  <c r="N40" i="96" s="1"/>
  <c r="J13" i="94"/>
  <c r="J11" i="95"/>
  <c r="J11" i="96" s="1"/>
  <c r="G9" i="42"/>
  <c r="G13" i="96"/>
  <c r="Y22" i="2"/>
  <c r="V23" i="2" s="1"/>
  <c r="H18" i="96"/>
  <c r="K14" i="93"/>
  <c r="K16" i="92"/>
  <c r="G15" i="93"/>
  <c r="H15" i="93"/>
  <c r="J14" i="93"/>
  <c r="J16" i="92"/>
  <c r="N3" i="1"/>
  <c r="EE3" i="1" s="1"/>
  <c r="AE29" i="3" l="1"/>
  <c r="O35" i="95"/>
  <c r="O40" i="95" s="1"/>
  <c r="E5" i="3"/>
  <c r="F5" i="3" s="1"/>
  <c r="R5" i="3"/>
  <c r="S5" i="3" s="1"/>
  <c r="G22" i="72"/>
  <c r="G18" i="96"/>
  <c r="L14" i="78"/>
  <c r="AK13" i="1"/>
  <c r="AG14" i="1" s="1"/>
  <c r="AT33" i="1"/>
  <c r="AP35" i="1"/>
  <c r="Q3" i="1"/>
  <c r="AC27" i="2"/>
  <c r="Z28" i="2" s="1"/>
  <c r="N36" i="42"/>
  <c r="J13" i="95"/>
  <c r="G15" i="94"/>
  <c r="Y23" i="2"/>
  <c r="V24" i="2" s="1"/>
  <c r="H18" i="42"/>
  <c r="H15" i="94"/>
  <c r="J16" i="93"/>
  <c r="J14" i="94"/>
  <c r="K16" i="93"/>
  <c r="K14" i="94"/>
  <c r="P3" i="1"/>
  <c r="AF16" i="1"/>
  <c r="AC17" i="1" s="1"/>
  <c r="AE16" i="3"/>
  <c r="I21" i="80" l="1"/>
  <c r="M30" i="80" s="1"/>
  <c r="N36" i="67"/>
  <c r="N36" i="68" s="1"/>
  <c r="N36" i="69" s="1"/>
  <c r="N40" i="42"/>
  <c r="R16" i="3"/>
  <c r="S16" i="3" s="1"/>
  <c r="I21" i="91" s="1"/>
  <c r="O35" i="96"/>
  <c r="O40" i="96" s="1"/>
  <c r="AJ5" i="3"/>
  <c r="G22" i="73"/>
  <c r="G22" i="74" s="1"/>
  <c r="G22" i="75" s="1"/>
  <c r="G25" i="96"/>
  <c r="G18" i="42"/>
  <c r="G25" i="42" s="1"/>
  <c r="X5" i="3"/>
  <c r="U6" i="3" s="1"/>
  <c r="X6" i="3" s="1"/>
  <c r="U7" i="3" s="1"/>
  <c r="X7" i="3" s="1"/>
  <c r="AB5" i="3"/>
  <c r="AK14" i="1"/>
  <c r="AG15" i="1" s="1"/>
  <c r="AT34" i="1"/>
  <c r="AC28" i="2"/>
  <c r="J11" i="42"/>
  <c r="J11" i="67" s="1"/>
  <c r="J13" i="96"/>
  <c r="G15" i="95"/>
  <c r="Y24" i="2"/>
  <c r="V25" i="2" s="1"/>
  <c r="H15" i="95"/>
  <c r="K16" i="94"/>
  <c r="K14" i="95"/>
  <c r="J16" i="94"/>
  <c r="J14" i="95"/>
  <c r="AF17" i="1"/>
  <c r="AC18" i="1" s="1"/>
  <c r="AJ16" i="3" l="1"/>
  <c r="N36" i="70"/>
  <c r="O35" i="42"/>
  <c r="O40" i="42" s="1"/>
  <c r="G22" i="76"/>
  <c r="E21" i="81"/>
  <c r="Y6" i="3"/>
  <c r="AB6" i="3" s="1"/>
  <c r="AG16" i="1"/>
  <c r="J11" i="68"/>
  <c r="U8" i="3"/>
  <c r="X8" i="3" s="1"/>
  <c r="Z29" i="2"/>
  <c r="G15" i="96"/>
  <c r="G15" i="42" s="1"/>
  <c r="Y25" i="2"/>
  <c r="H15" i="96"/>
  <c r="H15" i="42" s="1"/>
  <c r="J16" i="95"/>
  <c r="J14" i="96"/>
  <c r="J14" i="42" s="1"/>
  <c r="J16" i="42" s="1"/>
  <c r="K14" i="96"/>
  <c r="K14" i="42" s="1"/>
  <c r="K16" i="42" s="1"/>
  <c r="K16" i="95"/>
  <c r="AF18" i="1"/>
  <c r="AC19" i="1" s="1"/>
  <c r="G22" i="77" l="1"/>
  <c r="AF19" i="1"/>
  <c r="AC20" i="1" s="1"/>
  <c r="Y7" i="3"/>
  <c r="AB7" i="3" s="1"/>
  <c r="V26" i="2"/>
  <c r="AG17" i="1"/>
  <c r="AK17" i="1" s="1"/>
  <c r="U9" i="3"/>
  <c r="X9" i="3" s="1"/>
  <c r="AC29" i="2"/>
  <c r="J16" i="96"/>
  <c r="K16" i="96"/>
  <c r="AF20" i="1" l="1"/>
  <c r="AC21" i="1" s="1"/>
  <c r="Y8" i="3"/>
  <c r="AB8" i="3" s="1"/>
  <c r="Y26" i="2"/>
  <c r="V27" i="2" s="1"/>
  <c r="AG18" i="1"/>
  <c r="AK18" i="1" s="1"/>
  <c r="U10" i="3"/>
  <c r="X10" i="3" s="1"/>
  <c r="Z30" i="2"/>
  <c r="AF21" i="1" l="1"/>
  <c r="AC22" i="1" s="1"/>
  <c r="Y9" i="3"/>
  <c r="AB9" i="3" s="1"/>
  <c r="Y27" i="2"/>
  <c r="V28" i="2" s="1"/>
  <c r="AG19" i="1"/>
  <c r="AK19" i="1" s="1"/>
  <c r="U11" i="3"/>
  <c r="X11" i="3" s="1"/>
  <c r="AC30" i="2"/>
  <c r="AF22" i="1" l="1"/>
  <c r="AC23" i="1" s="1"/>
  <c r="Y10" i="3"/>
  <c r="AB10" i="3" s="1"/>
  <c r="Y28" i="2"/>
  <c r="V29" i="2" s="1"/>
  <c r="Y29" i="2" s="1"/>
  <c r="V30" i="2" s="1"/>
  <c r="AG20" i="1"/>
  <c r="AK20" i="1" s="1"/>
  <c r="U12" i="3"/>
  <c r="X12" i="3" s="1"/>
  <c r="Z31" i="2"/>
  <c r="AF23" i="1" l="1"/>
  <c r="AC24" i="1" s="1"/>
  <c r="AF24" i="1" s="1"/>
  <c r="AC25" i="1" s="1"/>
  <c r="Y11" i="3"/>
  <c r="AB11" i="3" s="1"/>
  <c r="AG21" i="1"/>
  <c r="AK21" i="1" s="1"/>
  <c r="U13" i="3"/>
  <c r="X13" i="3" s="1"/>
  <c r="AC31" i="2"/>
  <c r="Y30" i="2"/>
  <c r="Y12" i="3" l="1"/>
  <c r="AB12" i="3" s="1"/>
  <c r="V31" i="2"/>
  <c r="AG22" i="1"/>
  <c r="AK22" i="1" s="1"/>
  <c r="U14" i="3"/>
  <c r="X14" i="3" s="1"/>
  <c r="Z32" i="2"/>
  <c r="AF25" i="1"/>
  <c r="AC26" i="1" s="1"/>
  <c r="Y13" i="3" l="1"/>
  <c r="AB13" i="3" s="1"/>
  <c r="Y31" i="2"/>
  <c r="V32" i="2" s="1"/>
  <c r="Y32" i="2" s="1"/>
  <c r="AG23" i="1"/>
  <c r="AK23" i="1" s="1"/>
  <c r="U15" i="3"/>
  <c r="X15" i="3" s="1"/>
  <c r="AC32" i="2"/>
  <c r="AF26" i="1"/>
  <c r="AC27" i="1" s="1"/>
  <c r="AG24" i="1" l="1"/>
  <c r="AK24" i="1" s="1"/>
  <c r="U16" i="3"/>
  <c r="X16" i="3" s="1"/>
  <c r="Z33" i="2"/>
  <c r="V33" i="2"/>
  <c r="Y33" i="2" s="1"/>
  <c r="Y34" i="2" s="1"/>
  <c r="AF27" i="1"/>
  <c r="AC28" i="1" s="1"/>
  <c r="AE20" i="3"/>
  <c r="Y14" i="3" l="1"/>
  <c r="AB14" i="3" s="1"/>
  <c r="AG25" i="1"/>
  <c r="AK25" i="1" s="1"/>
  <c r="U17" i="3"/>
  <c r="AC33" i="2"/>
  <c r="AC34" i="2" s="1"/>
  <c r="Z34" i="2"/>
  <c r="V34" i="2"/>
  <c r="AF28" i="1"/>
  <c r="AC29" i="1" s="1"/>
  <c r="AG26" i="1" l="1"/>
  <c r="AF29" i="1"/>
  <c r="AC30" i="1" s="1"/>
  <c r="AJ17" i="3" l="1"/>
  <c r="Y15" i="3"/>
  <c r="AB15" i="3" s="1"/>
  <c r="AG27" i="1"/>
  <c r="AK27" i="1" s="1"/>
  <c r="AF30" i="1"/>
  <c r="AC31" i="1" s="1"/>
  <c r="AE11" i="3" l="1"/>
  <c r="Y16" i="3"/>
  <c r="AB16" i="3" s="1"/>
  <c r="AG28" i="1"/>
  <c r="AK28" i="1" s="1"/>
  <c r="X17" i="3"/>
  <c r="U18" i="3" s="1"/>
  <c r="X18" i="3" s="1"/>
  <c r="U19" i="3" s="1"/>
  <c r="X19" i="3" s="1"/>
  <c r="U20" i="3" s="1"/>
  <c r="X20" i="3" s="1"/>
  <c r="AF31" i="1"/>
  <c r="AC32" i="1" s="1"/>
  <c r="Y17" i="3" l="1"/>
  <c r="AB17" i="3" s="1"/>
  <c r="AG29" i="1"/>
  <c r="AK29" i="1" s="1"/>
  <c r="U21" i="3"/>
  <c r="X21" i="3" s="1"/>
  <c r="AF32" i="1"/>
  <c r="AC33" i="1" s="1"/>
  <c r="AC34" i="1" l="1"/>
  <c r="Y18" i="3"/>
  <c r="AB18" i="3" s="1"/>
  <c r="AG30" i="1"/>
  <c r="U22" i="3"/>
  <c r="X22" i="3" s="1"/>
  <c r="AF33" i="1"/>
  <c r="AF34" i="1" s="1"/>
  <c r="Y19" i="3" l="1"/>
  <c r="AB19" i="3" s="1"/>
  <c r="U23" i="3"/>
  <c r="AV5" i="12"/>
  <c r="O10" i="12"/>
  <c r="O11" i="12"/>
  <c r="O12" i="12"/>
  <c r="O15" i="12"/>
  <c r="O16" i="12"/>
  <c r="O17" i="12"/>
  <c r="O18" i="12"/>
  <c r="O20" i="12"/>
  <c r="O21" i="12"/>
  <c r="O22" i="12"/>
  <c r="O23" i="12"/>
  <c r="O24" i="12"/>
  <c r="O25" i="12"/>
  <c r="O27" i="12"/>
  <c r="O30" i="12"/>
  <c r="O31" i="12"/>
  <c r="O32" i="12"/>
  <c r="O33" i="12"/>
  <c r="Y20" i="3" l="1"/>
  <c r="AB20" i="3" s="1"/>
  <c r="AG31" i="1"/>
  <c r="AK31" i="1" s="1"/>
  <c r="X23" i="3"/>
  <c r="U24" i="3" s="1"/>
  <c r="AV9" i="12"/>
  <c r="AV8" i="12"/>
  <c r="AV7" i="12"/>
  <c r="AV40" i="12" l="1"/>
  <c r="AU42" i="97" s="1"/>
  <c r="Y21" i="3"/>
  <c r="AB21" i="3" s="1"/>
  <c r="X24" i="3"/>
  <c r="U25" i="3" s="1"/>
  <c r="K20" i="67"/>
  <c r="K20" i="68" s="1"/>
  <c r="K20" i="69" s="1"/>
  <c r="K20" i="70" s="1"/>
  <c r="J20" i="67"/>
  <c r="J20" i="68" s="1"/>
  <c r="J20" i="69" s="1"/>
  <c r="J20" i="70" s="1"/>
  <c r="Y22" i="3" l="1"/>
  <c r="AB22" i="3" s="1"/>
  <c r="AG32" i="1"/>
  <c r="AK32" i="1" s="1"/>
  <c r="J20" i="71"/>
  <c r="J20" i="72" s="1"/>
  <c r="J20" i="73" s="1"/>
  <c r="J20" i="74" s="1"/>
  <c r="J20" i="75" s="1"/>
  <c r="J20" i="76" s="1"/>
  <c r="J20" i="77" s="1"/>
  <c r="K20" i="71"/>
  <c r="K20" i="72" s="1"/>
  <c r="K20" i="73" s="1"/>
  <c r="K20" i="74" s="1"/>
  <c r="K20" i="75" s="1"/>
  <c r="K20" i="76" s="1"/>
  <c r="K20" i="77" s="1"/>
  <c r="X25" i="3"/>
  <c r="U26" i="3" s="1"/>
  <c r="AE31" i="3"/>
  <c r="R31" i="3" l="1"/>
  <c r="S31" i="3" s="1"/>
  <c r="Y23" i="3"/>
  <c r="AB23" i="3" s="1"/>
  <c r="X26" i="3"/>
  <c r="U27" i="3" s="1"/>
  <c r="I21" i="75" l="1"/>
  <c r="M30" i="75" s="1"/>
  <c r="AJ31" i="3"/>
  <c r="Y24" i="3"/>
  <c r="AB24" i="3" s="1"/>
  <c r="AG33" i="1"/>
  <c r="AK33" i="1" s="1"/>
  <c r="X27" i="3"/>
  <c r="U28" i="3" s="1"/>
  <c r="AV12" i="12"/>
  <c r="AV15" i="12"/>
  <c r="Y25" i="3" l="1"/>
  <c r="AB25" i="3" s="1"/>
  <c r="X28" i="3"/>
  <c r="U29" i="3" s="1"/>
  <c r="AV16" i="12"/>
  <c r="AV11" i="12"/>
  <c r="AV13" i="12"/>
  <c r="Y26" i="3" l="1"/>
  <c r="AB26" i="3" s="1"/>
  <c r="X29" i="3"/>
  <c r="U30" i="3" s="1"/>
  <c r="Y27" i="3" l="1"/>
  <c r="AB27" i="3" s="1"/>
  <c r="X30" i="3"/>
  <c r="U31" i="3" s="1"/>
  <c r="Y34" i="64"/>
  <c r="X31" i="3" l="1"/>
  <c r="U32" i="3" s="1"/>
  <c r="Y28" i="3"/>
  <c r="AB28" i="3" s="1"/>
  <c r="Y29" i="3" l="1"/>
  <c r="AB29" i="3" s="1"/>
  <c r="X32" i="3"/>
  <c r="Y30" i="3" l="1"/>
  <c r="AB30" i="3" s="1"/>
  <c r="Y31" i="3" l="1"/>
  <c r="AB31" i="3" s="1"/>
  <c r="AV23" i="12"/>
  <c r="AV22" i="12"/>
  <c r="AV20" i="12"/>
  <c r="AV21" i="12"/>
  <c r="Y32" i="3" l="1"/>
  <c r="AB32" i="3" s="1"/>
  <c r="AB34" i="64"/>
  <c r="AC33" i="64"/>
  <c r="AC30" i="64"/>
  <c r="X31" i="64" s="1"/>
  <c r="AC31" i="64" s="1"/>
  <c r="X32" i="64" s="1"/>
  <c r="AC32" i="64" s="1"/>
  <c r="AC27" i="64"/>
  <c r="X28" i="64" s="1"/>
  <c r="AC28" i="64" s="1"/>
  <c r="X29" i="64" s="1"/>
  <c r="AC29" i="64" s="1"/>
  <c r="AC24" i="64"/>
  <c r="X25" i="64" s="1"/>
  <c r="AC25" i="64" s="1"/>
  <c r="X26" i="64" s="1"/>
  <c r="AC26" i="64" s="1"/>
  <c r="AC21" i="64"/>
  <c r="X22" i="64" s="1"/>
  <c r="AC22" i="64" s="1"/>
  <c r="X23" i="64" s="1"/>
  <c r="AC23" i="64" s="1"/>
  <c r="AC18" i="64"/>
  <c r="X19" i="64" s="1"/>
  <c r="AC19" i="64" s="1"/>
  <c r="X20" i="64" s="1"/>
  <c r="AC20" i="64" s="1"/>
  <c r="AC15" i="64"/>
  <c r="X16" i="64" s="1"/>
  <c r="AC16" i="64" s="1"/>
  <c r="X17" i="64" s="1"/>
  <c r="AC17" i="64" s="1"/>
  <c r="AC12" i="64"/>
  <c r="X13" i="64" s="1"/>
  <c r="AC13" i="64" s="1"/>
  <c r="X14" i="64" s="1"/>
  <c r="AC14" i="64" s="1"/>
  <c r="AC9" i="64"/>
  <c r="X10" i="64" s="1"/>
  <c r="AC10" i="64" s="1"/>
  <c r="X11" i="64" s="1"/>
  <c r="AC11" i="64" s="1"/>
  <c r="AC6" i="64"/>
  <c r="X7" i="64" s="1"/>
  <c r="AC7" i="64" s="1"/>
  <c r="X8" i="64" s="1"/>
  <c r="AC8" i="64" s="1"/>
  <c r="AC3" i="64"/>
  <c r="X4" i="64" s="1"/>
  <c r="AC4" i="64" s="1"/>
  <c r="X5" i="64" s="1"/>
  <c r="AC5" i="64" s="1"/>
  <c r="Y33" i="3" l="1"/>
  <c r="Q34" i="64"/>
  <c r="N34" i="64"/>
  <c r="R33" i="64"/>
  <c r="R30" i="64"/>
  <c r="M31" i="64" s="1"/>
  <c r="R31" i="64" s="1"/>
  <c r="M32" i="64" s="1"/>
  <c r="R32" i="64" s="1"/>
  <c r="R27" i="64"/>
  <c r="M28" i="64" s="1"/>
  <c r="R28" i="64" s="1"/>
  <c r="M29" i="64" s="1"/>
  <c r="R29" i="64" s="1"/>
  <c r="R24" i="64"/>
  <c r="M25" i="64" s="1"/>
  <c r="R25" i="64" s="1"/>
  <c r="M26" i="64" s="1"/>
  <c r="R26" i="64" s="1"/>
  <c r="R21" i="64"/>
  <c r="M22" i="64" s="1"/>
  <c r="R22" i="64" s="1"/>
  <c r="M23" i="64" s="1"/>
  <c r="R23" i="64" s="1"/>
  <c r="R18" i="64"/>
  <c r="M19" i="64" s="1"/>
  <c r="R15" i="64"/>
  <c r="M16" i="64" s="1"/>
  <c r="R16" i="64" s="1"/>
  <c r="M17" i="64" s="1"/>
  <c r="R17" i="64" s="1"/>
  <c r="R12" i="64"/>
  <c r="M13" i="64" s="1"/>
  <c r="R13" i="64" s="1"/>
  <c r="M14" i="64" s="1"/>
  <c r="R14" i="64" s="1"/>
  <c r="R9" i="64"/>
  <c r="M10" i="64" s="1"/>
  <c r="R10" i="64" s="1"/>
  <c r="M11" i="64" s="1"/>
  <c r="R11" i="64" s="1"/>
  <c r="R6" i="64"/>
  <c r="M7" i="64" s="1"/>
  <c r="R7" i="64" s="1"/>
  <c r="M8" i="64" s="1"/>
  <c r="R8" i="64" s="1"/>
  <c r="R3" i="64"/>
  <c r="M4" i="64" s="1"/>
  <c r="R4" i="64" s="1"/>
  <c r="M5" i="64" s="1"/>
  <c r="R5" i="64" s="1"/>
  <c r="R19" i="64" l="1"/>
  <c r="M20" i="64" s="1"/>
  <c r="R20" i="64" s="1"/>
  <c r="G58" i="72" l="1"/>
  <c r="G58" i="73" s="1"/>
  <c r="G58" i="74" s="1"/>
  <c r="G58" i="76" s="1"/>
  <c r="AP40" i="12" l="1"/>
  <c r="AO42" i="97" s="1"/>
  <c r="AT10" i="12"/>
  <c r="AU10" i="12"/>
  <c r="AV10" i="12"/>
  <c r="AG10" i="12" l="1"/>
  <c r="AM10" i="12" s="1"/>
  <c r="EL9" i="1" l="1"/>
  <c r="EV9" i="1" s="1"/>
  <c r="AL10" i="12"/>
  <c r="EU9" i="1" l="1"/>
  <c r="I19" i="84"/>
  <c r="ER9" i="1"/>
  <c r="EO10" i="1" s="1"/>
  <c r="ER10" i="1" s="1"/>
  <c r="EO11" i="1" s="1"/>
  <c r="ER11" i="1" s="1"/>
  <c r="M34" i="84"/>
  <c r="I18" i="84" l="1"/>
  <c r="E19" i="85"/>
  <c r="K19" i="84"/>
  <c r="J19" i="84"/>
  <c r="L19" i="84"/>
  <c r="AH4" i="6" l="1"/>
  <c r="F37" i="79" s="1"/>
  <c r="AH5" i="6"/>
  <c r="F37" i="80" s="1"/>
  <c r="AH6" i="6"/>
  <c r="F37" i="81" s="1"/>
  <c r="AH7" i="6"/>
  <c r="F37" i="82" s="1"/>
  <c r="AH8" i="6"/>
  <c r="F37" i="83" s="1"/>
  <c r="AH9" i="6"/>
  <c r="F37" i="84" s="1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F37" i="69"/>
  <c r="AH3" i="6"/>
  <c r="F37" i="93" l="1"/>
  <c r="F37" i="89"/>
  <c r="F37" i="85"/>
  <c r="F37" i="90"/>
  <c r="F37" i="96"/>
  <c r="F37" i="92"/>
  <c r="F37" i="88"/>
  <c r="F37" i="94"/>
  <c r="F37" i="86"/>
  <c r="F37" i="95"/>
  <c r="F37" i="91"/>
  <c r="F37" i="87"/>
  <c r="F37" i="78"/>
  <c r="AE17" i="3"/>
  <c r="H37" i="78" l="1"/>
  <c r="H37" i="79" s="1"/>
  <c r="H37" i="80" s="1"/>
  <c r="H37" i="81" s="1"/>
  <c r="H37" i="82" s="1"/>
  <c r="G37" i="78"/>
  <c r="G37" i="79" s="1"/>
  <c r="G37" i="80" s="1"/>
  <c r="G37" i="81" s="1"/>
  <c r="G37" i="82" s="1"/>
  <c r="H37" i="93" l="1"/>
  <c r="H37" i="94" s="1"/>
  <c r="H37" i="95" s="1"/>
  <c r="T33" i="1"/>
  <c r="V33" i="1" s="1"/>
  <c r="G37" i="93" l="1"/>
  <c r="G37" i="94" s="1"/>
  <c r="G37" i="95" s="1"/>
  <c r="G37" i="96" s="1"/>
  <c r="G37" i="42" s="1"/>
  <c r="G37" i="67" s="1"/>
  <c r="G37" i="68" s="1"/>
  <c r="G37" i="69" s="1"/>
  <c r="G37" i="70" s="1"/>
  <c r="G37" i="71" s="1"/>
  <c r="G37" i="72" s="1"/>
  <c r="G37" i="73" s="1"/>
  <c r="G37" i="74" s="1"/>
  <c r="G37" i="75" s="1"/>
  <c r="G37" i="76" s="1"/>
  <c r="G37" i="77" s="1"/>
  <c r="H37" i="96"/>
  <c r="H37" i="42" s="1"/>
  <c r="H37" i="67" s="1"/>
  <c r="H37" i="68" s="1"/>
  <c r="H37" i="69" s="1"/>
  <c r="H37" i="70" s="1"/>
  <c r="H37" i="71" s="1"/>
  <c r="H37" i="72" s="1"/>
  <c r="H37" i="73" s="1"/>
  <c r="H37" i="74" s="1"/>
  <c r="H37" i="75" s="1"/>
  <c r="H37" i="76" s="1"/>
  <c r="H37" i="77" s="1"/>
  <c r="BH34" i="6"/>
  <c r="AV24" i="12" l="1"/>
  <c r="G3" i="64" l="1"/>
  <c r="B4" i="64" s="1"/>
  <c r="G57" i="67" l="1"/>
  <c r="G57" i="68" s="1"/>
  <c r="G4" i="64"/>
  <c r="G57" i="69" l="1"/>
  <c r="B5" i="64"/>
  <c r="G5" i="64" s="1"/>
  <c r="G6" i="64" s="1"/>
  <c r="B7" i="64" s="1"/>
  <c r="G7" i="64" s="1"/>
  <c r="B8" i="64" s="1"/>
  <c r="H57" i="67"/>
  <c r="H57" i="68" s="1"/>
  <c r="H57" i="69" s="1"/>
  <c r="G57" i="70" l="1"/>
  <c r="G57" i="71" s="1"/>
  <c r="G57" i="72" s="1"/>
  <c r="G57" i="73" s="1"/>
  <c r="G57" i="74" s="1"/>
  <c r="G57" i="75" s="1"/>
  <c r="G57" i="76" s="1"/>
  <c r="G57" i="77" s="1"/>
  <c r="H57" i="70"/>
  <c r="H57" i="71" s="1"/>
  <c r="H57" i="72" s="1"/>
  <c r="H57" i="73" s="1"/>
  <c r="H57" i="74" s="1"/>
  <c r="H57" i="75" s="1"/>
  <c r="H57" i="76" s="1"/>
  <c r="H57" i="77" s="1"/>
  <c r="G8" i="64"/>
  <c r="G9" i="64" l="1"/>
  <c r="B10" i="64" s="1"/>
  <c r="G10" i="64" l="1"/>
  <c r="B11" i="64" s="1"/>
  <c r="G11" i="64" l="1"/>
  <c r="G12" i="64" l="1"/>
  <c r="B13" i="64" s="1"/>
  <c r="G13" i="64" l="1"/>
  <c r="B14" i="64" s="1"/>
  <c r="G14" i="64" l="1"/>
  <c r="G15" i="64" l="1"/>
  <c r="B16" i="64" s="1"/>
  <c r="G16" i="64" l="1"/>
  <c r="B17" i="64" s="1"/>
  <c r="G17" i="64" l="1"/>
  <c r="G18" i="64" l="1"/>
  <c r="B19" i="64" s="1"/>
  <c r="G19" i="64" l="1"/>
  <c r="B20" i="64" s="1"/>
  <c r="G20" i="64" l="1"/>
  <c r="G21" i="64" l="1"/>
  <c r="B22" i="64" s="1"/>
  <c r="G22" i="64" l="1"/>
  <c r="B23" i="64" l="1"/>
  <c r="G23" i="64" s="1"/>
  <c r="B25" i="64"/>
  <c r="G25" i="64" l="1"/>
  <c r="B26" i="64" s="1"/>
  <c r="G26" i="64" l="1"/>
  <c r="G27" i="64" l="1"/>
  <c r="B28" i="64" s="1"/>
  <c r="G28" i="64" l="1"/>
  <c r="B29" i="64" s="1"/>
  <c r="G29" i="64" l="1"/>
  <c r="AI4" i="6"/>
  <c r="BO4" i="6" s="1"/>
  <c r="AI5" i="6"/>
  <c r="BO5" i="6" s="1"/>
  <c r="AI6" i="6"/>
  <c r="BO6" i="6" s="1"/>
  <c r="AI7" i="6"/>
  <c r="AI8" i="6"/>
  <c r="BO8" i="6" s="1"/>
  <c r="AI9" i="6"/>
  <c r="BO9" i="6" s="1"/>
  <c r="AI10" i="6"/>
  <c r="BO10" i="6" s="1"/>
  <c r="AI11" i="6"/>
  <c r="BO11" i="6" s="1"/>
  <c r="AI12" i="6"/>
  <c r="BO12" i="6" s="1"/>
  <c r="AI13" i="6"/>
  <c r="BO13" i="6" s="1"/>
  <c r="AI14" i="6"/>
  <c r="AI15" i="6"/>
  <c r="BO15" i="6" s="1"/>
  <c r="AI16" i="6"/>
  <c r="AI17" i="6"/>
  <c r="BO17" i="6" s="1"/>
  <c r="AI18" i="6"/>
  <c r="BO18" i="6" s="1"/>
  <c r="AI19" i="6"/>
  <c r="BO19" i="6" s="1"/>
  <c r="AI20" i="6"/>
  <c r="BO20" i="6" s="1"/>
  <c r="AI21" i="6"/>
  <c r="BO21" i="6" s="1"/>
  <c r="AI22" i="6"/>
  <c r="BO22" i="6" s="1"/>
  <c r="AI23" i="6"/>
  <c r="BO23" i="6" s="1"/>
  <c r="AI3" i="6"/>
  <c r="BO3" i="6" s="1"/>
  <c r="BQ3" i="6" s="1"/>
  <c r="BO16" i="6" l="1"/>
  <c r="BO14" i="6"/>
  <c r="BO7" i="6"/>
  <c r="J37" i="82"/>
  <c r="Q43" i="78"/>
  <c r="J37" i="78"/>
  <c r="P37" i="78" s="1"/>
  <c r="J37" i="89"/>
  <c r="J37" i="96"/>
  <c r="Q37" i="96" s="1"/>
  <c r="J37" i="92"/>
  <c r="Q37" i="92" s="1"/>
  <c r="J37" i="88"/>
  <c r="J37" i="80"/>
  <c r="J37" i="93"/>
  <c r="J37" i="91"/>
  <c r="J37" i="94"/>
  <c r="J37" i="95"/>
  <c r="J37" i="90"/>
  <c r="J37" i="87"/>
  <c r="J37" i="86"/>
  <c r="J37" i="85"/>
  <c r="Q37" i="85" s="1"/>
  <c r="J37" i="84"/>
  <c r="J37" i="83"/>
  <c r="Q37" i="83" s="1"/>
  <c r="J37" i="81"/>
  <c r="J37" i="79"/>
  <c r="G30" i="64"/>
  <c r="B31" i="64" s="1"/>
  <c r="Q37" i="84" l="1"/>
  <c r="Q37" i="93"/>
  <c r="Q37" i="91"/>
  <c r="L37" i="78"/>
  <c r="L37" i="79" s="1"/>
  <c r="L37" i="80" s="1"/>
  <c r="K37" i="78"/>
  <c r="K37" i="79" s="1"/>
  <c r="K37" i="80" s="1"/>
  <c r="Q37" i="78"/>
  <c r="Q37" i="88"/>
  <c r="Q37" i="82"/>
  <c r="Q37" i="80"/>
  <c r="Q37" i="89"/>
  <c r="Q37" i="94"/>
  <c r="Q37" i="95"/>
  <c r="Q37" i="90"/>
  <c r="Q37" i="87"/>
  <c r="Q37" i="86"/>
  <c r="Q37" i="81"/>
  <c r="Q37" i="79"/>
  <c r="G31" i="64"/>
  <c r="B32" i="64" s="1"/>
  <c r="L37" i="81" l="1"/>
  <c r="L37" i="82" s="1"/>
  <c r="L37" i="83" s="1"/>
  <c r="K37" i="81"/>
  <c r="K37" i="82" s="1"/>
  <c r="K37" i="83" s="1"/>
  <c r="G32" i="64"/>
  <c r="K37" i="84" l="1"/>
  <c r="K37" i="85" s="1"/>
  <c r="K37" i="86" s="1"/>
  <c r="K37" i="87" s="1"/>
  <c r="K37" i="88" s="1"/>
  <c r="K37" i="89" s="1"/>
  <c r="K37" i="90" s="1"/>
  <c r="K37" i="91" s="1"/>
  <c r="K37" i="92" s="1"/>
  <c r="L37" i="84"/>
  <c r="L37" i="85" s="1"/>
  <c r="L37" i="86" s="1"/>
  <c r="L37" i="87" s="1"/>
  <c r="L37" i="88" s="1"/>
  <c r="L37" i="89" s="1"/>
  <c r="L37" i="90" s="1"/>
  <c r="L37" i="91" s="1"/>
  <c r="L37" i="92" s="1"/>
  <c r="G33" i="64"/>
  <c r="L37" i="93" l="1"/>
  <c r="L37" i="94" s="1"/>
  <c r="L37" i="95" s="1"/>
  <c r="L37" i="96" s="1"/>
  <c r="L37" i="42" s="1"/>
  <c r="K37" i="93"/>
  <c r="K37" i="94" s="1"/>
  <c r="K37" i="95" s="1"/>
  <c r="K37" i="96" s="1"/>
  <c r="K37" i="42" s="1"/>
  <c r="AJ4" i="2"/>
  <c r="AJ5" i="2"/>
  <c r="AJ6" i="2"/>
  <c r="AJ7" i="2"/>
  <c r="AJ8" i="2"/>
  <c r="AJ3" i="2"/>
  <c r="T7" i="1" l="1"/>
  <c r="K15" i="67" l="1"/>
  <c r="K15" i="68" s="1"/>
  <c r="K15" i="69" s="1"/>
  <c r="K15" i="70" l="1"/>
  <c r="K15" i="71" s="1"/>
  <c r="K15" i="72" s="1"/>
  <c r="K15" i="73" s="1"/>
  <c r="K15" i="74" s="1"/>
  <c r="K15" i="75" s="1"/>
  <c r="K15" i="76" s="1"/>
  <c r="K15" i="77" s="1"/>
  <c r="J15" i="67"/>
  <c r="J15" i="68" l="1"/>
  <c r="J15" i="69" l="1"/>
  <c r="J15" i="70" s="1"/>
  <c r="J15" i="71" l="1"/>
  <c r="J15" i="72" s="1"/>
  <c r="J15" i="73" l="1"/>
  <c r="K37" i="67"/>
  <c r="J15" i="74" l="1"/>
  <c r="L37" i="67"/>
  <c r="BN4" i="6"/>
  <c r="BQ4" i="6" s="1"/>
  <c r="I37" i="79" l="1"/>
  <c r="P37" i="79" s="1"/>
  <c r="BN5" i="6"/>
  <c r="BQ5" i="6" s="1"/>
  <c r="J15" i="75"/>
  <c r="BN6" i="6" l="1"/>
  <c r="BQ6" i="6" s="1"/>
  <c r="I37" i="80"/>
  <c r="P37" i="80" s="1"/>
  <c r="J15" i="76"/>
  <c r="O37" i="73" l="1"/>
  <c r="N37" i="73"/>
  <c r="N37" i="74" s="1"/>
  <c r="N37" i="75" s="1"/>
  <c r="N37" i="76" s="1"/>
  <c r="I37" i="81"/>
  <c r="P37" i="81" s="1"/>
  <c r="BN7" i="6"/>
  <c r="BQ7" i="6" s="1"/>
  <c r="J15" i="77"/>
  <c r="AH33" i="55"/>
  <c r="AV30" i="12"/>
  <c r="O37" i="74" l="1"/>
  <c r="AV32" i="12"/>
  <c r="AU32" i="12"/>
  <c r="AU31" i="12"/>
  <c r="AV31" i="12"/>
  <c r="AU30" i="12"/>
  <c r="I37" i="82"/>
  <c r="P37" i="82" s="1"/>
  <c r="BN8" i="6"/>
  <c r="BQ8" i="6" s="1"/>
  <c r="O37" i="75" l="1"/>
  <c r="O37" i="76" s="1"/>
  <c r="O37" i="77" s="1"/>
  <c r="AV33" i="12"/>
  <c r="AU33" i="12"/>
  <c r="I37" i="83"/>
  <c r="P37" i="83" s="1"/>
  <c r="BN9" i="6"/>
  <c r="BQ9" i="6" s="1"/>
  <c r="N37" i="77" l="1"/>
  <c r="I37" i="84"/>
  <c r="P37" i="84" s="1"/>
  <c r="BN10" i="6"/>
  <c r="BQ10" i="6" s="1"/>
  <c r="I37" i="85" l="1"/>
  <c r="P37" i="85" s="1"/>
  <c r="BN11" i="6"/>
  <c r="BQ11" i="6" s="1"/>
  <c r="U33" i="3"/>
  <c r="I37" i="86" l="1"/>
  <c r="P37" i="86" s="1"/>
  <c r="BN12" i="6"/>
  <c r="BQ12" i="6" s="1"/>
  <c r="I37" i="87" l="1"/>
  <c r="P37" i="87" s="1"/>
  <c r="BN13" i="6"/>
  <c r="BQ13" i="6" s="1"/>
  <c r="I37" i="88" l="1"/>
  <c r="P37" i="88" s="1"/>
  <c r="BN14" i="6"/>
  <c r="BQ14" i="6" s="1"/>
  <c r="F37" i="70"/>
  <c r="F37" i="76"/>
  <c r="J37" i="69"/>
  <c r="Q37" i="69" s="1"/>
  <c r="J37" i="70"/>
  <c r="Q37" i="70" s="1"/>
  <c r="BO27" i="6"/>
  <c r="BO29" i="6"/>
  <c r="BO30" i="6"/>
  <c r="BO31" i="6"/>
  <c r="BO32" i="6"/>
  <c r="BO33" i="6"/>
  <c r="J37" i="72" l="1"/>
  <c r="BO28" i="6"/>
  <c r="F37" i="74"/>
  <c r="F37" i="75"/>
  <c r="F37" i="73"/>
  <c r="F37" i="71"/>
  <c r="F37" i="72"/>
  <c r="Q37" i="72" s="1"/>
  <c r="I37" i="89"/>
  <c r="P37" i="89" s="1"/>
  <c r="BN15" i="6"/>
  <c r="BQ15" i="6" s="1"/>
  <c r="AH35" i="6"/>
  <c r="F37" i="77"/>
  <c r="J37" i="77"/>
  <c r="J37" i="76"/>
  <c r="J37" i="75"/>
  <c r="J37" i="73"/>
  <c r="J37" i="74"/>
  <c r="J37" i="71"/>
  <c r="AV27" i="12"/>
  <c r="AJ27" i="6"/>
  <c r="AJ31" i="6"/>
  <c r="AJ30" i="6"/>
  <c r="AJ29" i="6"/>
  <c r="AJ32" i="6"/>
  <c r="AJ28" i="6"/>
  <c r="AJ33" i="6"/>
  <c r="Q37" i="76" l="1"/>
  <c r="Q37" i="74"/>
  <c r="Q37" i="71"/>
  <c r="Q37" i="73"/>
  <c r="Q37" i="75"/>
  <c r="Q37" i="77"/>
  <c r="I37" i="90"/>
  <c r="P37" i="90" s="1"/>
  <c r="BN16" i="6"/>
  <c r="BQ16" i="6" s="1"/>
  <c r="I37" i="91" l="1"/>
  <c r="P37" i="91" s="1"/>
  <c r="BN17" i="6"/>
  <c r="BQ17" i="6" s="1"/>
  <c r="I37" i="92" l="1"/>
  <c r="P37" i="92" s="1"/>
  <c r="BN18" i="6"/>
  <c r="BQ18" i="6" s="1"/>
  <c r="I37" i="93" l="1"/>
  <c r="P37" i="93" s="1"/>
  <c r="BN19" i="6"/>
  <c r="BQ19" i="6" s="1"/>
  <c r="BP34" i="6"/>
  <c r="I37" i="94" l="1"/>
  <c r="P37" i="94" s="1"/>
  <c r="BN20" i="6"/>
  <c r="BQ20" i="6" s="1"/>
  <c r="I37" i="95" l="1"/>
  <c r="P37" i="95" s="1"/>
  <c r="BN21" i="6"/>
  <c r="BQ21" i="6" s="1"/>
  <c r="I37" i="96" l="1"/>
  <c r="P37" i="96" s="1"/>
  <c r="BN22" i="6"/>
  <c r="BQ22" i="6" s="1"/>
  <c r="J37" i="68"/>
  <c r="AI35" i="6"/>
  <c r="AI34" i="6"/>
  <c r="AH34" i="6"/>
  <c r="BO35" i="6"/>
  <c r="L37" i="68" l="1"/>
  <c r="L37" i="69" s="1"/>
  <c r="K37" i="68"/>
  <c r="K37" i="69" s="1"/>
  <c r="K37" i="70" s="1"/>
  <c r="K37" i="71" s="1"/>
  <c r="K37" i="72" s="1"/>
  <c r="K37" i="73" s="1"/>
  <c r="AV25" i="12"/>
  <c r="AC42" i="97"/>
  <c r="Q37" i="68"/>
  <c r="I37" i="42"/>
  <c r="P37" i="42" s="1"/>
  <c r="BN23" i="6"/>
  <c r="BQ23" i="6" s="1"/>
  <c r="BO34" i="6"/>
  <c r="AJ34" i="6"/>
  <c r="L37" i="70" l="1"/>
  <c r="L37" i="71" s="1"/>
  <c r="L37" i="72" s="1"/>
  <c r="L37" i="73" s="1"/>
  <c r="I37" i="67"/>
  <c r="P37" i="67" s="1"/>
  <c r="BN24" i="6"/>
  <c r="BQ24" i="6" s="1"/>
  <c r="K37" i="74" l="1"/>
  <c r="K37" i="75" s="1"/>
  <c r="K37" i="76" s="1"/>
  <c r="K37" i="77" s="1"/>
  <c r="BN25" i="6"/>
  <c r="BQ25" i="6" s="1"/>
  <c r="I37" i="68"/>
  <c r="P37" i="68" s="1"/>
  <c r="L37" i="74" l="1"/>
  <c r="L37" i="75" s="1"/>
  <c r="L37" i="76" s="1"/>
  <c r="L37" i="77" s="1"/>
  <c r="BN26" i="6"/>
  <c r="BQ26" i="6" s="1"/>
  <c r="I37" i="69"/>
  <c r="P37" i="69" s="1"/>
  <c r="BN27" i="6" l="1"/>
  <c r="BQ27" i="6" s="1"/>
  <c r="I37" i="70"/>
  <c r="P37" i="70" s="1"/>
  <c r="BN28" i="6" l="1"/>
  <c r="BQ28" i="6" s="1"/>
  <c r="I37" i="71"/>
  <c r="P37" i="71" s="1"/>
  <c r="BN29" i="6" l="1"/>
  <c r="BQ29" i="6" s="1"/>
  <c r="I37" i="72"/>
  <c r="P37" i="72" s="1"/>
  <c r="I37" i="73" l="1"/>
  <c r="P37" i="73" s="1"/>
  <c r="BN30" i="6"/>
  <c r="BQ30" i="6" s="1"/>
  <c r="I37" i="74" l="1"/>
  <c r="P37" i="74" s="1"/>
  <c r="BN31" i="6"/>
  <c r="BQ31" i="6" s="1"/>
  <c r="I37" i="75" l="1"/>
  <c r="BN32" i="6"/>
  <c r="BQ32" i="6" s="1"/>
  <c r="P37" i="75" l="1"/>
  <c r="I37" i="76"/>
  <c r="P37" i="76" s="1"/>
  <c r="BN33" i="6"/>
  <c r="BQ33" i="6" s="1"/>
  <c r="I37" i="77" l="1"/>
  <c r="P37" i="77" s="1"/>
  <c r="AT25" i="12" l="1"/>
  <c r="AQ4" i="2"/>
  <c r="AQ5" i="2"/>
  <c r="AQ6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3" i="2"/>
  <c r="AU8" i="12" l="1"/>
  <c r="AG8" i="12" l="1"/>
  <c r="AM8" i="12" s="1"/>
  <c r="AT8" i="12"/>
  <c r="EL7" i="1" l="1"/>
  <c r="EU7" i="1" s="1"/>
  <c r="AL8" i="12"/>
  <c r="I18" i="82" l="1"/>
  <c r="EV7" i="1"/>
  <c r="M34" i="82"/>
  <c r="R32" i="3" l="1"/>
  <c r="AH40" i="12"/>
  <c r="AG42" i="97" s="1"/>
  <c r="G34" i="6"/>
  <c r="N34" i="6"/>
  <c r="S34" i="6"/>
  <c r="U38" i="6" s="1"/>
  <c r="S32" i="3" l="1"/>
  <c r="S34" i="3" s="1"/>
  <c r="AJ32" i="3"/>
  <c r="P34" i="55"/>
  <c r="W34" i="3"/>
  <c r="X33" i="3"/>
  <c r="U34" i="3" s="1"/>
  <c r="AB33" i="3"/>
  <c r="Y34" i="3" s="1"/>
  <c r="AA34" i="3"/>
  <c r="AJ33" i="3"/>
  <c r="O34" i="6"/>
  <c r="I21" i="76" l="1"/>
  <c r="AB34" i="3"/>
  <c r="X34" i="3"/>
  <c r="I33" i="1"/>
  <c r="Z33" i="6" l="1"/>
  <c r="W33" i="55" s="1"/>
  <c r="CN33" i="6" l="1"/>
  <c r="BG33" i="6"/>
  <c r="J35" i="77"/>
  <c r="BK33" i="6"/>
  <c r="J36" i="77"/>
  <c r="F35" i="77"/>
  <c r="F36" i="77"/>
  <c r="K33" i="6"/>
  <c r="M31" i="77" s="1"/>
  <c r="N33" i="1"/>
  <c r="F40" i="77" l="1"/>
  <c r="J40" i="77"/>
  <c r="Q35" i="77"/>
  <c r="Q36" i="77"/>
  <c r="J33" i="1"/>
  <c r="I52" i="77" l="1"/>
  <c r="Q40" i="77"/>
  <c r="J52" i="77"/>
  <c r="L52" i="77"/>
  <c r="L34" i="6" l="1"/>
  <c r="K33" i="55" l="1"/>
  <c r="C34" i="55"/>
  <c r="C36" i="55" s="1"/>
  <c r="F34" i="55"/>
  <c r="F36" i="55" s="1"/>
  <c r="G34" i="55"/>
  <c r="H34" i="55"/>
  <c r="I34" i="55"/>
  <c r="J34" i="55"/>
  <c r="F33" i="6"/>
  <c r="O33" i="6"/>
  <c r="X33" i="6"/>
  <c r="AA33" i="6"/>
  <c r="AD33" i="6"/>
  <c r="AG33" i="6"/>
  <c r="BZ34" i="6"/>
  <c r="BL34" i="6"/>
  <c r="CA34" i="6"/>
  <c r="M53" i="77" l="1"/>
  <c r="K52" i="77"/>
  <c r="V3" i="55"/>
  <c r="P33" i="1"/>
  <c r="I3" i="1"/>
  <c r="D34" i="1"/>
  <c r="S34" i="2"/>
  <c r="R34" i="2"/>
  <c r="N34" i="2"/>
  <c r="M34" i="2"/>
  <c r="J34" i="2"/>
  <c r="J35" i="2" s="1"/>
  <c r="I34" i="2"/>
  <c r="I35" i="2" s="1"/>
  <c r="E34" i="2"/>
  <c r="D34" i="2"/>
  <c r="H9" i="80" l="1"/>
  <c r="H9" i="81" s="1"/>
  <c r="H9" i="82" s="1"/>
  <c r="H9" i="83" s="1"/>
  <c r="H9" i="84" s="1"/>
  <c r="H9" i="85" s="1"/>
  <c r="H9" i="86" s="1"/>
  <c r="H9" i="87" s="1"/>
  <c r="H9" i="88" s="1"/>
  <c r="H9" i="89" s="1"/>
  <c r="H9" i="90" s="1"/>
  <c r="H9" i="91" s="1"/>
  <c r="H9" i="92" s="1"/>
  <c r="H9" i="93" s="1"/>
  <c r="H9" i="94" s="1"/>
  <c r="H9" i="95" s="1"/>
  <c r="H9" i="96" s="1"/>
  <c r="H9" i="42" s="1"/>
  <c r="E35" i="2"/>
  <c r="K9" i="79"/>
  <c r="K9" i="80" s="1"/>
  <c r="K9" i="81" s="1"/>
  <c r="K9" i="82" s="1"/>
  <c r="K9" i="83" s="1"/>
  <c r="K9" i="84" s="1"/>
  <c r="K9" i="85" s="1"/>
  <c r="K9" i="86" s="1"/>
  <c r="K9" i="87" s="1"/>
  <c r="K9" i="88" s="1"/>
  <c r="K9" i="89" s="1"/>
  <c r="K9" i="90" s="1"/>
  <c r="K9" i="91" s="1"/>
  <c r="K9" i="92" s="1"/>
  <c r="K9" i="93" s="1"/>
  <c r="K9" i="94" s="1"/>
  <c r="K9" i="95" s="1"/>
  <c r="K9" i="96" s="1"/>
  <c r="K9" i="42" s="1"/>
  <c r="M35" i="2"/>
  <c r="H10" i="78"/>
  <c r="H10" i="79" s="1"/>
  <c r="H10" i="80" s="1"/>
  <c r="H10" i="81" s="1"/>
  <c r="H10" i="82" s="1"/>
  <c r="H10" i="83" s="1"/>
  <c r="H10" i="84" s="1"/>
  <c r="H10" i="85" s="1"/>
  <c r="H10" i="86" s="1"/>
  <c r="H10" i="87" s="1"/>
  <c r="H10" i="88" s="1"/>
  <c r="H10" i="89" s="1"/>
  <c r="H10" i="90" s="1"/>
  <c r="H10" i="91" s="1"/>
  <c r="H10" i="92" s="1"/>
  <c r="H10" i="93" s="1"/>
  <c r="H10" i="94" s="1"/>
  <c r="H10" i="95" s="1"/>
  <c r="H10" i="96" s="1"/>
  <c r="H10" i="42" s="1"/>
  <c r="H10" i="67" s="1"/>
  <c r="H10" i="68" s="1"/>
  <c r="N35" i="2"/>
  <c r="K10" i="78"/>
  <c r="K10" i="79" s="1"/>
  <c r="K10" i="80" s="1"/>
  <c r="K10" i="81" s="1"/>
  <c r="K10" i="82" s="1"/>
  <c r="K10" i="83" s="1"/>
  <c r="K10" i="84" s="1"/>
  <c r="K10" i="85" s="1"/>
  <c r="K10" i="86" s="1"/>
  <c r="K10" i="87" s="1"/>
  <c r="K10" i="88" s="1"/>
  <c r="K10" i="89" s="1"/>
  <c r="K10" i="90" s="1"/>
  <c r="K10" i="91" s="1"/>
  <c r="K10" i="92" s="1"/>
  <c r="K10" i="93" s="1"/>
  <c r="K10" i="94" s="1"/>
  <c r="K10" i="95" s="1"/>
  <c r="K10" i="96" s="1"/>
  <c r="K10" i="42" s="1"/>
  <c r="K10" i="67" s="1"/>
  <c r="K10" i="68" s="1"/>
  <c r="S35" i="2"/>
  <c r="K12" i="78"/>
  <c r="K12" i="79" s="1"/>
  <c r="K12" i="80" s="1"/>
  <c r="K12" i="81" s="1"/>
  <c r="K12" i="82" s="1"/>
  <c r="K12" i="83" s="1"/>
  <c r="K12" i="84" s="1"/>
  <c r="K12" i="85" s="1"/>
  <c r="K12" i="86" s="1"/>
  <c r="K12" i="87" s="1"/>
  <c r="K12" i="88" s="1"/>
  <c r="K12" i="89" s="1"/>
  <c r="K12" i="90" s="1"/>
  <c r="K12" i="91" s="1"/>
  <c r="K12" i="92" s="1"/>
  <c r="K12" i="93" s="1"/>
  <c r="K12" i="94" s="1"/>
  <c r="K12" i="95" s="1"/>
  <c r="K12" i="96" s="1"/>
  <c r="K12" i="42" s="1"/>
  <c r="K12" i="67" s="1"/>
  <c r="K12" i="68" s="1"/>
  <c r="R35" i="2"/>
  <c r="H12" i="78"/>
  <c r="H12" i="79" s="1"/>
  <c r="H12" i="80" s="1"/>
  <c r="H12" i="81" s="1"/>
  <c r="H12" i="82" s="1"/>
  <c r="H12" i="83" s="1"/>
  <c r="H12" i="84" s="1"/>
  <c r="H12" i="85" s="1"/>
  <c r="H12" i="86" s="1"/>
  <c r="H12" i="87" s="1"/>
  <c r="H12" i="88" s="1"/>
  <c r="H12" i="89" s="1"/>
  <c r="H12" i="90" s="1"/>
  <c r="H12" i="91" s="1"/>
  <c r="H12" i="92" s="1"/>
  <c r="H12" i="93" s="1"/>
  <c r="H12" i="94" s="1"/>
  <c r="H12" i="95" s="1"/>
  <c r="H12" i="96" s="1"/>
  <c r="H12" i="42" s="1"/>
  <c r="H12" i="67" s="1"/>
  <c r="H12" i="68" s="1"/>
  <c r="AH32" i="55"/>
  <c r="AH31" i="55"/>
  <c r="AH30" i="55"/>
  <c r="AH29" i="55"/>
  <c r="AH28" i="55"/>
  <c r="AH27" i="55"/>
  <c r="AH26" i="55"/>
  <c r="AH25" i="55"/>
  <c r="AH24" i="55"/>
  <c r="AH23" i="55"/>
  <c r="AU25" i="12" l="1"/>
  <c r="AG25" i="12"/>
  <c r="AM25" i="12" s="1"/>
  <c r="EL24" i="1" l="1"/>
  <c r="I18" i="68" s="1"/>
  <c r="AL25" i="12"/>
  <c r="AO40" i="12"/>
  <c r="AN42" i="97" s="1"/>
  <c r="EU24" i="1" l="1"/>
  <c r="M34" i="68"/>
  <c r="AJ9" i="2"/>
  <c r="AJ10" i="2"/>
  <c r="AJ11" i="2"/>
  <c r="AJ12" i="2"/>
  <c r="AJ13" i="2"/>
  <c r="AJ14" i="2"/>
  <c r="AJ15" i="2"/>
  <c r="K12" i="55" l="1"/>
  <c r="K13" i="55"/>
  <c r="K14" i="55"/>
  <c r="K15" i="55"/>
  <c r="K16" i="55"/>
  <c r="K17" i="55"/>
  <c r="K18" i="55"/>
  <c r="K19" i="55"/>
  <c r="K21" i="55"/>
  <c r="K22" i="55"/>
  <c r="K23" i="55"/>
  <c r="K31" i="55"/>
  <c r="K32" i="55"/>
  <c r="K34" i="55" l="1"/>
  <c r="AN41" i="12" l="1"/>
  <c r="K22" i="6" l="1"/>
  <c r="M31" i="42" l="1"/>
  <c r="J22" i="1"/>
  <c r="J19" i="1" l="1"/>
  <c r="K21" i="6"/>
  <c r="K23" i="6"/>
  <c r="M31" i="68"/>
  <c r="M31" i="69"/>
  <c r="M31" i="70"/>
  <c r="K27" i="6"/>
  <c r="M31" i="71" s="1"/>
  <c r="K28" i="6"/>
  <c r="M31" i="72" s="1"/>
  <c r="K29" i="6"/>
  <c r="M31" i="73" s="1"/>
  <c r="K30" i="6"/>
  <c r="M31" i="74" s="1"/>
  <c r="K31" i="6"/>
  <c r="M31" i="75" s="1"/>
  <c r="K32" i="6"/>
  <c r="M31" i="76" s="1"/>
  <c r="M31" i="96" l="1"/>
  <c r="J21" i="1"/>
  <c r="M31" i="67"/>
  <c r="J23" i="1"/>
  <c r="K20" i="6"/>
  <c r="K18" i="6"/>
  <c r="M31" i="93" s="1"/>
  <c r="M31" i="95" l="1"/>
  <c r="J20" i="1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17" i="2"/>
  <c r="AO32" i="2" l="1"/>
  <c r="AP32" i="2"/>
  <c r="AM32" i="2"/>
  <c r="AN32" i="2"/>
  <c r="AO31" i="2"/>
  <c r="AP31" i="2"/>
  <c r="AM31" i="2"/>
  <c r="AN31" i="2"/>
  <c r="AN30" i="2"/>
  <c r="AO30" i="2"/>
  <c r="AP30" i="2"/>
  <c r="AM30" i="2"/>
  <c r="AP29" i="2"/>
  <c r="AM29" i="2"/>
  <c r="AN29" i="2"/>
  <c r="AO29" i="2"/>
  <c r="AO28" i="2"/>
  <c r="AN28" i="2"/>
  <c r="AP28" i="2"/>
  <c r="AM28" i="2"/>
  <c r="AO27" i="2"/>
  <c r="AP27" i="2"/>
  <c r="AN27" i="2"/>
  <c r="AM27" i="2"/>
  <c r="AO26" i="2"/>
  <c r="AP26" i="2"/>
  <c r="AN26" i="2"/>
  <c r="AM26" i="2"/>
  <c r="AO25" i="2"/>
  <c r="AP25" i="2"/>
  <c r="AN25" i="2"/>
  <c r="AM25" i="2"/>
  <c r="AM24" i="2"/>
  <c r="AN24" i="2"/>
  <c r="AO24" i="2"/>
  <c r="AP24" i="2"/>
  <c r="AM23" i="2"/>
  <c r="AP23" i="2"/>
  <c r="AN23" i="2"/>
  <c r="AO23" i="2"/>
  <c r="AM22" i="2"/>
  <c r="AN22" i="2"/>
  <c r="AP22" i="2"/>
  <c r="AO22" i="2"/>
  <c r="AM21" i="2"/>
  <c r="AN21" i="2"/>
  <c r="AO21" i="2"/>
  <c r="AP21" i="2"/>
  <c r="AM20" i="2"/>
  <c r="AN20" i="2"/>
  <c r="AO20" i="2"/>
  <c r="AP20" i="2"/>
  <c r="AP19" i="2"/>
  <c r="AM19" i="2"/>
  <c r="AN19" i="2"/>
  <c r="AO19" i="2"/>
  <c r="AM18" i="2"/>
  <c r="AN18" i="2"/>
  <c r="AO18" i="2"/>
  <c r="AP18" i="2"/>
  <c r="AP17" i="2"/>
  <c r="AO17" i="2"/>
  <c r="AN17" i="2"/>
  <c r="AM17" i="2"/>
  <c r="AJ16" i="2" l="1"/>
  <c r="Z4" i="6" l="1"/>
  <c r="Z5" i="6"/>
  <c r="Z6" i="6"/>
  <c r="W6" i="55" s="1"/>
  <c r="Z7" i="6"/>
  <c r="Z8" i="6"/>
  <c r="Z9" i="6"/>
  <c r="Z10" i="6"/>
  <c r="Z11" i="6"/>
  <c r="Z13" i="6"/>
  <c r="Z14" i="6"/>
  <c r="Z15" i="6"/>
  <c r="Z16" i="6"/>
  <c r="Z17" i="6"/>
  <c r="Z18" i="6"/>
  <c r="Z19" i="6"/>
  <c r="Z20" i="6"/>
  <c r="Z21" i="6"/>
  <c r="Z22" i="6"/>
  <c r="W22" i="55" s="1"/>
  <c r="Z23" i="6"/>
  <c r="W23" i="55" s="1"/>
  <c r="Z27" i="6"/>
  <c r="W27" i="55" s="1"/>
  <c r="Z28" i="6"/>
  <c r="W28" i="55" s="1"/>
  <c r="Z29" i="6"/>
  <c r="W29" i="55" s="1"/>
  <c r="Z30" i="6"/>
  <c r="W30" i="55" s="1"/>
  <c r="Z31" i="6"/>
  <c r="W31" i="55" s="1"/>
  <c r="Z32" i="6"/>
  <c r="W32" i="55" s="1"/>
  <c r="Z3" i="6"/>
  <c r="AK26" i="2"/>
  <c r="AK27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8" i="1"/>
  <c r="I24" i="1"/>
  <c r="I25" i="1"/>
  <c r="I26" i="1"/>
  <c r="I27" i="1"/>
  <c r="I28" i="1"/>
  <c r="I29" i="1"/>
  <c r="I30" i="1"/>
  <c r="I31" i="1"/>
  <c r="I32" i="1"/>
  <c r="K4" i="6"/>
  <c r="K5" i="6"/>
  <c r="M31" i="81"/>
  <c r="K7" i="6"/>
  <c r="M31" i="82" s="1"/>
  <c r="K8" i="6"/>
  <c r="M31" i="83" s="1"/>
  <c r="K9" i="6"/>
  <c r="M31" i="84" s="1"/>
  <c r="K10" i="6"/>
  <c r="M31" i="85" s="1"/>
  <c r="K11" i="6"/>
  <c r="M31" i="86" s="1"/>
  <c r="K12" i="6"/>
  <c r="M31" i="87" s="1"/>
  <c r="K13" i="6"/>
  <c r="M31" i="88" s="1"/>
  <c r="K14" i="6"/>
  <c r="M31" i="89" s="1"/>
  <c r="M31" i="90"/>
  <c r="K16" i="6"/>
  <c r="M31" i="91" s="1"/>
  <c r="M31" i="92"/>
  <c r="AH21" i="55" l="1"/>
  <c r="W21" i="55"/>
  <c r="AH15" i="55"/>
  <c r="W15" i="55"/>
  <c r="AH9" i="55"/>
  <c r="W9" i="55"/>
  <c r="AH20" i="55"/>
  <c r="W20" i="55"/>
  <c r="AH14" i="55"/>
  <c r="W14" i="55"/>
  <c r="AH8" i="55"/>
  <c r="W8" i="55"/>
  <c r="AH19" i="55"/>
  <c r="W19" i="55"/>
  <c r="AH13" i="55"/>
  <c r="W13" i="55"/>
  <c r="AH3" i="55"/>
  <c r="W3" i="55"/>
  <c r="AH18" i="55"/>
  <c r="W18" i="55"/>
  <c r="AH12" i="55"/>
  <c r="W12" i="55"/>
  <c r="AH17" i="55"/>
  <c r="W17" i="55"/>
  <c r="AH11" i="55"/>
  <c r="W11" i="55"/>
  <c r="AH16" i="55"/>
  <c r="W16" i="55"/>
  <c r="AH10" i="55"/>
  <c r="W10" i="55"/>
  <c r="AH4" i="55"/>
  <c r="W4" i="55"/>
  <c r="AH7" i="55"/>
  <c r="W7" i="55"/>
  <c r="AH6" i="55"/>
  <c r="AH5" i="55"/>
  <c r="W5" i="55"/>
  <c r="Z35" i="6"/>
  <c r="M31" i="79"/>
  <c r="AM35" i="1"/>
  <c r="M31" i="80"/>
  <c r="AI34" i="2"/>
  <c r="AK17" i="2"/>
  <c r="AK12" i="2"/>
  <c r="AK8" i="2"/>
  <c r="AK32" i="2"/>
  <c r="AK24" i="2"/>
  <c r="AK20" i="2"/>
  <c r="AK15" i="2"/>
  <c r="AK11" i="2"/>
  <c r="AK7" i="2"/>
  <c r="AK31" i="2"/>
  <c r="AK23" i="2"/>
  <c r="AK6" i="2"/>
  <c r="AK19" i="2"/>
  <c r="AK14" i="2"/>
  <c r="AK10" i="2"/>
  <c r="AK30" i="2"/>
  <c r="AK22" i="2"/>
  <c r="AK18" i="2"/>
  <c r="AK13" i="2"/>
  <c r="AK9" i="2"/>
  <c r="AK5" i="2"/>
  <c r="AK16" i="2"/>
  <c r="AK21" i="2"/>
  <c r="AK4" i="2"/>
  <c r="AK29" i="2"/>
  <c r="AK28" i="2"/>
  <c r="AK25" i="2"/>
  <c r="Z34" i="6"/>
  <c r="K3" i="6"/>
  <c r="I34" i="1"/>
  <c r="I35" i="1" s="1"/>
  <c r="D34" i="6"/>
  <c r="B36" i="55" s="1"/>
  <c r="I3" i="6" l="1"/>
  <c r="H4" i="6" s="1"/>
  <c r="I4" i="6" s="1"/>
  <c r="E36" i="55"/>
  <c r="Z39" i="6"/>
  <c r="K35" i="6"/>
  <c r="AH34" i="55"/>
  <c r="C37" i="55"/>
  <c r="F34" i="6"/>
  <c r="F14" i="80"/>
  <c r="K34" i="6"/>
  <c r="M31" i="78"/>
  <c r="P31" i="78" s="1"/>
  <c r="AA34" i="6"/>
  <c r="X34" i="6"/>
  <c r="V34" i="6"/>
  <c r="J3" i="1"/>
  <c r="K3" i="1" s="1"/>
  <c r="H4" i="1" s="1"/>
  <c r="E37" i="55" l="1"/>
  <c r="F37" i="55"/>
  <c r="F16" i="80"/>
  <c r="H14" i="80"/>
  <c r="G14" i="80"/>
  <c r="O31" i="78"/>
  <c r="O31" i="79" s="1"/>
  <c r="N31" i="78"/>
  <c r="N31" i="79" s="1"/>
  <c r="H14" i="81" l="1"/>
  <c r="H16" i="80"/>
  <c r="G14" i="81"/>
  <c r="G16" i="80"/>
  <c r="N31" i="80"/>
  <c r="N31" i="81" s="1"/>
  <c r="N31" i="82" s="1"/>
  <c r="N31" i="83" s="1"/>
  <c r="N31" i="84" s="1"/>
  <c r="N31" i="85" s="1"/>
  <c r="N31" i="86" s="1"/>
  <c r="N31" i="87" s="1"/>
  <c r="N31" i="88" s="1"/>
  <c r="N31" i="89" s="1"/>
  <c r="N31" i="90" s="1"/>
  <c r="N31" i="91" s="1"/>
  <c r="N31" i="92" s="1"/>
  <c r="N31" i="93" s="1"/>
  <c r="N31" i="94" s="1"/>
  <c r="N31" i="95" s="1"/>
  <c r="N31" i="96" s="1"/>
  <c r="N31" i="42" s="1"/>
  <c r="O31" i="80"/>
  <c r="O31" i="81" s="1"/>
  <c r="O31" i="82" s="1"/>
  <c r="O31" i="83" s="1"/>
  <c r="O31" i="84" s="1"/>
  <c r="O31" i="85" s="1"/>
  <c r="O31" i="86" s="1"/>
  <c r="O31" i="87" s="1"/>
  <c r="O31" i="88" s="1"/>
  <c r="O31" i="89" s="1"/>
  <c r="O31" i="90" s="1"/>
  <c r="O31" i="91" s="1"/>
  <c r="O31" i="92" s="1"/>
  <c r="O31" i="93" s="1"/>
  <c r="O31" i="94" s="1"/>
  <c r="O31" i="95" s="1"/>
  <c r="O31" i="96" s="1"/>
  <c r="O31" i="42" s="1"/>
  <c r="G14" i="82" l="1"/>
  <c r="G16" i="81"/>
  <c r="H14" i="82"/>
  <c r="H16" i="81"/>
  <c r="H14" i="83" l="1"/>
  <c r="H16" i="82"/>
  <c r="G14" i="83"/>
  <c r="G16" i="82"/>
  <c r="T35" i="12"/>
  <c r="T36" i="12"/>
  <c r="T37" i="12"/>
  <c r="T38" i="12"/>
  <c r="T39" i="12"/>
  <c r="G14" i="84" l="1"/>
  <c r="G16" i="83"/>
  <c r="H14" i="84"/>
  <c r="H16" i="83"/>
  <c r="H14" i="85" l="1"/>
  <c r="H16" i="84"/>
  <c r="G14" i="85"/>
  <c r="G16" i="84"/>
  <c r="G14" i="86" l="1"/>
  <c r="G16" i="85"/>
  <c r="H14" i="86"/>
  <c r="H14" i="87" s="1"/>
  <c r="H14" i="88" s="1"/>
  <c r="H16" i="88" s="1"/>
  <c r="H16" i="85"/>
  <c r="H16" i="86" l="1"/>
  <c r="G14" i="87"/>
  <c r="G16" i="86"/>
  <c r="T4" i="1"/>
  <c r="T5" i="1"/>
  <c r="T6" i="1"/>
  <c r="V6" i="1" s="1"/>
  <c r="T8" i="1"/>
  <c r="V8" i="1" s="1"/>
  <c r="T9" i="1"/>
  <c r="V9" i="1" s="1"/>
  <c r="T10" i="1"/>
  <c r="T11" i="1"/>
  <c r="T12" i="1"/>
  <c r="T13" i="1"/>
  <c r="T14" i="1"/>
  <c r="T15" i="1"/>
  <c r="T16" i="1"/>
  <c r="T17" i="1"/>
  <c r="T18" i="1"/>
  <c r="T24" i="1"/>
  <c r="T25" i="1"/>
  <c r="T26" i="1"/>
  <c r="T27" i="1"/>
  <c r="T28" i="1"/>
  <c r="T29" i="1"/>
  <c r="T30" i="1"/>
  <c r="T31" i="1"/>
  <c r="T32" i="1"/>
  <c r="T3" i="1"/>
  <c r="V7" i="1"/>
  <c r="V5" i="1" l="1"/>
  <c r="T34" i="1"/>
  <c r="T35" i="1" s="1"/>
  <c r="L16" i="78"/>
  <c r="G14" i="88"/>
  <c r="G16" i="87"/>
  <c r="H16" i="87"/>
  <c r="V3" i="1"/>
  <c r="V4" i="1"/>
  <c r="V28" i="1"/>
  <c r="V11" i="1"/>
  <c r="V32" i="1"/>
  <c r="V31" i="1"/>
  <c r="V29" i="1"/>
  <c r="V24" i="1"/>
  <c r="V25" i="1"/>
  <c r="V27" i="1"/>
  <c r="V17" i="1"/>
  <c r="V10" i="1"/>
  <c r="V30" i="1"/>
  <c r="V26" i="1"/>
  <c r="V18" i="1"/>
  <c r="V15" i="1"/>
  <c r="V14" i="1"/>
  <c r="V16" i="1"/>
  <c r="V13" i="1"/>
  <c r="V12" i="1"/>
  <c r="W3" i="1" l="1"/>
  <c r="V34" i="1"/>
  <c r="V35" i="1" s="1"/>
  <c r="H14" i="89"/>
  <c r="H16" i="89" s="1"/>
  <c r="G14" i="89"/>
  <c r="G16" i="89" s="1"/>
  <c r="G16" i="88"/>
  <c r="M10" i="12"/>
  <c r="N10" i="12"/>
  <c r="M11" i="12"/>
  <c r="N11" i="12"/>
  <c r="N12" i="12"/>
  <c r="M13" i="12"/>
  <c r="N13" i="12"/>
  <c r="M15" i="12"/>
  <c r="N15" i="12"/>
  <c r="M16" i="12"/>
  <c r="N16" i="12"/>
  <c r="M17" i="12"/>
  <c r="N17" i="12"/>
  <c r="M18" i="12"/>
  <c r="N18" i="12"/>
  <c r="N20" i="12"/>
  <c r="N22" i="12"/>
  <c r="N23" i="12"/>
  <c r="M24" i="12"/>
  <c r="N24" i="12"/>
  <c r="M25" i="12"/>
  <c r="N25" i="12"/>
  <c r="M27" i="12"/>
  <c r="N27" i="12"/>
  <c r="M30" i="12"/>
  <c r="N30" i="12"/>
  <c r="M31" i="12"/>
  <c r="N31" i="12"/>
  <c r="M32" i="12"/>
  <c r="N32" i="12"/>
  <c r="M33" i="12"/>
  <c r="N33" i="12"/>
  <c r="M40" i="12" l="1"/>
  <c r="M42" i="97" s="1"/>
  <c r="G14" i="90"/>
  <c r="H14" i="90"/>
  <c r="H14" i="91" l="1"/>
  <c r="H16" i="90"/>
  <c r="G14" i="91"/>
  <c r="G16" i="90"/>
  <c r="G14" i="92" l="1"/>
  <c r="G16" i="91"/>
  <c r="H14" i="92"/>
  <c r="H16" i="91"/>
  <c r="H14" i="93" l="1"/>
  <c r="H16" i="92"/>
  <c r="G14" i="93"/>
  <c r="G16" i="92"/>
  <c r="G14" i="94" l="1"/>
  <c r="G16" i="93"/>
  <c r="H14" i="94"/>
  <c r="H16" i="93"/>
  <c r="H14" i="95" l="1"/>
  <c r="H16" i="94"/>
  <c r="G14" i="95"/>
  <c r="G16" i="94"/>
  <c r="G14" i="96" l="1"/>
  <c r="G14" i="42" s="1"/>
  <c r="G16" i="42" s="1"/>
  <c r="G16" i="95"/>
  <c r="H14" i="96"/>
  <c r="H14" i="42" s="1"/>
  <c r="H16" i="42" s="1"/>
  <c r="H16" i="95"/>
  <c r="H16" i="96" l="1"/>
  <c r="G16" i="96"/>
  <c r="F3" i="6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P16" i="1" s="1"/>
  <c r="N17" i="1"/>
  <c r="P17" i="1" s="1"/>
  <c r="N18" i="1"/>
  <c r="P18" i="1" s="1"/>
  <c r="N24" i="1"/>
  <c r="N25" i="1"/>
  <c r="N26" i="1"/>
  <c r="N27" i="1"/>
  <c r="N28" i="1"/>
  <c r="N29" i="1"/>
  <c r="N30" i="1"/>
  <c r="N31" i="1"/>
  <c r="N32" i="1"/>
  <c r="AE4" i="6"/>
  <c r="F35" i="79" s="1"/>
  <c r="AF4" i="6"/>
  <c r="AE5" i="6"/>
  <c r="F35" i="80" s="1"/>
  <c r="AF5" i="6"/>
  <c r="AE6" i="6"/>
  <c r="F35" i="81" s="1"/>
  <c r="AF6" i="6"/>
  <c r="AE7" i="6"/>
  <c r="F35" i="82" s="1"/>
  <c r="AF7" i="6"/>
  <c r="BK7" i="6" s="1"/>
  <c r="AE8" i="6"/>
  <c r="F35" i="83" s="1"/>
  <c r="AF8" i="6"/>
  <c r="BK8" i="6" s="1"/>
  <c r="AE9" i="6"/>
  <c r="F35" i="84" s="1"/>
  <c r="AF9" i="6"/>
  <c r="BK9" i="6" s="1"/>
  <c r="AE10" i="6"/>
  <c r="AF10" i="6"/>
  <c r="BK10" i="6" s="1"/>
  <c r="AE11" i="6"/>
  <c r="AF11" i="6"/>
  <c r="BK11" i="6" s="1"/>
  <c r="AE12" i="6"/>
  <c r="AF12" i="6"/>
  <c r="BK12" i="6" s="1"/>
  <c r="AE13" i="6"/>
  <c r="AF13" i="6"/>
  <c r="BK13" i="6" s="1"/>
  <c r="AE14" i="6"/>
  <c r="AF14" i="6"/>
  <c r="BK14" i="6" s="1"/>
  <c r="AE15" i="6"/>
  <c r="AF15" i="6"/>
  <c r="BK15" i="6" s="1"/>
  <c r="AE16" i="6"/>
  <c r="AF16" i="6"/>
  <c r="BK16" i="6" s="1"/>
  <c r="AE17" i="6"/>
  <c r="AF17" i="6"/>
  <c r="BK17" i="6" s="1"/>
  <c r="AE18" i="6"/>
  <c r="AF18" i="6"/>
  <c r="BK18" i="6" s="1"/>
  <c r="AE19" i="6"/>
  <c r="AF19" i="6"/>
  <c r="BK19" i="6" s="1"/>
  <c r="AE20" i="6"/>
  <c r="AF20" i="6"/>
  <c r="BK20" i="6" s="1"/>
  <c r="AE21" i="6"/>
  <c r="AF21" i="6"/>
  <c r="AE22" i="6"/>
  <c r="AF22" i="6"/>
  <c r="BK22" i="6" s="1"/>
  <c r="AE23" i="6"/>
  <c r="AF23" i="6"/>
  <c r="BK23" i="6" s="1"/>
  <c r="F35" i="68"/>
  <c r="F40" i="68" s="1"/>
  <c r="F35" i="69"/>
  <c r="F35" i="70"/>
  <c r="F40" i="70" s="1"/>
  <c r="J35" i="70"/>
  <c r="AE27" i="6"/>
  <c r="BK27" i="6"/>
  <c r="BK28" i="6"/>
  <c r="BK29" i="6"/>
  <c r="BK30" i="6"/>
  <c r="BK31" i="6"/>
  <c r="AF3" i="6"/>
  <c r="AE3" i="6"/>
  <c r="AC4" i="6"/>
  <c r="CG4" i="6" s="1"/>
  <c r="AC5" i="6"/>
  <c r="AC6" i="6"/>
  <c r="AC7" i="6"/>
  <c r="CG7" i="6" s="1"/>
  <c r="AC8" i="6"/>
  <c r="AC9" i="6"/>
  <c r="CG9" i="6" s="1"/>
  <c r="AC10" i="6"/>
  <c r="CG10" i="6" s="1"/>
  <c r="AC11" i="6"/>
  <c r="AC12" i="6"/>
  <c r="CG12" i="6" s="1"/>
  <c r="AC13" i="6"/>
  <c r="CG13" i="6" s="1"/>
  <c r="AC14" i="6"/>
  <c r="AC15" i="6"/>
  <c r="CG15" i="6" s="1"/>
  <c r="AC16" i="6"/>
  <c r="CG16" i="6" s="1"/>
  <c r="AC17" i="6"/>
  <c r="AC18" i="6"/>
  <c r="CG18" i="6" s="1"/>
  <c r="AC19" i="6"/>
  <c r="CG19" i="6" s="1"/>
  <c r="AC20" i="6"/>
  <c r="AC21" i="6"/>
  <c r="CG21" i="6" s="1"/>
  <c r="AC22" i="6"/>
  <c r="CG22" i="6" s="1"/>
  <c r="AC23" i="6"/>
  <c r="J36" i="68"/>
  <c r="J36" i="69"/>
  <c r="J36" i="70"/>
  <c r="AC27" i="6"/>
  <c r="CG27" i="6" s="1"/>
  <c r="AC3" i="6"/>
  <c r="AB4" i="6"/>
  <c r="AB5" i="6"/>
  <c r="AB6" i="6"/>
  <c r="AB7" i="6"/>
  <c r="AB8" i="6"/>
  <c r="AB9" i="6"/>
  <c r="F36" i="88"/>
  <c r="F36" i="90"/>
  <c r="F36" i="92"/>
  <c r="F36" i="94"/>
  <c r="F36" i="95"/>
  <c r="F36" i="69"/>
  <c r="F36" i="73"/>
  <c r="F36" i="74"/>
  <c r="F36" i="75"/>
  <c r="AB3" i="6"/>
  <c r="I24" i="79"/>
  <c r="I24" i="80"/>
  <c r="I24" i="81"/>
  <c r="I24" i="82"/>
  <c r="I24" i="83"/>
  <c r="I24" i="84"/>
  <c r="I24" i="85"/>
  <c r="I24" i="86"/>
  <c r="I24" i="87"/>
  <c r="I24" i="88"/>
  <c r="I25" i="88" s="1"/>
  <c r="I24" i="89"/>
  <c r="I24" i="90"/>
  <c r="I24" i="91"/>
  <c r="I24" i="92"/>
  <c r="I24" i="93"/>
  <c r="I24" i="94"/>
  <c r="I24" i="95"/>
  <c r="I24" i="96"/>
  <c r="I24" i="70"/>
  <c r="I24" i="71"/>
  <c r="I24" i="72"/>
  <c r="I24" i="73"/>
  <c r="I24" i="74"/>
  <c r="I24" i="75"/>
  <c r="I24" i="76"/>
  <c r="I24" i="77"/>
  <c r="I24" i="78"/>
  <c r="I23" i="79"/>
  <c r="I23" i="80"/>
  <c r="I23" i="81"/>
  <c r="I23" i="82"/>
  <c r="I23" i="83"/>
  <c r="I23" i="84"/>
  <c r="I23" i="85"/>
  <c r="I23" i="86"/>
  <c r="I23" i="87"/>
  <c r="I23" i="88"/>
  <c r="I23" i="89"/>
  <c r="I23" i="90"/>
  <c r="I23" i="91"/>
  <c r="I23" i="92"/>
  <c r="I23" i="93"/>
  <c r="I23" i="94"/>
  <c r="I23" i="95"/>
  <c r="I23" i="96"/>
  <c r="I23" i="42"/>
  <c r="I23" i="67"/>
  <c r="I25" i="67" s="1"/>
  <c r="I23" i="70"/>
  <c r="I23" i="71"/>
  <c r="I23" i="72"/>
  <c r="I23" i="73"/>
  <c r="I23" i="74"/>
  <c r="I23" i="75"/>
  <c r="I23" i="76"/>
  <c r="I23" i="78"/>
  <c r="C4" i="1"/>
  <c r="G4" i="1" s="1"/>
  <c r="F40" i="69" l="1"/>
  <c r="CG6" i="6"/>
  <c r="CG3" i="6"/>
  <c r="CG20" i="6"/>
  <c r="CG14" i="6"/>
  <c r="CG8" i="6"/>
  <c r="CG23" i="6"/>
  <c r="CG17" i="6"/>
  <c r="CG11" i="6"/>
  <c r="CG5" i="6"/>
  <c r="J40" i="70"/>
  <c r="BK21" i="6"/>
  <c r="E11" i="79"/>
  <c r="L11" i="79" s="1"/>
  <c r="C5" i="1"/>
  <c r="G5" i="1" s="1"/>
  <c r="J36" i="84"/>
  <c r="BK32" i="6"/>
  <c r="J36" i="92"/>
  <c r="AG3" i="6"/>
  <c r="AD7" i="6"/>
  <c r="BG27" i="6"/>
  <c r="BG32" i="6"/>
  <c r="BG20" i="6"/>
  <c r="BG14" i="6"/>
  <c r="BG8" i="6"/>
  <c r="BG21" i="6"/>
  <c r="BG31" i="6"/>
  <c r="BG19" i="6"/>
  <c r="BG13" i="6"/>
  <c r="BG7" i="6"/>
  <c r="BG15" i="6"/>
  <c r="BG30" i="6"/>
  <c r="BG18" i="6"/>
  <c r="BG12" i="6"/>
  <c r="BG6" i="6"/>
  <c r="BG29" i="6"/>
  <c r="BG17" i="6"/>
  <c r="BG11" i="6"/>
  <c r="BG5" i="6"/>
  <c r="BG3" i="6"/>
  <c r="BI3" i="6" s="1"/>
  <c r="BG9" i="6"/>
  <c r="BG28" i="6"/>
  <c r="BG22" i="6"/>
  <c r="BG16" i="6"/>
  <c r="BG10" i="6"/>
  <c r="BG4" i="6"/>
  <c r="BG23" i="6"/>
  <c r="J35" i="78"/>
  <c r="P35" i="78" s="1"/>
  <c r="BK3" i="6"/>
  <c r="J35" i="79"/>
  <c r="BK4" i="6"/>
  <c r="J35" i="80"/>
  <c r="BK5" i="6"/>
  <c r="J35" i="81"/>
  <c r="BK6" i="6"/>
  <c r="Q36" i="70"/>
  <c r="CJ31" i="6"/>
  <c r="CJ29" i="6"/>
  <c r="CJ27" i="6"/>
  <c r="CJ20" i="6"/>
  <c r="CJ18" i="6"/>
  <c r="CJ16" i="6"/>
  <c r="CJ14" i="6"/>
  <c r="CJ12" i="6"/>
  <c r="CJ10" i="6"/>
  <c r="CJ30" i="6"/>
  <c r="CJ28" i="6"/>
  <c r="CJ21" i="6"/>
  <c r="CJ19" i="6"/>
  <c r="CJ17" i="6"/>
  <c r="CJ15" i="6"/>
  <c r="CJ13" i="6"/>
  <c r="CJ11" i="6"/>
  <c r="J36" i="71"/>
  <c r="J36" i="90"/>
  <c r="J36" i="74"/>
  <c r="Q36" i="74" s="1"/>
  <c r="J36" i="93"/>
  <c r="J36" i="89"/>
  <c r="J36" i="85"/>
  <c r="J36" i="81"/>
  <c r="J36" i="75"/>
  <c r="Q36" i="75" s="1"/>
  <c r="J36" i="94"/>
  <c r="J36" i="86"/>
  <c r="J36" i="73"/>
  <c r="J36" i="96"/>
  <c r="J36" i="88"/>
  <c r="Q36" i="88" s="1"/>
  <c r="J36" i="76"/>
  <c r="J36" i="72"/>
  <c r="Q36" i="72" s="1"/>
  <c r="J36" i="95"/>
  <c r="J36" i="91"/>
  <c r="J36" i="87"/>
  <c r="J36" i="83"/>
  <c r="J36" i="79"/>
  <c r="J40" i="79" s="1"/>
  <c r="J36" i="82"/>
  <c r="Q41" i="78"/>
  <c r="Q46" i="78"/>
  <c r="CJ6" i="6"/>
  <c r="CJ5" i="6"/>
  <c r="CJ8" i="6"/>
  <c r="CJ4" i="6"/>
  <c r="CJ22" i="6"/>
  <c r="CJ7" i="6"/>
  <c r="CJ9" i="6"/>
  <c r="CJ23" i="6"/>
  <c r="CJ3" i="6"/>
  <c r="F35" i="73"/>
  <c r="F40" i="73" s="1"/>
  <c r="F35" i="71"/>
  <c r="F35" i="95"/>
  <c r="F40" i="95" s="1"/>
  <c r="F35" i="93"/>
  <c r="F35" i="91"/>
  <c r="F35" i="89"/>
  <c r="F35" i="87"/>
  <c r="F35" i="85"/>
  <c r="F35" i="74"/>
  <c r="F40" i="74" s="1"/>
  <c r="F35" i="72"/>
  <c r="F40" i="72" s="1"/>
  <c r="F35" i="96"/>
  <c r="F35" i="94"/>
  <c r="F40" i="94" s="1"/>
  <c r="F35" i="92"/>
  <c r="F40" i="92" s="1"/>
  <c r="F35" i="90"/>
  <c r="F40" i="90" s="1"/>
  <c r="F35" i="88"/>
  <c r="F40" i="88" s="1"/>
  <c r="F35" i="86"/>
  <c r="F35" i="76"/>
  <c r="F35" i="75"/>
  <c r="F40" i="75" s="1"/>
  <c r="J35" i="72"/>
  <c r="J40" i="72" s="1"/>
  <c r="Q35" i="70"/>
  <c r="J24" i="78"/>
  <c r="J24" i="79" s="1"/>
  <c r="J24" i="80" s="1"/>
  <c r="J24" i="81" s="1"/>
  <c r="J24" i="82" s="1"/>
  <c r="J24" i="83" s="1"/>
  <c r="J24" i="84" s="1"/>
  <c r="J24" i="85" s="1"/>
  <c r="J24" i="86" s="1"/>
  <c r="J24" i="87" s="1"/>
  <c r="J24" i="88" s="1"/>
  <c r="J24" i="89" s="1"/>
  <c r="J24" i="90" s="1"/>
  <c r="J24" i="91" s="1"/>
  <c r="J24" i="92" s="1"/>
  <c r="J24" i="93" s="1"/>
  <c r="J24" i="94" s="1"/>
  <c r="J24" i="95" s="1"/>
  <c r="J24" i="96" s="1"/>
  <c r="J24" i="42" s="1"/>
  <c r="J24" i="67" s="1"/>
  <c r="J24" i="68" s="1"/>
  <c r="J24" i="69" s="1"/>
  <c r="L24" i="78"/>
  <c r="AF35" i="6"/>
  <c r="AB35" i="6"/>
  <c r="AE35" i="6"/>
  <c r="F35" i="78"/>
  <c r="J36" i="78"/>
  <c r="P36" i="78" s="1"/>
  <c r="AC35" i="6"/>
  <c r="J35" i="90"/>
  <c r="J35" i="86"/>
  <c r="J40" i="86" s="1"/>
  <c r="J35" i="84"/>
  <c r="J35" i="76"/>
  <c r="J35" i="95"/>
  <c r="J35" i="93"/>
  <c r="J35" i="91"/>
  <c r="J35" i="89"/>
  <c r="J40" i="89" s="1"/>
  <c r="J35" i="87"/>
  <c r="J35" i="85"/>
  <c r="J35" i="83"/>
  <c r="F36" i="76"/>
  <c r="J35" i="75"/>
  <c r="J40" i="75" s="1"/>
  <c r="F36" i="96"/>
  <c r="F40" i="96" s="1"/>
  <c r="J35" i="96"/>
  <c r="J35" i="94"/>
  <c r="F36" i="93"/>
  <c r="J35" i="92"/>
  <c r="F36" i="91"/>
  <c r="F36" i="89"/>
  <c r="J35" i="88"/>
  <c r="F36" i="87"/>
  <c r="F36" i="86"/>
  <c r="F36" i="85"/>
  <c r="F40" i="85" s="1"/>
  <c r="F36" i="84"/>
  <c r="F40" i="84" s="1"/>
  <c r="F36" i="83"/>
  <c r="F40" i="83" s="1"/>
  <c r="F36" i="82"/>
  <c r="F40" i="82" s="1"/>
  <c r="J35" i="82"/>
  <c r="F36" i="81"/>
  <c r="F40" i="81" s="1"/>
  <c r="N35" i="1"/>
  <c r="F36" i="80"/>
  <c r="F40" i="80" s="1"/>
  <c r="J36" i="80"/>
  <c r="L23" i="78"/>
  <c r="J23" i="78"/>
  <c r="J23" i="79" s="1"/>
  <c r="J23" i="80" s="1"/>
  <c r="F36" i="79"/>
  <c r="F40" i="79" s="1"/>
  <c r="F36" i="78"/>
  <c r="J35" i="71"/>
  <c r="J40" i="71" s="1"/>
  <c r="J35" i="74"/>
  <c r="J40" i="74" s="1"/>
  <c r="J35" i="73"/>
  <c r="F36" i="71"/>
  <c r="J35" i="69"/>
  <c r="J40" i="69" s="1"/>
  <c r="Q36" i="69"/>
  <c r="J35" i="68"/>
  <c r="Q36" i="68"/>
  <c r="L31" i="67"/>
  <c r="L31" i="68" s="1"/>
  <c r="L31" i="69" s="1"/>
  <c r="H12" i="69"/>
  <c r="H33" i="67"/>
  <c r="H33" i="68" s="1"/>
  <c r="H33" i="69" s="1"/>
  <c r="H33" i="70" s="1"/>
  <c r="H33" i="71" s="1"/>
  <c r="H33" i="72" s="1"/>
  <c r="L33" i="69"/>
  <c r="L33" i="70" s="1"/>
  <c r="L33" i="71" s="1"/>
  <c r="G30" i="67"/>
  <c r="G30" i="68" s="1"/>
  <c r="G30" i="69" s="1"/>
  <c r="H30" i="67"/>
  <c r="H30" i="68" s="1"/>
  <c r="H30" i="69" s="1"/>
  <c r="G31" i="67"/>
  <c r="G31" i="68" s="1"/>
  <c r="G31" i="69" s="1"/>
  <c r="H31" i="67"/>
  <c r="H31" i="68" s="1"/>
  <c r="H31" i="69" s="1"/>
  <c r="K31" i="67"/>
  <c r="K31" i="68" s="1"/>
  <c r="K31" i="69" s="1"/>
  <c r="G33" i="67"/>
  <c r="G33" i="68" s="1"/>
  <c r="G33" i="69" s="1"/>
  <c r="G33" i="70" s="1"/>
  <c r="G34" i="67"/>
  <c r="H34" i="67"/>
  <c r="H34" i="68" s="1"/>
  <c r="H34" i="69" s="1"/>
  <c r="K33" i="69"/>
  <c r="K33" i="70" s="1"/>
  <c r="AC34" i="6"/>
  <c r="AF34" i="6"/>
  <c r="AB34" i="6"/>
  <c r="AE34" i="6"/>
  <c r="N34" i="1"/>
  <c r="I22" i="81"/>
  <c r="M30" i="82"/>
  <c r="M30" i="89"/>
  <c r="M30" i="90"/>
  <c r="M30" i="93"/>
  <c r="M30" i="94"/>
  <c r="M30" i="95"/>
  <c r="AU21" i="12"/>
  <c r="M30" i="96"/>
  <c r="M30" i="67"/>
  <c r="M30" i="68"/>
  <c r="M30" i="69"/>
  <c r="Q40" i="70" l="1"/>
  <c r="J40" i="76"/>
  <c r="J40" i="91"/>
  <c r="F40" i="76"/>
  <c r="F40" i="93"/>
  <c r="J40" i="96"/>
  <c r="M21" i="96" s="1"/>
  <c r="F40" i="71"/>
  <c r="J40" i="68"/>
  <c r="M18" i="68" s="1"/>
  <c r="Q36" i="95"/>
  <c r="J40" i="95"/>
  <c r="Q36" i="94"/>
  <c r="J40" i="94"/>
  <c r="J40" i="88"/>
  <c r="J40" i="87"/>
  <c r="J40" i="90"/>
  <c r="Q40" i="75"/>
  <c r="J40" i="93"/>
  <c r="F40" i="87"/>
  <c r="Q36" i="92"/>
  <c r="J40" i="92"/>
  <c r="F40" i="89"/>
  <c r="F40" i="91"/>
  <c r="F40" i="86"/>
  <c r="J40" i="85"/>
  <c r="J40" i="81"/>
  <c r="J40" i="82"/>
  <c r="J40" i="83"/>
  <c r="J40" i="84"/>
  <c r="J52" i="84" s="1"/>
  <c r="J40" i="80"/>
  <c r="J40" i="78"/>
  <c r="F40" i="78"/>
  <c r="Q36" i="73"/>
  <c r="Q40" i="73"/>
  <c r="Q40" i="79"/>
  <c r="J52" i="72"/>
  <c r="M52" i="72"/>
  <c r="K52" i="72"/>
  <c r="J52" i="68"/>
  <c r="K52" i="68"/>
  <c r="J52" i="70"/>
  <c r="M52" i="70"/>
  <c r="K52" i="70"/>
  <c r="G34" i="68"/>
  <c r="G34" i="69" s="1"/>
  <c r="G34" i="70" s="1"/>
  <c r="G34" i="71" s="1"/>
  <c r="G34" i="72" s="1"/>
  <c r="G34" i="73" s="1"/>
  <c r="G34" i="74" s="1"/>
  <c r="BM3" i="6"/>
  <c r="CD3" i="6" s="1"/>
  <c r="BK35" i="6"/>
  <c r="AT7" i="12"/>
  <c r="AT9" i="12"/>
  <c r="L35" i="78"/>
  <c r="K35" i="78"/>
  <c r="Q35" i="80"/>
  <c r="Q35" i="81"/>
  <c r="Q35" i="69"/>
  <c r="Q36" i="90"/>
  <c r="Q36" i="83"/>
  <c r="Q36" i="89"/>
  <c r="Q40" i="72"/>
  <c r="M22" i="68"/>
  <c r="M30" i="91"/>
  <c r="M30" i="92"/>
  <c r="M21" i="68"/>
  <c r="Q36" i="86"/>
  <c r="M21" i="70"/>
  <c r="M21" i="67"/>
  <c r="Q36" i="87"/>
  <c r="Q42" i="78"/>
  <c r="Q35" i="75"/>
  <c r="Q35" i="71"/>
  <c r="Q35" i="93"/>
  <c r="Q35" i="76"/>
  <c r="Q35" i="72"/>
  <c r="Q35" i="79"/>
  <c r="J23" i="81"/>
  <c r="J23" i="82" s="1"/>
  <c r="J24" i="70"/>
  <c r="J24" i="71" s="1"/>
  <c r="J24" i="72" s="1"/>
  <c r="J24" i="73" s="1"/>
  <c r="J24" i="74" s="1"/>
  <c r="J24" i="75" s="1"/>
  <c r="J24" i="76" s="1"/>
  <c r="J24" i="77" s="1"/>
  <c r="G31" i="70"/>
  <c r="G31" i="71" s="1"/>
  <c r="G31" i="72" s="1"/>
  <c r="G31" i="73" s="1"/>
  <c r="G31" i="74" s="1"/>
  <c r="K31" i="70"/>
  <c r="K31" i="71" s="1"/>
  <c r="K31" i="72" s="1"/>
  <c r="K31" i="73" s="1"/>
  <c r="K31" i="74" s="1"/>
  <c r="K31" i="75" s="1"/>
  <c r="G33" i="71"/>
  <c r="K33" i="71"/>
  <c r="H34" i="70"/>
  <c r="H34" i="71" s="1"/>
  <c r="H34" i="72" s="1"/>
  <c r="H34" i="73" s="1"/>
  <c r="H34" i="74" s="1"/>
  <c r="H34" i="75" s="1"/>
  <c r="H34" i="76" s="1"/>
  <c r="H34" i="77" s="1"/>
  <c r="H31" i="70"/>
  <c r="H31" i="71" s="1"/>
  <c r="H31" i="72" s="1"/>
  <c r="H31" i="73" s="1"/>
  <c r="H31" i="74" s="1"/>
  <c r="H33" i="73"/>
  <c r="H33" i="74" s="1"/>
  <c r="H33" i="75" s="1"/>
  <c r="H33" i="76" s="1"/>
  <c r="H33" i="77" s="1"/>
  <c r="L31" i="70"/>
  <c r="L31" i="71" s="1"/>
  <c r="L31" i="72" s="1"/>
  <c r="L31" i="73" s="1"/>
  <c r="L31" i="74" s="1"/>
  <c r="L31" i="75" s="1"/>
  <c r="L31" i="76" s="1"/>
  <c r="L31" i="77" s="1"/>
  <c r="L33" i="72"/>
  <c r="L33" i="73" s="1"/>
  <c r="L33" i="74" s="1"/>
  <c r="L33" i="75" s="1"/>
  <c r="L33" i="76" s="1"/>
  <c r="L33" i="77" s="1"/>
  <c r="H12" i="70"/>
  <c r="H12" i="71" s="1"/>
  <c r="H12" i="72" s="1"/>
  <c r="H12" i="73" s="1"/>
  <c r="H12" i="74" s="1"/>
  <c r="H12" i="75" s="1"/>
  <c r="H12" i="76" s="1"/>
  <c r="H12" i="77" s="1"/>
  <c r="H30" i="70"/>
  <c r="H30" i="71" s="1"/>
  <c r="H30" i="72" s="1"/>
  <c r="H30" i="73" s="1"/>
  <c r="H30" i="74" s="1"/>
  <c r="H30" i="75" s="1"/>
  <c r="H30" i="76" s="1"/>
  <c r="H30" i="77" s="1"/>
  <c r="G30" i="70"/>
  <c r="G30" i="71" s="1"/>
  <c r="G30" i="72" s="1"/>
  <c r="G30" i="73" s="1"/>
  <c r="G30" i="74" s="1"/>
  <c r="G30" i="75" s="1"/>
  <c r="G30" i="76" s="1"/>
  <c r="G30" i="77" s="1"/>
  <c r="L36" i="78"/>
  <c r="K36" i="78"/>
  <c r="Q36" i="78"/>
  <c r="H35" i="78"/>
  <c r="G35" i="78"/>
  <c r="Q35" i="78"/>
  <c r="Q36" i="96"/>
  <c r="Q36" i="91"/>
  <c r="Q35" i="85"/>
  <c r="Q35" i="89"/>
  <c r="Q36" i="84"/>
  <c r="Q36" i="85"/>
  <c r="Q35" i="86"/>
  <c r="Q36" i="79"/>
  <c r="Q35" i="83"/>
  <c r="Q35" i="87"/>
  <c r="Q35" i="91"/>
  <c r="Q35" i="95"/>
  <c r="Q35" i="84"/>
  <c r="Q35" i="90"/>
  <c r="Q36" i="76"/>
  <c r="Q35" i="96"/>
  <c r="Q35" i="94"/>
  <c r="Q36" i="93"/>
  <c r="Q35" i="92"/>
  <c r="Q35" i="88"/>
  <c r="Q36" i="82"/>
  <c r="Q35" i="82"/>
  <c r="I22" i="80"/>
  <c r="Q36" i="81"/>
  <c r="Q36" i="80"/>
  <c r="E11" i="80"/>
  <c r="H36" i="78"/>
  <c r="G36" i="78"/>
  <c r="Q35" i="74"/>
  <c r="N33" i="67"/>
  <c r="N33" i="68" s="1"/>
  <c r="N33" i="69" s="1"/>
  <c r="N35" i="67"/>
  <c r="N40" i="67" s="1"/>
  <c r="O35" i="67"/>
  <c r="O40" i="67" s="1"/>
  <c r="O33" i="67"/>
  <c r="O33" i="68" s="1"/>
  <c r="O33" i="69" s="1"/>
  <c r="Q35" i="73"/>
  <c r="Q36" i="71"/>
  <c r="J9" i="67"/>
  <c r="K12" i="69"/>
  <c r="H10" i="69"/>
  <c r="G12" i="69"/>
  <c r="G9" i="67"/>
  <c r="J12" i="69"/>
  <c r="G10" i="69"/>
  <c r="G10" i="70" s="1"/>
  <c r="Q35" i="68"/>
  <c r="Q40" i="68"/>
  <c r="AR24" i="2"/>
  <c r="AR7" i="2"/>
  <c r="AR17" i="2"/>
  <c r="AR23" i="2"/>
  <c r="AR14" i="2"/>
  <c r="AR21" i="2"/>
  <c r="AR15" i="2"/>
  <c r="AR13" i="2"/>
  <c r="AR19" i="2"/>
  <c r="AR5" i="2"/>
  <c r="AR22" i="2"/>
  <c r="AR20" i="2"/>
  <c r="AR18" i="2"/>
  <c r="AR16" i="2"/>
  <c r="AR11" i="2"/>
  <c r="AR26" i="2"/>
  <c r="AR25" i="2"/>
  <c r="AD34" i="6"/>
  <c r="AG34" i="6"/>
  <c r="CC34" i="6"/>
  <c r="AU7" i="12"/>
  <c r="M30" i="74"/>
  <c r="M30" i="73"/>
  <c r="M30" i="71"/>
  <c r="M22" i="70"/>
  <c r="M22" i="67"/>
  <c r="AD22" i="3"/>
  <c r="AU22" i="12"/>
  <c r="AD30" i="3"/>
  <c r="AD27" i="3"/>
  <c r="AU27" i="12"/>
  <c r="M22" i="42"/>
  <c r="AU11" i="12"/>
  <c r="I22" i="82"/>
  <c r="AU23" i="12"/>
  <c r="AU9" i="12"/>
  <c r="I22" i="79"/>
  <c r="AD26" i="3"/>
  <c r="AD23" i="3"/>
  <c r="AD20" i="3"/>
  <c r="AU20" i="12"/>
  <c r="AD19" i="3"/>
  <c r="AD18" i="3"/>
  <c r="AD17" i="3"/>
  <c r="AG17" i="12"/>
  <c r="AM17" i="12" s="1"/>
  <c r="AD16" i="3"/>
  <c r="AU16" i="12"/>
  <c r="AU15" i="12"/>
  <c r="AD14" i="3"/>
  <c r="C6" i="1"/>
  <c r="G6" i="1" s="1"/>
  <c r="AU13" i="12"/>
  <c r="AD12" i="3"/>
  <c r="AD11" i="3"/>
  <c r="AG11" i="12"/>
  <c r="AM11" i="12" s="1"/>
  <c r="I22" i="83"/>
  <c r="AE8" i="3"/>
  <c r="AD8" i="3" s="1"/>
  <c r="AE7" i="3"/>
  <c r="AD7" i="3" s="1"/>
  <c r="AE5" i="3"/>
  <c r="AE4" i="3"/>
  <c r="AD4" i="3" s="1"/>
  <c r="AE3" i="3"/>
  <c r="AU24" i="12"/>
  <c r="AU12" i="12"/>
  <c r="AG27" i="12"/>
  <c r="AM27" i="12" s="1"/>
  <c r="AG24" i="12"/>
  <c r="AM24" i="12" s="1"/>
  <c r="AG23" i="12"/>
  <c r="AM23" i="12" s="1"/>
  <c r="AG21" i="12"/>
  <c r="AM21" i="12" s="1"/>
  <c r="AG20" i="12"/>
  <c r="AM20" i="12" s="1"/>
  <c r="AT18" i="12"/>
  <c r="AT17" i="12"/>
  <c r="AG16" i="12"/>
  <c r="AM16" i="12" s="1"/>
  <c r="AG15" i="12"/>
  <c r="AM15" i="12" s="1"/>
  <c r="AG13" i="12"/>
  <c r="AM13" i="12" s="1"/>
  <c r="AG12" i="12"/>
  <c r="AM12" i="12" s="1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D3" i="6"/>
  <c r="AD4" i="6"/>
  <c r="AD5" i="6"/>
  <c r="AD6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W3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7" i="6"/>
  <c r="O28" i="6"/>
  <c r="O29" i="6"/>
  <c r="O30" i="6"/>
  <c r="O32" i="6"/>
  <c r="J26" i="1"/>
  <c r="J27" i="1"/>
  <c r="F8" i="6"/>
  <c r="F11" i="6"/>
  <c r="F12" i="6"/>
  <c r="F14" i="6"/>
  <c r="F17" i="6"/>
  <c r="F18" i="6"/>
  <c r="F19" i="6"/>
  <c r="F20" i="6"/>
  <c r="F21" i="6"/>
  <c r="F22" i="6"/>
  <c r="F23" i="6"/>
  <c r="F4" i="6"/>
  <c r="F5" i="6"/>
  <c r="F6" i="6"/>
  <c r="F7" i="6"/>
  <c r="F9" i="6"/>
  <c r="F10" i="6"/>
  <c r="F13" i="6"/>
  <c r="F15" i="6"/>
  <c r="F16" i="6"/>
  <c r="M52" i="68" l="1"/>
  <c r="I25" i="84"/>
  <c r="EL29" i="1"/>
  <c r="AM30" i="12"/>
  <c r="K40" i="78"/>
  <c r="P40" i="78"/>
  <c r="L35" i="79"/>
  <c r="L35" i="80" s="1"/>
  <c r="L40" i="78"/>
  <c r="G35" i="79"/>
  <c r="G40" i="78"/>
  <c r="H35" i="79"/>
  <c r="H35" i="80" s="1"/>
  <c r="H35" i="81" s="1"/>
  <c r="H35" i="82" s="1"/>
  <c r="H35" i="83" s="1"/>
  <c r="H35" i="84" s="1"/>
  <c r="H35" i="85" s="1"/>
  <c r="H35" i="86" s="1"/>
  <c r="H40" i="78"/>
  <c r="AG22" i="12"/>
  <c r="AM22" i="12" s="1"/>
  <c r="AG5" i="12"/>
  <c r="AG9" i="12"/>
  <c r="AM9" i="12" s="1"/>
  <c r="AG7" i="12"/>
  <c r="AM7" i="12" s="1"/>
  <c r="CE3" i="6"/>
  <c r="K52" i="84"/>
  <c r="M52" i="84"/>
  <c r="AD5" i="3"/>
  <c r="J52" i="87"/>
  <c r="M52" i="87"/>
  <c r="K52" i="87"/>
  <c r="J52" i="88"/>
  <c r="M52" i="88"/>
  <c r="K52" i="88"/>
  <c r="J52" i="92"/>
  <c r="K52" i="92"/>
  <c r="M52" i="92"/>
  <c r="J52" i="90"/>
  <c r="K52" i="90"/>
  <c r="M52" i="90"/>
  <c r="J52" i="93"/>
  <c r="M52" i="93"/>
  <c r="K52" i="93"/>
  <c r="G52" i="68"/>
  <c r="F52" i="68"/>
  <c r="E52" i="68"/>
  <c r="H52" i="68"/>
  <c r="I52" i="68"/>
  <c r="J52" i="91"/>
  <c r="M52" i="91"/>
  <c r="K52" i="91"/>
  <c r="J52" i="74"/>
  <c r="M52" i="74"/>
  <c r="K52" i="74"/>
  <c r="J52" i="73"/>
  <c r="K52" i="73"/>
  <c r="M52" i="73"/>
  <c r="J52" i="71"/>
  <c r="K52" i="71"/>
  <c r="M52" i="71"/>
  <c r="M21" i="89"/>
  <c r="J52" i="89"/>
  <c r="M52" i="89"/>
  <c r="K52" i="89"/>
  <c r="M52" i="80"/>
  <c r="K52" i="80"/>
  <c r="J52" i="76"/>
  <c r="M52" i="76"/>
  <c r="K52" i="76"/>
  <c r="J52" i="95"/>
  <c r="K52" i="95"/>
  <c r="M52" i="95"/>
  <c r="M21" i="69"/>
  <c r="J52" i="69"/>
  <c r="M52" i="69"/>
  <c r="K52" i="69"/>
  <c r="J52" i="75"/>
  <c r="K52" i="75"/>
  <c r="M52" i="75"/>
  <c r="M21" i="94"/>
  <c r="J52" i="94"/>
  <c r="M52" i="94"/>
  <c r="K52" i="94"/>
  <c r="J52" i="96"/>
  <c r="M52" i="96"/>
  <c r="K52" i="96"/>
  <c r="M21" i="86"/>
  <c r="K52" i="86"/>
  <c r="J52" i="86"/>
  <c r="M52" i="86"/>
  <c r="K52" i="85"/>
  <c r="J52" i="85"/>
  <c r="M52" i="85"/>
  <c r="M52" i="83"/>
  <c r="J52" i="83"/>
  <c r="K52" i="83"/>
  <c r="M18" i="82"/>
  <c r="M52" i="82"/>
  <c r="J52" i="82"/>
  <c r="K52" i="82"/>
  <c r="J52" i="81"/>
  <c r="K52" i="81"/>
  <c r="M52" i="81"/>
  <c r="G34" i="75"/>
  <c r="G34" i="76" s="1"/>
  <c r="G34" i="77" s="1"/>
  <c r="H31" i="75"/>
  <c r="H31" i="76" s="1"/>
  <c r="H31" i="77" s="1"/>
  <c r="G31" i="75"/>
  <c r="K33" i="72"/>
  <c r="K33" i="73" s="1"/>
  <c r="K33" i="74" s="1"/>
  <c r="K33" i="75" s="1"/>
  <c r="G33" i="72"/>
  <c r="G33" i="73" s="1"/>
  <c r="G33" i="74" s="1"/>
  <c r="G33" i="75" s="1"/>
  <c r="G33" i="76" s="1"/>
  <c r="G33" i="77" s="1"/>
  <c r="AD3" i="3"/>
  <c r="CH3" i="6"/>
  <c r="E11" i="81"/>
  <c r="L11" i="81" s="1"/>
  <c r="C7" i="1"/>
  <c r="G7" i="1" s="1"/>
  <c r="AU5" i="12"/>
  <c r="AU40" i="12" s="1"/>
  <c r="AT42" i="97" s="1"/>
  <c r="AU17" i="12"/>
  <c r="EL12" i="1"/>
  <c r="EU12" i="1" s="1"/>
  <c r="K35" i="79"/>
  <c r="G35" i="80"/>
  <c r="G35" i="81" s="1"/>
  <c r="G35" i="82" s="1"/>
  <c r="G35" i="84" s="1"/>
  <c r="G35" i="85" s="1"/>
  <c r="G35" i="86" s="1"/>
  <c r="Q40" i="83"/>
  <c r="J13" i="67"/>
  <c r="AT22" i="12"/>
  <c r="AT20" i="12"/>
  <c r="AT13" i="12"/>
  <c r="AT30" i="12"/>
  <c r="AT11" i="12"/>
  <c r="AT15" i="12"/>
  <c r="AT16" i="12"/>
  <c r="M22" i="88"/>
  <c r="AT27" i="12"/>
  <c r="AT24" i="12"/>
  <c r="AT23" i="12"/>
  <c r="AT21" i="12"/>
  <c r="M18" i="84"/>
  <c r="K36" i="79"/>
  <c r="K36" i="80" s="1"/>
  <c r="L36" i="79"/>
  <c r="L36" i="80" s="1"/>
  <c r="AT5" i="12"/>
  <c r="M22" i="73"/>
  <c r="AP42" i="97"/>
  <c r="AT12" i="12"/>
  <c r="Q40" i="96"/>
  <c r="Q40" i="82"/>
  <c r="Q40" i="86"/>
  <c r="Q40" i="84"/>
  <c r="M22" i="83"/>
  <c r="M22" i="96"/>
  <c r="Q40" i="88"/>
  <c r="M21" i="82"/>
  <c r="M21" i="91"/>
  <c r="M22" i="86"/>
  <c r="Q40" i="91"/>
  <c r="M21" i="72"/>
  <c r="M21" i="90"/>
  <c r="Q40" i="92"/>
  <c r="M22" i="72"/>
  <c r="M22" i="92"/>
  <c r="M21" i="92"/>
  <c r="M21" i="88"/>
  <c r="M21" i="42"/>
  <c r="M30" i="42"/>
  <c r="M22" i="95"/>
  <c r="M21" i="84"/>
  <c r="M22" i="90"/>
  <c r="M22" i="82"/>
  <c r="I25" i="82"/>
  <c r="M22" i="87"/>
  <c r="M22" i="89"/>
  <c r="M22" i="74"/>
  <c r="M22" i="71"/>
  <c r="M21" i="74"/>
  <c r="M21" i="71"/>
  <c r="M21" i="73"/>
  <c r="M22" i="94"/>
  <c r="M22" i="69"/>
  <c r="M22" i="85"/>
  <c r="M21" i="95"/>
  <c r="Q40" i="95"/>
  <c r="M22" i="93"/>
  <c r="M21" i="93"/>
  <c r="M22" i="91"/>
  <c r="M21" i="87"/>
  <c r="Q40" i="87"/>
  <c r="M21" i="85"/>
  <c r="M22" i="84"/>
  <c r="M22" i="81"/>
  <c r="M21" i="79"/>
  <c r="N21" i="79" s="1"/>
  <c r="Q40" i="90"/>
  <c r="M22" i="80"/>
  <c r="J52" i="80"/>
  <c r="M21" i="80"/>
  <c r="M22" i="79"/>
  <c r="N22" i="79" s="1"/>
  <c r="M22" i="78"/>
  <c r="N22" i="78" s="1"/>
  <c r="L52" i="78"/>
  <c r="J52" i="78"/>
  <c r="I52" i="78"/>
  <c r="J52" i="79"/>
  <c r="L52" i="79"/>
  <c r="I52" i="79"/>
  <c r="Q40" i="76"/>
  <c r="J23" i="83"/>
  <c r="J23" i="84" s="1"/>
  <c r="J23" i="85" s="1"/>
  <c r="J23" i="86" s="1"/>
  <c r="J23" i="87" s="1"/>
  <c r="J23" i="88" s="1"/>
  <c r="J23" i="89" s="1"/>
  <c r="J23" i="90" s="1"/>
  <c r="J23" i="91" s="1"/>
  <c r="J23" i="92" s="1"/>
  <c r="K31" i="76"/>
  <c r="K31" i="77" s="1"/>
  <c r="H10" i="70"/>
  <c r="H10" i="71" s="1"/>
  <c r="H10" i="72" s="1"/>
  <c r="H10" i="73" s="1"/>
  <c r="H10" i="74" s="1"/>
  <c r="H10" i="75" s="1"/>
  <c r="H10" i="76" s="1"/>
  <c r="H10" i="77" s="1"/>
  <c r="G12" i="70"/>
  <c r="G12" i="71" s="1"/>
  <c r="G12" i="72" s="1"/>
  <c r="G12" i="73" s="1"/>
  <c r="G12" i="74" s="1"/>
  <c r="G12" i="75" s="1"/>
  <c r="G12" i="76" s="1"/>
  <c r="G12" i="77" s="1"/>
  <c r="J12" i="70"/>
  <c r="K12" i="70"/>
  <c r="K12" i="71" s="1"/>
  <c r="K12" i="72" s="1"/>
  <c r="K12" i="73" s="1"/>
  <c r="K12" i="74" s="1"/>
  <c r="K12" i="75" s="1"/>
  <c r="K12" i="76" s="1"/>
  <c r="K12" i="77" s="1"/>
  <c r="N33" i="70"/>
  <c r="N33" i="71" s="1"/>
  <c r="N33" i="72" s="1"/>
  <c r="N33" i="73" s="1"/>
  <c r="N33" i="74" s="1"/>
  <c r="N33" i="75" s="1"/>
  <c r="N33" i="76" s="1"/>
  <c r="N33" i="77" s="1"/>
  <c r="O33" i="70"/>
  <c r="O33" i="71" s="1"/>
  <c r="O33" i="72" s="1"/>
  <c r="O33" i="73" s="1"/>
  <c r="O33" i="74" s="1"/>
  <c r="O33" i="75" s="1"/>
  <c r="O33" i="76" s="1"/>
  <c r="O33" i="77" s="1"/>
  <c r="Q40" i="93"/>
  <c r="G9" i="68"/>
  <c r="G9" i="69" s="1"/>
  <c r="G9" i="70" s="1"/>
  <c r="G13" i="67"/>
  <c r="Q40" i="78"/>
  <c r="Q40" i="85"/>
  <c r="Q40" i="71"/>
  <c r="Q40" i="89"/>
  <c r="Q40" i="69"/>
  <c r="J10" i="74"/>
  <c r="J10" i="75" s="1"/>
  <c r="J10" i="76" s="1"/>
  <c r="G10" i="71"/>
  <c r="Q40" i="94"/>
  <c r="AR8" i="2"/>
  <c r="Q40" i="80"/>
  <c r="Q40" i="81"/>
  <c r="L11" i="80"/>
  <c r="G36" i="79"/>
  <c r="G40" i="79" s="1"/>
  <c r="H36" i="79"/>
  <c r="H40" i="79" s="1"/>
  <c r="Q40" i="74"/>
  <c r="J22" i="78"/>
  <c r="J22" i="79" s="1"/>
  <c r="L22" i="78"/>
  <c r="M18" i="78"/>
  <c r="M34" i="78"/>
  <c r="I21" i="78"/>
  <c r="G18" i="67"/>
  <c r="N35" i="68"/>
  <c r="K14" i="67"/>
  <c r="J14" i="67"/>
  <c r="O35" i="68"/>
  <c r="O40" i="68" s="1"/>
  <c r="K30" i="68"/>
  <c r="K30" i="69" s="1"/>
  <c r="K10" i="69"/>
  <c r="K10" i="70" s="1"/>
  <c r="H9" i="67"/>
  <c r="K9" i="67"/>
  <c r="J9" i="68"/>
  <c r="J9" i="69" s="1"/>
  <c r="H18" i="67"/>
  <c r="EL17" i="1"/>
  <c r="EU17" i="1" s="1"/>
  <c r="BF4" i="6"/>
  <c r="BI4" i="6" s="1"/>
  <c r="AR6" i="2"/>
  <c r="AR9" i="2"/>
  <c r="AR10" i="2"/>
  <c r="AR12" i="2"/>
  <c r="AR4" i="2"/>
  <c r="AR3" i="2"/>
  <c r="AR30" i="2"/>
  <c r="AR29" i="2"/>
  <c r="AR28" i="2"/>
  <c r="AR27" i="2"/>
  <c r="AD29" i="3"/>
  <c r="AD13" i="3"/>
  <c r="BK34" i="6"/>
  <c r="T4" i="6"/>
  <c r="AD28" i="3"/>
  <c r="AE9" i="3"/>
  <c r="AD9" i="3" s="1"/>
  <c r="AE10" i="3"/>
  <c r="AD10" i="3" s="1"/>
  <c r="J24" i="1"/>
  <c r="AD15" i="3"/>
  <c r="AD21" i="3"/>
  <c r="J25" i="1"/>
  <c r="J18" i="1"/>
  <c r="J17" i="1"/>
  <c r="J16" i="1"/>
  <c r="J6" i="1"/>
  <c r="J8" i="1"/>
  <c r="J12" i="1"/>
  <c r="J13" i="1"/>
  <c r="J15" i="1"/>
  <c r="J9" i="1"/>
  <c r="J14" i="1"/>
  <c r="J11" i="1"/>
  <c r="J10" i="1"/>
  <c r="J7" i="1"/>
  <c r="AE6" i="3"/>
  <c r="AD6" i="3" s="1"/>
  <c r="J4" i="1"/>
  <c r="K4" i="1" s="1"/>
  <c r="E24" i="79"/>
  <c r="L24" i="79" s="1"/>
  <c r="X4" i="1"/>
  <c r="R4" i="1"/>
  <c r="EF4" i="1" s="1"/>
  <c r="P4" i="1"/>
  <c r="P5" i="1"/>
  <c r="P6" i="1"/>
  <c r="P7" i="1"/>
  <c r="P8" i="1"/>
  <c r="P9" i="1"/>
  <c r="P10" i="1"/>
  <c r="P11" i="1"/>
  <c r="P12" i="1"/>
  <c r="P13" i="1"/>
  <c r="P14" i="1"/>
  <c r="P15" i="1"/>
  <c r="P24" i="1"/>
  <c r="P25" i="1"/>
  <c r="P26" i="1"/>
  <c r="Q4" i="2"/>
  <c r="U4" i="2" s="1"/>
  <c r="L4" i="2"/>
  <c r="P4" i="2" s="1"/>
  <c r="G31" i="76" l="1"/>
  <c r="G31" i="77" s="1"/>
  <c r="N35" i="69"/>
  <c r="N40" i="69" s="1"/>
  <c r="N40" i="68"/>
  <c r="L40" i="79"/>
  <c r="K40" i="79"/>
  <c r="H35" i="87"/>
  <c r="G35" i="87"/>
  <c r="EL8" i="1"/>
  <c r="EU8" i="1" s="1"/>
  <c r="I33" i="79"/>
  <c r="P33" i="79" s="1"/>
  <c r="W4" i="6"/>
  <c r="AM5" i="12"/>
  <c r="EL4" i="1"/>
  <c r="EV4" i="1" s="1"/>
  <c r="N52" i="68"/>
  <c r="EV12" i="1"/>
  <c r="K35" i="80"/>
  <c r="H52" i="84"/>
  <c r="I52" i="84"/>
  <c r="F52" i="84"/>
  <c r="E52" i="84"/>
  <c r="G52" i="84"/>
  <c r="H52" i="82"/>
  <c r="I52" i="82"/>
  <c r="G52" i="82"/>
  <c r="E52" i="82"/>
  <c r="F52" i="82"/>
  <c r="K33" i="76"/>
  <c r="K33" i="77" s="1"/>
  <c r="E11" i="82"/>
  <c r="E10" i="79"/>
  <c r="L10" i="79" s="1"/>
  <c r="L5" i="2"/>
  <c r="P5" i="2" s="1"/>
  <c r="E12" i="79"/>
  <c r="L12" i="79" s="1"/>
  <c r="EL11" i="1"/>
  <c r="EU11" i="1" s="1"/>
  <c r="M34" i="83"/>
  <c r="J10" i="77"/>
  <c r="EL15" i="1"/>
  <c r="EU15" i="1" s="1"/>
  <c r="EL10" i="1"/>
  <c r="EU10" i="1" s="1"/>
  <c r="AL9" i="12"/>
  <c r="EL22" i="1"/>
  <c r="J12" i="71"/>
  <c r="EL23" i="1"/>
  <c r="EL21" i="1"/>
  <c r="J9" i="70"/>
  <c r="EL26" i="1"/>
  <c r="EU26" i="1" s="1"/>
  <c r="EW26" i="1" s="1"/>
  <c r="EL20" i="1"/>
  <c r="EU20" i="1" s="1"/>
  <c r="EL19" i="1"/>
  <c r="EL14" i="1"/>
  <c r="EU14" i="1" s="1"/>
  <c r="EL16" i="1"/>
  <c r="EL6" i="1"/>
  <c r="K35" i="81"/>
  <c r="L35" i="81"/>
  <c r="M30" i="78"/>
  <c r="O30" i="78" s="1"/>
  <c r="L9" i="78"/>
  <c r="E9" i="79" s="1"/>
  <c r="L9" i="79" s="1"/>
  <c r="E9" i="80" s="1"/>
  <c r="AD25" i="3"/>
  <c r="I25" i="78"/>
  <c r="M21" i="78"/>
  <c r="N21" i="78" s="1"/>
  <c r="M21" i="83"/>
  <c r="I36" i="79"/>
  <c r="P36" i="79" s="1"/>
  <c r="EI4" i="1"/>
  <c r="I19" i="87"/>
  <c r="I19" i="86"/>
  <c r="I19" i="89"/>
  <c r="AD24" i="3"/>
  <c r="J22" i="80"/>
  <c r="J22" i="81" s="1"/>
  <c r="J22" i="82" s="1"/>
  <c r="H18" i="68"/>
  <c r="AB4" i="1"/>
  <c r="X5" i="1" s="1"/>
  <c r="K30" i="70"/>
  <c r="K30" i="71" s="1"/>
  <c r="K30" i="72" s="1"/>
  <c r="K30" i="73" s="1"/>
  <c r="K30" i="74" s="1"/>
  <c r="K30" i="75" s="1"/>
  <c r="K30" i="76" s="1"/>
  <c r="K30" i="77" s="1"/>
  <c r="I18" i="72"/>
  <c r="I25" i="72" s="1"/>
  <c r="M34" i="72"/>
  <c r="G10" i="72"/>
  <c r="G10" i="73" s="1"/>
  <c r="G10" i="74" s="1"/>
  <c r="G10" i="75" s="1"/>
  <c r="G10" i="76" s="1"/>
  <c r="G10" i="77" s="1"/>
  <c r="H9" i="68"/>
  <c r="H9" i="69" s="1"/>
  <c r="H9" i="70" s="1"/>
  <c r="AL5" i="1"/>
  <c r="G36" i="80"/>
  <c r="G40" i="80" s="1"/>
  <c r="H36" i="80"/>
  <c r="H40" i="80" s="1"/>
  <c r="K10" i="71"/>
  <c r="J23" i="93"/>
  <c r="I18" i="93"/>
  <c r="M34" i="93"/>
  <c r="M34" i="92"/>
  <c r="I18" i="92"/>
  <c r="M34" i="88"/>
  <c r="I18" i="88"/>
  <c r="M18" i="88" s="1"/>
  <c r="L11" i="82"/>
  <c r="M34" i="80"/>
  <c r="I18" i="80"/>
  <c r="J18" i="78"/>
  <c r="L18" i="78"/>
  <c r="J21" i="78"/>
  <c r="J21" i="79" s="1"/>
  <c r="J21" i="80" s="1"/>
  <c r="J21" i="81" s="1"/>
  <c r="J21" i="82" s="1"/>
  <c r="J21" i="83" s="1"/>
  <c r="N34" i="78"/>
  <c r="P34" i="78"/>
  <c r="W4" i="1"/>
  <c r="K14" i="68"/>
  <c r="K16" i="67"/>
  <c r="N35" i="70"/>
  <c r="N40" i="70" s="1"/>
  <c r="J14" i="68"/>
  <c r="J16" i="67"/>
  <c r="O35" i="69"/>
  <c r="G18" i="68"/>
  <c r="I18" i="71"/>
  <c r="M18" i="71" s="1"/>
  <c r="M34" i="71"/>
  <c r="M34" i="69"/>
  <c r="I18" i="69"/>
  <c r="I25" i="69" s="1"/>
  <c r="L30" i="68"/>
  <c r="L30" i="69" s="1"/>
  <c r="G9" i="71"/>
  <c r="G9" i="72" s="1"/>
  <c r="K9" i="68"/>
  <c r="K9" i="69" s="1"/>
  <c r="K9" i="70" s="1"/>
  <c r="AL27" i="12"/>
  <c r="K34" i="67"/>
  <c r="K34" i="68" s="1"/>
  <c r="K34" i="69" s="1"/>
  <c r="L34" i="67"/>
  <c r="L34" i="68" s="1"/>
  <c r="L34" i="69" s="1"/>
  <c r="AL7" i="12"/>
  <c r="AL22" i="12"/>
  <c r="AL21" i="12"/>
  <c r="AF3" i="3"/>
  <c r="AC4" i="3" s="1"/>
  <c r="AL16" i="12"/>
  <c r="C4" i="2"/>
  <c r="G4" i="2" s="1"/>
  <c r="AL15" i="12"/>
  <c r="AL18" i="12"/>
  <c r="AL17" i="12"/>
  <c r="AL13" i="12"/>
  <c r="AL5" i="12"/>
  <c r="AL12" i="12"/>
  <c r="AL30" i="12"/>
  <c r="L4" i="1"/>
  <c r="EB4" i="1" s="1"/>
  <c r="EE4" i="1" s="1"/>
  <c r="AL11" i="12"/>
  <c r="AL23" i="12"/>
  <c r="AH25" i="3"/>
  <c r="AH28" i="3"/>
  <c r="AL24" i="12"/>
  <c r="AL20" i="12"/>
  <c r="J5" i="1"/>
  <c r="C8" i="1"/>
  <c r="G8" i="1" s="1"/>
  <c r="EJ4" i="1"/>
  <c r="BJ4" i="6"/>
  <c r="BM4" i="6" s="1"/>
  <c r="CD4" i="6" s="1"/>
  <c r="AH5" i="3"/>
  <c r="AH7" i="3"/>
  <c r="AH3" i="3"/>
  <c r="J28" i="1"/>
  <c r="J29" i="1"/>
  <c r="J30" i="1"/>
  <c r="E24" i="80" l="1"/>
  <c r="L24" i="80" s="1"/>
  <c r="O35" i="70"/>
  <c r="O40" i="70" s="1"/>
  <c r="O40" i="69"/>
  <c r="G35" i="88"/>
  <c r="H35" i="88"/>
  <c r="EV8" i="1"/>
  <c r="I18" i="83"/>
  <c r="M18" i="83" s="1"/>
  <c r="G52" i="83" s="1"/>
  <c r="EU4" i="1"/>
  <c r="M34" i="79"/>
  <c r="K40" i="80"/>
  <c r="L40" i="80"/>
  <c r="L36" i="81"/>
  <c r="L40" i="81" s="1"/>
  <c r="CH4" i="6"/>
  <c r="H5" i="6"/>
  <c r="I5" i="6" s="1"/>
  <c r="CE4" i="6"/>
  <c r="AB5" i="1"/>
  <c r="X6" i="1" s="1"/>
  <c r="G52" i="88"/>
  <c r="F52" i="88"/>
  <c r="H52" i="88"/>
  <c r="E52" i="88"/>
  <c r="I52" i="88"/>
  <c r="G52" i="71"/>
  <c r="F52" i="71"/>
  <c r="E52" i="71"/>
  <c r="H52" i="71"/>
  <c r="I52" i="71"/>
  <c r="N52" i="84"/>
  <c r="N52" i="82"/>
  <c r="E11" i="83"/>
  <c r="L11" i="83" s="1"/>
  <c r="I18" i="67"/>
  <c r="M18" i="67" s="1"/>
  <c r="EU23" i="1"/>
  <c r="M34" i="94"/>
  <c r="EU19" i="1"/>
  <c r="M34" i="42"/>
  <c r="EU22" i="1"/>
  <c r="EV6" i="1"/>
  <c r="EU6" i="1"/>
  <c r="I18" i="96"/>
  <c r="M18" i="96" s="1"/>
  <c r="EU21" i="1"/>
  <c r="EV11" i="1"/>
  <c r="I18" i="91"/>
  <c r="M18" i="91" s="1"/>
  <c r="EU16" i="1"/>
  <c r="M34" i="73"/>
  <c r="EU29" i="1"/>
  <c r="EW29" i="1" s="1"/>
  <c r="M34" i="85"/>
  <c r="EV10" i="1"/>
  <c r="I18" i="90"/>
  <c r="M18" i="90" s="1"/>
  <c r="EV15" i="1"/>
  <c r="I18" i="89"/>
  <c r="EV14" i="1"/>
  <c r="M34" i="90"/>
  <c r="M34" i="67"/>
  <c r="J12" i="72"/>
  <c r="J12" i="73" s="1"/>
  <c r="J12" i="74" s="1"/>
  <c r="J12" i="75" s="1"/>
  <c r="J12" i="76" s="1"/>
  <c r="I18" i="42"/>
  <c r="M18" i="42" s="1"/>
  <c r="AH19" i="3"/>
  <c r="M34" i="91"/>
  <c r="I18" i="94"/>
  <c r="M18" i="94" s="1"/>
  <c r="AH21" i="3"/>
  <c r="M34" i="96"/>
  <c r="I18" i="73"/>
  <c r="I25" i="73" s="1"/>
  <c r="I25" i="80"/>
  <c r="M18" i="80" s="1"/>
  <c r="I52" i="80" s="1"/>
  <c r="P30" i="78"/>
  <c r="L25" i="78"/>
  <c r="K36" i="81"/>
  <c r="K40" i="81" s="1"/>
  <c r="I25" i="92"/>
  <c r="M18" i="92"/>
  <c r="K35" i="82"/>
  <c r="L35" i="82"/>
  <c r="N36" i="71"/>
  <c r="I25" i="93"/>
  <c r="M18" i="93"/>
  <c r="M18" i="69"/>
  <c r="E14" i="79"/>
  <c r="L14" i="79" s="1"/>
  <c r="M18" i="72"/>
  <c r="I25" i="71"/>
  <c r="O30" i="79"/>
  <c r="J25" i="78"/>
  <c r="E15" i="79"/>
  <c r="L15" i="79" s="1"/>
  <c r="BJ5" i="6"/>
  <c r="BM5" i="6" s="1"/>
  <c r="I35" i="79"/>
  <c r="I19" i="85"/>
  <c r="I18" i="79"/>
  <c r="M18" i="79" s="1"/>
  <c r="N34" i="79"/>
  <c r="N34" i="80" s="1"/>
  <c r="H18" i="69"/>
  <c r="J22" i="83"/>
  <c r="J22" i="84" s="1"/>
  <c r="J22" i="85" s="1"/>
  <c r="J22" i="86" s="1"/>
  <c r="J22" i="87" s="1"/>
  <c r="J22" i="88" s="1"/>
  <c r="J22" i="89" s="1"/>
  <c r="R5" i="1"/>
  <c r="AO5" i="1"/>
  <c r="I34" i="79"/>
  <c r="P34" i="79" s="1"/>
  <c r="K34" i="70"/>
  <c r="K34" i="71" s="1"/>
  <c r="K34" i="72" s="1"/>
  <c r="K34" i="73" s="1"/>
  <c r="K34" i="74" s="1"/>
  <c r="K34" i="75" s="1"/>
  <c r="K34" i="76" s="1"/>
  <c r="I18" i="70"/>
  <c r="M18" i="70" s="1"/>
  <c r="M34" i="70"/>
  <c r="L34" i="70"/>
  <c r="L34" i="71" s="1"/>
  <c r="L34" i="72" s="1"/>
  <c r="L34" i="73" s="1"/>
  <c r="L34" i="74" s="1"/>
  <c r="L34" i="75" s="1"/>
  <c r="L34" i="76" s="1"/>
  <c r="L34" i="77" s="1"/>
  <c r="L30" i="70"/>
  <c r="L30" i="71" s="1"/>
  <c r="L30" i="72" s="1"/>
  <c r="L30" i="73" s="1"/>
  <c r="L30" i="74" s="1"/>
  <c r="L30" i="75" s="1"/>
  <c r="L30" i="76" s="1"/>
  <c r="L30" i="77" s="1"/>
  <c r="K10" i="72"/>
  <c r="K10" i="73" s="1"/>
  <c r="K10" i="74" s="1"/>
  <c r="K10" i="75" s="1"/>
  <c r="K10" i="76" s="1"/>
  <c r="K10" i="77" s="1"/>
  <c r="G36" i="81"/>
  <c r="G40" i="81" s="1"/>
  <c r="Q4" i="1"/>
  <c r="H36" i="81"/>
  <c r="H40" i="81" s="1"/>
  <c r="J23" i="94"/>
  <c r="I18" i="95"/>
  <c r="M34" i="95"/>
  <c r="M34" i="81"/>
  <c r="I18" i="81"/>
  <c r="I31" i="79"/>
  <c r="P31" i="79" s="1"/>
  <c r="E10" i="80"/>
  <c r="L10" i="80" s="1"/>
  <c r="F52" i="78"/>
  <c r="G52" i="78"/>
  <c r="E52" i="78"/>
  <c r="H52" i="78"/>
  <c r="N30" i="78"/>
  <c r="EM4" i="1"/>
  <c r="E18" i="79"/>
  <c r="Q5" i="2"/>
  <c r="U5" i="2" s="1"/>
  <c r="C5" i="2"/>
  <c r="G5" i="2" s="1"/>
  <c r="J14" i="69"/>
  <c r="J14" i="70" s="1"/>
  <c r="J16" i="70" s="1"/>
  <c r="J16" i="68"/>
  <c r="G18" i="69"/>
  <c r="K14" i="69"/>
  <c r="K14" i="70" s="1"/>
  <c r="K16" i="70" s="1"/>
  <c r="K16" i="68"/>
  <c r="G9" i="73"/>
  <c r="G9" i="74" s="1"/>
  <c r="G9" i="75" s="1"/>
  <c r="H9" i="71"/>
  <c r="H9" i="72" s="1"/>
  <c r="J9" i="71"/>
  <c r="AH20" i="3"/>
  <c r="AH8" i="3"/>
  <c r="AH6" i="3"/>
  <c r="AF4" i="3"/>
  <c r="AC5" i="3" s="1"/>
  <c r="AH23" i="3"/>
  <c r="C4" i="3"/>
  <c r="G4" i="3" s="1"/>
  <c r="H4" i="2"/>
  <c r="K4" i="2" s="1"/>
  <c r="AH18" i="3"/>
  <c r="AH16" i="3"/>
  <c r="AH17" i="3"/>
  <c r="AH15" i="3"/>
  <c r="AH14" i="3"/>
  <c r="AH11" i="3"/>
  <c r="AH4" i="3"/>
  <c r="AH26" i="3"/>
  <c r="AH9" i="3"/>
  <c r="T5" i="6"/>
  <c r="AH13" i="3"/>
  <c r="AH27" i="3"/>
  <c r="AH22" i="3"/>
  <c r="AH29" i="3"/>
  <c r="AH24" i="3"/>
  <c r="L6" i="2"/>
  <c r="P6" i="2" s="1"/>
  <c r="C9" i="1"/>
  <c r="G9" i="1" s="1"/>
  <c r="BF5" i="6"/>
  <c r="E24" i="81" l="1"/>
  <c r="L24" i="81" s="1"/>
  <c r="F52" i="83"/>
  <c r="I40" i="79"/>
  <c r="P35" i="79"/>
  <c r="P40" i="79" s="1"/>
  <c r="I25" i="83"/>
  <c r="H35" i="89"/>
  <c r="G35" i="89"/>
  <c r="I52" i="83"/>
  <c r="H5" i="1"/>
  <c r="E52" i="83"/>
  <c r="N52" i="83" s="1"/>
  <c r="H52" i="83"/>
  <c r="I25" i="91"/>
  <c r="L16" i="79"/>
  <c r="CH5" i="6"/>
  <c r="H6" i="6"/>
  <c r="I6" i="6" s="1"/>
  <c r="BI5" i="6"/>
  <c r="CD5" i="6" s="1"/>
  <c r="EF5" i="1"/>
  <c r="EI5" i="1" s="1"/>
  <c r="AB6" i="1"/>
  <c r="X7" i="1" s="1"/>
  <c r="N52" i="71"/>
  <c r="N52" i="88"/>
  <c r="G52" i="69"/>
  <c r="F52" i="69"/>
  <c r="H52" i="69"/>
  <c r="E52" i="69"/>
  <c r="I52" i="69"/>
  <c r="G52" i="42"/>
  <c r="F52" i="42"/>
  <c r="H52" i="42"/>
  <c r="E52" i="42"/>
  <c r="I52" i="42"/>
  <c r="G52" i="93"/>
  <c r="F52" i="93"/>
  <c r="E52" i="93"/>
  <c r="H52" i="93"/>
  <c r="I52" i="93"/>
  <c r="G52" i="92"/>
  <c r="H52" i="92"/>
  <c r="F52" i="92"/>
  <c r="E52" i="92"/>
  <c r="I52" i="92"/>
  <c r="G52" i="96"/>
  <c r="F52" i="96"/>
  <c r="E52" i="96"/>
  <c r="H52" i="96"/>
  <c r="I52" i="96"/>
  <c r="G52" i="72"/>
  <c r="E52" i="72"/>
  <c r="F52" i="72"/>
  <c r="H52" i="72"/>
  <c r="I52" i="72"/>
  <c r="G52" i="94"/>
  <c r="H52" i="94"/>
  <c r="F52" i="94"/>
  <c r="E52" i="94"/>
  <c r="I52" i="94"/>
  <c r="G52" i="90"/>
  <c r="F52" i="90"/>
  <c r="H52" i="90"/>
  <c r="E52" i="90"/>
  <c r="I52" i="90"/>
  <c r="G52" i="67"/>
  <c r="F52" i="67"/>
  <c r="E52" i="67"/>
  <c r="H52" i="67"/>
  <c r="I52" i="67"/>
  <c r="G52" i="91"/>
  <c r="H52" i="91"/>
  <c r="F52" i="91"/>
  <c r="E52" i="91"/>
  <c r="I52" i="91"/>
  <c r="I25" i="96"/>
  <c r="H52" i="80"/>
  <c r="G52" i="80"/>
  <c r="F52" i="80"/>
  <c r="E11" i="84"/>
  <c r="L11" i="84" s="1"/>
  <c r="C10" i="1"/>
  <c r="G10" i="1" s="1"/>
  <c r="Q6" i="2"/>
  <c r="U6" i="2" s="1"/>
  <c r="I25" i="90"/>
  <c r="K34" i="77"/>
  <c r="J12" i="77"/>
  <c r="K36" i="82"/>
  <c r="K40" i="82" s="1"/>
  <c r="J22" i="90"/>
  <c r="J22" i="91" s="1"/>
  <c r="J22" i="92" s="1"/>
  <c r="J22" i="93" s="1"/>
  <c r="J22" i="94" s="1"/>
  <c r="J22" i="95" s="1"/>
  <c r="J22" i="96" s="1"/>
  <c r="J22" i="42" s="1"/>
  <c r="J22" i="67" s="1"/>
  <c r="J22" i="68" s="1"/>
  <c r="J22" i="69" s="1"/>
  <c r="J22" i="70" s="1"/>
  <c r="M18" i="81"/>
  <c r="I25" i="81"/>
  <c r="M21" i="81" s="1"/>
  <c r="I25" i="42"/>
  <c r="L36" i="82"/>
  <c r="I25" i="95"/>
  <c r="M18" i="95"/>
  <c r="I25" i="94"/>
  <c r="M18" i="73"/>
  <c r="E52" i="80"/>
  <c r="K35" i="83"/>
  <c r="L35" i="83"/>
  <c r="N36" i="72"/>
  <c r="I25" i="79"/>
  <c r="F52" i="79"/>
  <c r="I25" i="70"/>
  <c r="H18" i="70"/>
  <c r="C6" i="2"/>
  <c r="G6" i="2" s="1"/>
  <c r="N30" i="79"/>
  <c r="N30" i="80" s="1"/>
  <c r="I30" i="79"/>
  <c r="P30" i="79" s="1"/>
  <c r="I36" i="80"/>
  <c r="M34" i="87"/>
  <c r="I18" i="87"/>
  <c r="M18" i="87" s="1"/>
  <c r="AH12" i="3"/>
  <c r="M34" i="86"/>
  <c r="I18" i="86"/>
  <c r="M18" i="86" s="1"/>
  <c r="I18" i="85"/>
  <c r="AH10" i="3"/>
  <c r="M18" i="89"/>
  <c r="M34" i="89"/>
  <c r="E19" i="86"/>
  <c r="L19" i="86" s="1"/>
  <c r="EO12" i="1"/>
  <c r="K19" i="85"/>
  <c r="K19" i="86" s="1"/>
  <c r="K19" i="87" s="1"/>
  <c r="K19" i="88" s="1"/>
  <c r="K19" i="89" s="1"/>
  <c r="K19" i="90" s="1"/>
  <c r="K19" i="91" s="1"/>
  <c r="K19" i="92" s="1"/>
  <c r="K19" i="93" s="1"/>
  <c r="K19" i="94" s="1"/>
  <c r="K19" i="95" s="1"/>
  <c r="K19" i="96" s="1"/>
  <c r="K19" i="42" s="1"/>
  <c r="K19" i="67" s="1"/>
  <c r="K19" i="68" s="1"/>
  <c r="K19" i="69" s="1"/>
  <c r="K19" i="70" s="1"/>
  <c r="K19" i="71" s="1"/>
  <c r="K19" i="72" s="1"/>
  <c r="K19" i="73" s="1"/>
  <c r="K19" i="74" s="1"/>
  <c r="J19" i="85"/>
  <c r="J19" i="86" s="1"/>
  <c r="J19" i="87" s="1"/>
  <c r="L19" i="85"/>
  <c r="I35" i="80"/>
  <c r="P35" i="80" s="1"/>
  <c r="BJ6" i="6"/>
  <c r="BM6" i="6" s="1"/>
  <c r="J18" i="79"/>
  <c r="J25" i="79" s="1"/>
  <c r="J21" i="84"/>
  <c r="W5" i="1"/>
  <c r="R6" i="1" s="1"/>
  <c r="G18" i="70"/>
  <c r="EJ5" i="1"/>
  <c r="EM5" i="1" s="1"/>
  <c r="EJ6" i="1" s="1"/>
  <c r="L5" i="1"/>
  <c r="J9" i="72"/>
  <c r="J9" i="73" s="1"/>
  <c r="J9" i="74" s="1"/>
  <c r="AL6" i="1"/>
  <c r="G36" i="82"/>
  <c r="G40" i="82" s="1"/>
  <c r="H36" i="82"/>
  <c r="H40" i="82" s="1"/>
  <c r="J23" i="95"/>
  <c r="L7" i="2"/>
  <c r="P7" i="2" s="1"/>
  <c r="E10" i="81"/>
  <c r="L10" i="81" s="1"/>
  <c r="N34" i="81"/>
  <c r="N34" i="82" s="1"/>
  <c r="N34" i="83" s="1"/>
  <c r="N34" i="84" s="1"/>
  <c r="M52" i="78"/>
  <c r="I33" i="80"/>
  <c r="P33" i="80" s="1"/>
  <c r="I31" i="80"/>
  <c r="P31" i="80" s="1"/>
  <c r="E12" i="80"/>
  <c r="L12" i="80" s="1"/>
  <c r="L9" i="80"/>
  <c r="E9" i="81" s="1"/>
  <c r="L9" i="81" s="1"/>
  <c r="E9" i="82" s="1"/>
  <c r="C5" i="3"/>
  <c r="E22" i="79"/>
  <c r="L18" i="79"/>
  <c r="E13" i="79"/>
  <c r="L13" i="79" s="1"/>
  <c r="G9" i="76"/>
  <c r="G9" i="77" s="1"/>
  <c r="K16" i="69"/>
  <c r="O35" i="71"/>
  <c r="O40" i="71" s="1"/>
  <c r="N35" i="71"/>
  <c r="N40" i="71" s="1"/>
  <c r="J16" i="69"/>
  <c r="K9" i="71"/>
  <c r="K9" i="72" s="1"/>
  <c r="H9" i="73"/>
  <c r="H9" i="74" s="1"/>
  <c r="H9" i="75" s="1"/>
  <c r="N31" i="67"/>
  <c r="N31" i="68" s="1"/>
  <c r="N31" i="69" s="1"/>
  <c r="O31" i="67"/>
  <c r="O31" i="68" s="1"/>
  <c r="O31" i="69" s="1"/>
  <c r="AF5" i="3"/>
  <c r="AC6" i="3" s="1"/>
  <c r="K3" i="3"/>
  <c r="H4" i="3" s="1"/>
  <c r="E23" i="79" s="1"/>
  <c r="L23" i="79" s="1"/>
  <c r="H5" i="2"/>
  <c r="K5" i="2" s="1"/>
  <c r="W5" i="6"/>
  <c r="G5" i="3" l="1"/>
  <c r="C6" i="3" s="1"/>
  <c r="G35" i="90"/>
  <c r="H35" i="90"/>
  <c r="K5" i="1"/>
  <c r="H6" i="1" s="1"/>
  <c r="K36" i="83"/>
  <c r="K40" i="83" s="1"/>
  <c r="L36" i="83"/>
  <c r="L40" i="83" s="1"/>
  <c r="L40" i="82"/>
  <c r="P36" i="80"/>
  <c r="P40" i="80" s="1"/>
  <c r="I40" i="80"/>
  <c r="N52" i="72"/>
  <c r="N52" i="96"/>
  <c r="N52" i="42"/>
  <c r="EB5" i="1"/>
  <c r="EE5" i="1" s="1"/>
  <c r="EF6" i="1"/>
  <c r="EI6" i="1" s="1"/>
  <c r="AB7" i="1"/>
  <c r="X8" i="1" s="1"/>
  <c r="N52" i="92"/>
  <c r="K35" i="84"/>
  <c r="N52" i="94"/>
  <c r="N52" i="69"/>
  <c r="N52" i="67"/>
  <c r="N52" i="93"/>
  <c r="N52" i="91"/>
  <c r="N52" i="90"/>
  <c r="G52" i="73"/>
  <c r="H52" i="73"/>
  <c r="E52" i="73"/>
  <c r="F52" i="73"/>
  <c r="I52" i="73"/>
  <c r="G52" i="89"/>
  <c r="F52" i="89"/>
  <c r="H52" i="89"/>
  <c r="E52" i="89"/>
  <c r="I52" i="89"/>
  <c r="G52" i="87"/>
  <c r="H52" i="87"/>
  <c r="F52" i="87"/>
  <c r="E52" i="87"/>
  <c r="I52" i="87"/>
  <c r="G52" i="95"/>
  <c r="E52" i="95"/>
  <c r="F52" i="95"/>
  <c r="H52" i="95"/>
  <c r="I52" i="95"/>
  <c r="G52" i="70"/>
  <c r="F52" i="70"/>
  <c r="H52" i="70"/>
  <c r="I52" i="70"/>
  <c r="E52" i="70"/>
  <c r="G52" i="86"/>
  <c r="F52" i="86"/>
  <c r="E52" i="86"/>
  <c r="H52" i="86"/>
  <c r="I52" i="86"/>
  <c r="G52" i="81"/>
  <c r="F52" i="81"/>
  <c r="H52" i="81"/>
  <c r="E52" i="81"/>
  <c r="I52" i="81"/>
  <c r="E11" i="85"/>
  <c r="L11" i="85" s="1"/>
  <c r="C11" i="1"/>
  <c r="G11" i="1" s="1"/>
  <c r="E12" i="81"/>
  <c r="L12" i="81" s="1"/>
  <c r="Q7" i="2"/>
  <c r="U7" i="2" s="1"/>
  <c r="L35" i="84"/>
  <c r="N36" i="73"/>
  <c r="O36" i="73"/>
  <c r="O36" i="74" s="1"/>
  <c r="O36" i="75" s="1"/>
  <c r="N35" i="72"/>
  <c r="N40" i="72" s="1"/>
  <c r="O35" i="72"/>
  <c r="O40" i="72" s="1"/>
  <c r="J19" i="88"/>
  <c r="J19" i="89" s="1"/>
  <c r="J19" i="90" s="1"/>
  <c r="J19" i="91" s="1"/>
  <c r="J19" i="92" s="1"/>
  <c r="J19" i="93" s="1"/>
  <c r="J19" i="94" s="1"/>
  <c r="J19" i="95" s="1"/>
  <c r="J19" i="96" s="1"/>
  <c r="J19" i="42" s="1"/>
  <c r="J19" i="67" s="1"/>
  <c r="J19" i="68" s="1"/>
  <c r="J19" i="69" s="1"/>
  <c r="J19" i="70" s="1"/>
  <c r="J19" i="71" s="1"/>
  <c r="J19" i="72" s="1"/>
  <c r="J19" i="73" s="1"/>
  <c r="J19" i="74" s="1"/>
  <c r="C7" i="2"/>
  <c r="G7" i="2" s="1"/>
  <c r="M18" i="85"/>
  <c r="I25" i="85"/>
  <c r="H18" i="71"/>
  <c r="I25" i="89"/>
  <c r="I25" i="86"/>
  <c r="I25" i="87"/>
  <c r="E25" i="79"/>
  <c r="L9" i="82"/>
  <c r="E9" i="83" s="1"/>
  <c r="L9" i="83" s="1"/>
  <c r="J21" i="85"/>
  <c r="J21" i="86" s="1"/>
  <c r="J21" i="87" s="1"/>
  <c r="J21" i="88" s="1"/>
  <c r="J21" i="89" s="1"/>
  <c r="J21" i="90" s="1"/>
  <c r="J21" i="91" s="1"/>
  <c r="J21" i="92" s="1"/>
  <c r="J21" i="93" s="1"/>
  <c r="J21" i="94" s="1"/>
  <c r="J21" i="95" s="1"/>
  <c r="J21" i="96" s="1"/>
  <c r="J21" i="42" s="1"/>
  <c r="J21" i="67" s="1"/>
  <c r="J21" i="68" s="1"/>
  <c r="J21" i="69" s="1"/>
  <c r="J21" i="70" s="1"/>
  <c r="J21" i="71" s="1"/>
  <c r="J21" i="72" s="1"/>
  <c r="I30" i="80"/>
  <c r="P30" i="80" s="1"/>
  <c r="N30" i="81"/>
  <c r="N30" i="82" s="1"/>
  <c r="N30" i="83" s="1"/>
  <c r="N30" i="84" s="1"/>
  <c r="N30" i="85" s="1"/>
  <c r="N30" i="86" s="1"/>
  <c r="N30" i="87" s="1"/>
  <c r="N30" i="88" s="1"/>
  <c r="N30" i="89" s="1"/>
  <c r="N34" i="85"/>
  <c r="N34" i="86" s="1"/>
  <c r="N34" i="87" s="1"/>
  <c r="N34" i="88" s="1"/>
  <c r="N34" i="89" s="1"/>
  <c r="N34" i="90" s="1"/>
  <c r="N34" i="91" s="1"/>
  <c r="N34" i="92" s="1"/>
  <c r="N34" i="93" s="1"/>
  <c r="N34" i="94" s="1"/>
  <c r="N34" i="95" s="1"/>
  <c r="N34" i="96" s="1"/>
  <c r="N34" i="42" s="1"/>
  <c r="ER12" i="1"/>
  <c r="EO13" i="1" s="1"/>
  <c r="E19" i="87"/>
  <c r="L19" i="87" s="1"/>
  <c r="H52" i="79"/>
  <c r="G52" i="79"/>
  <c r="J18" i="80"/>
  <c r="J25" i="80" s="1"/>
  <c r="I35" i="81"/>
  <c r="P35" i="81" s="1"/>
  <c r="BJ7" i="6"/>
  <c r="BM7" i="6" s="1"/>
  <c r="E52" i="79"/>
  <c r="W6" i="1"/>
  <c r="R7" i="1" s="1"/>
  <c r="Q5" i="1"/>
  <c r="L6" i="1" s="1"/>
  <c r="I34" i="80"/>
  <c r="P34" i="80" s="1"/>
  <c r="E18" i="80"/>
  <c r="L18" i="80" s="1"/>
  <c r="E15" i="80"/>
  <c r="L15" i="80" s="1"/>
  <c r="AO6" i="1"/>
  <c r="O31" i="70"/>
  <c r="O31" i="71" s="1"/>
  <c r="O31" i="72" s="1"/>
  <c r="O31" i="73" s="1"/>
  <c r="O31" i="74" s="1"/>
  <c r="O31" i="75" s="1"/>
  <c r="O31" i="76" s="1"/>
  <c r="O31" i="77" s="1"/>
  <c r="N31" i="70"/>
  <c r="N31" i="71" s="1"/>
  <c r="N31" i="72" s="1"/>
  <c r="N31" i="73" s="1"/>
  <c r="N31" i="74" s="1"/>
  <c r="N31" i="75" s="1"/>
  <c r="N31" i="76" s="1"/>
  <c r="N31" i="77" s="1"/>
  <c r="E24" i="82"/>
  <c r="L24" i="82" s="1"/>
  <c r="G40" i="83"/>
  <c r="K36" i="84"/>
  <c r="L22" i="79"/>
  <c r="L25" i="79" s="1"/>
  <c r="H40" i="83"/>
  <c r="J23" i="96"/>
  <c r="EM6" i="1"/>
  <c r="EJ7" i="1" s="1"/>
  <c r="E18" i="81"/>
  <c r="L18" i="81" s="1"/>
  <c r="I34" i="81"/>
  <c r="P34" i="81" s="1"/>
  <c r="L8" i="2"/>
  <c r="P8" i="2" s="1"/>
  <c r="E10" i="82"/>
  <c r="L10" i="82" s="1"/>
  <c r="N52" i="80"/>
  <c r="E13" i="80"/>
  <c r="L13" i="80" s="1"/>
  <c r="E22" i="80"/>
  <c r="E16" i="79"/>
  <c r="H9" i="76"/>
  <c r="K14" i="71"/>
  <c r="K14" i="72" s="1"/>
  <c r="K16" i="72" s="1"/>
  <c r="J9" i="75"/>
  <c r="G18" i="71"/>
  <c r="J14" i="71"/>
  <c r="J14" i="72" s="1"/>
  <c r="J16" i="72" s="1"/>
  <c r="K9" i="73"/>
  <c r="K9" i="74" s="1"/>
  <c r="AF6" i="3"/>
  <c r="AC7" i="3" s="1"/>
  <c r="K4" i="3"/>
  <c r="H5" i="3" s="1"/>
  <c r="E23" i="80" s="1"/>
  <c r="L23" i="80" s="1"/>
  <c r="H6" i="2"/>
  <c r="K6" i="2" s="1"/>
  <c r="T6" i="6"/>
  <c r="I33" i="81" s="1"/>
  <c r="P33" i="81" s="1"/>
  <c r="BF6" i="6"/>
  <c r="CE5" i="6"/>
  <c r="E22" i="81" l="1"/>
  <c r="G6" i="3"/>
  <c r="C7" i="3" s="1"/>
  <c r="G7" i="3" s="1"/>
  <c r="K40" i="84"/>
  <c r="E22" i="82"/>
  <c r="E24" i="83"/>
  <c r="L24" i="83" s="1"/>
  <c r="K35" i="85"/>
  <c r="K35" i="86" s="1"/>
  <c r="L35" i="85"/>
  <c r="L35" i="86" s="1"/>
  <c r="L35" i="87" s="1"/>
  <c r="N52" i="73"/>
  <c r="H35" i="91"/>
  <c r="G35" i="91"/>
  <c r="K6" i="1"/>
  <c r="H7" i="1" s="1"/>
  <c r="K7" i="1" s="1"/>
  <c r="H8" i="1" s="1"/>
  <c r="K8" i="1" s="1"/>
  <c r="H9" i="1" s="1"/>
  <c r="K9" i="1" s="1"/>
  <c r="L36" i="84"/>
  <c r="L40" i="84" s="1"/>
  <c r="CH6" i="6"/>
  <c r="H7" i="6"/>
  <c r="I7" i="6" s="1"/>
  <c r="BI6" i="6"/>
  <c r="CD6" i="6" s="1"/>
  <c r="E15" i="81"/>
  <c r="L15" i="81" s="1"/>
  <c r="EB6" i="1"/>
  <c r="EE6" i="1" s="1"/>
  <c r="AB8" i="1"/>
  <c r="X9" i="1" s="1"/>
  <c r="N52" i="70"/>
  <c r="N52" i="87"/>
  <c r="N52" i="95"/>
  <c r="N52" i="89"/>
  <c r="N52" i="86"/>
  <c r="G52" i="85"/>
  <c r="F52" i="85"/>
  <c r="E52" i="85"/>
  <c r="H52" i="85"/>
  <c r="I52" i="85"/>
  <c r="N52" i="81"/>
  <c r="Q8" i="2"/>
  <c r="E12" i="82"/>
  <c r="L12" i="82" s="1"/>
  <c r="E11" i="86"/>
  <c r="L11" i="86" s="1"/>
  <c r="C12" i="1"/>
  <c r="G12" i="1" s="1"/>
  <c r="C8" i="2"/>
  <c r="N36" i="74"/>
  <c r="E25" i="80"/>
  <c r="I30" i="81"/>
  <c r="P30" i="81" s="1"/>
  <c r="H7" i="2"/>
  <c r="K7" i="2" s="1"/>
  <c r="H18" i="72"/>
  <c r="N30" i="90"/>
  <c r="N30" i="91" s="1"/>
  <c r="N30" i="92" s="1"/>
  <c r="N30" i="93" s="1"/>
  <c r="N30" i="94" s="1"/>
  <c r="N30" i="95" s="1"/>
  <c r="N30" i="96" s="1"/>
  <c r="N30" i="42" s="1"/>
  <c r="N30" i="67" s="1"/>
  <c r="N30" i="68" s="1"/>
  <c r="N30" i="69" s="1"/>
  <c r="N30" i="70" s="1"/>
  <c r="N30" i="71" s="1"/>
  <c r="N30" i="72" s="1"/>
  <c r="N30" i="73" s="1"/>
  <c r="N30" i="74" s="1"/>
  <c r="E9" i="84"/>
  <c r="L9" i="84" s="1"/>
  <c r="I36" i="81"/>
  <c r="M52" i="79"/>
  <c r="ER13" i="1"/>
  <c r="EO14" i="1" s="1"/>
  <c r="E19" i="88"/>
  <c r="L19" i="88" s="1"/>
  <c r="J18" i="81"/>
  <c r="J25" i="81" s="1"/>
  <c r="I35" i="82"/>
  <c r="P35" i="82" s="1"/>
  <c r="BJ8" i="6"/>
  <c r="BM8" i="6" s="1"/>
  <c r="W7" i="1"/>
  <c r="R8" i="1" s="1"/>
  <c r="Q6" i="1"/>
  <c r="L7" i="1" s="1"/>
  <c r="EB7" i="1" s="1"/>
  <c r="EE7" i="1" s="1"/>
  <c r="E14" i="80"/>
  <c r="L14" i="80" s="1"/>
  <c r="G18" i="72"/>
  <c r="AL7" i="1"/>
  <c r="EF7" i="1" s="1"/>
  <c r="G40" i="84"/>
  <c r="AF7" i="3"/>
  <c r="AC8" i="3" s="1"/>
  <c r="K36" i="85"/>
  <c r="K40" i="85" s="1"/>
  <c r="E13" i="81"/>
  <c r="L13" i="81" s="1"/>
  <c r="H40" i="84"/>
  <c r="J23" i="42"/>
  <c r="EM7" i="1"/>
  <c r="EJ8" i="1" s="1"/>
  <c r="I34" i="82"/>
  <c r="P34" i="82" s="1"/>
  <c r="E18" i="82"/>
  <c r="I31" i="81"/>
  <c r="P31" i="81" s="1"/>
  <c r="L9" i="2"/>
  <c r="P9" i="2" s="1"/>
  <c r="E10" i="83"/>
  <c r="L10" i="83" s="1"/>
  <c r="L22" i="82"/>
  <c r="L22" i="81"/>
  <c r="L22" i="80"/>
  <c r="K9" i="75"/>
  <c r="J16" i="71"/>
  <c r="O35" i="73"/>
  <c r="J9" i="76"/>
  <c r="K16" i="71"/>
  <c r="H9" i="77"/>
  <c r="N35" i="73"/>
  <c r="N40" i="73" s="1"/>
  <c r="K5" i="3"/>
  <c r="H6" i="3" s="1"/>
  <c r="E23" i="81" s="1"/>
  <c r="E25" i="81" s="1"/>
  <c r="W6" i="6"/>
  <c r="T7" i="6" s="1"/>
  <c r="C8" i="3"/>
  <c r="P28" i="1"/>
  <c r="P30" i="1"/>
  <c r="P31" i="1"/>
  <c r="P32" i="1"/>
  <c r="R35" i="12"/>
  <c r="S35" i="12"/>
  <c r="U35" i="12"/>
  <c r="AC35" i="12" s="1"/>
  <c r="R36" i="12"/>
  <c r="S36" i="12"/>
  <c r="U36" i="12"/>
  <c r="AC36" i="12" s="1"/>
  <c r="R37" i="12"/>
  <c r="S37" i="12"/>
  <c r="U37" i="12"/>
  <c r="AC37" i="12" s="1"/>
  <c r="R38" i="12"/>
  <c r="S38" i="12"/>
  <c r="U38" i="12"/>
  <c r="AC38" i="12" s="1"/>
  <c r="R39" i="12"/>
  <c r="S39" i="12"/>
  <c r="U39" i="12"/>
  <c r="AC39" i="12" s="1"/>
  <c r="E22" i="83" l="1"/>
  <c r="G8" i="3"/>
  <c r="E9" i="85"/>
  <c r="N36" i="75"/>
  <c r="L36" i="85"/>
  <c r="L40" i="85" s="1"/>
  <c r="AB35" i="12"/>
  <c r="L35" i="88"/>
  <c r="AB37" i="12"/>
  <c r="AB39" i="12"/>
  <c r="G35" i="92"/>
  <c r="G35" i="93" s="1"/>
  <c r="H35" i="92"/>
  <c r="H35" i="93" s="1"/>
  <c r="AB38" i="12"/>
  <c r="AB36" i="12"/>
  <c r="P36" i="81"/>
  <c r="P40" i="81" s="1"/>
  <c r="I40" i="81"/>
  <c r="AI35" i="12"/>
  <c r="O40" i="73"/>
  <c r="O35" i="74"/>
  <c r="O40" i="74" s="1"/>
  <c r="E15" i="82"/>
  <c r="L15" i="82" s="1"/>
  <c r="EI7" i="1"/>
  <c r="AB9" i="1"/>
  <c r="X10" i="1" s="1"/>
  <c r="AI37" i="12"/>
  <c r="K35" i="87"/>
  <c r="N52" i="85"/>
  <c r="U8" i="2"/>
  <c r="Q9" i="2" s="1"/>
  <c r="U9" i="2" s="1"/>
  <c r="E12" i="83"/>
  <c r="L12" i="83" s="1"/>
  <c r="G8" i="2"/>
  <c r="C9" i="2" s="1"/>
  <c r="E11" i="87"/>
  <c r="L11" i="87" s="1"/>
  <c r="E10" i="84"/>
  <c r="L10" i="84" s="1"/>
  <c r="AI38" i="12"/>
  <c r="AI36" i="12"/>
  <c r="AI39" i="12"/>
  <c r="J9" i="77"/>
  <c r="E33" i="3"/>
  <c r="F33" i="3" s="1"/>
  <c r="N35" i="74"/>
  <c r="N40" i="74" s="1"/>
  <c r="L25" i="80"/>
  <c r="H18" i="73"/>
  <c r="H18" i="74" s="1"/>
  <c r="H18" i="75" s="1"/>
  <c r="I30" i="82"/>
  <c r="P30" i="82" s="1"/>
  <c r="H8" i="2"/>
  <c r="K8" i="2" s="1"/>
  <c r="W8" i="1"/>
  <c r="R9" i="1" s="1"/>
  <c r="J18" i="82"/>
  <c r="J25" i="82" s="1"/>
  <c r="E14" i="81"/>
  <c r="L14" i="81" s="1"/>
  <c r="Q7" i="1"/>
  <c r="L8" i="1" s="1"/>
  <c r="EB8" i="1" s="1"/>
  <c r="EE8" i="1" s="1"/>
  <c r="ER14" i="1"/>
  <c r="EO15" i="1" s="1"/>
  <c r="E19" i="89"/>
  <c r="L19" i="89" s="1"/>
  <c r="I35" i="83"/>
  <c r="P35" i="83" s="1"/>
  <c r="BJ9" i="6"/>
  <c r="BM9" i="6" s="1"/>
  <c r="L16" i="80"/>
  <c r="E16" i="80"/>
  <c r="L18" i="82"/>
  <c r="AO7" i="1"/>
  <c r="AF8" i="3"/>
  <c r="AC9" i="3" s="1"/>
  <c r="G40" i="85"/>
  <c r="K36" i="86"/>
  <c r="K40" i="86" s="1"/>
  <c r="L23" i="81"/>
  <c r="L25" i="81" s="1"/>
  <c r="H40" i="85"/>
  <c r="EM8" i="1"/>
  <c r="EJ9" i="1" s="1"/>
  <c r="I34" i="83"/>
  <c r="P34" i="83" s="1"/>
  <c r="E18" i="83"/>
  <c r="L10" i="2"/>
  <c r="P10" i="2" s="1"/>
  <c r="L22" i="83"/>
  <c r="E13" i="82"/>
  <c r="L13" i="82" s="1"/>
  <c r="J14" i="73"/>
  <c r="K14" i="73"/>
  <c r="G18" i="73"/>
  <c r="K9" i="76"/>
  <c r="K9" i="77" s="1"/>
  <c r="H10" i="1"/>
  <c r="K10" i="1" s="1"/>
  <c r="K6" i="3"/>
  <c r="H7" i="3" s="1"/>
  <c r="E23" i="82" s="1"/>
  <c r="E25" i="82" s="1"/>
  <c r="AH39" i="12"/>
  <c r="AN39" i="12"/>
  <c r="AN38" i="12"/>
  <c r="AN37" i="12"/>
  <c r="AN36" i="12"/>
  <c r="AN35" i="12"/>
  <c r="I33" i="82"/>
  <c r="P33" i="82" s="1"/>
  <c r="M22" i="76"/>
  <c r="AN40" i="12"/>
  <c r="AM42" i="97" s="1"/>
  <c r="AE33" i="3"/>
  <c r="AD33" i="3" s="1"/>
  <c r="C9" i="3"/>
  <c r="G9" i="3" s="1"/>
  <c r="J32" i="1"/>
  <c r="AE32" i="3"/>
  <c r="AD32" i="3" s="1"/>
  <c r="C13" i="1"/>
  <c r="G13" i="1" s="1"/>
  <c r="BF7" i="6"/>
  <c r="BI7" i="6" s="1"/>
  <c r="CE6" i="6"/>
  <c r="M30" i="76"/>
  <c r="AH38" i="12"/>
  <c r="AH37" i="12"/>
  <c r="P29" i="1"/>
  <c r="P27" i="1"/>
  <c r="I22" i="77" l="1"/>
  <c r="F34" i="3"/>
  <c r="F35" i="3" s="1"/>
  <c r="L9" i="85"/>
  <c r="E9" i="86" s="1"/>
  <c r="L9" i="86" s="1"/>
  <c r="E9" i="87" s="1"/>
  <c r="L9" i="87" s="1"/>
  <c r="M22" i="77"/>
  <c r="I23" i="77"/>
  <c r="E22" i="84"/>
  <c r="L22" i="84" s="1"/>
  <c r="C10" i="3"/>
  <c r="G10" i="3" s="1"/>
  <c r="O10" i="3"/>
  <c r="L36" i="86"/>
  <c r="L40" i="86" s="1"/>
  <c r="G35" i="94"/>
  <c r="G35" i="95" s="1"/>
  <c r="G35" i="96" s="1"/>
  <c r="G35" i="42" s="1"/>
  <c r="G35" i="67" s="1"/>
  <c r="H35" i="94"/>
  <c r="H35" i="95" s="1"/>
  <c r="H35" i="96" s="1"/>
  <c r="H35" i="42" s="1"/>
  <c r="H35" i="67" s="1"/>
  <c r="L35" i="89"/>
  <c r="CH7" i="6"/>
  <c r="H8" i="6"/>
  <c r="I8" i="6" s="1"/>
  <c r="AM36" i="12"/>
  <c r="AM35" i="12"/>
  <c r="AM33" i="12"/>
  <c r="AM32" i="12"/>
  <c r="W9" i="1"/>
  <c r="R10" i="1" s="1"/>
  <c r="AB10" i="1"/>
  <c r="X11" i="1" s="1"/>
  <c r="K35" i="88"/>
  <c r="G9" i="2"/>
  <c r="C10" i="2" s="1"/>
  <c r="G10" i="2" s="1"/>
  <c r="C11" i="2" s="1"/>
  <c r="G11" i="2" s="1"/>
  <c r="E11" i="88"/>
  <c r="L11" i="88" s="1"/>
  <c r="C14" i="1"/>
  <c r="G14" i="1" s="1"/>
  <c r="I31" i="82"/>
  <c r="P31" i="82" s="1"/>
  <c r="E12" i="84"/>
  <c r="L12" i="84" s="1"/>
  <c r="Q10" i="2"/>
  <c r="U10" i="2" s="1"/>
  <c r="AT35" i="12"/>
  <c r="AT34" i="12"/>
  <c r="AT32" i="12"/>
  <c r="AT33" i="12"/>
  <c r="O36" i="76"/>
  <c r="N36" i="76"/>
  <c r="N35" i="75"/>
  <c r="N40" i="75" s="1"/>
  <c r="CD7" i="6"/>
  <c r="O35" i="75"/>
  <c r="O40" i="75" s="1"/>
  <c r="AG38" i="12"/>
  <c r="AL36" i="12"/>
  <c r="M21" i="77"/>
  <c r="M30" i="77"/>
  <c r="Q8" i="1"/>
  <c r="L9" i="1" s="1"/>
  <c r="I30" i="83"/>
  <c r="P30" i="83" s="1"/>
  <c r="H9" i="2"/>
  <c r="K9" i="2" s="1"/>
  <c r="M21" i="75"/>
  <c r="M21" i="76"/>
  <c r="I36" i="82"/>
  <c r="I40" i="82" s="1"/>
  <c r="J18" i="83"/>
  <c r="J25" i="83" s="1"/>
  <c r="AG39" i="12"/>
  <c r="E16" i="81"/>
  <c r="L16" i="81" s="1"/>
  <c r="ER15" i="1"/>
  <c r="EO16" i="1" s="1"/>
  <c r="E19" i="90"/>
  <c r="L19" i="90" s="1"/>
  <c r="E14" i="82"/>
  <c r="L14" i="82" s="1"/>
  <c r="I35" i="84"/>
  <c r="P35" i="84" s="1"/>
  <c r="BJ10" i="6"/>
  <c r="BM10" i="6" s="1"/>
  <c r="AG37" i="12"/>
  <c r="L18" i="83"/>
  <c r="H18" i="76"/>
  <c r="AF9" i="3"/>
  <c r="AC10" i="3" s="1"/>
  <c r="AL8" i="1"/>
  <c r="G40" i="86"/>
  <c r="K36" i="87"/>
  <c r="K40" i="87" s="1"/>
  <c r="L23" i="82"/>
  <c r="L25" i="82" s="1"/>
  <c r="L36" i="87"/>
  <c r="L40" i="87" s="1"/>
  <c r="H40" i="86"/>
  <c r="L11" i="2"/>
  <c r="P11" i="2" s="1"/>
  <c r="E10" i="85"/>
  <c r="EM9" i="1"/>
  <c r="EJ10" i="1" s="1"/>
  <c r="I34" i="84"/>
  <c r="P34" i="84" s="1"/>
  <c r="E18" i="84"/>
  <c r="W10" i="1"/>
  <c r="R11" i="1" s="1"/>
  <c r="G18" i="74"/>
  <c r="K14" i="74"/>
  <c r="K16" i="73"/>
  <c r="J14" i="74"/>
  <c r="J16" i="73"/>
  <c r="K7" i="3"/>
  <c r="H8" i="3" s="1"/>
  <c r="E23" i="83" s="1"/>
  <c r="E25" i="83" s="1"/>
  <c r="AR32" i="2"/>
  <c r="AR31" i="2"/>
  <c r="W7" i="6"/>
  <c r="P34" i="1"/>
  <c r="M34" i="6"/>
  <c r="AD31" i="3"/>
  <c r="E22" i="85" l="1"/>
  <c r="L22" i="85" s="1"/>
  <c r="C11" i="3"/>
  <c r="G11" i="3" s="1"/>
  <c r="O11" i="3"/>
  <c r="H35" i="68"/>
  <c r="G35" i="68"/>
  <c r="L35" i="90"/>
  <c r="K35" i="89"/>
  <c r="H11" i="1"/>
  <c r="AL39" i="12"/>
  <c r="AM39" i="12"/>
  <c r="AL38" i="12"/>
  <c r="AM38" i="12"/>
  <c r="EL33" i="1"/>
  <c r="I18" i="77" s="1"/>
  <c r="AM34" i="12"/>
  <c r="AL37" i="12"/>
  <c r="AM37" i="12"/>
  <c r="CH8" i="6"/>
  <c r="H9" i="6"/>
  <c r="I9" i="6" s="1"/>
  <c r="Q9" i="1"/>
  <c r="L10" i="1" s="1"/>
  <c r="EB10" i="1" s="1"/>
  <c r="EE10" i="1" s="1"/>
  <c r="EB9" i="1"/>
  <c r="EE9" i="1" s="1"/>
  <c r="EF8" i="1"/>
  <c r="AB11" i="1"/>
  <c r="X12" i="1" s="1"/>
  <c r="E11" i="89"/>
  <c r="L11" i="89" s="1"/>
  <c r="E12" i="85"/>
  <c r="L12" i="85" s="1"/>
  <c r="Q11" i="2"/>
  <c r="U11" i="2" s="1"/>
  <c r="EL32" i="1"/>
  <c r="EU32" i="1" s="1"/>
  <c r="EL31" i="1"/>
  <c r="EU31" i="1" s="1"/>
  <c r="BF8" i="6"/>
  <c r="N36" i="77"/>
  <c r="O36" i="77"/>
  <c r="N35" i="76"/>
  <c r="N40" i="76" s="1"/>
  <c r="O35" i="76"/>
  <c r="O40" i="76" s="1"/>
  <c r="I30" i="84"/>
  <c r="P30" i="84" s="1"/>
  <c r="H10" i="2"/>
  <c r="K10" i="2" s="1"/>
  <c r="L10" i="85"/>
  <c r="P36" i="82"/>
  <c r="P40" i="82" s="1"/>
  <c r="E13" i="83"/>
  <c r="L13" i="83" s="1"/>
  <c r="AL35" i="12"/>
  <c r="J18" i="84"/>
  <c r="J25" i="84" s="1"/>
  <c r="ER16" i="1"/>
  <c r="EO17" i="1" s="1"/>
  <c r="ER17" i="1" s="1"/>
  <c r="EO18" i="1" s="1"/>
  <c r="E19" i="91"/>
  <c r="L19" i="91" s="1"/>
  <c r="I19" i="76"/>
  <c r="I35" i="85"/>
  <c r="BJ11" i="6"/>
  <c r="BM11" i="6" s="1"/>
  <c r="E14" i="83"/>
  <c r="L14" i="83" s="1"/>
  <c r="AL34" i="12"/>
  <c r="L18" i="84"/>
  <c r="H18" i="77"/>
  <c r="J21" i="73"/>
  <c r="J21" i="74" s="1"/>
  <c r="J21" i="75" s="1"/>
  <c r="AF10" i="3"/>
  <c r="AC11" i="3" s="1"/>
  <c r="AO8" i="1"/>
  <c r="E16" i="82"/>
  <c r="L16" i="82" s="1"/>
  <c r="G40" i="87"/>
  <c r="K36" i="88"/>
  <c r="K40" i="88" s="1"/>
  <c r="L23" i="83"/>
  <c r="L25" i="83" s="1"/>
  <c r="Q10" i="1"/>
  <c r="L11" i="1" s="1"/>
  <c r="EB11" i="1" s="1"/>
  <c r="EE11" i="1" s="1"/>
  <c r="H40" i="87"/>
  <c r="L36" i="88"/>
  <c r="L40" i="88" s="1"/>
  <c r="N30" i="75"/>
  <c r="N30" i="76" s="1"/>
  <c r="N30" i="77" s="1"/>
  <c r="I31" i="83"/>
  <c r="P31" i="83" s="1"/>
  <c r="L12" i="2"/>
  <c r="P12" i="2" s="1"/>
  <c r="E10" i="86"/>
  <c r="EM10" i="1"/>
  <c r="EJ11" i="1" s="1"/>
  <c r="I34" i="85"/>
  <c r="P34" i="85" s="1"/>
  <c r="E18" i="85"/>
  <c r="L18" i="85" s="1"/>
  <c r="W11" i="1"/>
  <c r="R12" i="1" s="1"/>
  <c r="G18" i="75"/>
  <c r="J14" i="75"/>
  <c r="J16" i="74"/>
  <c r="K14" i="75"/>
  <c r="K16" i="74"/>
  <c r="K8" i="3"/>
  <c r="H9" i="3" s="1"/>
  <c r="E25" i="84" s="1"/>
  <c r="AL32" i="12"/>
  <c r="T8" i="6"/>
  <c r="I33" i="83" s="1"/>
  <c r="P33" i="83" s="1"/>
  <c r="AH33" i="3"/>
  <c r="AL33" i="12"/>
  <c r="AE34" i="3"/>
  <c r="C15" i="1"/>
  <c r="G15" i="1" s="1"/>
  <c r="C12" i="2"/>
  <c r="G12" i="2" s="1"/>
  <c r="CE7" i="6"/>
  <c r="I25" i="77" l="1"/>
  <c r="M18" i="77"/>
  <c r="M34" i="77"/>
  <c r="E22" i="86"/>
  <c r="L22" i="86" s="1"/>
  <c r="E24" i="87"/>
  <c r="L24" i="87" s="1"/>
  <c r="O12" i="3"/>
  <c r="G35" i="69"/>
  <c r="H35" i="69"/>
  <c r="K35" i="90"/>
  <c r="L35" i="91"/>
  <c r="P35" i="85"/>
  <c r="K11" i="1"/>
  <c r="H12" i="1" s="1"/>
  <c r="K12" i="1" s="1"/>
  <c r="H13" i="1" s="1"/>
  <c r="K13" i="1" s="1"/>
  <c r="CH9" i="6"/>
  <c r="H10" i="6"/>
  <c r="I10" i="6" s="1"/>
  <c r="BI8" i="6"/>
  <c r="CD8" i="6" s="1"/>
  <c r="EI8" i="1"/>
  <c r="E15" i="83"/>
  <c r="L15" i="83" s="1"/>
  <c r="AB12" i="1"/>
  <c r="X13" i="1" s="1"/>
  <c r="ER18" i="1"/>
  <c r="E19" i="93"/>
  <c r="L19" i="93" s="1"/>
  <c r="E13" i="85"/>
  <c r="E11" i="90"/>
  <c r="L11" i="90" s="1"/>
  <c r="C16" i="1"/>
  <c r="G16" i="1" s="1"/>
  <c r="E12" i="86"/>
  <c r="L12" i="86" s="1"/>
  <c r="Q12" i="2"/>
  <c r="U12" i="2" s="1"/>
  <c r="I36" i="83"/>
  <c r="I30" i="85"/>
  <c r="P30" i="85" s="1"/>
  <c r="H11" i="2"/>
  <c r="K11" i="2" s="1"/>
  <c r="E13" i="84"/>
  <c r="L13" i="84" s="1"/>
  <c r="J18" i="85"/>
  <c r="J25" i="85" s="1"/>
  <c r="E19" i="92"/>
  <c r="L19" i="92" s="1"/>
  <c r="AH32" i="3"/>
  <c r="I35" i="86"/>
  <c r="BJ12" i="6"/>
  <c r="BM12" i="6" s="1"/>
  <c r="J21" i="76"/>
  <c r="AF11" i="3"/>
  <c r="AC12" i="3" s="1"/>
  <c r="AL9" i="1"/>
  <c r="G40" i="88"/>
  <c r="K36" i="89"/>
  <c r="K40" i="89" s="1"/>
  <c r="Q11" i="1"/>
  <c r="L12" i="1" s="1"/>
  <c r="EB12" i="1" s="1"/>
  <c r="EE12" i="1" s="1"/>
  <c r="L36" i="89"/>
  <c r="L40" i="89" s="1"/>
  <c r="H40" i="88"/>
  <c r="EM11" i="1"/>
  <c r="EJ12" i="1" s="1"/>
  <c r="E18" i="86"/>
  <c r="I34" i="86"/>
  <c r="P34" i="86" s="1"/>
  <c r="E9" i="88"/>
  <c r="L9" i="88" s="1"/>
  <c r="E9" i="89" s="1"/>
  <c r="L9" i="89" s="1"/>
  <c r="L13" i="2"/>
  <c r="P13" i="2" s="1"/>
  <c r="E10" i="87"/>
  <c r="L10" i="87" s="1"/>
  <c r="L10" i="86"/>
  <c r="L25" i="84"/>
  <c r="I31" i="84"/>
  <c r="P31" i="84" s="1"/>
  <c r="W12" i="1"/>
  <c r="R13" i="1" s="1"/>
  <c r="J14" i="76"/>
  <c r="J16" i="75"/>
  <c r="N35" i="77"/>
  <c r="N40" i="77" s="1"/>
  <c r="K14" i="76"/>
  <c r="K16" i="75"/>
  <c r="O35" i="77"/>
  <c r="O40" i="77" s="1"/>
  <c r="G18" i="76"/>
  <c r="J37" i="55" s="1"/>
  <c r="K9" i="3"/>
  <c r="H10" i="3" s="1"/>
  <c r="E25" i="85" s="1"/>
  <c r="W8" i="6"/>
  <c r="T9" i="6" s="1"/>
  <c r="I33" i="84" s="1"/>
  <c r="P33" i="84" s="1"/>
  <c r="AD34" i="3"/>
  <c r="J31" i="1"/>
  <c r="C12" i="3"/>
  <c r="G12" i="3" s="1"/>
  <c r="C13" i="2"/>
  <c r="G13" i="2" s="1"/>
  <c r="N39" i="12"/>
  <c r="N34" i="12"/>
  <c r="N35" i="12"/>
  <c r="N36" i="12"/>
  <c r="N37" i="12"/>
  <c r="N38" i="12"/>
  <c r="M34" i="12"/>
  <c r="M35" i="12"/>
  <c r="M36" i="12"/>
  <c r="M37" i="12"/>
  <c r="M38" i="12"/>
  <c r="M39" i="12"/>
  <c r="E22" i="87" l="1"/>
  <c r="L22" i="87" s="1"/>
  <c r="E24" i="88"/>
  <c r="L24" i="88" s="1"/>
  <c r="O13" i="3"/>
  <c r="G35" i="70"/>
  <c r="BF9" i="6"/>
  <c r="BI9" i="6" s="1"/>
  <c r="CD9" i="6" s="1"/>
  <c r="H35" i="70"/>
  <c r="H35" i="71" s="1"/>
  <c r="L35" i="92"/>
  <c r="L35" i="93" s="1"/>
  <c r="L35" i="94" s="1"/>
  <c r="L35" i="95" s="1"/>
  <c r="L35" i="96" s="1"/>
  <c r="L35" i="42" s="1"/>
  <c r="K35" i="91"/>
  <c r="P35" i="86"/>
  <c r="P36" i="83"/>
  <c r="P40" i="83" s="1"/>
  <c r="I40" i="83"/>
  <c r="EF9" i="1"/>
  <c r="AB13" i="1"/>
  <c r="X14" i="1" s="1"/>
  <c r="E11" i="91"/>
  <c r="L11" i="91" s="1"/>
  <c r="E12" i="87"/>
  <c r="L12" i="87" s="1"/>
  <c r="Q13" i="2"/>
  <c r="U13" i="2" s="1"/>
  <c r="I30" i="86"/>
  <c r="P30" i="86" s="1"/>
  <c r="H12" i="2"/>
  <c r="K12" i="2" s="1"/>
  <c r="L13" i="85"/>
  <c r="J18" i="86"/>
  <c r="J25" i="86" s="1"/>
  <c r="EO19" i="1"/>
  <c r="M34" i="76"/>
  <c r="I18" i="76"/>
  <c r="I35" i="87"/>
  <c r="BJ13" i="6"/>
  <c r="BM13" i="6" s="1"/>
  <c r="J21" i="77"/>
  <c r="E14" i="84"/>
  <c r="L14" i="84" s="1"/>
  <c r="AF12" i="3"/>
  <c r="AC13" i="3" s="1"/>
  <c r="AO9" i="1"/>
  <c r="AL10" i="1" s="1"/>
  <c r="E16" i="83"/>
  <c r="L16" i="83" s="1"/>
  <c r="G40" i="89"/>
  <c r="K36" i="90"/>
  <c r="K40" i="90" s="1"/>
  <c r="L25" i="85"/>
  <c r="Q12" i="1"/>
  <c r="L13" i="1" s="1"/>
  <c r="EB13" i="1" s="1"/>
  <c r="EE13" i="1" s="1"/>
  <c r="H40" i="89"/>
  <c r="L36" i="90"/>
  <c r="L40" i="90" s="1"/>
  <c r="L18" i="86"/>
  <c r="EM12" i="1"/>
  <c r="EJ13" i="1" s="1"/>
  <c r="I34" i="87"/>
  <c r="P34" i="87" s="1"/>
  <c r="E18" i="87"/>
  <c r="L14" i="2"/>
  <c r="P14" i="2" s="1"/>
  <c r="E10" i="88"/>
  <c r="L10" i="88" s="1"/>
  <c r="E52" i="77"/>
  <c r="G52" i="77"/>
  <c r="F52" i="77"/>
  <c r="H52" i="77"/>
  <c r="W13" i="1"/>
  <c r="R14" i="1" s="1"/>
  <c r="K14" i="77"/>
  <c r="K16" i="77" s="1"/>
  <c r="K16" i="76"/>
  <c r="G18" i="77"/>
  <c r="J14" i="77"/>
  <c r="J16" i="76"/>
  <c r="H14" i="1"/>
  <c r="K14" i="1" s="1"/>
  <c r="K10" i="3"/>
  <c r="H11" i="3" s="1"/>
  <c r="E25" i="86" s="1"/>
  <c r="W9" i="6"/>
  <c r="T10" i="6" s="1"/>
  <c r="I33" i="85" s="1"/>
  <c r="P33" i="85" s="1"/>
  <c r="J34" i="1"/>
  <c r="J35" i="1" s="1"/>
  <c r="C17" i="1"/>
  <c r="G17" i="1" s="1"/>
  <c r="C13" i="3"/>
  <c r="G13" i="3" s="1"/>
  <c r="C14" i="2"/>
  <c r="G14" i="2" s="1"/>
  <c r="CE8" i="6"/>
  <c r="AM31" i="12"/>
  <c r="M22" i="75"/>
  <c r="I36" i="84" l="1"/>
  <c r="I40" i="84" s="1"/>
  <c r="M52" i="77"/>
  <c r="E22" i="88"/>
  <c r="L22" i="88" s="1"/>
  <c r="E24" i="89"/>
  <c r="L24" i="89" s="1"/>
  <c r="O14" i="3"/>
  <c r="G35" i="71"/>
  <c r="H35" i="72"/>
  <c r="H35" i="73" s="1"/>
  <c r="P35" i="87"/>
  <c r="K35" i="92"/>
  <c r="K35" i="93" s="1"/>
  <c r="K35" i="94" s="1"/>
  <c r="K35" i="95" s="1"/>
  <c r="K35" i="96" s="1"/>
  <c r="K35" i="42" s="1"/>
  <c r="CH10" i="6"/>
  <c r="H11" i="6"/>
  <c r="I11" i="6" s="1"/>
  <c r="EI9" i="1"/>
  <c r="E15" i="84"/>
  <c r="L15" i="84" s="1"/>
  <c r="EF10" i="1"/>
  <c r="AB14" i="1"/>
  <c r="X15" i="1" s="1"/>
  <c r="E11" i="92"/>
  <c r="L11" i="92" s="1"/>
  <c r="C18" i="1"/>
  <c r="G18" i="1" s="1"/>
  <c r="E12" i="88"/>
  <c r="L12" i="88" s="1"/>
  <c r="Q14" i="2"/>
  <c r="U14" i="2" s="1"/>
  <c r="AG40" i="12"/>
  <c r="AF42" i="97" s="1"/>
  <c r="J16" i="77"/>
  <c r="CE9" i="6"/>
  <c r="P36" i="84"/>
  <c r="P40" i="84" s="1"/>
  <c r="AT31" i="12"/>
  <c r="AT40" i="12" s="1"/>
  <c r="AS42" i="97" s="1"/>
  <c r="I30" i="87"/>
  <c r="P30" i="87" s="1"/>
  <c r="H13" i="2"/>
  <c r="K13" i="2" s="1"/>
  <c r="M18" i="76"/>
  <c r="I25" i="76"/>
  <c r="J18" i="87"/>
  <c r="J25" i="87" s="1"/>
  <c r="E13" i="86"/>
  <c r="L13" i="86" s="1"/>
  <c r="ER19" i="1"/>
  <c r="EO20" i="1" s="1"/>
  <c r="E19" i="94"/>
  <c r="L19" i="94" s="1"/>
  <c r="I35" i="88"/>
  <c r="BJ14" i="6"/>
  <c r="BM14" i="6" s="1"/>
  <c r="E14" i="85"/>
  <c r="L14" i="85" s="1"/>
  <c r="L18" i="87"/>
  <c r="AF13" i="3"/>
  <c r="AC14" i="3" s="1"/>
  <c r="AO10" i="1"/>
  <c r="AL11" i="1" s="1"/>
  <c r="G40" i="90"/>
  <c r="K36" i="91"/>
  <c r="K40" i="91" s="1"/>
  <c r="L25" i="86"/>
  <c r="Q13" i="1"/>
  <c r="L14" i="1" s="1"/>
  <c r="EB14" i="1" s="1"/>
  <c r="EE14" i="1" s="1"/>
  <c r="L35" i="67"/>
  <c r="H40" i="90"/>
  <c r="L36" i="91"/>
  <c r="L40" i="91" s="1"/>
  <c r="U40" i="91" s="1"/>
  <c r="EM13" i="1"/>
  <c r="EJ14" i="1" s="1"/>
  <c r="I34" i="88"/>
  <c r="P34" i="88" s="1"/>
  <c r="E18" i="88"/>
  <c r="E9" i="90"/>
  <c r="L9" i="90" s="1"/>
  <c r="L15" i="2"/>
  <c r="P15" i="2" s="1"/>
  <c r="E10" i="89"/>
  <c r="L10" i="89" s="1"/>
  <c r="I31" i="85"/>
  <c r="P31" i="85" s="1"/>
  <c r="W14" i="1"/>
  <c r="R15" i="1" s="1"/>
  <c r="N34" i="67"/>
  <c r="N34" i="68" s="1"/>
  <c r="N34" i="69" s="1"/>
  <c r="H15" i="1"/>
  <c r="K15" i="1" s="1"/>
  <c r="K11" i="3"/>
  <c r="H12" i="3" s="1"/>
  <c r="E23" i="87" s="1"/>
  <c r="E25" i="87" s="1"/>
  <c r="W10" i="6"/>
  <c r="T11" i="6" s="1"/>
  <c r="I33" i="86" s="1"/>
  <c r="P33" i="86" s="1"/>
  <c r="E34" i="3"/>
  <c r="C14" i="3"/>
  <c r="G14" i="3" s="1"/>
  <c r="C15" i="2"/>
  <c r="G15" i="2" s="1"/>
  <c r="E22" i="89" l="1"/>
  <c r="L22" i="89" s="1"/>
  <c r="C15" i="3"/>
  <c r="G15" i="3" s="1"/>
  <c r="E24" i="90"/>
  <c r="L24" i="90" s="1"/>
  <c r="G35" i="72"/>
  <c r="G35" i="73" s="1"/>
  <c r="G35" i="74" s="1"/>
  <c r="H35" i="74"/>
  <c r="K35" i="67"/>
  <c r="CH11" i="6"/>
  <c r="H12" i="6"/>
  <c r="I12" i="6" s="1"/>
  <c r="EI10" i="1"/>
  <c r="E15" i="85"/>
  <c r="L15" i="85" s="1"/>
  <c r="EF11" i="1"/>
  <c r="AB15" i="1"/>
  <c r="X16" i="1" s="1"/>
  <c r="G52" i="76"/>
  <c r="F52" i="76"/>
  <c r="H52" i="76"/>
  <c r="E52" i="76"/>
  <c r="I52" i="76"/>
  <c r="E11" i="93"/>
  <c r="L11" i="93" s="1"/>
  <c r="E12" i="89"/>
  <c r="L12" i="89" s="1"/>
  <c r="Q15" i="2"/>
  <c r="U15" i="2" s="1"/>
  <c r="EL30" i="1"/>
  <c r="EU30" i="1" s="1"/>
  <c r="EW30" i="1" s="1"/>
  <c r="AM40" i="12"/>
  <c r="AL42" i="97" s="1"/>
  <c r="P35" i="88"/>
  <c r="AL31" i="12"/>
  <c r="AL40" i="12" s="1"/>
  <c r="AK42" i="97" s="1"/>
  <c r="I30" i="88"/>
  <c r="P30" i="88" s="1"/>
  <c r="H14" i="2"/>
  <c r="K14" i="2" s="1"/>
  <c r="E13" i="87"/>
  <c r="L13" i="87" s="1"/>
  <c r="J18" i="88"/>
  <c r="J25" i="88" s="1"/>
  <c r="ER20" i="1"/>
  <c r="EO21" i="1" s="1"/>
  <c r="E19" i="95"/>
  <c r="L19" i="95" s="1"/>
  <c r="EQ35" i="1"/>
  <c r="I19" i="75"/>
  <c r="I35" i="89"/>
  <c r="P35" i="89" s="1"/>
  <c r="BJ15" i="6"/>
  <c r="BM15" i="6" s="1"/>
  <c r="E14" i="86"/>
  <c r="L14" i="86" s="1"/>
  <c r="N34" i="70"/>
  <c r="N34" i="71" s="1"/>
  <c r="N34" i="72" s="1"/>
  <c r="N34" i="73" s="1"/>
  <c r="L18" i="88"/>
  <c r="AF14" i="3"/>
  <c r="AC15" i="3" s="1"/>
  <c r="AO11" i="1"/>
  <c r="AL12" i="1" s="1"/>
  <c r="E16" i="84"/>
  <c r="L16" i="84" s="1"/>
  <c r="G40" i="91"/>
  <c r="K36" i="92"/>
  <c r="K40" i="92" s="1"/>
  <c r="L23" i="87"/>
  <c r="L25" i="87" s="1"/>
  <c r="Q14" i="1"/>
  <c r="L15" i="1" s="1"/>
  <c r="EB15" i="1" s="1"/>
  <c r="EE15" i="1" s="1"/>
  <c r="E9" i="91"/>
  <c r="L9" i="91" s="1"/>
  <c r="E9" i="92" s="1"/>
  <c r="L9" i="92" s="1"/>
  <c r="H40" i="91"/>
  <c r="L36" i="92"/>
  <c r="L40" i="92" s="1"/>
  <c r="L35" i="68"/>
  <c r="I31" i="86"/>
  <c r="P31" i="86" s="1"/>
  <c r="EM14" i="1"/>
  <c r="EJ15" i="1" s="1"/>
  <c r="E18" i="89"/>
  <c r="L18" i="89" s="1"/>
  <c r="I34" i="89"/>
  <c r="P34" i="89" s="1"/>
  <c r="L16" i="2"/>
  <c r="P16" i="2" s="1"/>
  <c r="E10" i="90"/>
  <c r="L10" i="90" s="1"/>
  <c r="W15" i="1"/>
  <c r="R16" i="1" s="1"/>
  <c r="H16" i="1"/>
  <c r="K16" i="1" s="1"/>
  <c r="K12" i="3"/>
  <c r="H13" i="3" s="1"/>
  <c r="E23" i="88" s="1"/>
  <c r="E25" i="88" s="1"/>
  <c r="W11" i="6"/>
  <c r="BF10" i="6"/>
  <c r="BI10" i="6" s="1"/>
  <c r="C16" i="2"/>
  <c r="G16" i="2" s="1"/>
  <c r="E22" i="90" l="1"/>
  <c r="E24" i="91"/>
  <c r="L24" i="91" s="1"/>
  <c r="G35" i="75"/>
  <c r="H35" i="75"/>
  <c r="N52" i="76"/>
  <c r="K35" i="68"/>
  <c r="CH12" i="6"/>
  <c r="H13" i="6"/>
  <c r="I13" i="6" s="1"/>
  <c r="EI11" i="1"/>
  <c r="E15" i="86"/>
  <c r="L15" i="86" s="1"/>
  <c r="EF12" i="1"/>
  <c r="I18" i="74"/>
  <c r="I25" i="74" s="1"/>
  <c r="M34" i="74"/>
  <c r="N34" i="74" s="1"/>
  <c r="EL34" i="1"/>
  <c r="E12" i="90"/>
  <c r="L12" i="90" s="1"/>
  <c r="Q16" i="2"/>
  <c r="U16" i="2" s="1"/>
  <c r="T12" i="6"/>
  <c r="I33" i="87" s="1"/>
  <c r="P33" i="87" s="1"/>
  <c r="CD10" i="6"/>
  <c r="CE10" i="6" s="1"/>
  <c r="I30" i="89"/>
  <c r="P30" i="89" s="1"/>
  <c r="H15" i="2"/>
  <c r="K15" i="2" s="1"/>
  <c r="J18" i="89"/>
  <c r="J25" i="89" s="1"/>
  <c r="E13" i="88"/>
  <c r="L13" i="88" s="1"/>
  <c r="ER21" i="1"/>
  <c r="EO22" i="1" s="1"/>
  <c r="E19" i="96"/>
  <c r="L19" i="96" s="1"/>
  <c r="J19" i="75"/>
  <c r="J19" i="76" s="1"/>
  <c r="J19" i="77" s="1"/>
  <c r="K19" i="75"/>
  <c r="K19" i="76" s="1"/>
  <c r="K19" i="77" s="1"/>
  <c r="I18" i="75"/>
  <c r="I25" i="75" s="1"/>
  <c r="M34" i="75"/>
  <c r="E14" i="87"/>
  <c r="L14" i="87" s="1"/>
  <c r="AF15" i="3"/>
  <c r="AC16" i="3" s="1"/>
  <c r="AO12" i="1"/>
  <c r="AL13" i="1" s="1"/>
  <c r="C19" i="1"/>
  <c r="G19" i="1" s="1"/>
  <c r="E16" i="85"/>
  <c r="L16" i="85" s="1"/>
  <c r="K36" i="93"/>
  <c r="K40" i="93" s="1"/>
  <c r="I35" i="90"/>
  <c r="BJ16" i="6"/>
  <c r="BM16" i="6" s="1"/>
  <c r="L23" i="88"/>
  <c r="L25" i="88" s="1"/>
  <c r="Q15" i="1"/>
  <c r="L16" i="1" s="1"/>
  <c r="EB16" i="1" s="1"/>
  <c r="EE16" i="1" s="1"/>
  <c r="L36" i="93"/>
  <c r="L40" i="93" s="1"/>
  <c r="L35" i="69"/>
  <c r="L35" i="70" s="1"/>
  <c r="H40" i="92"/>
  <c r="AB16" i="1"/>
  <c r="X17" i="1" s="1"/>
  <c r="I31" i="87"/>
  <c r="P31" i="87" s="1"/>
  <c r="L17" i="2"/>
  <c r="P17" i="2" s="1"/>
  <c r="E10" i="91"/>
  <c r="L10" i="91" s="1"/>
  <c r="EM15" i="1"/>
  <c r="EJ16" i="1" s="1"/>
  <c r="I34" i="90"/>
  <c r="P34" i="90" s="1"/>
  <c r="E18" i="90"/>
  <c r="L18" i="90" s="1"/>
  <c r="L22" i="90"/>
  <c r="I36" i="85"/>
  <c r="W16" i="1"/>
  <c r="R17" i="1" s="1"/>
  <c r="AH31" i="3"/>
  <c r="K13" i="3"/>
  <c r="H14" i="3" s="1"/>
  <c r="E23" i="89" s="1"/>
  <c r="E25" i="89" s="1"/>
  <c r="C17" i="2"/>
  <c r="G17" i="2" s="1"/>
  <c r="C16" i="3"/>
  <c r="G16" i="3" s="1"/>
  <c r="G40" i="92" l="1"/>
  <c r="G36" i="93"/>
  <c r="E22" i="91"/>
  <c r="L22" i="91" s="1"/>
  <c r="E24" i="92"/>
  <c r="L24" i="92" s="1"/>
  <c r="G35" i="76"/>
  <c r="H35" i="76"/>
  <c r="K35" i="69"/>
  <c r="K35" i="70" s="1"/>
  <c r="K35" i="71" s="1"/>
  <c r="K35" i="72" s="1"/>
  <c r="K35" i="73" s="1"/>
  <c r="P35" i="90"/>
  <c r="P36" i="85"/>
  <c r="P40" i="85" s="1"/>
  <c r="I40" i="85"/>
  <c r="H17" i="1"/>
  <c r="CH13" i="6"/>
  <c r="H14" i="6"/>
  <c r="I14" i="6" s="1"/>
  <c r="M18" i="74"/>
  <c r="F52" i="74" s="1"/>
  <c r="EF13" i="1"/>
  <c r="EI12" i="1"/>
  <c r="E15" i="87"/>
  <c r="L15" i="87" s="1"/>
  <c r="AB17" i="1"/>
  <c r="X18" i="1" s="1"/>
  <c r="C20" i="1"/>
  <c r="G20" i="1" s="1"/>
  <c r="E12" i="91"/>
  <c r="L12" i="91" s="1"/>
  <c r="W12" i="6"/>
  <c r="T13" i="6" s="1"/>
  <c r="I33" i="88" s="1"/>
  <c r="P33" i="88" s="1"/>
  <c r="BF11" i="6"/>
  <c r="I30" i="90"/>
  <c r="P30" i="90" s="1"/>
  <c r="H16" i="2"/>
  <c r="K16" i="2" s="1"/>
  <c r="M18" i="75"/>
  <c r="K18" i="78"/>
  <c r="K18" i="79" s="1"/>
  <c r="K18" i="80" s="1"/>
  <c r="O34" i="78"/>
  <c r="O34" i="79" s="1"/>
  <c r="O34" i="80" s="1"/>
  <c r="O34" i="81" s="1"/>
  <c r="O34" i="82" s="1"/>
  <c r="O34" i="83" s="1"/>
  <c r="O34" i="84" s="1"/>
  <c r="O34" i="85" s="1"/>
  <c r="O34" i="86" s="1"/>
  <c r="O34" i="87" s="1"/>
  <c r="O34" i="88" s="1"/>
  <c r="O34" i="89" s="1"/>
  <c r="O34" i="90" s="1"/>
  <c r="O34" i="91" s="1"/>
  <c r="O34" i="92" s="1"/>
  <c r="O34" i="93" s="1"/>
  <c r="O34" i="94" s="1"/>
  <c r="O34" i="95" s="1"/>
  <c r="O34" i="96" s="1"/>
  <c r="O34" i="42" s="1"/>
  <c r="O34" i="67" s="1"/>
  <c r="O34" i="68" s="1"/>
  <c r="O34" i="69" s="1"/>
  <c r="O34" i="70" s="1"/>
  <c r="O34" i="71" s="1"/>
  <c r="O34" i="72" s="1"/>
  <c r="O34" i="73" s="1"/>
  <c r="O34" i="74" s="1"/>
  <c r="O34" i="75" s="1"/>
  <c r="O34" i="76" s="1"/>
  <c r="O34" i="77" s="1"/>
  <c r="EL35" i="1"/>
  <c r="E13" i="89"/>
  <c r="L13" i="89" s="1"/>
  <c r="J18" i="90"/>
  <c r="J25" i="90" s="1"/>
  <c r="ER22" i="1"/>
  <c r="EO23" i="1" s="1"/>
  <c r="E19" i="42"/>
  <c r="L19" i="42" s="1"/>
  <c r="N34" i="75"/>
  <c r="N34" i="76" s="1"/>
  <c r="N34" i="77" s="1"/>
  <c r="I35" i="91"/>
  <c r="BJ17" i="6"/>
  <c r="BM17" i="6" s="1"/>
  <c r="E14" i="88"/>
  <c r="L14" i="88" s="1"/>
  <c r="Q17" i="2"/>
  <c r="U17" i="2" s="1"/>
  <c r="AF16" i="3"/>
  <c r="AC17" i="3" s="1"/>
  <c r="AO13" i="1"/>
  <c r="AL14" i="1" s="1"/>
  <c r="E11" i="94"/>
  <c r="L11" i="94" s="1"/>
  <c r="E16" i="86"/>
  <c r="L16" i="86" s="1"/>
  <c r="G40" i="93"/>
  <c r="K36" i="94"/>
  <c r="K40" i="94" s="1"/>
  <c r="L23" i="89"/>
  <c r="L25" i="89" s="1"/>
  <c r="Q16" i="1"/>
  <c r="L17" i="1" s="1"/>
  <c r="EB17" i="1" s="1"/>
  <c r="EE17" i="1" s="1"/>
  <c r="H36" i="93"/>
  <c r="H40" i="93" s="1"/>
  <c r="L36" i="94"/>
  <c r="L40" i="94" s="1"/>
  <c r="I31" i="88"/>
  <c r="P31" i="88" s="1"/>
  <c r="E9" i="93"/>
  <c r="L9" i="93" s="1"/>
  <c r="L18" i="2"/>
  <c r="P18" i="2" s="1"/>
  <c r="E10" i="92"/>
  <c r="L10" i="92" s="1"/>
  <c r="EM16" i="1"/>
  <c r="EJ17" i="1" s="1"/>
  <c r="I34" i="91"/>
  <c r="P34" i="91" s="1"/>
  <c r="E18" i="91"/>
  <c r="L18" i="91" s="1"/>
  <c r="W17" i="1"/>
  <c r="R18" i="1" s="1"/>
  <c r="K14" i="3"/>
  <c r="H15" i="3" s="1"/>
  <c r="E23" i="90" s="1"/>
  <c r="E25" i="90" s="1"/>
  <c r="C17" i="3"/>
  <c r="G17" i="3" s="1"/>
  <c r="C18" i="2"/>
  <c r="G18" i="2" s="1"/>
  <c r="K35" i="74" l="1"/>
  <c r="K35" i="75" s="1"/>
  <c r="K35" i="76" s="1"/>
  <c r="K35" i="77" s="1"/>
  <c r="E22" i="92"/>
  <c r="E24" i="93"/>
  <c r="L24" i="93" s="1"/>
  <c r="G35" i="77"/>
  <c r="H35" i="77"/>
  <c r="P35" i="91"/>
  <c r="K17" i="1"/>
  <c r="H18" i="1" s="1"/>
  <c r="K18" i="1" s="1"/>
  <c r="CH14" i="6"/>
  <c r="H15" i="6"/>
  <c r="I15" i="6" s="1"/>
  <c r="BI11" i="6"/>
  <c r="CD11" i="6" s="1"/>
  <c r="CE11" i="6" s="1"/>
  <c r="G52" i="74"/>
  <c r="I52" i="74"/>
  <c r="E52" i="74"/>
  <c r="H52" i="74"/>
  <c r="EI13" i="1"/>
  <c r="E15" i="88"/>
  <c r="L15" i="88" s="1"/>
  <c r="EF14" i="1"/>
  <c r="AB18" i="1"/>
  <c r="X19" i="1" s="1"/>
  <c r="G52" i="75"/>
  <c r="H52" i="75"/>
  <c r="F52" i="75"/>
  <c r="E52" i="75"/>
  <c r="I52" i="75"/>
  <c r="C21" i="1"/>
  <c r="G21" i="1" s="1"/>
  <c r="E11" i="95"/>
  <c r="L11" i="95" s="1"/>
  <c r="E12" i="92"/>
  <c r="L12" i="92" s="1"/>
  <c r="Q18" i="2"/>
  <c r="U18" i="2" s="1"/>
  <c r="W13" i="6"/>
  <c r="T14" i="6" s="1"/>
  <c r="I33" i="89" s="1"/>
  <c r="P33" i="89" s="1"/>
  <c r="E24" i="94"/>
  <c r="L24" i="94" s="1"/>
  <c r="I36" i="86"/>
  <c r="I40" i="86" s="1"/>
  <c r="K18" i="81"/>
  <c r="K18" i="82" s="1"/>
  <c r="K18" i="83" s="1"/>
  <c r="K18" i="84" s="1"/>
  <c r="I30" i="91"/>
  <c r="P30" i="91" s="1"/>
  <c r="H17" i="2"/>
  <c r="K17" i="2" s="1"/>
  <c r="E13" i="90"/>
  <c r="L13" i="90" s="1"/>
  <c r="J18" i="91"/>
  <c r="J25" i="91" s="1"/>
  <c r="ER23" i="1"/>
  <c r="EO24" i="1" s="1"/>
  <c r="E19" i="67"/>
  <c r="L19" i="67" s="1"/>
  <c r="I35" i="92"/>
  <c r="BJ18" i="6"/>
  <c r="BM18" i="6" s="1"/>
  <c r="E14" i="89"/>
  <c r="L14" i="89" s="1"/>
  <c r="AF17" i="3"/>
  <c r="AC18" i="3" s="1"/>
  <c r="L22" i="92"/>
  <c r="AO14" i="1"/>
  <c r="AL15" i="1" s="1"/>
  <c r="E16" i="87"/>
  <c r="L16" i="87" s="1"/>
  <c r="G36" i="94"/>
  <c r="G40" i="94" s="1"/>
  <c r="K36" i="95"/>
  <c r="K40" i="95" s="1"/>
  <c r="L23" i="90"/>
  <c r="L25" i="90" s="1"/>
  <c r="Q17" i="1"/>
  <c r="L18" i="1" s="1"/>
  <c r="EB18" i="1" s="1"/>
  <c r="EE18" i="1" s="1"/>
  <c r="H36" i="94"/>
  <c r="H40" i="94" s="1"/>
  <c r="L35" i="71"/>
  <c r="L36" i="95"/>
  <c r="L40" i="95" s="1"/>
  <c r="I31" i="89"/>
  <c r="P31" i="89" s="1"/>
  <c r="EM17" i="1"/>
  <c r="EJ18" i="1" s="1"/>
  <c r="I34" i="92"/>
  <c r="P34" i="92" s="1"/>
  <c r="E18" i="92"/>
  <c r="L18" i="92" s="1"/>
  <c r="E9" i="94"/>
  <c r="L9" i="94" s="1"/>
  <c r="E9" i="95" s="1"/>
  <c r="L9" i="95" s="1"/>
  <c r="E9" i="96" s="1"/>
  <c r="L9" i="96" s="1"/>
  <c r="E9" i="42" s="1"/>
  <c r="L9" i="42" s="1"/>
  <c r="L19" i="2"/>
  <c r="P19" i="2" s="1"/>
  <c r="E10" i="93"/>
  <c r="L10" i="93" s="1"/>
  <c r="W18" i="1"/>
  <c r="R19" i="1" s="1"/>
  <c r="G14" i="67"/>
  <c r="K15" i="3"/>
  <c r="H16" i="3" s="1"/>
  <c r="E23" i="91" s="1"/>
  <c r="E25" i="91" s="1"/>
  <c r="C18" i="3"/>
  <c r="G18" i="3" s="1"/>
  <c r="C19" i="2"/>
  <c r="G19" i="2" s="1"/>
  <c r="K18" i="85" l="1"/>
  <c r="K18" i="86" s="1"/>
  <c r="K18" i="87" s="1"/>
  <c r="K18" i="88" s="1"/>
  <c r="K18" i="89" s="1"/>
  <c r="K18" i="90" s="1"/>
  <c r="K18" i="91" s="1"/>
  <c r="K18" i="92" s="1"/>
  <c r="K18" i="93" s="1"/>
  <c r="E22" i="93"/>
  <c r="L22" i="93" s="1"/>
  <c r="C19" i="3"/>
  <c r="G19" i="3" s="1"/>
  <c r="L35" i="72"/>
  <c r="H19" i="1"/>
  <c r="K19" i="1" s="1"/>
  <c r="BF12" i="6"/>
  <c r="BI12" i="6" s="1"/>
  <c r="CD12" i="6" s="1"/>
  <c r="CE12" i="6" s="1"/>
  <c r="CH15" i="6"/>
  <c r="H16" i="6"/>
  <c r="I16" i="6" s="1"/>
  <c r="N52" i="74"/>
  <c r="N52" i="75"/>
  <c r="EF15" i="1"/>
  <c r="EI14" i="1"/>
  <c r="E15" i="89"/>
  <c r="L15" i="89" s="1"/>
  <c r="AB19" i="1"/>
  <c r="X20" i="1" s="1"/>
  <c r="P36" i="86"/>
  <c r="P40" i="86" s="1"/>
  <c r="C22" i="1"/>
  <c r="G22" i="1" s="1"/>
  <c r="E11" i="96"/>
  <c r="L11" i="96" s="1"/>
  <c r="E12" i="93"/>
  <c r="L12" i="93" s="1"/>
  <c r="Q19" i="2"/>
  <c r="U19" i="2" s="1"/>
  <c r="W14" i="6"/>
  <c r="E24" i="95"/>
  <c r="L24" i="95" s="1"/>
  <c r="P35" i="92"/>
  <c r="J18" i="92"/>
  <c r="J25" i="92" s="1"/>
  <c r="I30" i="92"/>
  <c r="P30" i="92" s="1"/>
  <c r="H18" i="2"/>
  <c r="K18" i="2" s="1"/>
  <c r="E13" i="91"/>
  <c r="L13" i="91" s="1"/>
  <c r="ER24" i="1"/>
  <c r="EO25" i="1" s="1"/>
  <c r="E19" i="68"/>
  <c r="L19" i="68" s="1"/>
  <c r="I35" i="93"/>
  <c r="BJ19" i="6"/>
  <c r="BM19" i="6" s="1"/>
  <c r="E14" i="90"/>
  <c r="AF18" i="3"/>
  <c r="AC19" i="3" s="1"/>
  <c r="AO15" i="1"/>
  <c r="AL16" i="1" s="1"/>
  <c r="W19" i="1"/>
  <c r="R20" i="1" s="1"/>
  <c r="E16" i="88"/>
  <c r="L16" i="88" s="1"/>
  <c r="I36" i="87"/>
  <c r="I40" i="87" s="1"/>
  <c r="G36" i="95"/>
  <c r="G40" i="95" s="1"/>
  <c r="K36" i="96"/>
  <c r="K40" i="96" s="1"/>
  <c r="Q18" i="1"/>
  <c r="L19" i="1" s="1"/>
  <c r="EB19" i="1" s="1"/>
  <c r="EE19" i="1" s="1"/>
  <c r="L36" i="96"/>
  <c r="L40" i="96" s="1"/>
  <c r="H36" i="95"/>
  <c r="H40" i="95" s="1"/>
  <c r="L23" i="91"/>
  <c r="L25" i="91" s="1"/>
  <c r="L20" i="2"/>
  <c r="P20" i="2" s="1"/>
  <c r="E10" i="94"/>
  <c r="L10" i="94" s="1"/>
  <c r="EM18" i="1"/>
  <c r="EJ19" i="1" s="1"/>
  <c r="EM19" i="1" s="1"/>
  <c r="EJ20" i="1" s="1"/>
  <c r="EM20" i="1" s="1"/>
  <c r="EJ21" i="1" s="1"/>
  <c r="I34" i="93"/>
  <c r="P34" i="93" s="1"/>
  <c r="E18" i="93"/>
  <c r="L18" i="93" s="1"/>
  <c r="I31" i="90"/>
  <c r="P31" i="90" s="1"/>
  <c r="G14" i="68"/>
  <c r="K16" i="3"/>
  <c r="H17" i="3" s="1"/>
  <c r="E23" i="92" s="1"/>
  <c r="E25" i="92" s="1"/>
  <c r="C20" i="2"/>
  <c r="G20" i="2" s="1"/>
  <c r="F28" i="6"/>
  <c r="F29" i="6"/>
  <c r="F30" i="6"/>
  <c r="F31" i="6"/>
  <c r="F32" i="6"/>
  <c r="F27" i="6"/>
  <c r="AG32" i="6"/>
  <c r="AG31" i="6"/>
  <c r="AG30" i="6"/>
  <c r="AG29" i="6"/>
  <c r="AG28" i="6"/>
  <c r="AG27" i="6"/>
  <c r="AD28" i="6"/>
  <c r="AD27" i="6"/>
  <c r="AA32" i="6"/>
  <c r="AA31" i="6"/>
  <c r="AA30" i="6"/>
  <c r="AA29" i="6"/>
  <c r="AA28" i="6"/>
  <c r="AA27" i="6"/>
  <c r="X32" i="6"/>
  <c r="X31" i="6"/>
  <c r="X30" i="6"/>
  <c r="X29" i="6"/>
  <c r="X28" i="6"/>
  <c r="X27" i="6"/>
  <c r="R34" i="3"/>
  <c r="N34" i="3"/>
  <c r="M34" i="3"/>
  <c r="J34" i="3"/>
  <c r="I34" i="3"/>
  <c r="E22" i="94" l="1"/>
  <c r="L22" i="94" s="1"/>
  <c r="H20" i="1"/>
  <c r="K20" i="1" s="1"/>
  <c r="CH16" i="6"/>
  <c r="H17" i="6"/>
  <c r="I17" i="6" s="1"/>
  <c r="T15" i="6"/>
  <c r="I33" i="90" s="1"/>
  <c r="P33" i="90" s="1"/>
  <c r="EF16" i="1"/>
  <c r="EI15" i="1"/>
  <c r="E15" i="90"/>
  <c r="L15" i="90" s="1"/>
  <c r="AB20" i="1"/>
  <c r="X21" i="1" s="1"/>
  <c r="C23" i="1"/>
  <c r="G23" i="1" s="1"/>
  <c r="E11" i="42"/>
  <c r="L11" i="42" s="1"/>
  <c r="E12" i="94"/>
  <c r="L12" i="94" s="1"/>
  <c r="Q20" i="2"/>
  <c r="U20" i="2" s="1"/>
  <c r="EM21" i="1"/>
  <c r="EJ22" i="1" s="1"/>
  <c r="EM22" i="1" s="1"/>
  <c r="EJ23" i="1" s="1"/>
  <c r="EM23" i="1" s="1"/>
  <c r="E24" i="96"/>
  <c r="L24" i="96" s="1"/>
  <c r="P35" i="93"/>
  <c r="P36" i="87"/>
  <c r="P40" i="87" s="1"/>
  <c r="J18" i="93"/>
  <c r="J25" i="93" s="1"/>
  <c r="I30" i="93"/>
  <c r="P30" i="93" s="1"/>
  <c r="H19" i="2"/>
  <c r="K19" i="2" s="1"/>
  <c r="E13" i="92"/>
  <c r="L13" i="92" s="1"/>
  <c r="BF13" i="6"/>
  <c r="BI13" i="6" s="1"/>
  <c r="CD13" i="6" s="1"/>
  <c r="CE13" i="6" s="1"/>
  <c r="ER25" i="1"/>
  <c r="EO26" i="1" s="1"/>
  <c r="E19" i="69"/>
  <c r="L19" i="69" s="1"/>
  <c r="I35" i="94"/>
  <c r="BJ20" i="6"/>
  <c r="BM20" i="6" s="1"/>
  <c r="E14" i="91"/>
  <c r="AC20" i="3"/>
  <c r="E21" i="95"/>
  <c r="L16" i="89"/>
  <c r="E16" i="89"/>
  <c r="AO16" i="1"/>
  <c r="AL17" i="1" s="1"/>
  <c r="W20" i="1"/>
  <c r="R21" i="1" s="1"/>
  <c r="Q19" i="1"/>
  <c r="L20" i="1" s="1"/>
  <c r="EB20" i="1" s="1"/>
  <c r="EE20" i="1" s="1"/>
  <c r="G36" i="96"/>
  <c r="G40" i="96" s="1"/>
  <c r="K36" i="42"/>
  <c r="K40" i="42" s="1"/>
  <c r="L21" i="2"/>
  <c r="P21" i="2" s="1"/>
  <c r="E10" i="95"/>
  <c r="L10" i="95" s="1"/>
  <c r="L36" i="42"/>
  <c r="L40" i="42" s="1"/>
  <c r="H36" i="96"/>
  <c r="H40" i="96" s="1"/>
  <c r="L35" i="73"/>
  <c r="L23" i="92"/>
  <c r="L25" i="92" s="1"/>
  <c r="K18" i="94"/>
  <c r="I34" i="94"/>
  <c r="P34" i="94" s="1"/>
  <c r="E18" i="94"/>
  <c r="I31" i="91"/>
  <c r="P31" i="91" s="1"/>
  <c r="G23" i="67"/>
  <c r="G14" i="69"/>
  <c r="G14" i="70" s="1"/>
  <c r="H14" i="67"/>
  <c r="J23" i="67"/>
  <c r="CI30" i="6"/>
  <c r="CI31" i="6"/>
  <c r="K17" i="3"/>
  <c r="H18" i="3" s="1"/>
  <c r="E23" i="93" s="1"/>
  <c r="E25" i="93" s="1"/>
  <c r="CF34" i="6"/>
  <c r="I38" i="55" s="1"/>
  <c r="C20" i="3"/>
  <c r="G20" i="3" s="1"/>
  <c r="C21" i="2"/>
  <c r="G21" i="2" s="1"/>
  <c r="E22" i="95" l="1"/>
  <c r="P35" i="94"/>
  <c r="H21" i="1"/>
  <c r="K21" i="1" s="1"/>
  <c r="W15" i="6"/>
  <c r="T16" i="6" s="1"/>
  <c r="I33" i="91" s="1"/>
  <c r="P33" i="91" s="1"/>
  <c r="I33" i="92" s="1"/>
  <c r="P33" i="92" s="1"/>
  <c r="CH17" i="6"/>
  <c r="H18" i="6"/>
  <c r="I18" i="6" s="1"/>
  <c r="EF17" i="1"/>
  <c r="EI16" i="1"/>
  <c r="E15" i="91"/>
  <c r="AB21" i="1"/>
  <c r="X22" i="1" s="1"/>
  <c r="C24" i="1"/>
  <c r="G24" i="1" s="1"/>
  <c r="E11" i="67"/>
  <c r="L11" i="67" s="1"/>
  <c r="E12" i="95"/>
  <c r="L12" i="95" s="1"/>
  <c r="Q21" i="2"/>
  <c r="U21" i="2" s="1"/>
  <c r="I36" i="88"/>
  <c r="I40" i="88" s="1"/>
  <c r="J18" i="94"/>
  <c r="J25" i="94" s="1"/>
  <c r="I30" i="94"/>
  <c r="P30" i="94" s="1"/>
  <c r="H20" i="2"/>
  <c r="K20" i="2" s="1"/>
  <c r="G23" i="68"/>
  <c r="G25" i="67"/>
  <c r="E13" i="93"/>
  <c r="L13" i="93" s="1"/>
  <c r="ER26" i="1"/>
  <c r="EO27" i="1" s="1"/>
  <c r="E19" i="70"/>
  <c r="L19" i="70" s="1"/>
  <c r="I35" i="95"/>
  <c r="BJ21" i="6"/>
  <c r="BM21" i="6" s="1"/>
  <c r="E14" i="92"/>
  <c r="AF20" i="3"/>
  <c r="AC21" i="3" s="1"/>
  <c r="L22" i="95"/>
  <c r="AO17" i="1"/>
  <c r="AL18" i="1" s="1"/>
  <c r="W21" i="1"/>
  <c r="R22" i="1" s="1"/>
  <c r="Q20" i="1"/>
  <c r="L21" i="1" s="1"/>
  <c r="EB21" i="1" s="1"/>
  <c r="EE21" i="1" s="1"/>
  <c r="E16" i="90"/>
  <c r="L16" i="90" s="1"/>
  <c r="G36" i="42"/>
  <c r="I34" i="95"/>
  <c r="P34" i="95" s="1"/>
  <c r="E18" i="95"/>
  <c r="K36" i="67"/>
  <c r="K40" i="67" s="1"/>
  <c r="L35" i="74"/>
  <c r="H36" i="42"/>
  <c r="L36" i="67"/>
  <c r="L40" i="67" s="1"/>
  <c r="K18" i="95"/>
  <c r="L23" i="93"/>
  <c r="L25" i="93" s="1"/>
  <c r="L22" i="2"/>
  <c r="P22" i="2" s="1"/>
  <c r="E10" i="96"/>
  <c r="L10" i="96" s="1"/>
  <c r="E21" i="96"/>
  <c r="L18" i="94"/>
  <c r="I31" i="92"/>
  <c r="P31" i="92" s="1"/>
  <c r="H14" i="68"/>
  <c r="J23" i="68"/>
  <c r="J23" i="69" s="1"/>
  <c r="J13" i="42"/>
  <c r="G13" i="42"/>
  <c r="K18" i="3"/>
  <c r="H19" i="3" s="1"/>
  <c r="E23" i="94" s="1"/>
  <c r="E25" i="94" s="1"/>
  <c r="C21" i="3"/>
  <c r="G21" i="3" s="1"/>
  <c r="C22" i="2"/>
  <c r="G22" i="2" s="1"/>
  <c r="CI32" i="6"/>
  <c r="H40" i="42" l="1"/>
  <c r="H36" i="67"/>
  <c r="H36" i="68" s="1"/>
  <c r="H36" i="69" s="1"/>
  <c r="H36" i="70" s="1"/>
  <c r="H36" i="71" s="1"/>
  <c r="H36" i="72" s="1"/>
  <c r="G40" i="42"/>
  <c r="G36" i="67"/>
  <c r="G36" i="68" s="1"/>
  <c r="G36" i="69" s="1"/>
  <c r="G36" i="70" s="1"/>
  <c r="G36" i="71" s="1"/>
  <c r="G36" i="72" s="1"/>
  <c r="E22" i="96"/>
  <c r="C22" i="3"/>
  <c r="G22" i="3" s="1"/>
  <c r="H22" i="1"/>
  <c r="K22" i="1" s="1"/>
  <c r="W16" i="6"/>
  <c r="T17" i="6" s="1"/>
  <c r="W17" i="6" s="1"/>
  <c r="T18" i="6" s="1"/>
  <c r="I33" i="93" s="1"/>
  <c r="P33" i="93" s="1"/>
  <c r="CH18" i="6"/>
  <c r="H19" i="6"/>
  <c r="I19" i="6" s="1"/>
  <c r="EF18" i="1"/>
  <c r="EI17" i="1"/>
  <c r="E15" i="92"/>
  <c r="L15" i="92" s="1"/>
  <c r="AB22" i="1"/>
  <c r="X23" i="1" s="1"/>
  <c r="E11" i="68"/>
  <c r="L11" i="68" s="1"/>
  <c r="C25" i="1"/>
  <c r="G25" i="1" s="1"/>
  <c r="E12" i="96"/>
  <c r="L12" i="96" s="1"/>
  <c r="Q22" i="2"/>
  <c r="U22" i="2" s="1"/>
  <c r="P35" i="95"/>
  <c r="P36" i="88"/>
  <c r="P40" i="88" s="1"/>
  <c r="BF14" i="6"/>
  <c r="BI14" i="6" s="1"/>
  <c r="J18" i="95"/>
  <c r="J25" i="95" s="1"/>
  <c r="I30" i="95"/>
  <c r="P30" i="95" s="1"/>
  <c r="H21" i="2"/>
  <c r="K21" i="2" s="1"/>
  <c r="G23" i="69"/>
  <c r="G25" i="68"/>
  <c r="E13" i="94"/>
  <c r="L13" i="94" s="1"/>
  <c r="ER27" i="1"/>
  <c r="EO28" i="1" s="1"/>
  <c r="ER28" i="1" s="1"/>
  <c r="E19" i="71"/>
  <c r="L19" i="71" s="1"/>
  <c r="I35" i="96"/>
  <c r="BJ22" i="6"/>
  <c r="BM22" i="6" s="1"/>
  <c r="E14" i="93"/>
  <c r="L14" i="93" s="1"/>
  <c r="L18" i="95"/>
  <c r="AF21" i="3"/>
  <c r="AC22" i="3" s="1"/>
  <c r="AO18" i="1"/>
  <c r="AL19" i="1" s="1"/>
  <c r="EF19" i="1" s="1"/>
  <c r="W22" i="1"/>
  <c r="R23" i="1" s="1"/>
  <c r="Q21" i="1"/>
  <c r="L22" i="1" s="1"/>
  <c r="EB22" i="1" s="1"/>
  <c r="EE22" i="1" s="1"/>
  <c r="E16" i="91"/>
  <c r="L16" i="91" s="1"/>
  <c r="K36" i="68"/>
  <c r="K40" i="68" s="1"/>
  <c r="E9" i="67"/>
  <c r="L9" i="67" s="1"/>
  <c r="L36" i="68"/>
  <c r="L40" i="68" s="1"/>
  <c r="L35" i="75"/>
  <c r="K18" i="96"/>
  <c r="L23" i="94"/>
  <c r="L25" i="94" s="1"/>
  <c r="J23" i="70"/>
  <c r="I34" i="96"/>
  <c r="P34" i="96" s="1"/>
  <c r="E18" i="96"/>
  <c r="L22" i="96"/>
  <c r="I31" i="93"/>
  <c r="P31" i="93" s="1"/>
  <c r="E21" i="42"/>
  <c r="G14" i="71"/>
  <c r="G14" i="72" s="1"/>
  <c r="H14" i="69"/>
  <c r="H14" i="70" s="1"/>
  <c r="L23" i="2"/>
  <c r="P23" i="2" s="1"/>
  <c r="E10" i="42"/>
  <c r="L10" i="42" s="1"/>
  <c r="K19" i="3"/>
  <c r="H20" i="3" s="1"/>
  <c r="E23" i="95" s="1"/>
  <c r="E25" i="95" s="1"/>
  <c r="C23" i="2"/>
  <c r="G23" i="2" s="1"/>
  <c r="E22" i="42" l="1"/>
  <c r="L22" i="42" s="1"/>
  <c r="H40" i="68"/>
  <c r="H40" i="67"/>
  <c r="P35" i="96"/>
  <c r="G40" i="68"/>
  <c r="G40" i="67"/>
  <c r="H23" i="1"/>
  <c r="W18" i="6"/>
  <c r="T19" i="6" s="1"/>
  <c r="I33" i="94" s="1"/>
  <c r="P33" i="94" s="1"/>
  <c r="CH19" i="6"/>
  <c r="H20" i="6"/>
  <c r="I20" i="6" s="1"/>
  <c r="EI19" i="1"/>
  <c r="E15" i="94"/>
  <c r="L15" i="94" s="1"/>
  <c r="EI18" i="1"/>
  <c r="E15" i="93"/>
  <c r="L15" i="93" s="1"/>
  <c r="AB23" i="1"/>
  <c r="X24" i="1" s="1"/>
  <c r="E14" i="94"/>
  <c r="E11" i="69"/>
  <c r="L11" i="69" s="1"/>
  <c r="C26" i="1"/>
  <c r="G26" i="1" s="1"/>
  <c r="E12" i="42"/>
  <c r="L12" i="42" s="1"/>
  <c r="Q23" i="2"/>
  <c r="U23" i="2" s="1"/>
  <c r="E24" i="68"/>
  <c r="L24" i="68" s="1"/>
  <c r="I36" i="89"/>
  <c r="I40" i="89" s="1"/>
  <c r="CD14" i="6"/>
  <c r="J18" i="96"/>
  <c r="J25" i="96" s="1"/>
  <c r="I30" i="96"/>
  <c r="P30" i="96" s="1"/>
  <c r="H22" i="2"/>
  <c r="K22" i="2" s="1"/>
  <c r="G23" i="70"/>
  <c r="G25" i="69"/>
  <c r="E13" i="95"/>
  <c r="L13" i="95" s="1"/>
  <c r="EO29" i="1"/>
  <c r="E19" i="72"/>
  <c r="L19" i="72" s="1"/>
  <c r="I35" i="42"/>
  <c r="BJ23" i="6"/>
  <c r="BM23" i="6" s="1"/>
  <c r="L18" i="96"/>
  <c r="AF22" i="3"/>
  <c r="AC23" i="3" s="1"/>
  <c r="W23" i="1"/>
  <c r="R24" i="1" s="1"/>
  <c r="AO19" i="1"/>
  <c r="AL20" i="1" s="1"/>
  <c r="Q22" i="1"/>
  <c r="L23" i="1" s="1"/>
  <c r="EB23" i="1" s="1"/>
  <c r="EE23" i="1" s="1"/>
  <c r="E16" i="92"/>
  <c r="L16" i="92" s="1"/>
  <c r="K36" i="69"/>
  <c r="K40" i="69" s="1"/>
  <c r="L36" i="69"/>
  <c r="L40" i="69" s="1"/>
  <c r="L35" i="76"/>
  <c r="K18" i="42"/>
  <c r="L23" i="95"/>
  <c r="L25" i="95" s="1"/>
  <c r="I31" i="94"/>
  <c r="P31" i="94" s="1"/>
  <c r="I34" i="42"/>
  <c r="P34" i="42" s="1"/>
  <c r="E18" i="42"/>
  <c r="J13" i="68"/>
  <c r="J11" i="69"/>
  <c r="K11" i="69"/>
  <c r="K11" i="70" s="1"/>
  <c r="H11" i="69"/>
  <c r="H11" i="70" s="1"/>
  <c r="G13" i="68"/>
  <c r="G11" i="69"/>
  <c r="G11" i="70" s="1"/>
  <c r="G13" i="70" s="1"/>
  <c r="L24" i="2"/>
  <c r="P24" i="2" s="1"/>
  <c r="E10" i="67"/>
  <c r="L10" i="67" s="1"/>
  <c r="E21" i="67"/>
  <c r="K20" i="3"/>
  <c r="H21" i="3" s="1"/>
  <c r="E23" i="96" s="1"/>
  <c r="E25" i="96" s="1"/>
  <c r="C23" i="3"/>
  <c r="G23" i="3" s="1"/>
  <c r="C24" i="2"/>
  <c r="G24" i="2" s="1"/>
  <c r="E22" i="67" l="1"/>
  <c r="L22" i="67" s="1"/>
  <c r="P35" i="42"/>
  <c r="K23" i="1"/>
  <c r="H24" i="1" s="1"/>
  <c r="K24" i="1" s="1"/>
  <c r="W19" i="6"/>
  <c r="T20" i="6" s="1"/>
  <c r="I33" i="95" s="1"/>
  <c r="P33" i="95" s="1"/>
  <c r="CH20" i="6"/>
  <c r="H21" i="6"/>
  <c r="I21" i="6" s="1"/>
  <c r="CE14" i="6"/>
  <c r="E16" i="94"/>
  <c r="E13" i="42"/>
  <c r="E16" i="93"/>
  <c r="L16" i="93" s="1"/>
  <c r="EF20" i="1"/>
  <c r="E11" i="70"/>
  <c r="L11" i="70" s="1"/>
  <c r="C27" i="1"/>
  <c r="G27" i="1" s="1"/>
  <c r="J11" i="70"/>
  <c r="E24" i="69"/>
  <c r="Q24" i="2"/>
  <c r="U24" i="2" s="1"/>
  <c r="K36" i="70"/>
  <c r="K40" i="70" s="1"/>
  <c r="L36" i="70"/>
  <c r="L40" i="70" s="1"/>
  <c r="P36" i="89"/>
  <c r="P40" i="89" s="1"/>
  <c r="BF15" i="6"/>
  <c r="BI15" i="6" s="1"/>
  <c r="J18" i="42"/>
  <c r="J25" i="42" s="1"/>
  <c r="G23" i="71"/>
  <c r="G25" i="70"/>
  <c r="H23" i="2"/>
  <c r="K23" i="2" s="1"/>
  <c r="I30" i="42"/>
  <c r="P30" i="42" s="1"/>
  <c r="E13" i="96"/>
  <c r="L13" i="96" s="1"/>
  <c r="E19" i="73"/>
  <c r="L19" i="73" s="1"/>
  <c r="ER29" i="1"/>
  <c r="EO30" i="1" s="1"/>
  <c r="I35" i="67"/>
  <c r="BJ24" i="6"/>
  <c r="BM24" i="6" s="1"/>
  <c r="E12" i="67"/>
  <c r="L12" i="67" s="1"/>
  <c r="E14" i="95"/>
  <c r="AF23" i="3"/>
  <c r="AC24" i="3" s="1"/>
  <c r="AB24" i="1"/>
  <c r="X25" i="1" s="1"/>
  <c r="W24" i="1"/>
  <c r="R25" i="1" s="1"/>
  <c r="AO20" i="1"/>
  <c r="AL21" i="1" s="1"/>
  <c r="Q23" i="1"/>
  <c r="L24" i="1" s="1"/>
  <c r="EB24" i="1" s="1"/>
  <c r="EE24" i="1" s="1"/>
  <c r="I31" i="95"/>
  <c r="P31" i="95" s="1"/>
  <c r="L35" i="77"/>
  <c r="K18" i="67"/>
  <c r="J23" i="71"/>
  <c r="J23" i="72" s="1"/>
  <c r="L23" i="96"/>
  <c r="L25" i="96" s="1"/>
  <c r="L18" i="42"/>
  <c r="G14" i="73"/>
  <c r="H14" i="71"/>
  <c r="H14" i="72" s="1"/>
  <c r="EJ24" i="1"/>
  <c r="E18" i="67"/>
  <c r="I34" i="67"/>
  <c r="P34" i="67" s="1"/>
  <c r="G13" i="69"/>
  <c r="J13" i="69"/>
  <c r="L25" i="2"/>
  <c r="P25" i="2" s="1"/>
  <c r="E10" i="68"/>
  <c r="L10" i="68" s="1"/>
  <c r="E21" i="68"/>
  <c r="E9" i="68"/>
  <c r="L9" i="68" s="1"/>
  <c r="K21" i="3"/>
  <c r="H22" i="3" s="1"/>
  <c r="E23" i="42" s="1"/>
  <c r="L23" i="42" s="1"/>
  <c r="C24" i="3"/>
  <c r="G24" i="3" s="1"/>
  <c r="C25" i="2"/>
  <c r="G25" i="2" s="1"/>
  <c r="E22" i="68" l="1"/>
  <c r="L22" i="68" s="1"/>
  <c r="G40" i="70"/>
  <c r="G40" i="69"/>
  <c r="H40" i="70"/>
  <c r="H40" i="69"/>
  <c r="P35" i="67"/>
  <c r="W20" i="6"/>
  <c r="T21" i="6" s="1"/>
  <c r="I33" i="96" s="1"/>
  <c r="P33" i="96" s="1"/>
  <c r="CH21" i="6"/>
  <c r="H22" i="6"/>
  <c r="I22" i="6" s="1"/>
  <c r="EI20" i="1"/>
  <c r="E15" i="95"/>
  <c r="EF21" i="1"/>
  <c r="E11" i="71"/>
  <c r="L11" i="71" s="1"/>
  <c r="C28" i="1"/>
  <c r="G28" i="1" s="1"/>
  <c r="J13" i="70"/>
  <c r="E24" i="70"/>
  <c r="L24" i="70" s="1"/>
  <c r="Q25" i="2"/>
  <c r="U25" i="2" s="1"/>
  <c r="E12" i="68"/>
  <c r="L12" i="68" s="1"/>
  <c r="I36" i="90"/>
  <c r="I40" i="90" s="1"/>
  <c r="CD15" i="6"/>
  <c r="J18" i="67"/>
  <c r="J25" i="67" s="1"/>
  <c r="G23" i="72"/>
  <c r="G25" i="71"/>
  <c r="H24" i="2"/>
  <c r="K24" i="2" s="1"/>
  <c r="I30" i="67"/>
  <c r="P30" i="67" s="1"/>
  <c r="E13" i="67"/>
  <c r="E25" i="42"/>
  <c r="L25" i="42"/>
  <c r="E19" i="74"/>
  <c r="L19" i="74" s="1"/>
  <c r="ER30" i="1"/>
  <c r="EO31" i="1" s="1"/>
  <c r="BJ25" i="6"/>
  <c r="BM25" i="6" s="1"/>
  <c r="E14" i="96"/>
  <c r="AF24" i="3"/>
  <c r="AC25" i="3" s="1"/>
  <c r="L18" i="67"/>
  <c r="W25" i="1"/>
  <c r="R26" i="1" s="1"/>
  <c r="AO21" i="1"/>
  <c r="AL22" i="1" s="1"/>
  <c r="EF22" i="1" s="1"/>
  <c r="L16" i="94"/>
  <c r="K36" i="71"/>
  <c r="Q24" i="1"/>
  <c r="L25" i="1" s="1"/>
  <c r="EB25" i="1" s="1"/>
  <c r="EE25" i="1" s="1"/>
  <c r="L36" i="71"/>
  <c r="K18" i="68"/>
  <c r="AB25" i="1"/>
  <c r="X26" i="1" s="1"/>
  <c r="I31" i="96"/>
  <c r="P31" i="96" s="1"/>
  <c r="L26" i="2"/>
  <c r="P26" i="2" s="1"/>
  <c r="E10" i="69"/>
  <c r="L10" i="69" s="1"/>
  <c r="G14" i="74"/>
  <c r="G14" i="75" s="1"/>
  <c r="EM24" i="1"/>
  <c r="EJ25" i="1" s="1"/>
  <c r="I34" i="69" s="1"/>
  <c r="P34" i="69" s="1"/>
  <c r="I34" i="68"/>
  <c r="P34" i="68" s="1"/>
  <c r="E18" i="68"/>
  <c r="H11" i="71"/>
  <c r="H11" i="72" s="1"/>
  <c r="J11" i="71"/>
  <c r="G11" i="71"/>
  <c r="G11" i="72" s="1"/>
  <c r="K11" i="71"/>
  <c r="K11" i="72" s="1"/>
  <c r="K11" i="73" s="1"/>
  <c r="I35" i="68"/>
  <c r="L13" i="42"/>
  <c r="E9" i="69"/>
  <c r="L9" i="69" s="1"/>
  <c r="H25" i="1"/>
  <c r="K25" i="1" s="1"/>
  <c r="K22" i="3"/>
  <c r="H23" i="3" s="1"/>
  <c r="E23" i="67" s="1"/>
  <c r="E25" i="67" s="1"/>
  <c r="C25" i="3"/>
  <c r="G25" i="3" s="1"/>
  <c r="C26" i="2"/>
  <c r="G26" i="2" s="1"/>
  <c r="L40" i="71" l="1"/>
  <c r="L36" i="72"/>
  <c r="L36" i="73" s="1"/>
  <c r="K40" i="71"/>
  <c r="K36" i="72"/>
  <c r="K36" i="73" s="1"/>
  <c r="K40" i="73" s="1"/>
  <c r="E22" i="69"/>
  <c r="L22" i="69" s="1"/>
  <c r="P35" i="68"/>
  <c r="W21" i="6"/>
  <c r="T22" i="6" s="1"/>
  <c r="I33" i="42" s="1"/>
  <c r="P33" i="42" s="1"/>
  <c r="CH22" i="6"/>
  <c r="H23" i="6"/>
  <c r="I23" i="6" s="1"/>
  <c r="CE15" i="6"/>
  <c r="EI21" i="1"/>
  <c r="E15" i="96"/>
  <c r="E15" i="42"/>
  <c r="EI22" i="1"/>
  <c r="E11" i="72"/>
  <c r="L11" i="72" s="1"/>
  <c r="C29" i="1"/>
  <c r="G29" i="1" s="1"/>
  <c r="C30" i="1" s="1"/>
  <c r="G30" i="1" s="1"/>
  <c r="Q26" i="2"/>
  <c r="E10" i="70"/>
  <c r="L10" i="70" s="1"/>
  <c r="L27" i="2"/>
  <c r="P27" i="2" s="1"/>
  <c r="E12" i="69"/>
  <c r="L12" i="69" s="1"/>
  <c r="E24" i="71"/>
  <c r="L24" i="71" s="1"/>
  <c r="K40" i="72"/>
  <c r="L40" i="72"/>
  <c r="P36" i="90"/>
  <c r="P40" i="90" s="1"/>
  <c r="BF16" i="6"/>
  <c r="J18" i="68"/>
  <c r="J25" i="68" s="1"/>
  <c r="E14" i="42"/>
  <c r="G23" i="73"/>
  <c r="G25" i="72"/>
  <c r="I30" i="68"/>
  <c r="P30" i="68" s="1"/>
  <c r="E9" i="70"/>
  <c r="L9" i="70" s="1"/>
  <c r="E9" i="71" s="1"/>
  <c r="L9" i="71" s="1"/>
  <c r="E9" i="72" s="1"/>
  <c r="E19" i="75"/>
  <c r="L19" i="75" s="1"/>
  <c r="ER31" i="1"/>
  <c r="EO32" i="1" s="1"/>
  <c r="BJ26" i="6"/>
  <c r="BM26" i="6" s="1"/>
  <c r="I35" i="69"/>
  <c r="P35" i="69" s="1"/>
  <c r="G13" i="72"/>
  <c r="J11" i="72"/>
  <c r="J13" i="72" s="1"/>
  <c r="J13" i="71"/>
  <c r="J22" i="71"/>
  <c r="J22" i="72" s="1"/>
  <c r="J22" i="73" s="1"/>
  <c r="J22" i="74" s="1"/>
  <c r="J22" i="75" s="1"/>
  <c r="J22" i="76" s="1"/>
  <c r="J22" i="77" s="1"/>
  <c r="AF25" i="3"/>
  <c r="AC26" i="3" s="1"/>
  <c r="L18" i="68"/>
  <c r="W26" i="1"/>
  <c r="R27" i="1" s="1"/>
  <c r="AO22" i="1"/>
  <c r="AL23" i="1" s="1"/>
  <c r="EF23" i="1" s="1"/>
  <c r="E16" i="95"/>
  <c r="L16" i="95" s="1"/>
  <c r="Q25" i="1"/>
  <c r="L26" i="1" s="1"/>
  <c r="EB26" i="1" s="1"/>
  <c r="EE26" i="1" s="1"/>
  <c r="K18" i="69"/>
  <c r="L23" i="67"/>
  <c r="L25" i="67" s="1"/>
  <c r="J23" i="73"/>
  <c r="AB26" i="1"/>
  <c r="X27" i="1" s="1"/>
  <c r="I31" i="42"/>
  <c r="P31" i="42" s="1"/>
  <c r="G14" i="76"/>
  <c r="H14" i="73"/>
  <c r="EM25" i="1"/>
  <c r="EJ26" i="1" s="1"/>
  <c r="E18" i="69"/>
  <c r="G13" i="71"/>
  <c r="L13" i="67"/>
  <c r="K23" i="3"/>
  <c r="H24" i="3" s="1"/>
  <c r="E23" i="68" s="1"/>
  <c r="E25" i="68" s="1"/>
  <c r="H25" i="2"/>
  <c r="K25" i="2" s="1"/>
  <c r="C26" i="3"/>
  <c r="G26" i="3" s="1"/>
  <c r="C27" i="2"/>
  <c r="G27" i="2" s="1"/>
  <c r="H40" i="71" l="1"/>
  <c r="G40" i="71"/>
  <c r="G40" i="72"/>
  <c r="E22" i="70"/>
  <c r="L22" i="70" s="1"/>
  <c r="W22" i="6"/>
  <c r="T23" i="6" s="1"/>
  <c r="I33" i="67" s="1"/>
  <c r="P33" i="67" s="1"/>
  <c r="CH23" i="6"/>
  <c r="H24" i="6"/>
  <c r="I24" i="6" s="1"/>
  <c r="E16" i="42"/>
  <c r="BI16" i="6"/>
  <c r="CD16" i="6" s="1"/>
  <c r="CE16" i="6" s="1"/>
  <c r="E11" i="73"/>
  <c r="L11" i="73" s="1"/>
  <c r="EI23" i="1"/>
  <c r="E15" i="67"/>
  <c r="U26" i="2"/>
  <c r="Q27" i="2" s="1"/>
  <c r="E11" i="74"/>
  <c r="L11" i="74" s="1"/>
  <c r="E12" i="70"/>
  <c r="L12" i="70" s="1"/>
  <c r="H40" i="72"/>
  <c r="E13" i="69"/>
  <c r="E24" i="72"/>
  <c r="L24" i="72" s="1"/>
  <c r="I36" i="91"/>
  <c r="J18" i="69"/>
  <c r="J25" i="69" s="1"/>
  <c r="L9" i="72"/>
  <c r="E9" i="73" s="1"/>
  <c r="L9" i="73" s="1"/>
  <c r="E9" i="74" s="1"/>
  <c r="L9" i="74" s="1"/>
  <c r="E9" i="75" s="1"/>
  <c r="L9" i="75" s="1"/>
  <c r="E9" i="76" s="1"/>
  <c r="L9" i="76" s="1"/>
  <c r="E9" i="77" s="1"/>
  <c r="G25" i="73"/>
  <c r="G23" i="74"/>
  <c r="I30" i="69"/>
  <c r="P30" i="69" s="1"/>
  <c r="H26" i="2"/>
  <c r="K26" i="2" s="1"/>
  <c r="EO33" i="1"/>
  <c r="E19" i="76"/>
  <c r="L19" i="76" s="1"/>
  <c r="E14" i="67"/>
  <c r="BJ27" i="6"/>
  <c r="BM27" i="6" s="1"/>
  <c r="K18" i="70"/>
  <c r="I34" i="70"/>
  <c r="P34" i="70" s="1"/>
  <c r="E18" i="70"/>
  <c r="AF26" i="3"/>
  <c r="AC27" i="3" s="1"/>
  <c r="W27" i="1"/>
  <c r="R28" i="1" s="1"/>
  <c r="AO23" i="1"/>
  <c r="AL24" i="1" s="1"/>
  <c r="E16" i="96"/>
  <c r="Q26" i="1"/>
  <c r="L27" i="1" s="1"/>
  <c r="EB27" i="1" s="1"/>
  <c r="EE27" i="1" s="1"/>
  <c r="L40" i="73"/>
  <c r="J23" i="74"/>
  <c r="J23" i="75" s="1"/>
  <c r="J23" i="76" s="1"/>
  <c r="J23" i="77" s="1"/>
  <c r="AB27" i="1"/>
  <c r="X28" i="1" s="1"/>
  <c r="L23" i="68"/>
  <c r="L25" i="68" s="1"/>
  <c r="I31" i="67"/>
  <c r="P31" i="67" s="1"/>
  <c r="H14" i="74"/>
  <c r="G14" i="77"/>
  <c r="H11" i="73"/>
  <c r="G11" i="73"/>
  <c r="J11" i="73"/>
  <c r="J11" i="74" s="1"/>
  <c r="K11" i="74"/>
  <c r="L28" i="2"/>
  <c r="P28" i="2" s="1"/>
  <c r="E10" i="71"/>
  <c r="E21" i="71"/>
  <c r="L18" i="69"/>
  <c r="EM26" i="1"/>
  <c r="EJ27" i="1" s="1"/>
  <c r="I34" i="71" s="1"/>
  <c r="P34" i="71" s="1"/>
  <c r="E13" i="68"/>
  <c r="L13" i="68" s="1"/>
  <c r="H26" i="1"/>
  <c r="K26" i="1" s="1"/>
  <c r="K24" i="3"/>
  <c r="H25" i="3" s="1"/>
  <c r="E23" i="69" s="1"/>
  <c r="E25" i="69" s="1"/>
  <c r="C27" i="3"/>
  <c r="G27" i="3" s="1"/>
  <c r="C28" i="2"/>
  <c r="G28" i="2" s="1"/>
  <c r="C31" i="1"/>
  <c r="G31" i="1" s="1"/>
  <c r="E22" i="71" l="1"/>
  <c r="L22" i="71" s="1"/>
  <c r="W23" i="6"/>
  <c r="T24" i="6" s="1"/>
  <c r="W24" i="6" s="1"/>
  <c r="T25" i="6" s="1"/>
  <c r="W25" i="6" s="1"/>
  <c r="T26" i="6" s="1"/>
  <c r="W26" i="6" s="1"/>
  <c r="P36" i="91"/>
  <c r="P40" i="91" s="1"/>
  <c r="I40" i="91"/>
  <c r="CH24" i="6"/>
  <c r="H25" i="6"/>
  <c r="I25" i="6" s="1"/>
  <c r="BF17" i="6"/>
  <c r="BI17" i="6" s="1"/>
  <c r="CD17" i="6" s="1"/>
  <c r="CE17" i="6" s="1"/>
  <c r="EF24" i="1"/>
  <c r="U27" i="2"/>
  <c r="Q28" i="2" s="1"/>
  <c r="U28" i="2" s="1"/>
  <c r="Q29" i="2" s="1"/>
  <c r="U29" i="2" s="1"/>
  <c r="E12" i="71"/>
  <c r="L12" i="71" s="1"/>
  <c r="E11" i="75"/>
  <c r="L11" i="75" s="1"/>
  <c r="E10" i="72"/>
  <c r="L10" i="72" s="1"/>
  <c r="E24" i="73"/>
  <c r="L24" i="73" s="1"/>
  <c r="J18" i="70"/>
  <c r="J25" i="70" s="1"/>
  <c r="G25" i="74"/>
  <c r="G23" i="75"/>
  <c r="I30" i="70"/>
  <c r="P30" i="70" s="1"/>
  <c r="H27" i="2"/>
  <c r="K27" i="2" s="1"/>
  <c r="L13" i="69"/>
  <c r="ER33" i="1"/>
  <c r="E19" i="77"/>
  <c r="L19" i="77" s="1"/>
  <c r="I35" i="71"/>
  <c r="BJ28" i="6"/>
  <c r="BM28" i="6" s="1"/>
  <c r="L16" i="96"/>
  <c r="E14" i="68"/>
  <c r="L14" i="68" s="1"/>
  <c r="I35" i="70"/>
  <c r="P35" i="70" s="1"/>
  <c r="L18" i="70"/>
  <c r="W28" i="1"/>
  <c r="R29" i="1" s="1"/>
  <c r="E21" i="72"/>
  <c r="AF27" i="3"/>
  <c r="AC28" i="3" s="1"/>
  <c r="AO24" i="1"/>
  <c r="AL25" i="1" s="1"/>
  <c r="Q27" i="1"/>
  <c r="L28" i="1" s="1"/>
  <c r="EB28" i="1" s="1"/>
  <c r="EE28" i="1" s="1"/>
  <c r="G36" i="73"/>
  <c r="K36" i="74"/>
  <c r="K40" i="74" s="1"/>
  <c r="L36" i="74"/>
  <c r="L40" i="74" s="1"/>
  <c r="H36" i="73"/>
  <c r="K18" i="71"/>
  <c r="L25" i="69"/>
  <c r="AB28" i="1"/>
  <c r="X29" i="1" s="1"/>
  <c r="I31" i="68"/>
  <c r="P31" i="68" s="1"/>
  <c r="J13" i="73"/>
  <c r="H14" i="75"/>
  <c r="H11" i="74"/>
  <c r="G13" i="73"/>
  <c r="G11" i="74"/>
  <c r="L10" i="71"/>
  <c r="L29" i="2"/>
  <c r="P29" i="2" s="1"/>
  <c r="EM27" i="1"/>
  <c r="EJ28" i="1" s="1"/>
  <c r="E18" i="71"/>
  <c r="K25" i="3"/>
  <c r="H26" i="3" s="1"/>
  <c r="E23" i="70" s="1"/>
  <c r="L23" i="70" s="1"/>
  <c r="C28" i="3"/>
  <c r="G28" i="3" s="1"/>
  <c r="C29" i="2"/>
  <c r="G29" i="2" s="1"/>
  <c r="C32" i="1"/>
  <c r="G32" i="1" s="1"/>
  <c r="H40" i="73" l="1"/>
  <c r="H36" i="74"/>
  <c r="H40" i="74" s="1"/>
  <c r="G40" i="73"/>
  <c r="G36" i="74"/>
  <c r="G36" i="75" s="1"/>
  <c r="E22" i="72"/>
  <c r="L22" i="72" s="1"/>
  <c r="P35" i="71"/>
  <c r="H27" i="1"/>
  <c r="K27" i="1" s="1"/>
  <c r="E12" i="72"/>
  <c r="L12" i="72" s="1"/>
  <c r="I36" i="92"/>
  <c r="I40" i="92" s="1"/>
  <c r="CH25" i="6"/>
  <c r="H26" i="6"/>
  <c r="I26" i="6" s="1"/>
  <c r="EI24" i="1"/>
  <c r="E15" i="68"/>
  <c r="L15" i="68" s="1"/>
  <c r="EF25" i="1"/>
  <c r="AB29" i="1"/>
  <c r="X30" i="1" s="1"/>
  <c r="E11" i="76"/>
  <c r="L11" i="76" s="1"/>
  <c r="I31" i="69"/>
  <c r="P31" i="69" s="1"/>
  <c r="E24" i="74"/>
  <c r="L24" i="74" s="1"/>
  <c r="J18" i="71"/>
  <c r="J25" i="71" s="1"/>
  <c r="L25" i="70"/>
  <c r="G23" i="76"/>
  <c r="G25" i="75"/>
  <c r="I30" i="71"/>
  <c r="P30" i="71" s="1"/>
  <c r="H28" i="2"/>
  <c r="K28" i="2" s="1"/>
  <c r="E25" i="70"/>
  <c r="E13" i="70"/>
  <c r="L13" i="70" s="1"/>
  <c r="BF18" i="6"/>
  <c r="I35" i="72"/>
  <c r="BJ29" i="6"/>
  <c r="BM29" i="6" s="1"/>
  <c r="E14" i="69"/>
  <c r="L14" i="69" s="1"/>
  <c r="I33" i="69"/>
  <c r="P33" i="69" s="1"/>
  <c r="I33" i="68"/>
  <c r="P33" i="68" s="1"/>
  <c r="W29" i="1"/>
  <c r="R30" i="1" s="1"/>
  <c r="E18" i="72"/>
  <c r="I34" i="72"/>
  <c r="P34" i="72" s="1"/>
  <c r="K18" i="72"/>
  <c r="AF28" i="3"/>
  <c r="AC29" i="3" s="1"/>
  <c r="Q28" i="1"/>
  <c r="L29" i="1" s="1"/>
  <c r="EB29" i="1" s="1"/>
  <c r="EE29" i="1" s="1"/>
  <c r="AO25" i="1"/>
  <c r="AL26" i="1" s="1"/>
  <c r="E16" i="67"/>
  <c r="L16" i="67" s="1"/>
  <c r="G40" i="74"/>
  <c r="K36" i="75"/>
  <c r="K40" i="75" s="1"/>
  <c r="L36" i="75"/>
  <c r="K11" i="75"/>
  <c r="K11" i="76" s="1"/>
  <c r="K11" i="77" s="1"/>
  <c r="J11" i="75"/>
  <c r="J13" i="74"/>
  <c r="Q30" i="2"/>
  <c r="U30" i="2" s="1"/>
  <c r="E12" i="73"/>
  <c r="L12" i="73" s="1"/>
  <c r="G13" i="74"/>
  <c r="G11" i="75"/>
  <c r="H14" i="76"/>
  <c r="H11" i="75"/>
  <c r="H11" i="76" s="1"/>
  <c r="H11" i="77" s="1"/>
  <c r="L30" i="2"/>
  <c r="P30" i="2" s="1"/>
  <c r="E10" i="73"/>
  <c r="L10" i="73" s="1"/>
  <c r="L18" i="71"/>
  <c r="EM28" i="1"/>
  <c r="EJ29" i="1" s="1"/>
  <c r="K26" i="3"/>
  <c r="H27" i="3" s="1"/>
  <c r="E23" i="71" s="1"/>
  <c r="E25" i="71" s="1"/>
  <c r="C29" i="3"/>
  <c r="G29" i="3" s="1"/>
  <c r="C30" i="2"/>
  <c r="G30" i="2" s="1"/>
  <c r="E22" i="73" l="1"/>
  <c r="L22" i="73" s="1"/>
  <c r="L36" i="76"/>
  <c r="L40" i="76" s="1"/>
  <c r="L40" i="75"/>
  <c r="H28" i="1"/>
  <c r="P36" i="92"/>
  <c r="P40" i="92" s="1"/>
  <c r="CH26" i="6"/>
  <c r="H27" i="6"/>
  <c r="I27" i="6" s="1"/>
  <c r="BI18" i="6"/>
  <c r="CD18" i="6" s="1"/>
  <c r="CE18" i="6" s="1"/>
  <c r="P35" i="72"/>
  <c r="EI25" i="1"/>
  <c r="E15" i="69"/>
  <c r="L15" i="69" s="1"/>
  <c r="EF26" i="1"/>
  <c r="AB30" i="1"/>
  <c r="X31" i="1" s="1"/>
  <c r="E24" i="75"/>
  <c r="L24" i="75" s="1"/>
  <c r="J18" i="72"/>
  <c r="J25" i="72" s="1"/>
  <c r="G23" i="77"/>
  <c r="G25" i="77" s="1"/>
  <c r="G25" i="76"/>
  <c r="I30" i="72"/>
  <c r="P30" i="72" s="1"/>
  <c r="H29" i="2"/>
  <c r="K29" i="2" s="1"/>
  <c r="E13" i="71"/>
  <c r="L13" i="71" s="1"/>
  <c r="I36" i="93"/>
  <c r="I40" i="93" s="1"/>
  <c r="I35" i="73"/>
  <c r="BJ30" i="6"/>
  <c r="BM30" i="6" s="1"/>
  <c r="E14" i="70"/>
  <c r="L14" i="70" s="1"/>
  <c r="W30" i="1"/>
  <c r="R31" i="1" s="1"/>
  <c r="L18" i="72"/>
  <c r="AF29" i="3"/>
  <c r="AC30" i="3" s="1"/>
  <c r="Q29" i="1"/>
  <c r="L30" i="1" s="1"/>
  <c r="EB30" i="1" s="1"/>
  <c r="EE30" i="1" s="1"/>
  <c r="AO26" i="1"/>
  <c r="AL27" i="1" s="1"/>
  <c r="E16" i="68"/>
  <c r="L16" i="68" s="1"/>
  <c r="K36" i="76"/>
  <c r="K40" i="76" s="1"/>
  <c r="H36" i="75"/>
  <c r="H36" i="76" s="1"/>
  <c r="K18" i="73"/>
  <c r="L23" i="71"/>
  <c r="L25" i="71" s="1"/>
  <c r="J11" i="76"/>
  <c r="J13" i="75"/>
  <c r="G11" i="76"/>
  <c r="G11" i="77" s="1"/>
  <c r="G13" i="75"/>
  <c r="Q31" i="2"/>
  <c r="U31" i="2" s="1"/>
  <c r="E12" i="74"/>
  <c r="L12" i="74" s="1"/>
  <c r="H14" i="77"/>
  <c r="L31" i="2"/>
  <c r="P31" i="2" s="1"/>
  <c r="E10" i="74"/>
  <c r="L10" i="74" s="1"/>
  <c r="I34" i="73"/>
  <c r="P34" i="73" s="1"/>
  <c r="E18" i="73"/>
  <c r="EM29" i="1"/>
  <c r="K27" i="3"/>
  <c r="H28" i="3" s="1"/>
  <c r="E23" i="72" s="1"/>
  <c r="L23" i="72" s="1"/>
  <c r="C33" i="1"/>
  <c r="G33" i="1" s="1"/>
  <c r="T27" i="6"/>
  <c r="I33" i="71" s="1"/>
  <c r="P33" i="71" s="1"/>
  <c r="C31" i="2"/>
  <c r="G31" i="2" s="1"/>
  <c r="G36" i="76" l="1"/>
  <c r="G40" i="76" s="1"/>
  <c r="G40" i="75"/>
  <c r="H40" i="76"/>
  <c r="H40" i="75"/>
  <c r="K28" i="1"/>
  <c r="H29" i="1" s="1"/>
  <c r="CH27" i="6"/>
  <c r="H28" i="6"/>
  <c r="I28" i="6" s="1"/>
  <c r="P35" i="73"/>
  <c r="EF27" i="1"/>
  <c r="EI26" i="1"/>
  <c r="E15" i="70"/>
  <c r="L15" i="70" s="1"/>
  <c r="AB31" i="1"/>
  <c r="X32" i="1" s="1"/>
  <c r="E11" i="77"/>
  <c r="L11" i="77" s="1"/>
  <c r="J11" i="77"/>
  <c r="E24" i="76"/>
  <c r="L24" i="76" s="1"/>
  <c r="L25" i="72"/>
  <c r="P36" i="93"/>
  <c r="P40" i="93" s="1"/>
  <c r="J18" i="73"/>
  <c r="J25" i="73" s="1"/>
  <c r="E25" i="72"/>
  <c r="I30" i="73"/>
  <c r="P30" i="73" s="1"/>
  <c r="H30" i="2"/>
  <c r="K30" i="2" s="1"/>
  <c r="E13" i="72"/>
  <c r="L13" i="72" s="1"/>
  <c r="BF19" i="6"/>
  <c r="I35" i="74"/>
  <c r="BJ31" i="6"/>
  <c r="BM31" i="6" s="1"/>
  <c r="E14" i="71"/>
  <c r="L14" i="71" s="1"/>
  <c r="W31" i="1"/>
  <c r="R32" i="1" s="1"/>
  <c r="I33" i="70"/>
  <c r="P33" i="70" s="1"/>
  <c r="I31" i="70"/>
  <c r="P31" i="70" s="1"/>
  <c r="AF30" i="3"/>
  <c r="AC31" i="3" s="1"/>
  <c r="Q30" i="1"/>
  <c r="L31" i="1" s="1"/>
  <c r="EB31" i="1" s="1"/>
  <c r="EE31" i="1" s="1"/>
  <c r="AO27" i="1"/>
  <c r="AL28" i="1" s="1"/>
  <c r="E16" i="69"/>
  <c r="L16" i="69" s="1"/>
  <c r="K36" i="77"/>
  <c r="K40" i="77" s="1"/>
  <c r="L36" i="77"/>
  <c r="L40" i="77" s="1"/>
  <c r="K18" i="74"/>
  <c r="J13" i="76"/>
  <c r="G13" i="77"/>
  <c r="G13" i="76"/>
  <c r="I31" i="71"/>
  <c r="P31" i="71" s="1"/>
  <c r="Q32" i="2"/>
  <c r="U32" i="2" s="1"/>
  <c r="E12" i="75"/>
  <c r="L12" i="75" s="1"/>
  <c r="L32" i="2"/>
  <c r="P32" i="2" s="1"/>
  <c r="E10" i="75"/>
  <c r="L10" i="75" s="1"/>
  <c r="L18" i="73"/>
  <c r="K28" i="3"/>
  <c r="H29" i="3" s="1"/>
  <c r="E23" i="73" s="1"/>
  <c r="E25" i="73" s="1"/>
  <c r="W27" i="6"/>
  <c r="T28" i="6" s="1"/>
  <c r="I33" i="72" s="1"/>
  <c r="P33" i="72" s="1"/>
  <c r="C32" i="2"/>
  <c r="G32" i="2" s="1"/>
  <c r="P35" i="74" l="1"/>
  <c r="K29" i="1"/>
  <c r="H30" i="1" s="1"/>
  <c r="CH28" i="6"/>
  <c r="H29" i="6"/>
  <c r="I29" i="6" s="1"/>
  <c r="BI19" i="6"/>
  <c r="CD19" i="6" s="1"/>
  <c r="CE19" i="6" s="1"/>
  <c r="E16" i="70"/>
  <c r="L16" i="70" s="1"/>
  <c r="EI27" i="1"/>
  <c r="E15" i="71"/>
  <c r="L15" i="71" s="1"/>
  <c r="EF28" i="1"/>
  <c r="AB32" i="1"/>
  <c r="X33" i="1" s="1"/>
  <c r="X34" i="1" s="1"/>
  <c r="I31" i="72"/>
  <c r="P31" i="72" s="1"/>
  <c r="J13" i="77"/>
  <c r="E24" i="77"/>
  <c r="L24" i="77" s="1"/>
  <c r="J18" i="74"/>
  <c r="J25" i="74" s="1"/>
  <c r="H31" i="2"/>
  <c r="K31" i="2" s="1"/>
  <c r="I30" i="74"/>
  <c r="P30" i="74" s="1"/>
  <c r="E13" i="73"/>
  <c r="L13" i="73" s="1"/>
  <c r="I36" i="94"/>
  <c r="I40" i="94" s="1"/>
  <c r="I35" i="75"/>
  <c r="P35" i="75" s="1"/>
  <c r="BJ32" i="6"/>
  <c r="BM32" i="6" s="1"/>
  <c r="E14" i="72"/>
  <c r="W32" i="1"/>
  <c r="R33" i="1" s="1"/>
  <c r="AF31" i="3"/>
  <c r="AC32" i="3" s="1"/>
  <c r="K18" i="75"/>
  <c r="Q31" i="1"/>
  <c r="L32" i="1" s="1"/>
  <c r="EB32" i="1" s="1"/>
  <c r="EE32" i="1" s="1"/>
  <c r="AO28" i="1"/>
  <c r="AL29" i="1" s="1"/>
  <c r="G36" i="77"/>
  <c r="G40" i="77" s="1"/>
  <c r="H36" i="77"/>
  <c r="H40" i="77" s="1"/>
  <c r="L23" i="73"/>
  <c r="L25" i="73" s="1"/>
  <c r="Q33" i="2"/>
  <c r="U33" i="2" s="1"/>
  <c r="E12" i="76"/>
  <c r="L12" i="76" s="1"/>
  <c r="L33" i="2"/>
  <c r="P33" i="2" s="1"/>
  <c r="E10" i="76"/>
  <c r="L10" i="76" s="1"/>
  <c r="K29" i="3"/>
  <c r="H30" i="3" s="1"/>
  <c r="C46" i="97" s="1"/>
  <c r="W28" i="6"/>
  <c r="T29" i="6" s="1"/>
  <c r="I33" i="73" s="1"/>
  <c r="P33" i="73" s="1"/>
  <c r="C33" i="2"/>
  <c r="G33" i="2" s="1"/>
  <c r="K30" i="1" l="1"/>
  <c r="H31" i="1" s="1"/>
  <c r="CH29" i="6"/>
  <c r="H30" i="6"/>
  <c r="I30" i="6" s="1"/>
  <c r="EI28" i="1"/>
  <c r="E15" i="72"/>
  <c r="EF29" i="1"/>
  <c r="AB33" i="1"/>
  <c r="AB34" i="1" s="1"/>
  <c r="P36" i="94"/>
  <c r="P40" i="94" s="1"/>
  <c r="J18" i="75"/>
  <c r="J25" i="75" s="1"/>
  <c r="L9" i="77"/>
  <c r="H32" i="2"/>
  <c r="K32" i="2" s="1"/>
  <c r="I30" i="75"/>
  <c r="P30" i="75" s="1"/>
  <c r="E13" i="74"/>
  <c r="L13" i="74" s="1"/>
  <c r="BF20" i="6"/>
  <c r="I35" i="76"/>
  <c r="P35" i="76" s="1"/>
  <c r="BJ33" i="6"/>
  <c r="BM33" i="6" s="1"/>
  <c r="W33" i="1"/>
  <c r="W34" i="1" s="1"/>
  <c r="R34" i="1"/>
  <c r="E14" i="73"/>
  <c r="L14" i="73" s="1"/>
  <c r="L34" i="1"/>
  <c r="AF32" i="3"/>
  <c r="AC33" i="3" s="1"/>
  <c r="K18" i="76"/>
  <c r="Q32" i="1"/>
  <c r="L33" i="1" s="1"/>
  <c r="EB33" i="1" s="1"/>
  <c r="EE33" i="1" s="1"/>
  <c r="AO29" i="1"/>
  <c r="AL30" i="1" s="1"/>
  <c r="EF30" i="1" s="1"/>
  <c r="L16" i="71"/>
  <c r="E16" i="71"/>
  <c r="E23" i="74"/>
  <c r="L23" i="74" s="1"/>
  <c r="I31" i="73"/>
  <c r="P31" i="73" s="1"/>
  <c r="U34" i="2"/>
  <c r="E12" i="77"/>
  <c r="L12" i="77" s="1"/>
  <c r="E10" i="77"/>
  <c r="L10" i="77" s="1"/>
  <c r="K30" i="3"/>
  <c r="H31" i="3" s="1"/>
  <c r="E23" i="75" s="1"/>
  <c r="L23" i="75" s="1"/>
  <c r="C45" i="12"/>
  <c r="O34" i="3"/>
  <c r="W29" i="6"/>
  <c r="T30" i="6" s="1"/>
  <c r="I33" i="74" s="1"/>
  <c r="P33" i="74" s="1"/>
  <c r="L34" i="3"/>
  <c r="AD29" i="6"/>
  <c r="K31" i="1" l="1"/>
  <c r="CH30" i="6"/>
  <c r="H31" i="6"/>
  <c r="I31" i="6" s="1"/>
  <c r="H32" i="6" s="1"/>
  <c r="I32" i="6" s="1"/>
  <c r="BI20" i="6"/>
  <c r="CD20" i="6" s="1"/>
  <c r="CE20" i="6" s="1"/>
  <c r="E16" i="72"/>
  <c r="L16" i="72" s="1"/>
  <c r="EI29" i="1"/>
  <c r="E15" i="73"/>
  <c r="L15" i="73" s="1"/>
  <c r="EI30" i="1"/>
  <c r="E15" i="74"/>
  <c r="I31" i="74"/>
  <c r="P31" i="74" s="1"/>
  <c r="J18" i="76"/>
  <c r="J25" i="76" s="1"/>
  <c r="E14" i="74"/>
  <c r="I30" i="76"/>
  <c r="P30" i="76" s="1"/>
  <c r="E13" i="75"/>
  <c r="L13" i="75" s="1"/>
  <c r="E13" i="76"/>
  <c r="L13" i="76" s="1"/>
  <c r="H33" i="2"/>
  <c r="K33" i="2" s="1"/>
  <c r="I36" i="95"/>
  <c r="I40" i="95" s="1"/>
  <c r="I35" i="77"/>
  <c r="P35" i="77" s="1"/>
  <c r="BG35" i="6"/>
  <c r="AF33" i="3"/>
  <c r="AC34" i="3"/>
  <c r="K18" i="77"/>
  <c r="Q33" i="1"/>
  <c r="Q34" i="1" s="1"/>
  <c r="AO30" i="1"/>
  <c r="AL31" i="1" s="1"/>
  <c r="EF31" i="1" s="1"/>
  <c r="E21" i="76"/>
  <c r="K31" i="3"/>
  <c r="H32" i="3" s="1"/>
  <c r="E23" i="76" s="1"/>
  <c r="L23" i="76" s="1"/>
  <c r="BG34" i="6"/>
  <c r="W30" i="6"/>
  <c r="T31" i="6" s="1"/>
  <c r="H32" i="1" l="1"/>
  <c r="CH31" i="6"/>
  <c r="EI31" i="1"/>
  <c r="E15" i="75"/>
  <c r="L15" i="75" s="1"/>
  <c r="I31" i="75"/>
  <c r="P31" i="75" s="1"/>
  <c r="I31" i="76"/>
  <c r="P31" i="76" s="1"/>
  <c r="P36" i="95"/>
  <c r="P40" i="95" s="1"/>
  <c r="J18" i="77"/>
  <c r="J25" i="77" s="1"/>
  <c r="I30" i="77"/>
  <c r="P30" i="77" s="1"/>
  <c r="BF21" i="6"/>
  <c r="E14" i="75"/>
  <c r="L14" i="75" s="1"/>
  <c r="AF34" i="3"/>
  <c r="I33" i="75"/>
  <c r="P33" i="75" s="1"/>
  <c r="AO31" i="1"/>
  <c r="AL32" i="1" s="1"/>
  <c r="L16" i="73"/>
  <c r="E16" i="73"/>
  <c r="K32" i="3"/>
  <c r="H33" i="3" s="1"/>
  <c r="W31" i="6"/>
  <c r="T32" i="6" s="1"/>
  <c r="I33" i="76" s="1"/>
  <c r="P33" i="76" s="1"/>
  <c r="CI29" i="6"/>
  <c r="K32" i="1" l="1"/>
  <c r="H34" i="1"/>
  <c r="CH32" i="6"/>
  <c r="H33" i="6"/>
  <c r="BI21" i="6"/>
  <c r="CD21" i="6" s="1"/>
  <c r="CE21" i="6" s="1"/>
  <c r="EF32" i="1"/>
  <c r="E13" i="77"/>
  <c r="L13" i="77" s="1"/>
  <c r="I36" i="96"/>
  <c r="I40" i="96" s="1"/>
  <c r="E14" i="76"/>
  <c r="L14" i="76" s="1"/>
  <c r="E21" i="77"/>
  <c r="AO32" i="1"/>
  <c r="AL33" i="1" s="1"/>
  <c r="L16" i="74"/>
  <c r="E16" i="74"/>
  <c r="H34" i="3"/>
  <c r="E23" i="77"/>
  <c r="L23" i="77" s="1"/>
  <c r="K33" i="3"/>
  <c r="K34" i="3" s="1"/>
  <c r="W32" i="6"/>
  <c r="T33" i="6" s="1"/>
  <c r="I33" i="77" s="1"/>
  <c r="P33" i="77" s="1"/>
  <c r="EJ30" i="1"/>
  <c r="H33" i="1" l="1"/>
  <c r="K33" i="1" s="1"/>
  <c r="K34" i="1"/>
  <c r="I33" i="6"/>
  <c r="CH33" i="6" s="1"/>
  <c r="I31" i="77"/>
  <c r="P31" i="77" s="1"/>
  <c r="EF33" i="1"/>
  <c r="EF34" i="1" s="1"/>
  <c r="EI32" i="1"/>
  <c r="E15" i="76"/>
  <c r="L15" i="76" s="1"/>
  <c r="P36" i="96"/>
  <c r="P40" i="96" s="1"/>
  <c r="BF22" i="6"/>
  <c r="AL34" i="1"/>
  <c r="AO33" i="1"/>
  <c r="AO34" i="1" s="1"/>
  <c r="AL35" i="1"/>
  <c r="L16" i="75"/>
  <c r="E16" i="75"/>
  <c r="I34" i="74"/>
  <c r="P34" i="74" s="1"/>
  <c r="E18" i="74"/>
  <c r="T34" i="6"/>
  <c r="W33" i="6"/>
  <c r="W34" i="6" s="1"/>
  <c r="P34" i="3"/>
  <c r="Q34" i="3" s="1"/>
  <c r="T34" i="3"/>
  <c r="BI22" i="6" l="1"/>
  <c r="CD22" i="6" s="1"/>
  <c r="CE22" i="6" s="1"/>
  <c r="EI33" i="1"/>
  <c r="EI34" i="1" s="1"/>
  <c r="E15" i="77"/>
  <c r="L15" i="77" s="1"/>
  <c r="I36" i="42"/>
  <c r="I40" i="42" s="1"/>
  <c r="E14" i="77"/>
  <c r="L14" i="77" s="1"/>
  <c r="EE34" i="1"/>
  <c r="E16" i="76"/>
  <c r="L16" i="76" s="1"/>
  <c r="AO35" i="1"/>
  <c r="L18" i="74"/>
  <c r="C30" i="3"/>
  <c r="G30" i="3" s="1"/>
  <c r="E22" i="74" l="1"/>
  <c r="E25" i="74" s="1"/>
  <c r="C31" i="3"/>
  <c r="G31" i="3" s="1"/>
  <c r="P36" i="42"/>
  <c r="P40" i="42" s="1"/>
  <c r="BF23" i="6"/>
  <c r="E16" i="77"/>
  <c r="L16" i="77" s="1"/>
  <c r="L22" i="74" l="1"/>
  <c r="L25" i="74" s="1"/>
  <c r="E22" i="75"/>
  <c r="L22" i="75" s="1"/>
  <c r="BI23" i="6"/>
  <c r="CD23" i="6" s="1"/>
  <c r="CE23" i="6" s="1"/>
  <c r="I36" i="67"/>
  <c r="I40" i="67" s="1"/>
  <c r="C32" i="3"/>
  <c r="G32" i="3" s="1"/>
  <c r="E22" i="76" l="1"/>
  <c r="P36" i="67"/>
  <c r="P40" i="67" s="1"/>
  <c r="BF24" i="6"/>
  <c r="L22" i="76"/>
  <c r="C33" i="3"/>
  <c r="G33" i="3" s="1"/>
  <c r="E22" i="77" l="1"/>
  <c r="BI24" i="6"/>
  <c r="CD24" i="6" s="1"/>
  <c r="CE24" i="6" s="1"/>
  <c r="I36" i="68"/>
  <c r="I40" i="68" s="1"/>
  <c r="L22" i="77"/>
  <c r="C34" i="3"/>
  <c r="P36" i="68" l="1"/>
  <c r="P40" i="68" s="1"/>
  <c r="BF25" i="6"/>
  <c r="BI25" i="6" l="1"/>
  <c r="CD25" i="6" s="1"/>
  <c r="CE25" i="6" s="1"/>
  <c r="I36" i="69"/>
  <c r="P36" i="69" l="1"/>
  <c r="P40" i="69" s="1"/>
  <c r="I40" i="69"/>
  <c r="BF26" i="6"/>
  <c r="BI26" i="6" s="1"/>
  <c r="CD26" i="6" l="1"/>
  <c r="CE26" i="6" s="1"/>
  <c r="I36" i="70"/>
  <c r="I40" i="70" l="1"/>
  <c r="P36" i="70"/>
  <c r="P40" i="70" s="1"/>
  <c r="BF27" i="6"/>
  <c r="BI27" i="6" s="1"/>
  <c r="I36" i="71" l="1"/>
  <c r="I40" i="71" s="1"/>
  <c r="CD27" i="6"/>
  <c r="CE27" i="6" s="1"/>
  <c r="P36" i="71" l="1"/>
  <c r="P40" i="71" s="1"/>
  <c r="BF28" i="6"/>
  <c r="BI28" i="6" s="1"/>
  <c r="I36" i="72" l="1"/>
  <c r="I40" i="72" s="1"/>
  <c r="CD28" i="6"/>
  <c r="CD34" i="6"/>
  <c r="CE34" i="6" s="1"/>
  <c r="EM30" i="1"/>
  <c r="EJ31" i="1" s="1"/>
  <c r="AH30" i="3"/>
  <c r="CE28" i="6" l="1"/>
  <c r="P36" i="72"/>
  <c r="P40" i="72" s="1"/>
  <c r="BF29" i="6"/>
  <c r="BI29" i="6" s="1"/>
  <c r="I34" i="75"/>
  <c r="P34" i="75" s="1"/>
  <c r="E18" i="75"/>
  <c r="E25" i="75" s="1"/>
  <c r="EM31" i="1"/>
  <c r="EJ32" i="1" s="1"/>
  <c r="AH34" i="3"/>
  <c r="CD29" i="6" l="1"/>
  <c r="CE29" i="6" s="1"/>
  <c r="I36" i="73"/>
  <c r="I40" i="73" s="1"/>
  <c r="I34" i="76"/>
  <c r="P34" i="76" s="1"/>
  <c r="E18" i="76"/>
  <c r="L18" i="75"/>
  <c r="EM32" i="1"/>
  <c r="EJ33" i="1" s="1"/>
  <c r="EM33" i="1" s="1"/>
  <c r="P36" i="73" l="1"/>
  <c r="P40" i="73" s="1"/>
  <c r="L25" i="75"/>
  <c r="E25" i="76"/>
  <c r="L18" i="76"/>
  <c r="BF30" i="6"/>
  <c r="EJ34" i="1"/>
  <c r="EM34" i="1"/>
  <c r="I34" i="77"/>
  <c r="P34" i="77" s="1"/>
  <c r="E18" i="77"/>
  <c r="E25" i="77" s="1"/>
  <c r="BI30" i="6" l="1"/>
  <c r="CD30" i="6" s="1"/>
  <c r="CE30" i="6" s="1"/>
  <c r="I36" i="74"/>
  <c r="L25" i="76"/>
  <c r="L18" i="77"/>
  <c r="P36" i="74" l="1"/>
  <c r="P40" i="74" s="1"/>
  <c r="I40" i="74"/>
  <c r="BF31" i="6"/>
  <c r="BI31" i="6" s="1"/>
  <c r="CD31" i="6" s="1"/>
  <c r="L25" i="77"/>
  <c r="H15" i="67"/>
  <c r="G15" i="67"/>
  <c r="I36" i="75" l="1"/>
  <c r="I40" i="75" s="1"/>
  <c r="BF32" i="6"/>
  <c r="BI32" i="6" s="1"/>
  <c r="CE31" i="6"/>
  <c r="G15" i="68"/>
  <c r="G16" i="67"/>
  <c r="H15" i="68"/>
  <c r="H16" i="67"/>
  <c r="P36" i="75" l="1"/>
  <c r="P40" i="75" s="1"/>
  <c r="CD32" i="6"/>
  <c r="I36" i="76"/>
  <c r="H15" i="69"/>
  <c r="H15" i="70" s="1"/>
  <c r="H16" i="70" s="1"/>
  <c r="H16" i="68"/>
  <c r="G15" i="69"/>
  <c r="G15" i="70" s="1"/>
  <c r="G16" i="70" s="1"/>
  <c r="G16" i="68"/>
  <c r="P36" i="76" l="1"/>
  <c r="P40" i="76" s="1"/>
  <c r="I40" i="76"/>
  <c r="BF33" i="6"/>
  <c r="CE32" i="6"/>
  <c r="G16" i="69"/>
  <c r="H16" i="69"/>
  <c r="BI33" i="6" l="1"/>
  <c r="CD33" i="6" s="1"/>
  <c r="CE33" i="6" s="1"/>
  <c r="I36" i="77"/>
  <c r="P36" i="77" s="1"/>
  <c r="P40" i="77" s="1"/>
  <c r="H15" i="71"/>
  <c r="H15" i="72" s="1"/>
  <c r="H16" i="72" s="1"/>
  <c r="G15" i="71"/>
  <c r="G15" i="72" s="1"/>
  <c r="G16" i="72" s="1"/>
  <c r="I40" i="77" l="1"/>
  <c r="G16" i="71"/>
  <c r="H16" i="71"/>
  <c r="H15" i="73" l="1"/>
  <c r="G15" i="73"/>
  <c r="G15" i="74" l="1"/>
  <c r="G16" i="73"/>
  <c r="H15" i="74"/>
  <c r="H16" i="73"/>
  <c r="H15" i="75" l="1"/>
  <c r="H16" i="74"/>
  <c r="G16" i="74"/>
  <c r="G15" i="75"/>
  <c r="G15" i="76" l="1"/>
  <c r="G16" i="75"/>
  <c r="H15" i="76"/>
  <c r="H16" i="75"/>
  <c r="H15" i="77" l="1"/>
  <c r="H16" i="77" s="1"/>
  <c r="H16" i="76"/>
  <c r="G15" i="77"/>
  <c r="G16" i="77" s="1"/>
  <c r="G16" i="76"/>
  <c r="K13" i="78" l="1"/>
  <c r="K13" i="79" l="1"/>
  <c r="K13" i="80" l="1"/>
  <c r="K13" i="81" l="1"/>
  <c r="K13" i="82" l="1"/>
  <c r="K13" i="83" l="1"/>
  <c r="K13" i="84" l="1"/>
  <c r="K13" i="85" l="1"/>
  <c r="K13" i="86" l="1"/>
  <c r="K13" i="87" l="1"/>
  <c r="K13" i="88" l="1"/>
  <c r="K13" i="89" l="1"/>
  <c r="K13" i="90" l="1"/>
  <c r="K13" i="91" l="1"/>
  <c r="K13" i="92" l="1"/>
  <c r="K13" i="93" l="1"/>
  <c r="K13" i="94" l="1"/>
  <c r="K13" i="95" l="1"/>
  <c r="K13" i="96" l="1"/>
  <c r="K13" i="67" l="1"/>
  <c r="K13" i="42"/>
  <c r="H13" i="78"/>
  <c r="H13" i="80" l="1"/>
  <c r="H13" i="79"/>
  <c r="K13" i="70" l="1"/>
  <c r="K13" i="68"/>
  <c r="H13" i="81"/>
  <c r="K13" i="72" l="1"/>
  <c r="K13" i="69"/>
  <c r="H13" i="82"/>
  <c r="H13" i="83" l="1"/>
  <c r="K13" i="71" l="1"/>
  <c r="H13" i="84"/>
  <c r="H13" i="85" l="1"/>
  <c r="K13" i="73" l="1"/>
  <c r="H13" i="86"/>
  <c r="K13" i="74" l="1"/>
  <c r="H13" i="87"/>
  <c r="K13" i="75" l="1"/>
  <c r="H13" i="88"/>
  <c r="K13" i="76" l="1"/>
  <c r="K13" i="77"/>
  <c r="H13" i="89"/>
  <c r="H13" i="90" l="1"/>
  <c r="H13" i="91" l="1"/>
  <c r="H13" i="92" l="1"/>
  <c r="H13" i="93" l="1"/>
  <c r="H13" i="94" l="1"/>
  <c r="H13" i="95" l="1"/>
  <c r="H13" i="96" l="1"/>
  <c r="H13" i="42" l="1"/>
  <c r="H13" i="67"/>
  <c r="H13" i="68" l="1"/>
  <c r="H13" i="70" l="1"/>
  <c r="H13" i="69"/>
  <c r="H13" i="71" l="1"/>
  <c r="H13" i="72" l="1"/>
  <c r="H13" i="73" l="1"/>
  <c r="H13" i="74" l="1"/>
  <c r="H13" i="75" l="1"/>
  <c r="H13" i="77" l="1"/>
  <c r="H13" i="76"/>
  <c r="P35" i="1"/>
  <c r="L35" i="3"/>
  <c r="AD35" i="3"/>
  <c r="I35" i="3"/>
  <c r="H23" i="78"/>
  <c r="H23" i="79" s="1"/>
  <c r="H23" i="80" s="1"/>
  <c r="H23" i="81" s="1"/>
  <c r="H23" i="82" s="1"/>
  <c r="H23" i="83" s="1"/>
  <c r="H23" i="84" s="1"/>
  <c r="H23" i="85" s="1"/>
  <c r="H23" i="86" s="1"/>
  <c r="H23" i="87" s="1"/>
  <c r="H23" i="88" s="1"/>
  <c r="H23" i="89" s="1"/>
  <c r="H23" i="90" s="1"/>
  <c r="H23" i="91" s="1"/>
  <c r="H23" i="92" s="1"/>
  <c r="H23" i="93" s="1"/>
  <c r="H23" i="94" s="1"/>
  <c r="H23" i="95" s="1"/>
  <c r="H23" i="96" s="1"/>
  <c r="H23" i="42" s="1"/>
  <c r="H23" i="67" s="1"/>
  <c r="H23" i="68" s="1"/>
  <c r="H23" i="69" s="1"/>
  <c r="H23" i="70" s="1"/>
  <c r="H23" i="71" s="1"/>
  <c r="H23" i="72" s="1"/>
  <c r="H23" i="73" s="1"/>
  <c r="H23" i="74" s="1"/>
  <c r="H23" i="75" s="1"/>
  <c r="H23" i="76" s="1"/>
  <c r="H23" i="77" s="1"/>
  <c r="J35" i="3"/>
  <c r="K23" i="78"/>
  <c r="K23" i="79" s="1"/>
  <c r="K23" i="80" s="1"/>
  <c r="K23" i="81" s="1"/>
  <c r="K23" i="82" s="1"/>
  <c r="K23" i="83" s="1"/>
  <c r="K23" i="84" s="1"/>
  <c r="K23" i="85" s="1"/>
  <c r="K23" i="86" s="1"/>
  <c r="K23" i="87" s="1"/>
  <c r="K23" i="88" s="1"/>
  <c r="K23" i="89" s="1"/>
  <c r="K23" i="90" s="1"/>
  <c r="K23" i="91" s="1"/>
  <c r="K23" i="92" s="1"/>
  <c r="K23" i="93" s="1"/>
  <c r="K23" i="94" s="1"/>
  <c r="K23" i="95" s="1"/>
  <c r="K23" i="96" s="1"/>
  <c r="K23" i="42" s="1"/>
  <c r="K23" i="67" s="1"/>
  <c r="K23" i="68" s="1"/>
  <c r="K23" i="69" s="1"/>
  <c r="K23" i="70" s="1"/>
  <c r="K23" i="71" s="1"/>
  <c r="K23" i="72" s="1"/>
  <c r="K23" i="73" s="1"/>
  <c r="K23" i="74" s="1"/>
  <c r="K23" i="75" s="1"/>
  <c r="K23" i="76" s="1"/>
  <c r="K23" i="77" s="1"/>
  <c r="N35" i="3"/>
  <c r="K24" i="78"/>
  <c r="K24" i="79" s="1"/>
  <c r="K24" i="80" s="1"/>
  <c r="K24" i="81" s="1"/>
  <c r="K24" i="82" s="1"/>
  <c r="K24" i="83" s="1"/>
  <c r="K24" i="84" s="1"/>
  <c r="K24" i="85" s="1"/>
  <c r="K24" i="86" s="1"/>
  <c r="K24" i="87" s="1"/>
  <c r="K24" i="88" s="1"/>
  <c r="K24" i="89" s="1"/>
  <c r="K24" i="90" s="1"/>
  <c r="K24" i="91" s="1"/>
  <c r="K24" i="92" s="1"/>
  <c r="K24" i="93" s="1"/>
  <c r="K24" i="94" s="1"/>
  <c r="K24" i="95" s="1"/>
  <c r="K24" i="96" s="1"/>
  <c r="K24" i="42" s="1"/>
  <c r="K24" i="67" s="1"/>
  <c r="K24" i="68" s="1"/>
  <c r="K24" i="69" s="1"/>
  <c r="K24" i="70" s="1"/>
  <c r="K24" i="71" s="1"/>
  <c r="K24" i="72" s="1"/>
  <c r="K24" i="73" s="1"/>
  <c r="K24" i="74" s="1"/>
  <c r="K24" i="75" s="1"/>
  <c r="K24" i="76" s="1"/>
  <c r="K24" i="77" s="1"/>
  <c r="M35" i="3"/>
  <c r="H24" i="78"/>
  <c r="H24" i="79" s="1"/>
  <c r="H24" i="80" s="1"/>
  <c r="H24" i="81" s="1"/>
  <c r="H24" i="82" s="1"/>
  <c r="H24" i="83" s="1"/>
  <c r="H24" i="84" s="1"/>
  <c r="H24" i="85" s="1"/>
  <c r="H24" i="86" s="1"/>
  <c r="H24" i="87" s="1"/>
  <c r="H24" i="88" s="1"/>
  <c r="H24" i="89" s="1"/>
  <c r="H24" i="90" s="1"/>
  <c r="H24" i="91" s="1"/>
  <c r="H24" i="92" s="1"/>
  <c r="H24" i="93" s="1"/>
  <c r="H24" i="94" s="1"/>
  <c r="H24" i="95" s="1"/>
  <c r="H24" i="96" s="1"/>
  <c r="H24" i="42" s="1"/>
  <c r="H24" i="67" s="1"/>
  <c r="H24" i="68" s="1"/>
  <c r="H24" i="69" s="1"/>
  <c r="H24" i="70" s="1"/>
  <c r="H24" i="71" s="1"/>
  <c r="H24" i="72" s="1"/>
  <c r="H24" i="73" s="1"/>
  <c r="H24" i="74" s="1"/>
  <c r="H24" i="75" s="1"/>
  <c r="H24" i="76" s="1"/>
  <c r="H24" i="77" s="1"/>
  <c r="E35" i="3"/>
  <c r="K22" i="78"/>
  <c r="K22" i="79" s="1"/>
  <c r="K22" i="80" s="1"/>
  <c r="K22" i="81" s="1"/>
  <c r="AE35" i="3"/>
  <c r="O30" i="80"/>
  <c r="K21" i="78"/>
  <c r="AA35" i="3"/>
  <c r="D35" i="3"/>
  <c r="H22" i="78"/>
  <c r="H22" i="79" s="1"/>
  <c r="H21" i="78"/>
  <c r="W35" i="3"/>
  <c r="V35" i="3"/>
  <c r="Q35" i="3"/>
  <c r="I39" i="2"/>
  <c r="R35" i="3"/>
  <c r="J39" i="2"/>
  <c r="Z35" i="3"/>
  <c r="K25" i="78" l="1"/>
  <c r="H25" i="78"/>
  <c r="O30" i="81"/>
  <c r="O30" i="82" s="1"/>
  <c r="O30" i="83" s="1"/>
  <c r="O30" i="84" s="1"/>
  <c r="O30" i="85" s="1"/>
  <c r="O30" i="86" s="1"/>
  <c r="O30" i="87" s="1"/>
  <c r="O30" i="88" s="1"/>
  <c r="O30" i="89" s="1"/>
  <c r="K22" i="82"/>
  <c r="K22" i="83" s="1"/>
  <c r="K22" i="84" s="1"/>
  <c r="H22" i="80"/>
  <c r="H25" i="80" s="1"/>
  <c r="H25" i="79"/>
  <c r="K21" i="79"/>
  <c r="H21" i="95"/>
  <c r="O30" i="90" l="1"/>
  <c r="O30" i="91" s="1"/>
  <c r="O30" i="92" s="1"/>
  <c r="O30" i="93" s="1"/>
  <c r="O30" i="94" s="1"/>
  <c r="O30" i="95" s="1"/>
  <c r="O30" i="96" s="1"/>
  <c r="O30" i="42" s="1"/>
  <c r="O30" i="67" s="1"/>
  <c r="O30" i="68" s="1"/>
  <c r="O30" i="69" s="1"/>
  <c r="O30" i="70" s="1"/>
  <c r="O30" i="71" s="1"/>
  <c r="O30" i="72" s="1"/>
  <c r="O30" i="73" s="1"/>
  <c r="O30" i="74" s="1"/>
  <c r="K22" i="85"/>
  <c r="K22" i="86" s="1"/>
  <c r="K22" i="87" s="1"/>
  <c r="K22" i="88" s="1"/>
  <c r="K22" i="89" s="1"/>
  <c r="K22" i="90" s="1"/>
  <c r="K22" i="91" s="1"/>
  <c r="K22" i="92" s="1"/>
  <c r="K22" i="93" s="1"/>
  <c r="K22" i="94" s="1"/>
  <c r="K22" i="95" s="1"/>
  <c r="H22" i="81"/>
  <c r="K21" i="80"/>
  <c r="K25" i="80" s="1"/>
  <c r="K25" i="79"/>
  <c r="H21" i="96"/>
  <c r="O30" i="75" l="1"/>
  <c r="O30" i="76" s="1"/>
  <c r="O30" i="77" s="1"/>
  <c r="K22" i="96"/>
  <c r="K22" i="42" s="1"/>
  <c r="K22" i="67" s="1"/>
  <c r="K22" i="68" s="1"/>
  <c r="K22" i="69" s="1"/>
  <c r="K22" i="70" s="1"/>
  <c r="K22" i="71" s="1"/>
  <c r="K22" i="72" s="1"/>
  <c r="K22" i="73" s="1"/>
  <c r="K22" i="74" s="1"/>
  <c r="K22" i="75" s="1"/>
  <c r="K22" i="76" s="1"/>
  <c r="K22" i="77" s="1"/>
  <c r="K21" i="81"/>
  <c r="K25" i="81" s="1"/>
  <c r="H22" i="82"/>
  <c r="H25" i="82" s="1"/>
  <c r="H25" i="81"/>
  <c r="H21" i="42"/>
  <c r="K21" i="82" l="1"/>
  <c r="K21" i="83" s="1"/>
  <c r="H22" i="83"/>
  <c r="H25" i="83" s="1"/>
  <c r="H21" i="67"/>
  <c r="H21" i="68" s="1"/>
  <c r="K25" i="82" l="1"/>
  <c r="H22" i="84"/>
  <c r="H22" i="85" s="1"/>
  <c r="H21" i="71"/>
  <c r="H21" i="72" s="1"/>
  <c r="H21" i="76" s="1"/>
  <c r="H21" i="77" s="1"/>
  <c r="K25" i="83"/>
  <c r="K21" i="84"/>
  <c r="K25" i="84" s="1"/>
  <c r="H25" i="84" l="1"/>
  <c r="H22" i="86"/>
  <c r="H25" i="85"/>
  <c r="K21" i="85"/>
  <c r="H22" i="87" l="1"/>
  <c r="H25" i="86"/>
  <c r="K21" i="86"/>
  <c r="K25" i="85"/>
  <c r="K21" i="87" l="1"/>
  <c r="K25" i="86"/>
  <c r="H22" i="88"/>
  <c r="H25" i="87"/>
  <c r="H22" i="89" l="1"/>
  <c r="H25" i="88"/>
  <c r="K21" i="88"/>
  <c r="K25" i="87"/>
  <c r="H22" i="90" l="1"/>
  <c r="H25" i="89"/>
  <c r="K21" i="89"/>
  <c r="K25" i="88"/>
  <c r="K21" i="90" l="1"/>
  <c r="K25" i="89"/>
  <c r="H22" i="91"/>
  <c r="H25" i="90"/>
  <c r="H22" i="92" l="1"/>
  <c r="H25" i="91"/>
  <c r="K21" i="91"/>
  <c r="K25" i="90"/>
  <c r="K21" i="92" l="1"/>
  <c r="K25" i="91"/>
  <c r="H22" i="93"/>
  <c r="H25" i="92"/>
  <c r="H22" i="94" l="1"/>
  <c r="H25" i="93"/>
  <c r="K21" i="93"/>
  <c r="K25" i="92"/>
  <c r="K21" i="94" l="1"/>
  <c r="K25" i="93"/>
  <c r="H22" i="95"/>
  <c r="H25" i="95" s="1"/>
  <c r="H25" i="94"/>
  <c r="H22" i="96" l="1"/>
  <c r="K21" i="95"/>
  <c r="K25" i="95" s="1"/>
  <c r="K25" i="94"/>
  <c r="K21" i="96" l="1"/>
  <c r="H22" i="42"/>
  <c r="H25" i="96"/>
  <c r="K21" i="42" l="1"/>
  <c r="K25" i="96"/>
  <c r="H22" i="67"/>
  <c r="H25" i="42"/>
  <c r="K21" i="67" l="1"/>
  <c r="K25" i="42"/>
  <c r="H22" i="68"/>
  <c r="H25" i="67"/>
  <c r="K21" i="68" l="1"/>
  <c r="K25" i="67"/>
  <c r="H22" i="69"/>
  <c r="H25" i="68"/>
  <c r="K21" i="69" l="1"/>
  <c r="K25" i="68"/>
  <c r="H22" i="70"/>
  <c r="H25" i="70" s="1"/>
  <c r="H25" i="69"/>
  <c r="N35" i="64"/>
  <c r="H58" i="78"/>
  <c r="H58" i="79" s="1"/>
  <c r="H58" i="80" s="1"/>
  <c r="H58" i="81" s="1"/>
  <c r="H58" i="82" s="1"/>
  <c r="H58" i="83" s="1"/>
  <c r="H58" i="84" s="1"/>
  <c r="H58" i="85" s="1"/>
  <c r="H58" i="86" s="1"/>
  <c r="H58" i="87" s="1"/>
  <c r="H58" i="88" s="1"/>
  <c r="H58" i="89" s="1"/>
  <c r="H58" i="90" s="1"/>
  <c r="H58" i="91" s="1"/>
  <c r="H58" i="92" s="1"/>
  <c r="H58" i="93" s="1"/>
  <c r="H58" i="94" s="1"/>
  <c r="C35" i="64"/>
  <c r="Y35" i="64"/>
  <c r="K21" i="70" l="1"/>
  <c r="K25" i="70" s="1"/>
  <c r="K25" i="69"/>
  <c r="H22" i="71"/>
  <c r="H25" i="71" s="1"/>
  <c r="H58" i="95"/>
  <c r="H58" i="96" s="1"/>
  <c r="H58" i="42" l="1"/>
  <c r="H58" i="67" s="1"/>
  <c r="H58" i="68" s="1"/>
  <c r="H58" i="69" s="1"/>
  <c r="H58" i="70" s="1"/>
  <c r="H58" i="71" s="1"/>
  <c r="H58" i="72" s="1"/>
  <c r="H58" i="73" s="1"/>
  <c r="H58" i="74" s="1"/>
  <c r="H58" i="76" s="1"/>
  <c r="H22" i="72"/>
  <c r="H25" i="72" s="1"/>
  <c r="K21" i="71"/>
  <c r="K25" i="71" s="1"/>
  <c r="K21" i="72" l="1"/>
  <c r="K25" i="72" s="1"/>
  <c r="H22" i="73"/>
  <c r="H25" i="73" s="1"/>
  <c r="H22" i="74" l="1"/>
  <c r="H25" i="74" s="1"/>
  <c r="K21" i="73"/>
  <c r="K25" i="73" s="1"/>
  <c r="K21" i="74" l="1"/>
  <c r="K25" i="74" s="1"/>
  <c r="H22" i="75"/>
  <c r="H25" i="75" s="1"/>
  <c r="H22" i="76" l="1"/>
  <c r="H25" i="76" s="1"/>
  <c r="K21" i="75"/>
  <c r="K25" i="75" s="1"/>
  <c r="K21" i="76" l="1"/>
  <c r="K25" i="76" s="1"/>
  <c r="H22" i="77"/>
  <c r="H25" i="77" s="1"/>
  <c r="K21" i="77" l="1"/>
  <c r="K25" i="77" s="1"/>
  <c r="N53" i="80"/>
  <c r="CI28" i="6" l="1"/>
  <c r="CG34" i="6"/>
  <c r="E38" i="55" s="1"/>
  <c r="C38" i="55" l="1"/>
  <c r="F38" i="55"/>
  <c r="J38" i="55"/>
  <c r="B38" i="55"/>
  <c r="H38" i="55"/>
  <c r="G38" i="55"/>
  <c r="K38" i="55" l="1"/>
  <c r="L46" i="73"/>
  <c r="K46" i="73"/>
  <c r="H46" i="73"/>
  <c r="G46" i="73"/>
  <c r="L46" i="74"/>
  <c r="H46" i="74"/>
  <c r="G46" i="77" l="1"/>
  <c r="K45" i="77"/>
  <c r="K46" i="77" s="1"/>
  <c r="G46" i="74"/>
  <c r="L45" i="77" l="1"/>
  <c r="L46" i="77" s="1"/>
  <c r="H46" i="7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H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COAL RECEIPT FROM STORE</t>
        </r>
      </text>
    </comment>
    <comment ref="BA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COAL RECEIPT FROM STORE</t>
        </r>
      </text>
    </comment>
    <comment ref="CO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ENETR COAL RECEIPT FROM STORE</t>
        </r>
      </text>
    </comment>
    <comment ref="EP2" authorId="0" shapeId="0" xr:uid="{79D7550C-3762-454D-B06B-B8A1CF69F5B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RECEIPTS</t>
        </r>
      </text>
    </comment>
    <comment ref="AK32" authorId="0" shapeId="0" xr:uid="{5DF07118-2F01-4BD4-87BD-A1E0307A21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STOCK ADJUSTMENT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 BOOKED QTY FROM STORES</t>
        </r>
      </text>
    </comment>
    <comment ref="F10" authorId="0" shapeId="0" xr:uid="{53EEF69E-2EE5-4189-8A31-3AA946CBC5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FORMULA ADJUSTED BY RAJABU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CHNAGED BY Rajabu on 06.aug.2024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30" authorId="0" shapeId="0" xr:uid="{A8B393DA-52E8-4265-8EA8-625D35521A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hrs entered in ODOO were deducted by 0.5 to balance the running hrs. i.e 10.38 intsead of 10.88</t>
        </r>
      </text>
    </comment>
  </commentList>
</comments>
</file>

<file path=xl/sharedStrings.xml><?xml version="1.0" encoding="utf-8"?>
<sst xmlns="http://schemas.openxmlformats.org/spreadsheetml/2006/main" count="4300" uniqueCount="351">
  <si>
    <t>MARCH</t>
  </si>
  <si>
    <t>HG LS</t>
  </si>
  <si>
    <t>LG LS</t>
  </si>
  <si>
    <t>Clay</t>
  </si>
  <si>
    <t>Sand</t>
  </si>
  <si>
    <t>TG</t>
  </si>
  <si>
    <t>HGHMGO</t>
  </si>
  <si>
    <t>PURCHASED LIMESTONE</t>
  </si>
  <si>
    <t>Total</t>
  </si>
  <si>
    <t>Date</t>
  </si>
  <si>
    <t>Opening Stock</t>
  </si>
  <si>
    <t>Production</t>
  </si>
  <si>
    <t>Total Consumption</t>
  </si>
  <si>
    <t>CONS R/M1</t>
  </si>
  <si>
    <t>Closing Stock</t>
  </si>
  <si>
    <t>Consumption</t>
  </si>
  <si>
    <t>TOTAL Consumption</t>
  </si>
  <si>
    <t>Cons R/M1</t>
  </si>
  <si>
    <t>TOTALConsumption</t>
  </si>
  <si>
    <t>P</t>
  </si>
  <si>
    <t>C</t>
  </si>
  <si>
    <t>Raw meal</t>
  </si>
  <si>
    <t>diff</t>
  </si>
  <si>
    <t>LG</t>
  </si>
  <si>
    <t>MINES CONS</t>
  </si>
  <si>
    <t>MINES RECEIPT</t>
  </si>
  <si>
    <t>MTD</t>
  </si>
  <si>
    <t>YTD</t>
  </si>
  <si>
    <t>DEC</t>
  </si>
  <si>
    <t>HG</t>
  </si>
  <si>
    <t>CLAY</t>
  </si>
  <si>
    <t>SAND</t>
  </si>
  <si>
    <t>IRON ORE</t>
  </si>
  <si>
    <t>TOTAL WET</t>
  </si>
  <si>
    <t>CONSUMPTION</t>
  </si>
  <si>
    <t>PRODUCTION</t>
  </si>
  <si>
    <t>Iron Ore</t>
  </si>
  <si>
    <t>Raw Meal</t>
  </si>
  <si>
    <t>Tan Coal</t>
  </si>
  <si>
    <t>EDENVILLEY coal</t>
  </si>
  <si>
    <t>RUVUMA coal</t>
  </si>
  <si>
    <t>GODMWANGA coal</t>
  </si>
  <si>
    <t>STAMICO coal</t>
  </si>
  <si>
    <t>Ash Coal</t>
  </si>
  <si>
    <t>Ariim Coal</t>
  </si>
  <si>
    <t>Lik &amp; Lambert coal</t>
  </si>
  <si>
    <t>JITEGEMEE</t>
  </si>
  <si>
    <t>MAX COAL</t>
  </si>
  <si>
    <t>SINO COAL</t>
  </si>
  <si>
    <t>Ibrico</t>
  </si>
  <si>
    <t>MEGA CJ</t>
  </si>
  <si>
    <t>MABENGA COAL</t>
  </si>
  <si>
    <t>TENCO</t>
  </si>
  <si>
    <t>Scolastica</t>
  </si>
  <si>
    <t>Connect</t>
  </si>
  <si>
    <t>Yongda</t>
  </si>
  <si>
    <t>Kindaini</t>
  </si>
  <si>
    <t>MONTREAL</t>
  </si>
  <si>
    <t>ludewa</t>
  </si>
  <si>
    <t>MCHEKANE</t>
  </si>
  <si>
    <t>MARKET</t>
  </si>
  <si>
    <t>SIAAS</t>
  </si>
  <si>
    <t>KILN COAL</t>
  </si>
  <si>
    <t>cpp coal</t>
  </si>
  <si>
    <t>Clinker</t>
  </si>
  <si>
    <t>Spg TRACKING</t>
  </si>
  <si>
    <t>Consumption/RM1</t>
  </si>
  <si>
    <t xml:space="preserve">total Consumption </t>
  </si>
  <si>
    <t>CPP</t>
  </si>
  <si>
    <t>KILN</t>
  </si>
  <si>
    <t>Consumption CPP</t>
  </si>
  <si>
    <t>Consump Kiln</t>
  </si>
  <si>
    <t>CONS CPP</t>
  </si>
  <si>
    <t>clinker despatch</t>
  </si>
  <si>
    <t>OP</t>
  </si>
  <si>
    <t>CLINKER PURCHASED</t>
  </si>
  <si>
    <t>CLINKER CONS</t>
  </si>
  <si>
    <t>CLOSING</t>
  </si>
  <si>
    <t>Gypsum</t>
  </si>
  <si>
    <t>LG1</t>
  </si>
  <si>
    <t>SPG</t>
  </si>
  <si>
    <t>LS-2</t>
  </si>
  <si>
    <t>JAN</t>
  </si>
  <si>
    <t>Crushed limestone</t>
  </si>
  <si>
    <t>Raw Mill-1</t>
  </si>
  <si>
    <t>RAW MILL 2</t>
  </si>
  <si>
    <t>Coal Mill</t>
  </si>
  <si>
    <t>Kiln</t>
  </si>
  <si>
    <t>Cement Mill (42.5)</t>
  </si>
  <si>
    <t>Cement Mill (32.5</t>
  </si>
  <si>
    <t>Cement Mill (42.5N)</t>
  </si>
  <si>
    <t>Cement Mill (OPC)</t>
  </si>
  <si>
    <t>Cement Mill- 2 (42.5)</t>
  </si>
  <si>
    <t>Cement Mill -2 (32.5</t>
  </si>
  <si>
    <t>Cement Mill -2(42.5N)</t>
  </si>
  <si>
    <t>Cement Mill -2(OPC)</t>
  </si>
  <si>
    <t>Dipatch 42.5</t>
  </si>
  <si>
    <t>Dispatch32.5</t>
  </si>
  <si>
    <t>Dispatch 42.5N</t>
  </si>
  <si>
    <t xml:space="preserve">Dispatch OPC </t>
  </si>
  <si>
    <t>Rng Hrs</t>
  </si>
  <si>
    <t>TPH</t>
  </si>
  <si>
    <t>Opening</t>
  </si>
  <si>
    <t>Closing</t>
  </si>
  <si>
    <t>Act Silo level</t>
  </si>
  <si>
    <t>total consumption</t>
  </si>
  <si>
    <t>Clin. Con</t>
  </si>
  <si>
    <t>Cement con</t>
  </si>
  <si>
    <t>consumption</t>
  </si>
  <si>
    <t xml:space="preserve">Opning </t>
  </si>
  <si>
    <t>Dispatch</t>
  </si>
  <si>
    <t>Silo Closing</t>
  </si>
  <si>
    <t>Actual Silo 1</t>
  </si>
  <si>
    <t>Actual Silo 2</t>
  </si>
  <si>
    <t>Actual silo 3</t>
  </si>
  <si>
    <t>Total Book</t>
  </si>
  <si>
    <t>Diff</t>
  </si>
  <si>
    <t>Total dispatch</t>
  </si>
  <si>
    <t>Total Grinding</t>
  </si>
  <si>
    <t>R/MILL DIFF</t>
  </si>
  <si>
    <t>RAW MILL</t>
  </si>
  <si>
    <t>COAL</t>
  </si>
  <si>
    <t>CEM- 1</t>
  </si>
  <si>
    <t>CEM-2</t>
  </si>
  <si>
    <t>CEM-1</t>
  </si>
  <si>
    <t>.</t>
  </si>
  <si>
    <t>Rng hrs</t>
  </si>
  <si>
    <t>tan Coal Consumption</t>
  </si>
  <si>
    <t>Edenville Ash coal cons</t>
  </si>
  <si>
    <t>Godmwanga coal cons</t>
  </si>
  <si>
    <t>stamico</t>
  </si>
  <si>
    <t>Ruvuma</t>
  </si>
  <si>
    <t>ARIIM</t>
  </si>
  <si>
    <t>LIK</t>
  </si>
  <si>
    <t>MAX</t>
  </si>
  <si>
    <t>SINO</t>
  </si>
  <si>
    <t>IBRICO</t>
  </si>
  <si>
    <t>MEGA</t>
  </si>
  <si>
    <t>KINDAINI</t>
  </si>
  <si>
    <t>Montreal</t>
  </si>
  <si>
    <t>LUDEWA</t>
  </si>
  <si>
    <t>CRUSHER</t>
  </si>
  <si>
    <t>RAW MILL-1</t>
  </si>
  <si>
    <t>RAW MILL-2</t>
  </si>
  <si>
    <t>PYRO -KILN</t>
  </si>
  <si>
    <t>COAL MILL</t>
  </si>
  <si>
    <t>CEMENT MILL</t>
  </si>
  <si>
    <t>LOSSES</t>
  </si>
  <si>
    <t>P.Plant</t>
  </si>
  <si>
    <t>Water pump, Utility, Factory &amp; Colony lighting.</t>
  </si>
  <si>
    <t>TOTAL</t>
  </si>
  <si>
    <t>compressor</t>
  </si>
  <si>
    <t>R/M1 POWER</t>
  </si>
  <si>
    <t>R/M2 POWER</t>
  </si>
  <si>
    <t>PER TONE R/M1</t>
  </si>
  <si>
    <t>PER TON R/M2</t>
  </si>
  <si>
    <t>CEM1 POWER</t>
  </si>
  <si>
    <t>CEM2 POWER</t>
  </si>
  <si>
    <t>PER TONE CM1</t>
  </si>
  <si>
    <t>PER TONE CM2</t>
  </si>
  <si>
    <t>PER TONE Coal</t>
  </si>
  <si>
    <t>PER TONE kiln</t>
  </si>
  <si>
    <t>CLINKER</t>
  </si>
  <si>
    <t>FINE COAL CONS</t>
  </si>
  <si>
    <t>NCV</t>
  </si>
  <si>
    <t>HEAT</t>
  </si>
  <si>
    <t>% COAL</t>
  </si>
  <si>
    <t>total</t>
  </si>
  <si>
    <t>/ TON MAT</t>
  </si>
  <si>
    <t>/ TON CLINK</t>
  </si>
  <si>
    <t>/ TON CEM</t>
  </si>
  <si>
    <t>Cement Production</t>
  </si>
  <si>
    <t>TPH42.5</t>
  </si>
  <si>
    <t>TPH32.5</t>
  </si>
  <si>
    <t>TPH42.5N</t>
  </si>
  <si>
    <t>OPC</t>
  </si>
  <si>
    <t>Lime Stone in 42.5</t>
  </si>
  <si>
    <t>Gypsum In 42.5</t>
  </si>
  <si>
    <t>Lime Stone in 32.5</t>
  </si>
  <si>
    <t>Gypsum In 32.5</t>
  </si>
  <si>
    <t>Lime Stone in 42.5N</t>
  </si>
  <si>
    <t>Gypsum In 42.5N</t>
  </si>
  <si>
    <t>Lime Stone in OPC</t>
  </si>
  <si>
    <t>Gypsum In OPC</t>
  </si>
  <si>
    <t>Clinker In 42.5</t>
  </si>
  <si>
    <t>Clinker in 32.5</t>
  </si>
  <si>
    <t>Clinker in 42.5N</t>
  </si>
  <si>
    <t>CLINKER IN OPC</t>
  </si>
  <si>
    <t>Total clinker</t>
  </si>
  <si>
    <t>Total LS 1</t>
  </si>
  <si>
    <t>Total GY</t>
  </si>
  <si>
    <t>Mapi (lit)</t>
  </si>
  <si>
    <t>Strex (Lit)</t>
  </si>
  <si>
    <t>%cli</t>
  </si>
  <si>
    <t>total cement</t>
  </si>
  <si>
    <t>42.5N</t>
  </si>
  <si>
    <t>LS2 42.5</t>
  </si>
  <si>
    <t>LS2 32.5</t>
  </si>
  <si>
    <t>CM PRODN</t>
  </si>
  <si>
    <t>date</t>
  </si>
  <si>
    <t>strex</t>
  </si>
  <si>
    <t>kg</t>
  </si>
  <si>
    <t>lit</t>
  </si>
  <si>
    <t xml:space="preserve">kg </t>
  </si>
  <si>
    <t>TPH OPC</t>
  </si>
  <si>
    <t>Clinker in OPC</t>
  </si>
  <si>
    <t>opc</t>
  </si>
  <si>
    <t>Receiving</t>
  </si>
  <si>
    <t>OB</t>
  </si>
  <si>
    <t>Received Cement 42.5R</t>
  </si>
  <si>
    <t>Cement consumption 42.5R</t>
  </si>
  <si>
    <t>CB</t>
  </si>
  <si>
    <t>Received Cement 42.5 N</t>
  </si>
  <si>
    <t>Cement consumption 42.5 N</t>
  </si>
  <si>
    <t>Received Cement 32.5 N</t>
  </si>
  <si>
    <t>Cement consumption 32.5 N</t>
  </si>
  <si>
    <t>Received Cement OPC</t>
  </si>
  <si>
    <t>Cement consumption OPC</t>
  </si>
  <si>
    <t xml:space="preserve">limestone </t>
  </si>
  <si>
    <t>clay</t>
  </si>
  <si>
    <t>Iron ore</t>
  </si>
  <si>
    <t>% moisture (LS,OB,ID)</t>
  </si>
  <si>
    <t>% moisture (IO)</t>
  </si>
  <si>
    <t>coal</t>
  </si>
  <si>
    <t>% moisture</t>
  </si>
  <si>
    <t>LAKE CEMENT LIMITED</t>
  </si>
  <si>
    <t xml:space="preserve">                                                          PRODUCTION REPORT</t>
  </si>
  <si>
    <t>DATE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</si>
  <si>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</si>
  <si>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</si>
  <si>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</si>
  <si>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</si>
  <si>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</si>
  <si>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</si>
  <si>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</si>
  <si>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</si>
  <si>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MATL CONSUMPTION</t>
  </si>
  <si>
    <t>% MATL CONSUMPTION</t>
  </si>
  <si>
    <t>MOISTURE %</t>
  </si>
  <si>
    <t>ON DATE</t>
  </si>
  <si>
    <t xml:space="preserve">PYRO PROCESSING </t>
  </si>
  <si>
    <t xml:space="preserve"> </t>
  </si>
  <si>
    <t>LIMESTONE</t>
  </si>
  <si>
    <t>INDUSTRIAL CLAY</t>
  </si>
  <si>
    <t>TOTAL MATL - RAW MILL</t>
  </si>
  <si>
    <t xml:space="preserve">COAL </t>
  </si>
  <si>
    <t xml:space="preserve">CEMENT GRINDING </t>
  </si>
  <si>
    <t xml:space="preserve">CLINKER </t>
  </si>
  <si>
    <t>OWN</t>
  </si>
  <si>
    <t>CLINKER DESPATCH</t>
  </si>
  <si>
    <t>GYPSUM</t>
  </si>
  <si>
    <t>GRINDING AID</t>
  </si>
  <si>
    <t>STAREX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</si>
  <si>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</si>
  <si>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</si>
  <si>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</si>
  <si>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</si>
  <si>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</si>
  <si>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</si>
  <si>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</si>
  <si>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MT / HR</t>
  </si>
  <si>
    <t>LS CRUSHER</t>
  </si>
  <si>
    <t>RAW MILL -1</t>
  </si>
  <si>
    <t>RAW MILL -2</t>
  </si>
  <si>
    <t>CEMENT MILL -1</t>
  </si>
  <si>
    <t>32.5 N</t>
  </si>
  <si>
    <t>42.5 R</t>
  </si>
  <si>
    <t>42.5 N</t>
  </si>
  <si>
    <t>CEMENT MILL -2</t>
  </si>
  <si>
    <t>SPECIFIC POWER</t>
  </si>
  <si>
    <t>SPECIFIC HEAT CONSUMPTION (KILN)</t>
  </si>
  <si>
    <t>CEM MILL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</si>
  <si>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</si>
  <si>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</si>
  <si>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</si>
  <si>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</si>
  <si>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</si>
  <si>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</si>
  <si>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</si>
  <si>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</si>
  <si>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</si>
  <si>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</si>
  <si>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PRODUCTION HEAD</t>
  </si>
  <si>
    <t>MATERIAL</t>
  </si>
  <si>
    <t>DAY</t>
  </si>
  <si>
    <t>INTERNAL USE CEMENT</t>
  </si>
  <si>
    <t>CALCULATED MOISTURE %</t>
  </si>
  <si>
    <t xml:space="preserve"> MATL CONSUMPTION</t>
  </si>
  <si>
    <t xml:space="preserve">MTD CALCULATED MOISTURE % </t>
  </si>
  <si>
    <t xml:space="preserve">  </t>
  </si>
  <si>
    <t xml:space="preserve">RAW MILL </t>
  </si>
  <si>
    <t>MTD MOISTURE %</t>
  </si>
  <si>
    <t>RAW MILL- 1</t>
  </si>
  <si>
    <t>DRY BASIS</t>
  </si>
  <si>
    <t>WET BASIS</t>
  </si>
  <si>
    <t xml:space="preserve">RAW MILL- 1 </t>
  </si>
  <si>
    <t>42.5R</t>
  </si>
  <si>
    <t>lIMESTONE</t>
  </si>
  <si>
    <t>MTD MOSITURE %</t>
  </si>
  <si>
    <t>Production Head</t>
  </si>
  <si>
    <t xml:space="preserve">RAW MILL - 1 </t>
  </si>
  <si>
    <t>42.5N BM</t>
  </si>
  <si>
    <t>Lime Stone in 42.5N BM</t>
  </si>
  <si>
    <t>Gypsum In 42.5N BM</t>
  </si>
  <si>
    <t>42.5 N BM</t>
  </si>
  <si>
    <t>Dispatch 42.5N BM</t>
  </si>
  <si>
    <t>Cement Mill (42.5N BM)</t>
  </si>
  <si>
    <t>CLINKER IN 42.5N BM</t>
  </si>
  <si>
    <t>Clinker in 42.5N BM</t>
  </si>
  <si>
    <t>Cement Mill -2(42.5 N BM)</t>
  </si>
  <si>
    <t>APRIL</t>
  </si>
  <si>
    <t>TPH42.5N BM</t>
  </si>
  <si>
    <t>42.5N bm</t>
  </si>
  <si>
    <t>15.04.2026</t>
  </si>
  <si>
    <t>16.04.2026</t>
  </si>
  <si>
    <t>23.04.2026</t>
  </si>
  <si>
    <t>26.04.2026</t>
  </si>
  <si>
    <t>01.05.2026</t>
  </si>
  <si>
    <t>03.05.2026</t>
  </si>
  <si>
    <t>04.05.2026</t>
  </si>
  <si>
    <t>05.05.2026</t>
  </si>
  <si>
    <t>06.05.2026</t>
  </si>
  <si>
    <t>07.05.2026</t>
  </si>
  <si>
    <t>MAPEI</t>
  </si>
  <si>
    <t>Cons DRY</t>
  </si>
  <si>
    <t>CONS WET</t>
  </si>
  <si>
    <t>Cons dry</t>
  </si>
  <si>
    <t>Cons wet</t>
  </si>
  <si>
    <t>08.05.2026</t>
  </si>
  <si>
    <t>10.05.2026</t>
  </si>
  <si>
    <t>11.05.2026</t>
  </si>
  <si>
    <t>12.05.2026</t>
  </si>
  <si>
    <t>13.05.2026</t>
  </si>
  <si>
    <t>Kiln cons</t>
  </si>
  <si>
    <t>14.05.2026</t>
  </si>
  <si>
    <t>02.05.2026</t>
  </si>
  <si>
    <t>09.05.2026</t>
  </si>
  <si>
    <t>17.05.2026</t>
  </si>
  <si>
    <t>19.05.2026</t>
  </si>
  <si>
    <t>20.05.2026</t>
  </si>
  <si>
    <t>21.05.2026</t>
  </si>
  <si>
    <t>22.05.2026</t>
  </si>
  <si>
    <t>24.05.2026</t>
  </si>
  <si>
    <t>25.05.2026</t>
  </si>
  <si>
    <t>27.05.2026</t>
  </si>
  <si>
    <t>28.05.2026</t>
  </si>
  <si>
    <t>29.05.2026</t>
  </si>
  <si>
    <t>30.05.2026</t>
  </si>
  <si>
    <t>31.05.2026</t>
  </si>
  <si>
    <t>Cement consumption 42.5 N BM</t>
  </si>
  <si>
    <t>42.5NBM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</si>
</sst>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"/>
    <numFmt numFmtId="167" formatCode="0.0000000000"/>
    <numFmt numFmtId="168" formatCode="0.00000000000"/>
    <numFmt numFmtId="169" formatCode="0.000000"/>
    <numFmt numFmtId="170" formatCode="0.00000"/>
    <numFmt numFmtId="171" formatCode="0.0000000"/>
    <numFmt numFmtId="172" formatCode="0.0000"/>
  </numFmts>
  <fonts count="2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alibri"/>
      <family val="2"/>
      <scheme val="minor"/>
    </font>
    <font>
      <sz val="11"/>
      <color rgb="FF000000"/>
      <name val="等线"/>
    </font>
    <font>
      <b/>
      <sz val="10"/>
      <name val="Calibri"/>
      <family val="2"/>
      <scheme val="minor"/>
    </font>
    <font>
      <sz val="11"/>
      <color rgb="FF0000CC"/>
      <name val="Calibri"/>
      <family val="2"/>
      <scheme val="minor"/>
    </font>
    <font>
      <sz val="11"/>
      <color rgb="FF0000CC"/>
      <name val="等线"/>
    </font>
    <font>
      <sz val="11"/>
      <color rgb="FF0000FF"/>
      <name val="Calibri"/>
      <family val="2"/>
      <scheme val="minor"/>
    </font>
    <font>
      <sz val="11"/>
      <color rgb="FF0000FF"/>
      <name val="等线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7">
    <xf numFmtId="0" fontId="0" fillId="0" borderId="0"/>
    <xf numFmtId="0" fontId="6" fillId="0" borderId="0"/>
    <xf numFmtId="0" fontId="7" fillId="0" borderId="0"/>
    <xf numFmtId="164" fontId="8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/>
    <xf numFmtId="43" fontId="8" fillId="0" borderId="0" applyFont="0" applyFill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21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21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21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1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21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21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3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20" fillId="31" borderId="0" applyNumberFormat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9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0" xfId="0" applyFill="1" applyBorder="1"/>
    <xf numFmtId="0" fontId="0" fillId="2" borderId="11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5" fontId="0" fillId="0" borderId="1" xfId="0" applyNumberFormat="1" applyBorder="1"/>
    <xf numFmtId="2" fontId="0" fillId="0" borderId="1" xfId="0" applyNumberFormat="1" applyBorder="1"/>
    <xf numFmtId="0" fontId="0" fillId="2" borderId="2" xfId="0" applyFill="1" applyBorder="1"/>
    <xf numFmtId="0" fontId="0" fillId="2" borderId="0" xfId="0" applyFill="1"/>
    <xf numFmtId="0" fontId="0" fillId="2" borderId="1" xfId="0" applyFill="1" applyBorder="1"/>
    <xf numFmtId="0" fontId="0" fillId="0" borderId="13" xfId="0" applyBorder="1"/>
    <xf numFmtId="0" fontId="2" fillId="0" borderId="0" xfId="0" applyFont="1" applyAlignment="1">
      <alignment vertical="center" wrapText="1"/>
    </xf>
    <xf numFmtId="0" fontId="0" fillId="0" borderId="5" xfId="0" applyBorder="1" applyAlignment="1">
      <alignment horizontal="right"/>
    </xf>
    <xf numFmtId="0" fontId="0" fillId="0" borderId="36" xfId="0" applyBorder="1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0" fillId="0" borderId="18" xfId="0" applyBorder="1" applyAlignment="1">
      <alignment horizontal="center"/>
    </xf>
    <xf numFmtId="0" fontId="0" fillId="0" borderId="14" xfId="0" applyBorder="1"/>
    <xf numFmtId="0" fontId="0" fillId="2" borderId="14" xfId="0" applyFill="1" applyBorder="1"/>
    <xf numFmtId="0" fontId="0" fillId="2" borderId="16" xfId="0" applyFill="1" applyBorder="1"/>
    <xf numFmtId="2" fontId="0" fillId="2" borderId="0" xfId="0" applyNumberFormat="1" applyFill="1"/>
    <xf numFmtId="0" fontId="0" fillId="0" borderId="22" xfId="0" applyBorder="1"/>
    <xf numFmtId="1" fontId="0" fillId="0" borderId="1" xfId="0" applyNumberFormat="1" applyBorder="1"/>
    <xf numFmtId="2" fontId="0" fillId="0" borderId="1" xfId="0" applyNumberFormat="1" applyBorder="1" applyAlignment="1">
      <alignment horizontal="left"/>
    </xf>
    <xf numFmtId="0" fontId="0" fillId="3" borderId="1" xfId="0" applyFill="1" applyBorder="1"/>
    <xf numFmtId="2" fontId="0" fillId="3" borderId="1" xfId="0" applyNumberFormat="1" applyFill="1" applyBorder="1"/>
    <xf numFmtId="165" fontId="0" fillId="3" borderId="1" xfId="0" applyNumberFormat="1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14" xfId="0" applyFill="1" applyBorder="1"/>
    <xf numFmtId="0" fontId="0" fillId="2" borderId="9" xfId="0" applyFill="1" applyBorder="1"/>
    <xf numFmtId="165" fontId="0" fillId="2" borderId="10" xfId="0" applyNumberFormat="1" applyFill="1" applyBorder="1"/>
    <xf numFmtId="165" fontId="0" fillId="0" borderId="11" xfId="0" applyNumberFormat="1" applyBorder="1"/>
    <xf numFmtId="0" fontId="0" fillId="4" borderId="1" xfId="0" applyFill="1" applyBorder="1"/>
    <xf numFmtId="165" fontId="0" fillId="4" borderId="1" xfId="0" applyNumberFormat="1" applyFill="1" applyBorder="1"/>
    <xf numFmtId="2" fontId="0" fillId="4" borderId="1" xfId="0" applyNumberFormat="1" applyFill="1" applyBorder="1"/>
    <xf numFmtId="2" fontId="0" fillId="4" borderId="1" xfId="0" applyNumberFormat="1" applyFill="1" applyBorder="1" applyAlignment="1">
      <alignment horizontal="left"/>
    </xf>
    <xf numFmtId="2" fontId="0" fillId="2" borderId="10" xfId="0" applyNumberFormat="1" applyFill="1" applyBorder="1"/>
    <xf numFmtId="165" fontId="0" fillId="2" borderId="9" xfId="0" applyNumberFormat="1" applyFill="1" applyBorder="1"/>
    <xf numFmtId="0" fontId="0" fillId="5" borderId="9" xfId="0" applyFill="1" applyBorder="1"/>
    <xf numFmtId="2" fontId="0" fillId="2" borderId="9" xfId="0" applyNumberFormat="1" applyFill="1" applyBorder="1"/>
    <xf numFmtId="166" fontId="0" fillId="0" borderId="0" xfId="0" applyNumberFormat="1"/>
    <xf numFmtId="165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0" fillId="2" borderId="38" xfId="0" applyFill="1" applyBorder="1"/>
    <xf numFmtId="0" fontId="0" fillId="2" borderId="40" xfId="0" applyFill="1" applyBorder="1"/>
    <xf numFmtId="0" fontId="3" fillId="2" borderId="41" xfId="0" applyFont="1" applyFill="1" applyBorder="1"/>
    <xf numFmtId="0" fontId="0" fillId="0" borderId="42" xfId="0" applyBorder="1"/>
    <xf numFmtId="0" fontId="3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2" fontId="0" fillId="0" borderId="2" xfId="0" applyNumberFormat="1" applyBorder="1"/>
    <xf numFmtId="2" fontId="0" fillId="3" borderId="2" xfId="0" applyNumberFormat="1" applyFill="1" applyBorder="1"/>
    <xf numFmtId="2" fontId="0" fillId="3" borderId="16" xfId="0" applyNumberFormat="1" applyFill="1" applyBorder="1"/>
    <xf numFmtId="2" fontId="0" fillId="6" borderId="1" xfId="0" applyNumberFormat="1" applyFill="1" applyBorder="1"/>
    <xf numFmtId="0" fontId="0" fillId="7" borderId="10" xfId="0" applyFill="1" applyBorder="1"/>
    <xf numFmtId="2" fontId="0" fillId="3" borderId="1" xfId="0" applyNumberFormat="1" applyFill="1" applyBorder="1" applyAlignment="1">
      <alignment horizontal="right"/>
    </xf>
    <xf numFmtId="2" fontId="0" fillId="2" borderId="1" xfId="0" applyNumberFormat="1" applyFill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8" borderId="27" xfId="0" applyFont="1" applyFill="1" applyBorder="1"/>
    <xf numFmtId="0" fontId="1" fillId="0" borderId="9" xfId="0" applyFont="1" applyBorder="1" applyAlignment="1">
      <alignment vertical="center" wrapText="1"/>
    </xf>
    <xf numFmtId="0" fontId="2" fillId="0" borderId="24" xfId="0" applyFont="1" applyBorder="1" applyAlignment="1">
      <alignment horizontal="left" vertical="top" wrapText="1"/>
    </xf>
    <xf numFmtId="1" fontId="2" fillId="0" borderId="24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2" fillId="0" borderId="52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5" fontId="2" fillId="0" borderId="24" xfId="0" applyNumberFormat="1" applyFont="1" applyBorder="1" applyAlignment="1">
      <alignment horizontal="center" vertical="center" wrapText="1"/>
    </xf>
    <xf numFmtId="165" fontId="2" fillId="0" borderId="52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0" fontId="2" fillId="0" borderId="11" xfId="0" applyFont="1" applyBorder="1"/>
    <xf numFmtId="1" fontId="2" fillId="0" borderId="56" xfId="0" applyNumberFormat="1" applyFont="1" applyBorder="1" applyAlignment="1">
      <alignment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0" fontId="2" fillId="0" borderId="63" xfId="0" applyFont="1" applyBorder="1"/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0" borderId="56" xfId="0" applyFont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 wrapText="1"/>
    </xf>
    <xf numFmtId="1" fontId="2" fillId="0" borderId="6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10" borderId="56" xfId="3" applyNumberFormat="1" applyFont="1" applyFill="1" applyBorder="1" applyAlignment="1">
      <alignment horizontal="center" vertical="center" wrapText="1"/>
    </xf>
    <xf numFmtId="0" fontId="2" fillId="10" borderId="63" xfId="3" applyNumberFormat="1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left" vertical="center" wrapText="1"/>
    </xf>
    <xf numFmtId="0" fontId="2" fillId="10" borderId="61" xfId="0" applyFont="1" applyFill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65" fontId="2" fillId="10" borderId="63" xfId="0" applyNumberFormat="1" applyFont="1" applyFill="1" applyBorder="1" applyAlignment="1">
      <alignment horizontal="center" vertical="center" wrapText="1"/>
    </xf>
    <xf numFmtId="1" fontId="2" fillId="10" borderId="22" xfId="0" applyNumberFormat="1" applyFont="1" applyFill="1" applyBorder="1" applyAlignment="1">
      <alignment horizontal="left" vertical="center" wrapText="1"/>
    </xf>
    <xf numFmtId="1" fontId="2" fillId="10" borderId="22" xfId="0" applyNumberFormat="1" applyFont="1" applyFill="1" applyBorder="1" applyAlignment="1">
      <alignment horizontal="center" vertical="center" wrapText="1"/>
    </xf>
    <xf numFmtId="0" fontId="2" fillId="10" borderId="22" xfId="0" applyFont="1" applyFill="1" applyBorder="1"/>
    <xf numFmtId="1" fontId="2" fillId="10" borderId="1" xfId="0" applyNumberFormat="1" applyFont="1" applyFill="1" applyBorder="1" applyAlignment="1">
      <alignment horizontal="center" vertic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0" fillId="2" borderId="23" xfId="0" applyFill="1" applyBorder="1"/>
    <xf numFmtId="0" fontId="0" fillId="5" borderId="2" xfId="0" applyFill="1" applyBorder="1"/>
    <xf numFmtId="0" fontId="2" fillId="0" borderId="50" xfId="0" applyFont="1" applyBorder="1" applyAlignment="1">
      <alignment horizontal="center" vertical="center" wrapText="1"/>
    </xf>
    <xf numFmtId="2" fontId="2" fillId="10" borderId="56" xfId="0" applyNumberFormat="1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1" fillId="13" borderId="30" xfId="0" applyFont="1" applyFill="1" applyBorder="1" applyAlignment="1">
      <alignment horizontal="center" vertical="center" wrapText="1"/>
    </xf>
    <xf numFmtId="14" fontId="1" fillId="13" borderId="49" xfId="0" applyNumberFormat="1" applyFont="1" applyFill="1" applyBorder="1" applyAlignment="1">
      <alignment horizontal="center" vertical="center" wrapText="1"/>
    </xf>
    <xf numFmtId="0" fontId="1" fillId="12" borderId="27" xfId="0" applyFont="1" applyFill="1" applyBorder="1"/>
    <xf numFmtId="0" fontId="1" fillId="12" borderId="43" xfId="0" applyFont="1" applyFill="1" applyBorder="1"/>
    <xf numFmtId="0" fontId="1" fillId="12" borderId="7" xfId="0" applyFont="1" applyFill="1" applyBorder="1" applyAlignment="1">
      <alignment horizontal="center" vertical="center" wrapText="1"/>
    </xf>
    <xf numFmtId="0" fontId="1" fillId="12" borderId="33" xfId="0" applyFont="1" applyFill="1" applyBorder="1"/>
    <xf numFmtId="0" fontId="1" fillId="12" borderId="22" xfId="0" applyFont="1" applyFill="1" applyBorder="1" applyAlignment="1">
      <alignment horizontal="center" vertical="center" wrapText="1"/>
    </xf>
    <xf numFmtId="0" fontId="1" fillId="12" borderId="61" xfId="0" applyFont="1" applyFill="1" applyBorder="1" applyAlignment="1">
      <alignment horizontal="center" vertical="center" wrapText="1"/>
    </xf>
    <xf numFmtId="2" fontId="1" fillId="12" borderId="56" xfId="0" applyNumberFormat="1" applyFont="1" applyFill="1" applyBorder="1" applyAlignment="1">
      <alignment horizontal="center" vertical="center" wrapText="1"/>
    </xf>
    <xf numFmtId="166" fontId="1" fillId="12" borderId="46" xfId="0" applyNumberFormat="1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top" wrapText="1"/>
    </xf>
    <xf numFmtId="166" fontId="1" fillId="12" borderId="46" xfId="0" applyNumberFormat="1" applyFont="1" applyFill="1" applyBorder="1" applyAlignment="1">
      <alignment horizontal="right" vertical="center" wrapText="1"/>
    </xf>
    <xf numFmtId="0" fontId="1" fillId="12" borderId="57" xfId="0" applyFont="1" applyFill="1" applyBorder="1"/>
    <xf numFmtId="166" fontId="1" fillId="12" borderId="6" xfId="0" applyNumberFormat="1" applyFont="1" applyFill="1" applyBorder="1" applyAlignment="1">
      <alignment horizontal="left" vertical="center" wrapText="1"/>
    </xf>
    <xf numFmtId="166" fontId="1" fillId="12" borderId="7" xfId="0" applyNumberFormat="1" applyFont="1" applyFill="1" applyBorder="1" applyAlignment="1">
      <alignment horizontal="center" vertical="center" wrapText="1"/>
    </xf>
    <xf numFmtId="166" fontId="1" fillId="12" borderId="8" xfId="0" applyNumberFormat="1" applyFont="1" applyFill="1" applyBorder="1" applyAlignment="1">
      <alignment horizontal="center" vertical="center" wrapText="1"/>
    </xf>
    <xf numFmtId="0" fontId="1" fillId="11" borderId="30" xfId="0" applyFont="1" applyFill="1" applyBorder="1" applyAlignment="1">
      <alignment horizontal="center" vertical="center" wrapText="1"/>
    </xf>
    <xf numFmtId="14" fontId="1" fillId="11" borderId="49" xfId="0" applyNumberFormat="1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0" fillId="14" borderId="39" xfId="0" applyFill="1" applyBorder="1"/>
    <xf numFmtId="0" fontId="0" fillId="14" borderId="9" xfId="0" applyFill="1" applyBorder="1"/>
    <xf numFmtId="0" fontId="0" fillId="14" borderId="1" xfId="0" applyFill="1" applyBorder="1"/>
    <xf numFmtId="0" fontId="0" fillId="14" borderId="10" xfId="0" applyFill="1" applyBorder="1"/>
    <xf numFmtId="0" fontId="0" fillId="14" borderId="14" xfId="0" applyFill="1" applyBorder="1"/>
    <xf numFmtId="0" fontId="0" fillId="14" borderId="0" xfId="0" applyFill="1"/>
    <xf numFmtId="2" fontId="0" fillId="14" borderId="9" xfId="0" applyNumberFormat="1" applyFill="1" applyBorder="1"/>
    <xf numFmtId="0" fontId="0" fillId="14" borderId="4" xfId="0" applyFill="1" applyBorder="1"/>
    <xf numFmtId="2" fontId="0" fillId="14" borderId="1" xfId="0" applyNumberFormat="1" applyFill="1" applyBorder="1"/>
    <xf numFmtId="165" fontId="0" fillId="14" borderId="9" xfId="0" applyNumberFormat="1" applyFill="1" applyBorder="1"/>
    <xf numFmtId="165" fontId="0" fillId="14" borderId="1" xfId="0" applyNumberFormat="1" applyFill="1" applyBorder="1"/>
    <xf numFmtId="0" fontId="0" fillId="14" borderId="2" xfId="0" applyFill="1" applyBorder="1"/>
    <xf numFmtId="2" fontId="0" fillId="14" borderId="2" xfId="0" applyNumberFormat="1" applyFill="1" applyBorder="1"/>
    <xf numFmtId="2" fontId="0" fillId="14" borderId="1" xfId="0" applyNumberFormat="1" applyFill="1" applyBorder="1" applyAlignment="1">
      <alignment horizontal="left"/>
    </xf>
    <xf numFmtId="1" fontId="0" fillId="3" borderId="1" xfId="0" applyNumberFormat="1" applyFill="1" applyBorder="1"/>
    <xf numFmtId="0" fontId="0" fillId="12" borderId="1" xfId="0" applyFill="1" applyBorder="1"/>
    <xf numFmtId="0" fontId="0" fillId="12" borderId="23" xfId="0" applyFill="1" applyBorder="1"/>
    <xf numFmtId="1" fontId="0" fillId="2" borderId="0" xfId="0" applyNumberFormat="1" applyFill="1"/>
    <xf numFmtId="0" fontId="0" fillId="0" borderId="27" xfId="0" applyBorder="1"/>
    <xf numFmtId="0" fontId="0" fillId="0" borderId="23" xfId="0" applyBorder="1"/>
    <xf numFmtId="1" fontId="0" fillId="0" borderId="0" xfId="0" applyNumberFormat="1"/>
    <xf numFmtId="1" fontId="2" fillId="0" borderId="0" xfId="0" applyNumberFormat="1" applyFont="1"/>
    <xf numFmtId="2" fontId="2" fillId="0" borderId="0" xfId="0" applyNumberFormat="1" applyFont="1"/>
    <xf numFmtId="0" fontId="0" fillId="0" borderId="53" xfId="0" applyBorder="1"/>
    <xf numFmtId="165" fontId="0" fillId="0" borderId="67" xfId="0" applyNumberFormat="1" applyBorder="1"/>
    <xf numFmtId="165" fontId="0" fillId="0" borderId="28" xfId="0" applyNumberFormat="1" applyBorder="1"/>
    <xf numFmtId="165" fontId="0" fillId="0" borderId="16" xfId="0" applyNumberFormat="1" applyBorder="1"/>
    <xf numFmtId="1" fontId="2" fillId="0" borderId="14" xfId="0" applyNumberFormat="1" applyFont="1" applyBorder="1" applyAlignment="1">
      <alignment horizontal="center" vertical="center" wrapText="1"/>
    </xf>
    <xf numFmtId="166" fontId="1" fillId="12" borderId="31" xfId="0" applyNumberFormat="1" applyFont="1" applyFill="1" applyBorder="1" applyAlignment="1">
      <alignment horizontal="center" vertical="center" wrapText="1"/>
    </xf>
    <xf numFmtId="1" fontId="0" fillId="2" borderId="10" xfId="0" applyNumberFormat="1" applyFill="1" applyBorder="1"/>
    <xf numFmtId="2" fontId="0" fillId="0" borderId="11" xfId="0" applyNumberFormat="1" applyBorder="1"/>
    <xf numFmtId="0" fontId="0" fillId="15" borderId="1" xfId="0" applyFill="1" applyBorder="1"/>
    <xf numFmtId="166" fontId="1" fillId="12" borderId="1" xfId="0" applyNumberFormat="1" applyFont="1" applyFill="1" applyBorder="1" applyAlignment="1">
      <alignment horizontal="center" vertical="center" wrapText="1"/>
    </xf>
    <xf numFmtId="0" fontId="3" fillId="0" borderId="36" xfId="0" applyFont="1" applyBorder="1"/>
    <xf numFmtId="2" fontId="0" fillId="2" borderId="1" xfId="0" applyNumberFormat="1" applyFill="1" applyBorder="1" applyAlignment="1">
      <alignment horizontal="left"/>
    </xf>
    <xf numFmtId="1" fontId="2" fillId="0" borderId="0" xfId="0" applyNumberFormat="1" applyFont="1" applyAlignment="1">
      <alignment vertical="center" wrapText="1"/>
    </xf>
    <xf numFmtId="166" fontId="2" fillId="0" borderId="0" xfId="0" applyNumberFormat="1" applyFont="1"/>
    <xf numFmtId="0" fontId="0" fillId="16" borderId="1" xfId="0" applyFill="1" applyBorder="1"/>
    <xf numFmtId="0" fontId="0" fillId="0" borderId="23" xfId="0" applyBorder="1" applyAlignment="1">
      <alignment horizontal="center"/>
    </xf>
    <xf numFmtId="0" fontId="2" fillId="0" borderId="22" xfId="0" applyFont="1" applyBorder="1" applyAlignment="1">
      <alignment horizontal="left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0" fillId="15" borderId="16" xfId="0" applyFill="1" applyBorder="1" applyAlignment="1">
      <alignment horizontal="center" wrapText="1"/>
    </xf>
    <xf numFmtId="2" fontId="0" fillId="12" borderId="2" xfId="0" applyNumberFormat="1" applyFill="1" applyBorder="1"/>
    <xf numFmtId="1" fontId="2" fillId="0" borderId="61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0" fillId="17" borderId="9" xfId="0" applyFill="1" applyBorder="1"/>
    <xf numFmtId="165" fontId="0" fillId="17" borderId="9" xfId="0" applyNumberFormat="1" applyFill="1" applyBorder="1"/>
    <xf numFmtId="165" fontId="0" fillId="17" borderId="10" xfId="0" applyNumberFormat="1" applyFill="1" applyBorder="1"/>
    <xf numFmtId="0" fontId="2" fillId="10" borderId="22" xfId="3" applyNumberFormat="1" applyFont="1" applyFill="1" applyBorder="1" applyAlignment="1">
      <alignment horizontal="center" vertical="center" wrapText="1"/>
    </xf>
    <xf numFmtId="0" fontId="2" fillId="10" borderId="50" xfId="3" applyNumberFormat="1" applyFont="1" applyFill="1" applyBorder="1" applyAlignment="1">
      <alignment horizontal="center" vertical="center" wrapText="1"/>
    </xf>
    <xf numFmtId="0" fontId="2" fillId="0" borderId="29" xfId="0" applyFont="1" applyBorder="1"/>
    <xf numFmtId="1" fontId="2" fillId="0" borderId="22" xfId="0" applyNumberFormat="1" applyFont="1" applyBorder="1" applyAlignment="1">
      <alignment vertical="center" wrapText="1"/>
    </xf>
    <xf numFmtId="0" fontId="2" fillId="0" borderId="50" xfId="0" applyFont="1" applyBorder="1"/>
    <xf numFmtId="166" fontId="1" fillId="12" borderId="9" xfId="0" applyNumberFormat="1" applyFont="1" applyFill="1" applyBorder="1" applyAlignment="1">
      <alignment horizontal="left" vertical="center" wrapText="1"/>
    </xf>
    <xf numFmtId="165" fontId="2" fillId="0" borderId="56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1" fontId="2" fillId="0" borderId="56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left" vertical="center" wrapText="1"/>
    </xf>
    <xf numFmtId="166" fontId="1" fillId="12" borderId="38" xfId="0" applyNumberFormat="1" applyFont="1" applyFill="1" applyBorder="1" applyAlignment="1">
      <alignment horizontal="left" vertical="center" wrapText="1"/>
    </xf>
    <xf numFmtId="166" fontId="1" fillId="12" borderId="41" xfId="0" applyNumberFormat="1" applyFont="1" applyFill="1" applyBorder="1" applyAlignment="1">
      <alignment horizontal="center" vertical="center" wrapText="1"/>
    </xf>
    <xf numFmtId="166" fontId="1" fillId="12" borderId="37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6" fontId="1" fillId="12" borderId="10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6" fontId="1" fillId="12" borderId="64" xfId="0" applyNumberFormat="1" applyFont="1" applyFill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0" fontId="2" fillId="0" borderId="47" xfId="0" applyFont="1" applyBorder="1" applyAlignment="1">
      <alignment horizontal="left" vertical="center" wrapText="1"/>
    </xf>
    <xf numFmtId="166" fontId="1" fillId="12" borderId="68" xfId="0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top" wrapText="1"/>
    </xf>
    <xf numFmtId="0" fontId="0" fillId="0" borderId="25" xfId="0" applyBorder="1"/>
    <xf numFmtId="1" fontId="2" fillId="0" borderId="0" xfId="0" applyNumberFormat="1" applyFont="1" applyAlignment="1">
      <alignment horizontal="left" vertical="center" wrapText="1"/>
    </xf>
    <xf numFmtId="167" fontId="2" fillId="0" borderId="0" xfId="0" applyNumberFormat="1" applyFont="1" applyAlignment="1">
      <alignment vertical="center" wrapText="1"/>
    </xf>
    <xf numFmtId="168" fontId="2" fillId="0" borderId="0" xfId="0" applyNumberFormat="1" applyFont="1"/>
    <xf numFmtId="2" fontId="2" fillId="0" borderId="0" xfId="0" applyNumberFormat="1" applyFont="1" applyAlignment="1">
      <alignment vertical="center" wrapText="1"/>
    </xf>
    <xf numFmtId="0" fontId="0" fillId="18" borderId="0" xfId="0" applyFill="1"/>
    <xf numFmtId="10" fontId="0" fillId="0" borderId="0" xfId="5" applyNumberFormat="1" applyFont="1"/>
    <xf numFmtId="2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vertical="center" wrapText="1"/>
    </xf>
    <xf numFmtId="166" fontId="0" fillId="0" borderId="11" xfId="0" applyNumberFormat="1" applyBorder="1"/>
    <xf numFmtId="165" fontId="2" fillId="0" borderId="0" xfId="0" applyNumberFormat="1" applyFont="1" applyAlignment="1">
      <alignment horizontal="left" vertical="center" wrapText="1"/>
    </xf>
    <xf numFmtId="168" fontId="2" fillId="0" borderId="0" xfId="0" applyNumberFormat="1" applyFont="1" applyAlignment="1">
      <alignment horizontal="left" vertical="center" wrapText="1"/>
    </xf>
    <xf numFmtId="169" fontId="0" fillId="0" borderId="1" xfId="0" applyNumberFormat="1" applyBorder="1"/>
    <xf numFmtId="1" fontId="0" fillId="4" borderId="1" xfId="0" applyNumberFormat="1" applyFill="1" applyBorder="1"/>
    <xf numFmtId="165" fontId="5" fillId="3" borderId="1" xfId="0" applyNumberFormat="1" applyFont="1" applyFill="1" applyBorder="1"/>
    <xf numFmtId="0" fontId="2" fillId="14" borderId="0" xfId="0" applyFont="1" applyFill="1"/>
    <xf numFmtId="0" fontId="2" fillId="14" borderId="1" xfId="0" applyFont="1" applyFill="1" applyBorder="1"/>
    <xf numFmtId="0" fontId="2" fillId="0" borderId="9" xfId="0" applyFont="1" applyBorder="1"/>
    <xf numFmtId="2" fontId="2" fillId="14" borderId="1" xfId="0" applyNumberFormat="1" applyFont="1" applyFill="1" applyBorder="1" applyAlignment="1">
      <alignment horizontal="left"/>
    </xf>
    <xf numFmtId="10" fontId="2" fillId="0" borderId="0" xfId="5" applyNumberFormat="1" applyFont="1"/>
    <xf numFmtId="2" fontId="5" fillId="3" borderId="1" xfId="0" applyNumberFormat="1" applyFont="1" applyFill="1" applyBorder="1"/>
    <xf numFmtId="0" fontId="0" fillId="22" borderId="1" xfId="0" applyFill="1" applyBorder="1"/>
    <xf numFmtId="1" fontId="0" fillId="0" borderId="11" xfId="0" applyNumberFormat="1" applyBorder="1"/>
    <xf numFmtId="164" fontId="2" fillId="0" borderId="0" xfId="3" applyFont="1" applyAlignment="1">
      <alignment horizontal="left" vertical="center" wrapText="1"/>
    </xf>
    <xf numFmtId="43" fontId="2" fillId="0" borderId="0" xfId="0" applyNumberFormat="1" applyFont="1" applyAlignment="1">
      <alignment horizontal="left" vertical="center" wrapText="1"/>
    </xf>
    <xf numFmtId="0" fontId="0" fillId="24" borderId="0" xfId="0" applyFill="1"/>
    <xf numFmtId="0" fontId="0" fillId="25" borderId="0" xfId="0" applyFill="1"/>
    <xf numFmtId="0" fontId="0" fillId="13" borderId="0" xfId="0" applyFill="1"/>
    <xf numFmtId="10" fontId="2" fillId="0" borderId="24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9" fontId="0" fillId="0" borderId="0" xfId="5" applyFont="1"/>
    <xf numFmtId="9" fontId="2" fillId="0" borderId="10" xfId="0" applyNumberFormat="1" applyFont="1" applyBorder="1" applyAlignment="1">
      <alignment horizontal="center" vertical="center" wrapText="1"/>
    </xf>
    <xf numFmtId="0" fontId="0" fillId="0" borderId="24" xfId="0" applyBorder="1"/>
    <xf numFmtId="2" fontId="0" fillId="0" borderId="24" xfId="0" applyNumberFormat="1" applyBorder="1"/>
    <xf numFmtId="166" fontId="0" fillId="2" borderId="0" xfId="0" applyNumberFormat="1" applyFill="1"/>
    <xf numFmtId="0" fontId="0" fillId="26" borderId="0" xfId="0" applyFill="1"/>
    <xf numFmtId="0" fontId="0" fillId="26" borderId="1" xfId="0" applyFill="1" applyBorder="1"/>
    <xf numFmtId="2" fontId="0" fillId="26" borderId="1" xfId="0" applyNumberFormat="1" applyFill="1" applyBorder="1"/>
    <xf numFmtId="0" fontId="0" fillId="26" borderId="9" xfId="0" applyFill="1" applyBorder="1"/>
    <xf numFmtId="2" fontId="0" fillId="26" borderId="1" xfId="0" applyNumberFormat="1" applyFill="1" applyBorder="1" applyAlignment="1">
      <alignment horizontal="left"/>
    </xf>
    <xf numFmtId="166" fontId="0" fillId="26" borderId="1" xfId="0" applyNumberFormat="1" applyFill="1" applyBorder="1"/>
    <xf numFmtId="10" fontId="0" fillId="26" borderId="0" xfId="5" applyNumberFormat="1" applyFont="1" applyFill="1"/>
    <xf numFmtId="0" fontId="0" fillId="24" borderId="1" xfId="0" applyFill="1" applyBorder="1"/>
    <xf numFmtId="2" fontId="0" fillId="24" borderId="1" xfId="0" applyNumberFormat="1" applyFill="1" applyBorder="1"/>
    <xf numFmtId="0" fontId="0" fillId="24" borderId="9" xfId="0" applyFill="1" applyBorder="1"/>
    <xf numFmtId="2" fontId="0" fillId="24" borderId="1" xfId="0" applyNumberFormat="1" applyFill="1" applyBorder="1" applyAlignment="1">
      <alignment horizontal="left"/>
    </xf>
    <xf numFmtId="10" fontId="0" fillId="24" borderId="0" xfId="5" applyNumberFormat="1" applyFont="1" applyFill="1"/>
    <xf numFmtId="166" fontId="0" fillId="24" borderId="1" xfId="0" applyNumberFormat="1" applyFill="1" applyBorder="1"/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7" fontId="3" fillId="0" borderId="1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6" fontId="1" fillId="12" borderId="14" xfId="0" applyNumberFormat="1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0" fontId="0" fillId="27" borderId="1" xfId="0" applyFill="1" applyBorder="1"/>
    <xf numFmtId="0" fontId="3" fillId="24" borderId="1" xfId="0" applyFont="1" applyFill="1" applyBorder="1" applyAlignment="1">
      <alignment wrapText="1"/>
    </xf>
    <xf numFmtId="0" fontId="3" fillId="27" borderId="1" xfId="0" applyFont="1" applyFill="1" applyBorder="1" applyAlignment="1">
      <alignment wrapText="1"/>
    </xf>
    <xf numFmtId="0" fontId="13" fillId="0" borderId="74" xfId="0" applyFont="1" applyBorder="1"/>
    <xf numFmtId="0" fontId="13" fillId="0" borderId="19" xfId="0" applyFont="1" applyBorder="1"/>
    <xf numFmtId="0" fontId="13" fillId="0" borderId="24" xfId="0" applyFont="1" applyBorder="1"/>
    <xf numFmtId="0" fontId="5" fillId="24" borderId="1" xfId="0" applyFont="1" applyFill="1" applyBorder="1"/>
    <xf numFmtId="0" fontId="2" fillId="24" borderId="1" xfId="0" applyFont="1" applyFill="1" applyBorder="1"/>
    <xf numFmtId="2" fontId="0" fillId="0" borderId="16" xfId="0" applyNumberFormat="1" applyBorder="1"/>
    <xf numFmtId="0" fontId="0" fillId="0" borderId="7" xfId="0" applyBorder="1"/>
    <xf numFmtId="2" fontId="0" fillId="2" borderId="2" xfId="0" applyNumberFormat="1" applyFill="1" applyBorder="1"/>
    <xf numFmtId="0" fontId="14" fillId="12" borderId="47" xfId="0" applyFont="1" applyFill="1" applyBorder="1" applyAlignment="1">
      <alignment horizontal="center" vertical="center" wrapText="1"/>
    </xf>
    <xf numFmtId="166" fontId="14" fillId="12" borderId="46" xfId="0" applyNumberFormat="1" applyFont="1" applyFill="1" applyBorder="1" applyAlignment="1">
      <alignment horizontal="center" vertical="center" wrapText="1"/>
    </xf>
    <xf numFmtId="0" fontId="14" fillId="12" borderId="47" xfId="0" applyFont="1" applyFill="1" applyBorder="1" applyAlignment="1">
      <alignment horizontal="center" vertical="top" wrapText="1"/>
    </xf>
    <xf numFmtId="0" fontId="14" fillId="12" borderId="62" xfId="0" applyFont="1" applyFill="1" applyBorder="1" applyAlignment="1">
      <alignment horizontal="center" vertical="center" wrapText="1"/>
    </xf>
    <xf numFmtId="0" fontId="14" fillId="12" borderId="57" xfId="0" applyFont="1" applyFill="1" applyBorder="1"/>
    <xf numFmtId="0" fontId="14" fillId="12" borderId="47" xfId="0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right" vertical="center" wrapText="1"/>
    </xf>
    <xf numFmtId="0" fontId="0" fillId="26" borderId="11" xfId="0" applyFill="1" applyBorder="1"/>
    <xf numFmtId="166" fontId="0" fillId="26" borderId="0" xfId="0" applyNumberFormat="1" applyFill="1"/>
    <xf numFmtId="165" fontId="0" fillId="26" borderId="0" xfId="0" applyNumberFormat="1" applyFill="1"/>
    <xf numFmtId="0" fontId="1" fillId="12" borderId="1" xfId="0" applyFont="1" applyFill="1" applyBorder="1"/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top" wrapText="1"/>
    </xf>
    <xf numFmtId="0" fontId="14" fillId="12" borderId="24" xfId="0" applyFont="1" applyFill="1" applyBorder="1" applyAlignment="1">
      <alignment horizontal="center" vertical="center" wrapText="1"/>
    </xf>
    <xf numFmtId="0" fontId="14" fillId="12" borderId="24" xfId="0" applyFont="1" applyFill="1" applyBorder="1" applyAlignment="1">
      <alignment horizontal="center" vertical="center"/>
    </xf>
    <xf numFmtId="0" fontId="14" fillId="12" borderId="24" xfId="0" applyFont="1" applyFill="1" applyBorder="1" applyAlignment="1">
      <alignment horizontal="center" vertical="top" wrapText="1"/>
    </xf>
    <xf numFmtId="0" fontId="2" fillId="10" borderId="11" xfId="0" applyFont="1" applyFill="1" applyBorder="1"/>
    <xf numFmtId="0" fontId="5" fillId="0" borderId="1" xfId="0" applyFont="1" applyBorder="1"/>
    <xf numFmtId="170" fontId="0" fillId="26" borderId="1" xfId="0" applyNumberFormat="1" applyFill="1" applyBorder="1"/>
    <xf numFmtId="0" fontId="15" fillId="0" borderId="0" xfId="0" applyFont="1"/>
    <xf numFmtId="0" fontId="15" fillId="0" borderId="1" xfId="0" applyFont="1" applyBorder="1"/>
    <xf numFmtId="166" fontId="15" fillId="0" borderId="1" xfId="0" applyNumberFormat="1" applyFont="1" applyBorder="1"/>
    <xf numFmtId="0" fontId="15" fillId="24" borderId="1" xfId="0" applyFont="1" applyFill="1" applyBorder="1"/>
    <xf numFmtId="0" fontId="15" fillId="0" borderId="9" xfId="0" applyFont="1" applyBorder="1"/>
    <xf numFmtId="2" fontId="15" fillId="0" borderId="1" xfId="0" applyNumberFormat="1" applyFont="1" applyBorder="1" applyAlignment="1">
      <alignment horizontal="left"/>
    </xf>
    <xf numFmtId="0" fontId="15" fillId="24" borderId="0" xfId="0" applyFont="1" applyFill="1"/>
    <xf numFmtId="0" fontId="15" fillId="24" borderId="9" xfId="0" applyFont="1" applyFill="1" applyBorder="1"/>
    <xf numFmtId="2" fontId="15" fillId="24" borderId="1" xfId="0" applyNumberFormat="1" applyFont="1" applyFill="1" applyBorder="1" applyAlignment="1">
      <alignment horizontal="left"/>
    </xf>
    <xf numFmtId="10" fontId="15" fillId="24" borderId="0" xfId="5" applyNumberFormat="1" applyFont="1" applyFill="1"/>
    <xf numFmtId="2" fontId="15" fillId="4" borderId="1" xfId="0" applyNumberFormat="1" applyFont="1" applyFill="1" applyBorder="1" applyAlignment="1">
      <alignment horizontal="left"/>
    </xf>
    <xf numFmtId="10" fontId="15" fillId="0" borderId="0" xfId="5" applyNumberFormat="1" applyFont="1"/>
    <xf numFmtId="0" fontId="15" fillId="21" borderId="0" xfId="0" applyFont="1" applyFill="1"/>
    <xf numFmtId="0" fontId="15" fillId="21" borderId="1" xfId="0" applyFont="1" applyFill="1" applyBorder="1"/>
    <xf numFmtId="0" fontId="15" fillId="22" borderId="1" xfId="0" applyFont="1" applyFill="1" applyBorder="1"/>
    <xf numFmtId="0" fontId="15" fillId="21" borderId="9" xfId="0" applyFont="1" applyFill="1" applyBorder="1"/>
    <xf numFmtId="2" fontId="15" fillId="21" borderId="1" xfId="0" applyNumberFormat="1" applyFont="1" applyFill="1" applyBorder="1" applyAlignment="1">
      <alignment horizontal="left"/>
    </xf>
    <xf numFmtId="10" fontId="15" fillId="21" borderId="0" xfId="5" applyNumberFormat="1" applyFont="1" applyFill="1"/>
    <xf numFmtId="0" fontId="15" fillId="12" borderId="0" xfId="0" applyFont="1" applyFill="1"/>
    <xf numFmtId="0" fontId="15" fillId="12" borderId="1" xfId="0" applyFont="1" applyFill="1" applyBorder="1"/>
    <xf numFmtId="0" fontId="15" fillId="12" borderId="9" xfId="0" applyFont="1" applyFill="1" applyBorder="1"/>
    <xf numFmtId="2" fontId="15" fillId="12" borderId="1" xfId="0" applyNumberFormat="1" applyFont="1" applyFill="1" applyBorder="1" applyAlignment="1">
      <alignment horizontal="left"/>
    </xf>
    <xf numFmtId="10" fontId="15" fillId="12" borderId="0" xfId="5" applyNumberFormat="1" applyFont="1" applyFill="1"/>
    <xf numFmtId="0" fontId="15" fillId="16" borderId="0" xfId="0" applyFont="1" applyFill="1"/>
    <xf numFmtId="0" fontId="15" fillId="16" borderId="1" xfId="0" applyFont="1" applyFill="1" applyBorder="1"/>
    <xf numFmtId="0" fontId="15" fillId="16" borderId="9" xfId="0" applyFont="1" applyFill="1" applyBorder="1"/>
    <xf numFmtId="2" fontId="15" fillId="16" borderId="1" xfId="0" applyNumberFormat="1" applyFont="1" applyFill="1" applyBorder="1" applyAlignment="1">
      <alignment horizontal="left"/>
    </xf>
    <xf numFmtId="0" fontId="15" fillId="0" borderId="4" xfId="0" applyFont="1" applyBorder="1"/>
    <xf numFmtId="0" fontId="15" fillId="2" borderId="9" xfId="0" applyFont="1" applyFill="1" applyBorder="1"/>
    <xf numFmtId="0" fontId="15" fillId="26" borderId="1" xfId="0" applyFont="1" applyFill="1" applyBorder="1"/>
    <xf numFmtId="0" fontId="15" fillId="2" borderId="10" xfId="0" applyFont="1" applyFill="1" applyBorder="1"/>
    <xf numFmtId="0" fontId="15" fillId="3" borderId="1" xfId="0" applyFont="1" applyFill="1" applyBorder="1"/>
    <xf numFmtId="0" fontId="15" fillId="2" borderId="1" xfId="0" applyFont="1" applyFill="1" applyBorder="1"/>
    <xf numFmtId="2" fontId="15" fillId="2" borderId="9" xfId="0" applyNumberFormat="1" applyFont="1" applyFill="1" applyBorder="1"/>
    <xf numFmtId="0" fontId="15" fillId="0" borderId="14" xfId="0" applyFont="1" applyBorder="1"/>
    <xf numFmtId="0" fontId="15" fillId="3" borderId="14" xfId="0" applyFont="1" applyFill="1" applyBorder="1"/>
    <xf numFmtId="0" fontId="15" fillId="2" borderId="23" xfId="0" applyFont="1" applyFill="1" applyBorder="1"/>
    <xf numFmtId="0" fontId="15" fillId="12" borderId="23" xfId="0" applyFont="1" applyFill="1" applyBorder="1"/>
    <xf numFmtId="0" fontId="15" fillId="0" borderId="23" xfId="0" applyFont="1" applyBorder="1"/>
    <xf numFmtId="0" fontId="15" fillId="2" borderId="2" xfId="0" applyFont="1" applyFill="1" applyBorder="1"/>
    <xf numFmtId="2" fontId="15" fillId="3" borderId="1" xfId="0" applyNumberFormat="1" applyFont="1" applyFill="1" applyBorder="1"/>
    <xf numFmtId="0" fontId="15" fillId="2" borderId="0" xfId="0" applyFont="1" applyFill="1"/>
    <xf numFmtId="165" fontId="15" fillId="0" borderId="0" xfId="0" applyNumberFormat="1" applyFont="1"/>
    <xf numFmtId="2" fontId="15" fillId="0" borderId="1" xfId="0" applyNumberFormat="1" applyFont="1" applyBorder="1"/>
    <xf numFmtId="0" fontId="15" fillId="2" borderId="14" xfId="0" applyFont="1" applyFill="1" applyBorder="1"/>
    <xf numFmtId="1" fontId="15" fillId="0" borderId="1" xfId="0" applyNumberFormat="1" applyFont="1" applyBorder="1"/>
    <xf numFmtId="0" fontId="16" fillId="0" borderId="19" xfId="0" applyFont="1" applyBorder="1"/>
    <xf numFmtId="166" fontId="15" fillId="0" borderId="0" xfId="0" applyNumberFormat="1" applyFont="1"/>
    <xf numFmtId="2" fontId="15" fillId="0" borderId="0" xfId="0" applyNumberFormat="1" applyFont="1"/>
    <xf numFmtId="1" fontId="15" fillId="3" borderId="1" xfId="0" applyNumberFormat="1" applyFont="1" applyFill="1" applyBorder="1"/>
    <xf numFmtId="0" fontId="15" fillId="3" borderId="2" xfId="0" applyFont="1" applyFill="1" applyBorder="1"/>
    <xf numFmtId="0" fontId="15" fillId="3" borderId="9" xfId="0" applyFont="1" applyFill="1" applyBorder="1"/>
    <xf numFmtId="2" fontId="15" fillId="3" borderId="2" xfId="0" applyNumberFormat="1" applyFont="1" applyFill="1" applyBorder="1"/>
    <xf numFmtId="2" fontId="15" fillId="12" borderId="2" xfId="0" applyNumberFormat="1" applyFont="1" applyFill="1" applyBorder="1"/>
    <xf numFmtId="2" fontId="15" fillId="0" borderId="2" xfId="0" applyNumberFormat="1" applyFont="1" applyBorder="1"/>
    <xf numFmtId="2" fontId="15" fillId="6" borderId="1" xfId="0" applyNumberFormat="1" applyFont="1" applyFill="1" applyBorder="1"/>
    <xf numFmtId="2" fontId="15" fillId="2" borderId="1" xfId="0" applyNumberFormat="1" applyFont="1" applyFill="1" applyBorder="1"/>
    <xf numFmtId="0" fontId="15" fillId="0" borderId="2" xfId="0" applyFont="1" applyBorder="1"/>
    <xf numFmtId="2" fontId="15" fillId="2" borderId="10" xfId="0" applyNumberFormat="1" applyFont="1" applyFill="1" applyBorder="1"/>
    <xf numFmtId="0" fontId="17" fillId="0" borderId="4" xfId="0" applyFont="1" applyBorder="1"/>
    <xf numFmtId="0" fontId="17" fillId="2" borderId="9" xfId="0" applyFont="1" applyFill="1" applyBorder="1"/>
    <xf numFmtId="0" fontId="17" fillId="0" borderId="1" xfId="0" applyFont="1" applyBorder="1"/>
    <xf numFmtId="0" fontId="17" fillId="26" borderId="1" xfId="0" applyFont="1" applyFill="1" applyBorder="1"/>
    <xf numFmtId="0" fontId="17" fillId="2" borderId="10" xfId="0" applyFont="1" applyFill="1" applyBorder="1"/>
    <xf numFmtId="0" fontId="17" fillId="3" borderId="1" xfId="0" applyFont="1" applyFill="1" applyBorder="1"/>
    <xf numFmtId="0" fontId="17" fillId="2" borderId="1" xfId="0" applyFont="1" applyFill="1" applyBorder="1"/>
    <xf numFmtId="2" fontId="17" fillId="2" borderId="9" xfId="0" applyNumberFormat="1" applyFont="1" applyFill="1" applyBorder="1"/>
    <xf numFmtId="0" fontId="17" fillId="0" borderId="14" xfId="0" applyFont="1" applyBorder="1"/>
    <xf numFmtId="0" fontId="17" fillId="3" borderId="14" xfId="0" applyFont="1" applyFill="1" applyBorder="1"/>
    <xf numFmtId="0" fontId="17" fillId="12" borderId="1" xfId="0" applyFont="1" applyFill="1" applyBorder="1"/>
    <xf numFmtId="0" fontId="17" fillId="2" borderId="23" xfId="0" applyFont="1" applyFill="1" applyBorder="1"/>
    <xf numFmtId="0" fontId="17" fillId="12" borderId="23" xfId="0" applyFont="1" applyFill="1" applyBorder="1"/>
    <xf numFmtId="0" fontId="17" fillId="0" borderId="23" xfId="0" applyFont="1" applyBorder="1"/>
    <xf numFmtId="0" fontId="17" fillId="2" borderId="2" xfId="0" applyFont="1" applyFill="1" applyBorder="1"/>
    <xf numFmtId="2" fontId="17" fillId="3" borderId="1" xfId="0" applyNumberFormat="1" applyFont="1" applyFill="1" applyBorder="1"/>
    <xf numFmtId="0" fontId="17" fillId="2" borderId="0" xfId="0" applyFont="1" applyFill="1"/>
    <xf numFmtId="0" fontId="17" fillId="0" borderId="0" xfId="0" applyFont="1"/>
    <xf numFmtId="165" fontId="17" fillId="0" borderId="0" xfId="0" applyNumberFormat="1" applyFont="1"/>
    <xf numFmtId="0" fontId="17" fillId="2" borderId="14" xfId="0" applyFont="1" applyFill="1" applyBorder="1"/>
    <xf numFmtId="1" fontId="17" fillId="0" borderId="1" xfId="0" applyNumberFormat="1" applyFont="1" applyBorder="1"/>
    <xf numFmtId="0" fontId="18" fillId="0" borderId="19" xfId="0" applyFont="1" applyBorder="1"/>
    <xf numFmtId="166" fontId="17" fillId="0" borderId="0" xfId="0" applyNumberFormat="1" applyFont="1"/>
    <xf numFmtId="2" fontId="17" fillId="0" borderId="0" xfId="0" applyNumberFormat="1" applyFont="1"/>
    <xf numFmtId="0" fontId="15" fillId="28" borderId="0" xfId="0" applyFont="1" applyFill="1"/>
    <xf numFmtId="0" fontId="15" fillId="28" borderId="1" xfId="0" applyFont="1" applyFill="1" applyBorder="1"/>
    <xf numFmtId="0" fontId="15" fillId="28" borderId="9" xfId="0" applyFont="1" applyFill="1" applyBorder="1"/>
    <xf numFmtId="2" fontId="15" fillId="28" borderId="1" xfId="0" applyNumberFormat="1" applyFont="1" applyFill="1" applyBorder="1" applyAlignment="1">
      <alignment horizontal="left"/>
    </xf>
    <xf numFmtId="0" fontId="15" fillId="17" borderId="0" xfId="0" applyFont="1" applyFill="1"/>
    <xf numFmtId="0" fontId="15" fillId="11" borderId="0" xfId="0" applyFont="1" applyFill="1"/>
    <xf numFmtId="0" fontId="15" fillId="11" borderId="1" xfId="0" applyFont="1" applyFill="1" applyBorder="1"/>
    <xf numFmtId="0" fontId="15" fillId="11" borderId="9" xfId="0" applyFont="1" applyFill="1" applyBorder="1"/>
    <xf numFmtId="2" fontId="15" fillId="11" borderId="1" xfId="0" applyNumberFormat="1" applyFont="1" applyFill="1" applyBorder="1" applyAlignment="1">
      <alignment horizontal="left"/>
    </xf>
    <xf numFmtId="10" fontId="15" fillId="11" borderId="0" xfId="5" applyNumberFormat="1" applyFont="1" applyFill="1"/>
    <xf numFmtId="170" fontId="15" fillId="0" borderId="1" xfId="0" applyNumberFormat="1" applyFont="1" applyBorder="1"/>
    <xf numFmtId="0" fontId="15" fillId="20" borderId="1" xfId="0" applyFont="1" applyFill="1" applyBorder="1"/>
    <xf numFmtId="0" fontId="15" fillId="19" borderId="1" xfId="0" applyFont="1" applyFill="1" applyBorder="1"/>
    <xf numFmtId="165" fontId="15" fillId="0" borderId="1" xfId="0" applyNumberFormat="1" applyFont="1" applyBorder="1"/>
    <xf numFmtId="2" fontId="0" fillId="3" borderId="0" xfId="0" applyNumberFormat="1" applyFill="1"/>
    <xf numFmtId="166" fontId="15" fillId="11" borderId="1" xfId="0" applyNumberFormat="1" applyFont="1" applyFill="1" applyBorder="1"/>
    <xf numFmtId="171" fontId="0" fillId="0" borderId="1" xfId="0" applyNumberFormat="1" applyBorder="1"/>
    <xf numFmtId="2" fontId="2" fillId="10" borderId="22" xfId="0" applyNumberFormat="1" applyFont="1" applyFill="1" applyBorder="1" applyAlignment="1">
      <alignment horizontal="center" vertical="center" wrapText="1"/>
    </xf>
    <xf numFmtId="170" fontId="0" fillId="24" borderId="1" xfId="0" applyNumberFormat="1" applyFill="1" applyBorder="1"/>
    <xf numFmtId="0" fontId="2" fillId="0" borderId="1" xfId="0" applyFont="1" applyBorder="1" applyAlignment="1">
      <alignment vertical="top" wrapText="1"/>
    </xf>
    <xf numFmtId="165" fontId="2" fillId="0" borderId="0" xfId="0" applyNumberFormat="1" applyFont="1" applyAlignment="1">
      <alignment vertical="center" wrapText="1"/>
    </xf>
    <xf numFmtId="0" fontId="0" fillId="26" borderId="13" xfId="0" applyFill="1" applyBorder="1"/>
    <xf numFmtId="0" fontId="0" fillId="0" borderId="46" xfId="0" applyBorder="1"/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0" fontId="0" fillId="0" borderId="0" xfId="5" applyNumberFormat="1" applyFont="1" applyFill="1"/>
    <xf numFmtId="0" fontId="5" fillId="2" borderId="0" xfId="0" applyFont="1" applyFill="1"/>
    <xf numFmtId="0" fontId="0" fillId="30" borderId="0" xfId="0" applyFill="1"/>
    <xf numFmtId="0" fontId="0" fillId="30" borderId="22" xfId="0" applyFill="1" applyBorder="1"/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2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3" fillId="27" borderId="22" xfId="0" applyFont="1" applyFill="1" applyBorder="1"/>
    <xf numFmtId="0" fontId="3" fillId="27" borderId="1" xfId="0" applyFont="1" applyFill="1" applyBorder="1"/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66" fontId="0" fillId="2" borderId="1" xfId="0" applyNumberFormat="1" applyFill="1" applyBorder="1"/>
    <xf numFmtId="0" fontId="5" fillId="2" borderId="2" xfId="0" applyFont="1" applyFill="1" applyBorder="1"/>
    <xf numFmtId="0" fontId="5" fillId="2" borderId="1" xfId="0" applyFont="1" applyFill="1" applyBorder="1"/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66" fontId="0" fillId="0" borderId="1" xfId="0" applyNumberFormat="1" applyBorder="1"/>
    <xf numFmtId="1" fontId="2" fillId="0" borderId="24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2" fontId="0" fillId="3" borderId="14" xfId="0" applyNumberFormat="1" applyFill="1" applyBorder="1"/>
    <xf numFmtId="1" fontId="2" fillId="0" borderId="24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6" fontId="0" fillId="4" borderId="1" xfId="0" applyNumberFormat="1" applyFill="1" applyBorder="1"/>
    <xf numFmtId="2" fontId="2" fillId="0" borderId="1" xfId="0" applyNumberFormat="1" applyFont="1" applyBorder="1" applyAlignment="1">
      <alignment horizontal="center" vertical="center" wrapText="1"/>
    </xf>
    <xf numFmtId="166" fontId="0" fillId="12" borderId="1" xfId="0" applyNumberFormat="1" applyFill="1" applyBorder="1"/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65" fontId="3" fillId="27" borderId="1" xfId="0" applyNumberFormat="1" applyFont="1" applyFill="1" applyBorder="1"/>
    <xf numFmtId="1" fontId="2" fillId="0" borderId="24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10" borderId="63" xfId="0" applyNumberFormat="1" applyFont="1" applyFill="1" applyBorder="1" applyAlignment="1">
      <alignment horizontal="center" vertical="center" wrapText="1"/>
    </xf>
    <xf numFmtId="172" fontId="0" fillId="0" borderId="1" xfId="0" applyNumberFormat="1" applyBorder="1"/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0" fillId="17" borderId="1" xfId="0" applyFill="1" applyBorder="1"/>
    <xf numFmtId="2" fontId="5" fillId="3" borderId="14" xfId="0" applyNumberFormat="1" applyFont="1" applyFill="1" applyBorder="1"/>
    <xf numFmtId="1" fontId="2" fillId="0" borderId="22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1" fontId="2" fillId="10" borderId="56" xfId="0" applyNumberFormat="1" applyFont="1" applyFill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6" fontId="1" fillId="12" borderId="29" xfId="0" applyNumberFormat="1" applyFont="1" applyFill="1" applyBorder="1" applyAlignment="1">
      <alignment horizontal="left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2" fontId="0" fillId="12" borderId="1" xfId="0" applyNumberFormat="1" applyFill="1" applyBorder="1"/>
    <xf numFmtId="2" fontId="0" fillId="14" borderId="10" xfId="0" applyNumberFormat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9" borderId="43" xfId="0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38" borderId="27" xfId="0" applyFill="1" applyBorder="1" applyAlignment="1">
      <alignment horizontal="center"/>
    </xf>
    <xf numFmtId="0" fontId="0" fillId="38" borderId="43" xfId="0" applyFill="1" applyBorder="1" applyAlignment="1">
      <alignment horizontal="center"/>
    </xf>
    <xf numFmtId="0" fontId="0" fillId="38" borderId="33" xfId="0" applyFill="1" applyBorder="1" applyAlignment="1">
      <alignment horizontal="center"/>
    </xf>
    <xf numFmtId="0" fontId="0" fillId="17" borderId="27" xfId="0" applyFill="1" applyBorder="1" applyAlignment="1">
      <alignment horizontal="center"/>
    </xf>
    <xf numFmtId="0" fontId="0" fillId="17" borderId="43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2" borderId="27" xfId="0" applyFill="1" applyBorder="1" applyAlignment="1">
      <alignment horizontal="center"/>
    </xf>
    <xf numFmtId="0" fontId="0" fillId="22" borderId="43" xfId="0" applyFill="1" applyBorder="1" applyAlignment="1">
      <alignment horizontal="center"/>
    </xf>
    <xf numFmtId="0" fontId="0" fillId="22" borderId="33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15" borderId="14" xfId="0" applyFill="1" applyBorder="1" applyAlignment="1">
      <alignment horizontal="center" wrapText="1"/>
    </xf>
    <xf numFmtId="0" fontId="0" fillId="15" borderId="23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0" fontId="0" fillId="0" borderId="23" xfId="0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2" fillId="0" borderId="29" xfId="0" applyFont="1" applyBorder="1" applyAlignment="1">
      <alignment horizontal="center" vertical="top" wrapText="1"/>
    </xf>
    <xf numFmtId="0" fontId="2" fillId="0" borderId="59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top" wrapText="1"/>
    </xf>
    <xf numFmtId="0" fontId="2" fillId="0" borderId="5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1" fillId="12" borderId="27" xfId="0" applyFont="1" applyFill="1" applyBorder="1" applyAlignment="1">
      <alignment horizontal="left" vertical="center" wrapText="1"/>
    </xf>
    <xf numFmtId="0" fontId="1" fillId="12" borderId="43" xfId="0" applyFont="1" applyFill="1" applyBorder="1" applyAlignment="1">
      <alignment horizontal="left" vertical="center" wrapText="1"/>
    </xf>
    <xf numFmtId="0" fontId="1" fillId="12" borderId="33" xfId="0" applyFont="1" applyFill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7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12" borderId="20" xfId="0" applyFont="1" applyFill="1" applyBorder="1" applyAlignment="1">
      <alignment horizontal="left" vertical="center" wrapText="1"/>
    </xf>
    <xf numFmtId="0" fontId="1" fillId="12" borderId="44" xfId="0" applyFont="1" applyFill="1" applyBorder="1" applyAlignment="1">
      <alignment horizontal="left" vertical="center" wrapText="1"/>
    </xf>
    <xf numFmtId="0" fontId="1" fillId="12" borderId="35" xfId="0" applyFont="1" applyFill="1" applyBorder="1" applyAlignment="1">
      <alignment horizontal="left" vertical="center" wrapText="1"/>
    </xf>
    <xf numFmtId="0" fontId="1" fillId="12" borderId="47" xfId="0" applyFont="1" applyFill="1" applyBorder="1" applyAlignment="1">
      <alignment vertical="center" wrapText="1"/>
    </xf>
    <xf numFmtId="0" fontId="2" fillId="0" borderId="24" xfId="0" applyFont="1" applyBorder="1" applyAlignment="1">
      <alignment vertical="center"/>
    </xf>
    <xf numFmtId="1" fontId="2" fillId="0" borderId="41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1" fontId="2" fillId="0" borderId="68" xfId="0" applyNumberFormat="1" applyFont="1" applyBorder="1" applyAlignment="1">
      <alignment horizontal="center" vertical="center" wrapText="1"/>
    </xf>
    <xf numFmtId="1" fontId="2" fillId="0" borderId="35" xfId="0" applyNumberFormat="1" applyFont="1" applyBorder="1" applyAlignment="1">
      <alignment horizontal="center" vertical="center" wrapText="1"/>
    </xf>
    <xf numFmtId="1" fontId="2" fillId="0" borderId="40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19" xfId="0" applyNumberFormat="1" applyFont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left" vertical="center" wrapText="1"/>
    </xf>
    <xf numFmtId="1" fontId="2" fillId="10" borderId="56" xfId="0" applyNumberFormat="1" applyFont="1" applyFill="1" applyBorder="1" applyAlignment="1">
      <alignment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9" borderId="6" xfId="0" applyFont="1" applyFill="1" applyBorder="1" applyAlignment="1">
      <alignment horizontal="right"/>
    </xf>
    <xf numFmtId="0" fontId="2" fillId="9" borderId="7" xfId="0" applyFont="1" applyFill="1" applyBorder="1" applyAlignment="1">
      <alignment horizontal="right"/>
    </xf>
    <xf numFmtId="0" fontId="2" fillId="9" borderId="8" xfId="0" applyFont="1" applyFill="1" applyBorder="1" applyAlignment="1">
      <alignment horizontal="right"/>
    </xf>
    <xf numFmtId="0" fontId="2" fillId="9" borderId="9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2" fillId="9" borderId="10" xfId="0" applyFont="1" applyFill="1" applyBorder="1" applyAlignment="1">
      <alignment horizontal="right"/>
    </xf>
    <xf numFmtId="0" fontId="2" fillId="9" borderId="11" xfId="0" applyFont="1" applyFill="1" applyBorder="1" applyAlignment="1">
      <alignment horizontal="right"/>
    </xf>
    <xf numFmtId="0" fontId="2" fillId="9" borderId="56" xfId="0" applyFont="1" applyFill="1" applyBorder="1" applyAlignment="1">
      <alignment horizontal="right"/>
    </xf>
    <xf numFmtId="0" fontId="2" fillId="9" borderId="63" xfId="0" applyFont="1" applyFill="1" applyBorder="1" applyAlignment="1">
      <alignment horizontal="right"/>
    </xf>
    <xf numFmtId="0" fontId="1" fillId="12" borderId="17" xfId="0" applyFont="1" applyFill="1" applyBorder="1" applyAlignment="1">
      <alignment horizontal="left" vertical="center" wrapText="1"/>
    </xf>
    <xf numFmtId="0" fontId="1" fillId="12" borderId="13" xfId="0" applyFont="1" applyFill="1" applyBorder="1" applyAlignment="1">
      <alignment horizontal="left" vertical="center" wrapText="1"/>
    </xf>
    <xf numFmtId="0" fontId="1" fillId="12" borderId="48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horizontal="left" vertical="center" wrapText="1"/>
    </xf>
    <xf numFmtId="2" fontId="1" fillId="12" borderId="18" xfId="0" applyNumberFormat="1" applyFont="1" applyFill="1" applyBorder="1" applyAlignment="1">
      <alignment horizontal="center" vertical="center" wrapText="1"/>
    </xf>
    <xf numFmtId="2" fontId="1" fillId="12" borderId="21" xfId="0" applyNumberFormat="1" applyFont="1" applyFill="1" applyBorder="1" applyAlignment="1">
      <alignment horizontal="center" vertical="center" wrapText="1"/>
    </xf>
    <xf numFmtId="2" fontId="1" fillId="12" borderId="19" xfId="0" applyNumberFormat="1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12" borderId="4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12" borderId="19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62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left" vertical="center" wrapText="1"/>
    </xf>
    <xf numFmtId="0" fontId="1" fillId="12" borderId="8" xfId="0" applyFont="1" applyFill="1" applyBorder="1" applyAlignment="1">
      <alignment horizontal="left" vertical="center" wrapText="1"/>
    </xf>
    <xf numFmtId="0" fontId="1" fillId="12" borderId="59" xfId="0" applyFont="1" applyFill="1" applyBorder="1" applyAlignment="1">
      <alignment horizontal="center" vertical="center" wrapText="1"/>
    </xf>
    <xf numFmtId="0" fontId="1" fillId="12" borderId="4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5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51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1" fontId="2" fillId="10" borderId="56" xfId="0" applyNumberFormat="1" applyFont="1" applyFill="1" applyBorder="1" applyAlignment="1">
      <alignment horizontal="center" vertical="center" wrapText="1"/>
    </xf>
    <xf numFmtId="0" fontId="2" fillId="10" borderId="56" xfId="0" applyFont="1" applyFill="1" applyBorder="1" applyAlignment="1">
      <alignment horizontal="center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25" xfId="0" applyFont="1" applyBorder="1" applyAlignment="1">
      <alignment horizontal="center"/>
    </xf>
    <xf numFmtId="0" fontId="12" fillId="11" borderId="58" xfId="1" applyFont="1" applyFill="1" applyBorder="1" applyAlignment="1">
      <alignment horizontal="center" vertical="center" wrapText="1"/>
    </xf>
    <xf numFmtId="0" fontId="12" fillId="11" borderId="32" xfId="1" applyFont="1" applyFill="1" applyBorder="1" applyAlignment="1">
      <alignment horizontal="center" vertical="center" wrapText="1"/>
    </xf>
    <xf numFmtId="0" fontId="12" fillId="11" borderId="57" xfId="1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33" xfId="0" applyFont="1" applyBorder="1" applyAlignment="1">
      <alignment horizontal="left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50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2" fontId="2" fillId="0" borderId="14" xfId="0" applyNumberFormat="1" applyFont="1" applyBorder="1" applyAlignment="1">
      <alignment horizontal="center" vertical="center" wrapText="1"/>
    </xf>
    <xf numFmtId="2" fontId="2" fillId="0" borderId="53" xfId="0" applyNumberFormat="1" applyFont="1" applyBorder="1" applyAlignment="1">
      <alignment horizontal="center" vertical="center" wrapText="1"/>
    </xf>
    <xf numFmtId="0" fontId="2" fillId="23" borderId="14" xfId="0" applyFont="1" applyFill="1" applyBorder="1" applyAlignment="1">
      <alignment horizontal="center" wrapText="1"/>
    </xf>
    <xf numFmtId="0" fontId="2" fillId="23" borderId="23" xfId="0" applyFont="1" applyFill="1" applyBorder="1" applyAlignment="1">
      <alignment horizontal="center" wrapText="1"/>
    </xf>
    <xf numFmtId="0" fontId="2" fillId="23" borderId="2" xfId="0" applyFont="1" applyFill="1" applyBorder="1" applyAlignment="1">
      <alignment horizontal="center" wrapText="1"/>
    </xf>
    <xf numFmtId="0" fontId="1" fillId="11" borderId="46" xfId="0" applyFont="1" applyFill="1" applyBorder="1" applyAlignment="1">
      <alignment horizontal="center" vertical="center" wrapText="1"/>
    </xf>
    <xf numFmtId="0" fontId="1" fillId="11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center"/>
    </xf>
    <xf numFmtId="0" fontId="1" fillId="12" borderId="25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1" fontId="2" fillId="10" borderId="22" xfId="0" applyNumberFormat="1" applyFont="1" applyFill="1" applyBorder="1" applyAlignment="1">
      <alignment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48" xfId="0" applyFont="1" applyBorder="1" applyAlignment="1">
      <alignment horizontal="center" vertical="top" wrapText="1"/>
    </xf>
    <xf numFmtId="0" fontId="2" fillId="0" borderId="60" xfId="0" applyFont="1" applyBorder="1" applyAlignment="1">
      <alignment horizontal="center" vertical="top" wrapText="1"/>
    </xf>
    <xf numFmtId="0" fontId="14" fillId="12" borderId="47" xfId="0" applyFont="1" applyFill="1" applyBorder="1" applyAlignment="1">
      <alignment vertical="center" wrapText="1"/>
    </xf>
    <xf numFmtId="0" fontId="1" fillId="12" borderId="45" xfId="0" applyFont="1" applyFill="1" applyBorder="1" applyAlignment="1">
      <alignment horizontal="left" vertical="center" wrapText="1"/>
    </xf>
    <xf numFmtId="0" fontId="14" fillId="12" borderId="6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4" fillId="12" borderId="8" xfId="0" applyFont="1" applyFill="1" applyBorder="1" applyAlignment="1">
      <alignment horizontal="left" vertical="center" wrapText="1"/>
    </xf>
    <xf numFmtId="0" fontId="14" fillId="12" borderId="27" xfId="0" applyFont="1" applyFill="1" applyBorder="1" applyAlignment="1">
      <alignment horizontal="center" vertical="center" wrapText="1"/>
    </xf>
    <xf numFmtId="0" fontId="14" fillId="12" borderId="43" xfId="0" applyFont="1" applyFill="1" applyBorder="1" applyAlignment="1">
      <alignment horizontal="center" vertical="center" wrapText="1"/>
    </xf>
    <xf numFmtId="0" fontId="14" fillId="12" borderId="33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left" vertical="center" wrapText="1"/>
    </xf>
    <xf numFmtId="0" fontId="1" fillId="12" borderId="60" xfId="0" applyFont="1" applyFill="1" applyBorder="1" applyAlignment="1">
      <alignment vertical="center" wrapText="1"/>
    </xf>
    <xf numFmtId="0" fontId="1" fillId="12" borderId="9" xfId="0" applyFont="1" applyFill="1" applyBorder="1" applyAlignment="1">
      <alignment horizontal="left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" fillId="12" borderId="27" xfId="0" applyFont="1" applyFill="1" applyBorder="1" applyAlignment="1">
      <alignment horizontal="center" vertical="center" wrapText="1"/>
    </xf>
    <xf numFmtId="0" fontId="1" fillId="12" borderId="43" xfId="0" applyFont="1" applyFill="1" applyBorder="1" applyAlignment="1">
      <alignment horizontal="center" vertical="center" wrapText="1"/>
    </xf>
    <xf numFmtId="0" fontId="1" fillId="12" borderId="33" xfId="0" applyFont="1" applyFill="1" applyBorder="1" applyAlignment="1">
      <alignment horizontal="center" vertical="center" wrapText="1"/>
    </xf>
    <xf numFmtId="0" fontId="1" fillId="12" borderId="64" xfId="0" applyFont="1" applyFill="1" applyBorder="1" applyAlignment="1">
      <alignment horizontal="center" vertical="center" wrapText="1"/>
    </xf>
    <xf numFmtId="0" fontId="1" fillId="12" borderId="35" xfId="0" applyFont="1" applyFill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center" vertical="center" wrapText="1"/>
    </xf>
    <xf numFmtId="0" fontId="1" fillId="12" borderId="41" xfId="0" applyFont="1" applyFill="1" applyBorder="1" applyAlignment="1">
      <alignment horizontal="left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2" fillId="0" borderId="66" xfId="0" applyFont="1" applyBorder="1" applyAlignment="1">
      <alignment horizontal="center" vertical="top" wrapText="1"/>
    </xf>
    <xf numFmtId="0" fontId="2" fillId="0" borderId="58" xfId="0" applyFont="1" applyBorder="1" applyAlignment="1">
      <alignment horizontal="center" vertical="top" wrapText="1"/>
    </xf>
    <xf numFmtId="0" fontId="2" fillId="0" borderId="7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top" wrapText="1"/>
    </xf>
    <xf numFmtId="0" fontId="2" fillId="0" borderId="54" xfId="0" applyFont="1" applyBorder="1" applyAlignment="1">
      <alignment horizontal="center" vertical="top" wrapText="1"/>
    </xf>
    <xf numFmtId="0" fontId="2" fillId="0" borderId="57" xfId="0" applyFont="1" applyBorder="1" applyAlignment="1">
      <alignment horizontal="center" vertical="top" wrapText="1"/>
    </xf>
    <xf numFmtId="0" fontId="2" fillId="0" borderId="56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2" fontId="2" fillId="10" borderId="61" xfId="0" applyNumberFormat="1" applyFont="1" applyFill="1" applyBorder="1" applyAlignment="1">
      <alignment horizontal="center" vertical="center" wrapText="1"/>
    </xf>
    <xf numFmtId="2" fontId="2" fillId="10" borderId="69" xfId="0" applyNumberFormat="1" applyFont="1" applyFill="1" applyBorder="1" applyAlignment="1">
      <alignment horizontal="center" vertical="center" wrapText="1"/>
    </xf>
    <xf numFmtId="2" fontId="2" fillId="10" borderId="28" xfId="0" applyNumberFormat="1" applyFont="1" applyFill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12" borderId="65" xfId="0" applyFont="1" applyFill="1" applyBorder="1" applyAlignment="1">
      <alignment horizontal="left" vertical="center" wrapText="1"/>
    </xf>
    <xf numFmtId="0" fontId="2" fillId="0" borderId="38" xfId="0" applyFont="1" applyBorder="1" applyAlignment="1">
      <alignment horizontal="center" vertical="top" wrapText="1"/>
    </xf>
    <xf numFmtId="0" fontId="2" fillId="0" borderId="4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 wrapText="1"/>
    </xf>
    <xf numFmtId="0" fontId="2" fillId="9" borderId="64" xfId="0" applyFont="1" applyFill="1" applyBorder="1" applyAlignment="1">
      <alignment horizontal="right"/>
    </xf>
    <xf numFmtId="0" fontId="2" fillId="9" borderId="35" xfId="0" applyFont="1" applyFill="1" applyBorder="1" applyAlignment="1">
      <alignment horizontal="right"/>
    </xf>
    <xf numFmtId="0" fontId="2" fillId="9" borderId="65" xfId="0" applyFont="1" applyFill="1" applyBorder="1" applyAlignment="1">
      <alignment horizontal="right"/>
    </xf>
    <xf numFmtId="0" fontId="2" fillId="9" borderId="66" xfId="0" applyFont="1" applyFill="1" applyBorder="1" applyAlignment="1">
      <alignment horizontal="right"/>
    </xf>
    <xf numFmtId="0" fontId="2" fillId="9" borderId="0" xfId="0" applyFont="1" applyFill="1" applyBorder="1" applyAlignment="1">
      <alignment horizontal="right"/>
    </xf>
    <xf numFmtId="0" fontId="2" fillId="9" borderId="54" xfId="0" applyFont="1" applyFill="1" applyBorder="1" applyAlignment="1">
      <alignment horizontal="right"/>
    </xf>
    <xf numFmtId="0" fontId="2" fillId="9" borderId="32" xfId="0" applyFont="1" applyFill="1" applyBorder="1" applyAlignment="1">
      <alignment horizontal="right"/>
    </xf>
    <xf numFmtId="0" fontId="2" fillId="9" borderId="57" xfId="0" applyFont="1" applyFill="1" applyBorder="1" applyAlignment="1">
      <alignment horizontal="right"/>
    </xf>
    <xf numFmtId="0" fontId="2" fillId="0" borderId="0" xfId="0" applyFont="1" applyBorder="1" applyAlignment="1">
      <alignment horizontal="center" vertical="top" wrapText="1"/>
    </xf>
    <xf numFmtId="2" fontId="2" fillId="0" borderId="22" xfId="0" applyNumberFormat="1" applyFont="1" applyBorder="1" applyAlignment="1">
      <alignment horizontal="center" vertical="center"/>
    </xf>
    <xf numFmtId="2" fontId="2" fillId="0" borderId="24" xfId="0" applyNumberFormat="1" applyFont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12" borderId="31" xfId="0" applyFont="1" applyFill="1" applyBorder="1" applyAlignment="1">
      <alignment horizontal="left" vertical="center" wrapText="1"/>
    </xf>
    <xf numFmtId="0" fontId="1" fillId="12" borderId="12" xfId="0" applyFont="1" applyFill="1" applyBorder="1" applyAlignment="1">
      <alignment horizontal="left" vertical="center" wrapText="1"/>
    </xf>
    <xf numFmtId="1" fontId="2" fillId="10" borderId="61" xfId="0" applyNumberFormat="1" applyFont="1" applyFill="1" applyBorder="1" applyAlignment="1">
      <alignment vertical="center" wrapText="1"/>
    </xf>
    <xf numFmtId="1" fontId="2" fillId="10" borderId="28" xfId="0" applyNumberFormat="1" applyFont="1" applyFill="1" applyBorder="1" applyAlignment="1">
      <alignment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3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12" borderId="15" xfId="0" applyFont="1" applyFill="1" applyBorder="1" applyAlignment="1">
      <alignment horizontal="left" vertical="center" wrapText="1"/>
    </xf>
    <xf numFmtId="0" fontId="1" fillId="12" borderId="16" xfId="0" applyFont="1" applyFill="1" applyBorder="1" applyAlignment="1">
      <alignment horizontal="left" vertical="center" wrapText="1"/>
    </xf>
    <xf numFmtId="2" fontId="1" fillId="12" borderId="14" xfId="0" applyNumberFormat="1" applyFont="1" applyFill="1" applyBorder="1" applyAlignment="1">
      <alignment horizontal="center" vertical="center" wrapText="1"/>
    </xf>
    <xf numFmtId="2" fontId="1" fillId="12" borderId="23" xfId="0" applyNumberFormat="1" applyFont="1" applyFill="1" applyBorder="1" applyAlignment="1">
      <alignment horizontal="center" vertical="center" wrapText="1"/>
    </xf>
    <xf numFmtId="2" fontId="1" fillId="12" borderId="2" xfId="0" applyNumberFormat="1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10" borderId="14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12" borderId="47" xfId="0" applyFont="1" applyFill="1" applyBorder="1" applyAlignment="1">
      <alignment horizontal="center"/>
    </xf>
    <xf numFmtId="2" fontId="2" fillId="0" borderId="15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1" fontId="2" fillId="10" borderId="61" xfId="0" applyNumberFormat="1" applyFont="1" applyFill="1" applyBorder="1" applyAlignment="1">
      <alignment horizontal="center" vertical="center" wrapText="1"/>
    </xf>
    <xf numFmtId="1" fontId="2" fillId="10" borderId="28" xfId="0" applyNumberFormat="1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/>
    </xf>
    <xf numFmtId="0" fontId="2" fillId="10" borderId="28" xfId="0" applyFont="1" applyFill="1" applyBorder="1" applyAlignment="1">
      <alignment horizont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12" borderId="64" xfId="0" applyFont="1" applyFill="1" applyBorder="1" applyAlignment="1">
      <alignment horizontal="left" vertical="center" wrapText="1"/>
    </xf>
    <xf numFmtId="0" fontId="2" fillId="9" borderId="35" xfId="0" applyFont="1" applyFill="1" applyBorder="1" applyAlignment="1">
      <alignment horizontal="center"/>
    </xf>
    <xf numFmtId="0" fontId="2" fillId="9" borderId="65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9" borderId="54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9" borderId="57" xfId="0" applyFont="1" applyFill="1" applyBorder="1" applyAlignment="1">
      <alignment horizontal="center"/>
    </xf>
    <xf numFmtId="0" fontId="2" fillId="0" borderId="40" xfId="0" applyFont="1" applyBorder="1" applyAlignment="1">
      <alignment horizontal="center" vertical="top" wrapText="1"/>
    </xf>
    <xf numFmtId="0" fontId="1" fillId="11" borderId="58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" fillId="11" borderId="57" xfId="0" applyFont="1" applyFill="1" applyBorder="1" applyAlignment="1">
      <alignment horizontal="center" vertical="center" wrapText="1"/>
    </xf>
    <xf numFmtId="0" fontId="1" fillId="12" borderId="22" xfId="0" applyFont="1" applyFill="1" applyBorder="1" applyAlignment="1">
      <alignment horizontal="left" vertical="center" wrapText="1"/>
    </xf>
    <xf numFmtId="0" fontId="2" fillId="0" borderId="73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</cellXfs>
  <cellStyles count="177">
    <cellStyle name="60% - Accent1 10" xfId="8" xr:uid="{00000000-0005-0000-0000-000000000000}"/>
    <cellStyle name="60% - Accent1 11" xfId="9" xr:uid="{00000000-0005-0000-0000-000001000000}"/>
    <cellStyle name="60% - Accent1 12" xfId="10" xr:uid="{00000000-0005-0000-0000-000002000000}"/>
    <cellStyle name="60% - Accent1 13" xfId="11" xr:uid="{00000000-0005-0000-0000-000003000000}"/>
    <cellStyle name="60% - Accent1 14" xfId="12" xr:uid="{00000000-0005-0000-0000-000004000000}"/>
    <cellStyle name="60% - Accent1 15" xfId="13" xr:uid="{00000000-0005-0000-0000-000005000000}"/>
    <cellStyle name="60% - Accent1 2" xfId="14" xr:uid="{00000000-0005-0000-0000-000006000000}"/>
    <cellStyle name="60% - Accent1 3" xfId="15" xr:uid="{00000000-0005-0000-0000-000007000000}"/>
    <cellStyle name="60% - Accent1 4" xfId="16" xr:uid="{00000000-0005-0000-0000-000008000000}"/>
    <cellStyle name="60% - Accent1 5" xfId="17" xr:uid="{00000000-0005-0000-0000-000009000000}"/>
    <cellStyle name="60% - Accent1 6" xfId="18" xr:uid="{00000000-0005-0000-0000-00000A000000}"/>
    <cellStyle name="60% - Accent1 7" xfId="19" xr:uid="{00000000-0005-0000-0000-00000B000000}"/>
    <cellStyle name="60% - Accent1 8" xfId="20" xr:uid="{00000000-0005-0000-0000-00000C000000}"/>
    <cellStyle name="60% - Accent1 9" xfId="21" xr:uid="{00000000-0005-0000-0000-00000D000000}"/>
    <cellStyle name="60% - Accent2 10" xfId="22" xr:uid="{00000000-0005-0000-0000-00000E000000}"/>
    <cellStyle name="60% - Accent2 11" xfId="23" xr:uid="{00000000-0005-0000-0000-00000F000000}"/>
    <cellStyle name="60% - Accent2 12" xfId="24" xr:uid="{00000000-0005-0000-0000-000010000000}"/>
    <cellStyle name="60% - Accent2 13" xfId="25" xr:uid="{00000000-0005-0000-0000-000011000000}"/>
    <cellStyle name="60% - Accent2 14" xfId="26" xr:uid="{00000000-0005-0000-0000-000012000000}"/>
    <cellStyle name="60% - Accent2 15" xfId="27" xr:uid="{00000000-0005-0000-0000-000013000000}"/>
    <cellStyle name="60% - Accent2 2" xfId="28" xr:uid="{00000000-0005-0000-0000-000014000000}"/>
    <cellStyle name="60% - Accent2 3" xfId="29" xr:uid="{00000000-0005-0000-0000-000015000000}"/>
    <cellStyle name="60% - Accent2 4" xfId="30" xr:uid="{00000000-0005-0000-0000-000016000000}"/>
    <cellStyle name="60% - Accent2 5" xfId="31" xr:uid="{00000000-0005-0000-0000-000017000000}"/>
    <cellStyle name="60% - Accent2 6" xfId="32" xr:uid="{00000000-0005-0000-0000-000018000000}"/>
    <cellStyle name="60% - Accent2 7" xfId="33" xr:uid="{00000000-0005-0000-0000-000019000000}"/>
    <cellStyle name="60% - Accent2 8" xfId="34" xr:uid="{00000000-0005-0000-0000-00001A000000}"/>
    <cellStyle name="60% - Accent2 9" xfId="35" xr:uid="{00000000-0005-0000-0000-00001B000000}"/>
    <cellStyle name="60% - Accent3 10" xfId="36" xr:uid="{00000000-0005-0000-0000-00001C000000}"/>
    <cellStyle name="60% - Accent3 11" xfId="37" xr:uid="{00000000-0005-0000-0000-00001D000000}"/>
    <cellStyle name="60% - Accent3 12" xfId="38" xr:uid="{00000000-0005-0000-0000-00001E000000}"/>
    <cellStyle name="60% - Accent3 13" xfId="39" xr:uid="{00000000-0005-0000-0000-00001F000000}"/>
    <cellStyle name="60% - Accent3 14" xfId="40" xr:uid="{00000000-0005-0000-0000-000020000000}"/>
    <cellStyle name="60% - Accent3 15" xfId="41" xr:uid="{00000000-0005-0000-0000-000021000000}"/>
    <cellStyle name="60% - Accent3 2" xfId="42" xr:uid="{00000000-0005-0000-0000-000022000000}"/>
    <cellStyle name="60% - Accent3 3" xfId="43" xr:uid="{00000000-0005-0000-0000-000023000000}"/>
    <cellStyle name="60% - Accent3 4" xfId="44" xr:uid="{00000000-0005-0000-0000-000024000000}"/>
    <cellStyle name="60% - Accent3 5" xfId="45" xr:uid="{00000000-0005-0000-0000-000025000000}"/>
    <cellStyle name="60% - Accent3 6" xfId="46" xr:uid="{00000000-0005-0000-0000-000026000000}"/>
    <cellStyle name="60% - Accent3 7" xfId="47" xr:uid="{00000000-0005-0000-0000-000027000000}"/>
    <cellStyle name="60% - Accent3 8" xfId="48" xr:uid="{00000000-0005-0000-0000-000028000000}"/>
    <cellStyle name="60% - Accent3 9" xfId="49" xr:uid="{00000000-0005-0000-0000-000029000000}"/>
    <cellStyle name="60% - Accent4 10" xfId="50" xr:uid="{00000000-0005-0000-0000-00002A000000}"/>
    <cellStyle name="60% - Accent4 11" xfId="51" xr:uid="{00000000-0005-0000-0000-00002B000000}"/>
    <cellStyle name="60% - Accent4 12" xfId="52" xr:uid="{00000000-0005-0000-0000-00002C000000}"/>
    <cellStyle name="60% - Accent4 13" xfId="53" xr:uid="{00000000-0005-0000-0000-00002D000000}"/>
    <cellStyle name="60% - Accent4 14" xfId="54" xr:uid="{00000000-0005-0000-0000-00002E000000}"/>
    <cellStyle name="60% - Accent4 15" xfId="55" xr:uid="{00000000-0005-0000-0000-00002F000000}"/>
    <cellStyle name="60% - Accent4 2" xfId="56" xr:uid="{00000000-0005-0000-0000-000030000000}"/>
    <cellStyle name="60% - Accent4 3" xfId="57" xr:uid="{00000000-0005-0000-0000-000031000000}"/>
    <cellStyle name="60% - Accent4 4" xfId="58" xr:uid="{00000000-0005-0000-0000-000032000000}"/>
    <cellStyle name="60% - Accent4 5" xfId="59" xr:uid="{00000000-0005-0000-0000-000033000000}"/>
    <cellStyle name="60% - Accent4 6" xfId="60" xr:uid="{00000000-0005-0000-0000-000034000000}"/>
    <cellStyle name="60% - Accent4 7" xfId="61" xr:uid="{00000000-0005-0000-0000-000035000000}"/>
    <cellStyle name="60% - Accent4 8" xfId="62" xr:uid="{00000000-0005-0000-0000-000036000000}"/>
    <cellStyle name="60% - Accent4 9" xfId="63" xr:uid="{00000000-0005-0000-0000-000037000000}"/>
    <cellStyle name="60% - Accent5 10" xfId="64" xr:uid="{00000000-0005-0000-0000-000038000000}"/>
    <cellStyle name="60% - Accent5 11" xfId="65" xr:uid="{00000000-0005-0000-0000-000039000000}"/>
    <cellStyle name="60% - Accent5 12" xfId="66" xr:uid="{00000000-0005-0000-0000-00003A000000}"/>
    <cellStyle name="60% - Accent5 13" xfId="67" xr:uid="{00000000-0005-0000-0000-00003B000000}"/>
    <cellStyle name="60% - Accent5 14" xfId="68" xr:uid="{00000000-0005-0000-0000-00003C000000}"/>
    <cellStyle name="60% - Accent5 15" xfId="69" xr:uid="{00000000-0005-0000-0000-00003D000000}"/>
    <cellStyle name="60% - Accent5 2" xfId="70" xr:uid="{00000000-0005-0000-0000-00003E000000}"/>
    <cellStyle name="60% - Accent5 3" xfId="71" xr:uid="{00000000-0005-0000-0000-00003F000000}"/>
    <cellStyle name="60% - Accent5 4" xfId="72" xr:uid="{00000000-0005-0000-0000-000040000000}"/>
    <cellStyle name="60% - Accent5 5" xfId="73" xr:uid="{00000000-0005-0000-0000-000041000000}"/>
    <cellStyle name="60% - Accent5 6" xfId="74" xr:uid="{00000000-0005-0000-0000-000042000000}"/>
    <cellStyle name="60% - Accent5 7" xfId="75" xr:uid="{00000000-0005-0000-0000-000043000000}"/>
    <cellStyle name="60% - Accent5 8" xfId="76" xr:uid="{00000000-0005-0000-0000-000044000000}"/>
    <cellStyle name="60% - Accent5 9" xfId="77" xr:uid="{00000000-0005-0000-0000-000045000000}"/>
    <cellStyle name="60% - Accent6 10" xfId="78" xr:uid="{00000000-0005-0000-0000-000046000000}"/>
    <cellStyle name="60% - Accent6 11" xfId="79" xr:uid="{00000000-0005-0000-0000-000047000000}"/>
    <cellStyle name="60% - Accent6 12" xfId="80" xr:uid="{00000000-0005-0000-0000-000048000000}"/>
    <cellStyle name="60% - Accent6 13" xfId="81" xr:uid="{00000000-0005-0000-0000-000049000000}"/>
    <cellStyle name="60% - Accent6 14" xfId="82" xr:uid="{00000000-0005-0000-0000-00004A000000}"/>
    <cellStyle name="60% - Accent6 15" xfId="83" xr:uid="{00000000-0005-0000-0000-00004B000000}"/>
    <cellStyle name="60% - Accent6 2" xfId="84" xr:uid="{00000000-0005-0000-0000-00004C000000}"/>
    <cellStyle name="60% - Accent6 3" xfId="85" xr:uid="{00000000-0005-0000-0000-00004D000000}"/>
    <cellStyle name="60% - Accent6 4" xfId="86" xr:uid="{00000000-0005-0000-0000-00004E000000}"/>
    <cellStyle name="60% - Accent6 5" xfId="87" xr:uid="{00000000-0005-0000-0000-00004F000000}"/>
    <cellStyle name="60% - Accent6 6" xfId="88" xr:uid="{00000000-0005-0000-0000-000050000000}"/>
    <cellStyle name="60% - Accent6 7" xfId="89" xr:uid="{00000000-0005-0000-0000-000051000000}"/>
    <cellStyle name="60% - Accent6 8" xfId="90" xr:uid="{00000000-0005-0000-0000-000052000000}"/>
    <cellStyle name="60% - Accent6 9" xfId="91" xr:uid="{00000000-0005-0000-0000-000053000000}"/>
    <cellStyle name="Comma" xfId="3" builtinId="3"/>
    <cellStyle name="Comma 2" xfId="4" xr:uid="{00000000-0005-0000-0000-000001000000}"/>
    <cellStyle name="Comma 2 2" xfId="93" xr:uid="{00000000-0005-0000-0000-000056000000}"/>
    <cellStyle name="Comma 2 2 2" xfId="94" xr:uid="{00000000-0005-0000-0000-000057000000}"/>
    <cellStyle name="Comma 2 2 2 2" xfId="95" xr:uid="{00000000-0005-0000-0000-000058000000}"/>
    <cellStyle name="Comma 2 2 2 2 2" xfId="96" xr:uid="{00000000-0005-0000-0000-000059000000}"/>
    <cellStyle name="Comma 2 2 2 3" xfId="97" xr:uid="{00000000-0005-0000-0000-00005A000000}"/>
    <cellStyle name="Comma 2 2 2 3 2" xfId="98" xr:uid="{00000000-0005-0000-0000-00005B000000}"/>
    <cellStyle name="Comma 2 2 2 4" xfId="99" xr:uid="{00000000-0005-0000-0000-00005C000000}"/>
    <cellStyle name="Comma 2 2 2 4 2" xfId="100" xr:uid="{00000000-0005-0000-0000-00005D000000}"/>
    <cellStyle name="Comma 2 2 2 5" xfId="101" xr:uid="{00000000-0005-0000-0000-00005E000000}"/>
    <cellStyle name="Comma 2 2 3" xfId="102" xr:uid="{00000000-0005-0000-0000-00005F000000}"/>
    <cellStyle name="Comma 2 2 3 2" xfId="103" xr:uid="{00000000-0005-0000-0000-000060000000}"/>
    <cellStyle name="Comma 2 2 4" xfId="104" xr:uid="{00000000-0005-0000-0000-000061000000}"/>
    <cellStyle name="Comma 2 2 4 2" xfId="105" xr:uid="{00000000-0005-0000-0000-000062000000}"/>
    <cellStyle name="Comma 2 2 5" xfId="106" xr:uid="{00000000-0005-0000-0000-000063000000}"/>
    <cellStyle name="Comma 2 2 5 2" xfId="107" xr:uid="{00000000-0005-0000-0000-000064000000}"/>
    <cellStyle name="Comma 2 2 6" xfId="108" xr:uid="{00000000-0005-0000-0000-000065000000}"/>
    <cellStyle name="Comma 2 3" xfId="109" xr:uid="{00000000-0005-0000-0000-000066000000}"/>
    <cellStyle name="Comma 2 3 2" xfId="110" xr:uid="{00000000-0005-0000-0000-000067000000}"/>
    <cellStyle name="Comma 2 3 2 2" xfId="111" xr:uid="{00000000-0005-0000-0000-000068000000}"/>
    <cellStyle name="Comma 2 3 3" xfId="112" xr:uid="{00000000-0005-0000-0000-000069000000}"/>
    <cellStyle name="Comma 2 3 3 2" xfId="113" xr:uid="{00000000-0005-0000-0000-00006A000000}"/>
    <cellStyle name="Comma 2 3 4" xfId="114" xr:uid="{00000000-0005-0000-0000-00006B000000}"/>
    <cellStyle name="Comma 2 3 4 2" xfId="115" xr:uid="{00000000-0005-0000-0000-00006C000000}"/>
    <cellStyle name="Comma 2 3 5" xfId="116" xr:uid="{00000000-0005-0000-0000-00006D000000}"/>
    <cellStyle name="Comma 2 4" xfId="117" xr:uid="{00000000-0005-0000-0000-00006E000000}"/>
    <cellStyle name="Comma 2 4 2" xfId="118" xr:uid="{00000000-0005-0000-0000-00006F000000}"/>
    <cellStyle name="Comma 2 4 2 2" xfId="119" xr:uid="{00000000-0005-0000-0000-000070000000}"/>
    <cellStyle name="Comma 2 4 3" xfId="120" xr:uid="{00000000-0005-0000-0000-000071000000}"/>
    <cellStyle name="Comma 2 4 3 2" xfId="121" xr:uid="{00000000-0005-0000-0000-000072000000}"/>
    <cellStyle name="Comma 2 4 4" xfId="122" xr:uid="{00000000-0005-0000-0000-000073000000}"/>
    <cellStyle name="Comma 2 4 4 2" xfId="123" xr:uid="{00000000-0005-0000-0000-000074000000}"/>
    <cellStyle name="Comma 2 4 5" xfId="124" xr:uid="{00000000-0005-0000-0000-000075000000}"/>
    <cellStyle name="Comma 2 5" xfId="125" xr:uid="{00000000-0005-0000-0000-000076000000}"/>
    <cellStyle name="Comma 2 5 2" xfId="126" xr:uid="{00000000-0005-0000-0000-000077000000}"/>
    <cellStyle name="Comma 2 6" xfId="127" xr:uid="{00000000-0005-0000-0000-000078000000}"/>
    <cellStyle name="Comma 2 6 2" xfId="128" xr:uid="{00000000-0005-0000-0000-000079000000}"/>
    <cellStyle name="Comma 2 7" xfId="129" xr:uid="{00000000-0005-0000-0000-00007A000000}"/>
    <cellStyle name="Comma 2 7 2" xfId="130" xr:uid="{00000000-0005-0000-0000-00007B000000}"/>
    <cellStyle name="Comma 2 8" xfId="131" xr:uid="{00000000-0005-0000-0000-00007C000000}"/>
    <cellStyle name="Comma 2 9" xfId="92" xr:uid="{00000000-0005-0000-0000-000055000000}"/>
    <cellStyle name="Comma 3" xfId="132" xr:uid="{00000000-0005-0000-0000-00007D000000}"/>
    <cellStyle name="Comma 3 2" xfId="133" xr:uid="{00000000-0005-0000-0000-00007E000000}"/>
    <cellStyle name="Comma 3 2 2" xfId="134" xr:uid="{00000000-0005-0000-0000-00007F000000}"/>
    <cellStyle name="Comma 3 2 2 2" xfId="135" xr:uid="{00000000-0005-0000-0000-000080000000}"/>
    <cellStyle name="Comma 3 2 3" xfId="136" xr:uid="{00000000-0005-0000-0000-000081000000}"/>
    <cellStyle name="Comma 3 2 3 2" xfId="137" xr:uid="{00000000-0005-0000-0000-000082000000}"/>
    <cellStyle name="Comma 3 2 4" xfId="138" xr:uid="{00000000-0005-0000-0000-000083000000}"/>
    <cellStyle name="Comma 3 2 4 2" xfId="139" xr:uid="{00000000-0005-0000-0000-000084000000}"/>
    <cellStyle name="Comma 3 2 5" xfId="140" xr:uid="{00000000-0005-0000-0000-000085000000}"/>
    <cellStyle name="Comma 3 3" xfId="141" xr:uid="{00000000-0005-0000-0000-000086000000}"/>
    <cellStyle name="Comma 3 3 2" xfId="142" xr:uid="{00000000-0005-0000-0000-000087000000}"/>
    <cellStyle name="Comma 3 4" xfId="143" xr:uid="{00000000-0005-0000-0000-000088000000}"/>
    <cellStyle name="Comma 3 4 2" xfId="144" xr:uid="{00000000-0005-0000-0000-000089000000}"/>
    <cellStyle name="Comma 3 5" xfId="145" xr:uid="{00000000-0005-0000-0000-00008A000000}"/>
    <cellStyle name="Comma 3 5 2" xfId="146" xr:uid="{00000000-0005-0000-0000-00008B000000}"/>
    <cellStyle name="Comma 3 6" xfId="147" xr:uid="{00000000-0005-0000-0000-00008C000000}"/>
    <cellStyle name="Comma 4" xfId="7" xr:uid="{00000000-0005-0000-0000-000086000000}"/>
    <cellStyle name="Neutral 10" xfId="148" xr:uid="{00000000-0005-0000-0000-00008D000000}"/>
    <cellStyle name="Neutral 11" xfId="149" xr:uid="{00000000-0005-0000-0000-00008E000000}"/>
    <cellStyle name="Neutral 12" xfId="150" xr:uid="{00000000-0005-0000-0000-00008F000000}"/>
    <cellStyle name="Neutral 13" xfId="151" xr:uid="{00000000-0005-0000-0000-000090000000}"/>
    <cellStyle name="Neutral 14" xfId="152" xr:uid="{00000000-0005-0000-0000-000091000000}"/>
    <cellStyle name="Neutral 15" xfId="153" xr:uid="{00000000-0005-0000-0000-000092000000}"/>
    <cellStyle name="Neutral 2" xfId="154" xr:uid="{00000000-0005-0000-0000-000093000000}"/>
    <cellStyle name="Neutral 3" xfId="155" xr:uid="{00000000-0005-0000-0000-000094000000}"/>
    <cellStyle name="Neutral 4" xfId="156" xr:uid="{00000000-0005-0000-0000-000095000000}"/>
    <cellStyle name="Neutral 5" xfId="157" xr:uid="{00000000-0005-0000-0000-000096000000}"/>
    <cellStyle name="Neutral 6" xfId="158" xr:uid="{00000000-0005-0000-0000-000097000000}"/>
    <cellStyle name="Neutral 7" xfId="159" xr:uid="{00000000-0005-0000-0000-000098000000}"/>
    <cellStyle name="Neutral 8" xfId="160" xr:uid="{00000000-0005-0000-0000-000099000000}"/>
    <cellStyle name="Neutral 9" xfId="161" xr:uid="{00000000-0005-0000-0000-00009A000000}"/>
    <cellStyle name="Normal" xfId="0" builtinId="0"/>
    <cellStyle name="Normal 2" xfId="2" xr:uid="{00000000-0005-0000-0000-000004000000}"/>
    <cellStyle name="Normal 3" xfId="1" xr:uid="{00000000-0005-0000-0000-000005000000}"/>
    <cellStyle name="Normal 4" xfId="6" xr:uid="{00000000-0005-0000-0000-0000CD000000}"/>
    <cellStyle name="Normal 5" xfId="176" xr:uid="{00000000-0005-0000-0000-0000DC000000}"/>
    <cellStyle name="Percent" xfId="5" builtinId="5"/>
    <cellStyle name="Title 10" xfId="162" xr:uid="{00000000-0005-0000-0000-00009D000000}"/>
    <cellStyle name="Title 11" xfId="163" xr:uid="{00000000-0005-0000-0000-00009E000000}"/>
    <cellStyle name="Title 12" xfId="164" xr:uid="{00000000-0005-0000-0000-00009F000000}"/>
    <cellStyle name="Title 13" xfId="165" xr:uid="{00000000-0005-0000-0000-0000A0000000}"/>
    <cellStyle name="Title 14" xfId="166" xr:uid="{00000000-0005-0000-0000-0000A1000000}"/>
    <cellStyle name="Title 15" xfId="167" xr:uid="{00000000-0005-0000-0000-0000A2000000}"/>
    <cellStyle name="Title 2" xfId="168" xr:uid="{00000000-0005-0000-0000-0000A3000000}"/>
    <cellStyle name="Title 3" xfId="169" xr:uid="{00000000-0005-0000-0000-0000A4000000}"/>
    <cellStyle name="Title 4" xfId="170" xr:uid="{00000000-0005-0000-0000-0000A5000000}"/>
    <cellStyle name="Title 5" xfId="171" xr:uid="{00000000-0005-0000-0000-0000A6000000}"/>
    <cellStyle name="Title 6" xfId="172" xr:uid="{00000000-0005-0000-0000-0000A7000000}"/>
    <cellStyle name="Title 7" xfId="173" xr:uid="{00000000-0005-0000-0000-0000A8000000}"/>
    <cellStyle name="Title 8" xfId="174" xr:uid="{00000000-0005-0000-0000-0000A9000000}"/>
    <cellStyle name="Title 9" xfId="175" xr:uid="{00000000-0005-0000-0000-0000AA000000}"/>
  </cellStyles>
  <dxfs count="0"/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colors>
    <mruColors>
      <color rgb="FFFF33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028DFE-AD16-466F-8145-D7C6A5371AD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C9DE1B4-39CD-4430-91C3-020E9E1D6097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CB617-75BB-45DD-9477-06B691E7D951}"/>
            </a:ext>
          </a:extLst>
        </xdr:cNvPr>
        <xdr:cNvSpPr txBox="1"/>
      </xdr:nvSpPr>
      <xdr:spPr>
        <a:xfrm>
          <a:off x="257175" y="79057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1A9DE9-998A-4AE3-A44A-1ABCCD64467C}"/>
            </a:ext>
          </a:extLst>
        </xdr:cNvPr>
        <xdr:cNvSpPr txBox="1"/>
      </xdr:nvSpPr>
      <xdr:spPr>
        <a:xfrm>
          <a:off x="4400550" y="447676"/>
          <a:ext cx="2686050" cy="3333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0C41AB4-6AD0-419C-BF60-D1C7B347A37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086B212-90A1-4889-AF50-DA9099F7C04C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57118E6-1D2E-4D23-9BAA-3FB4B2FF2FCE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EA2C26-98D9-4575-A6C3-5BDB0A2D3E59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97B41935-3D0F-493A-9E6A-6EEB3768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D2C11506-DC37-4DAC-9AC0-05FA9414EF56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6A9D022-69D9-4E44-9EA4-E94D7D15AA56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BE556E3-8294-452A-8B58-7962BB0FBDA5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6E053E1-8E13-41E2-9B40-22EB0971A8C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FB0FEC5-4894-4631-8D03-498CCFCFB0A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3288710-B59C-4A2E-8942-892EBB84226E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9BAA63E-F7E1-4574-9EE0-C0C4CD1E6F2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84FBD9-2E8D-44A4-B141-1B61BBEA353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0CC701-155E-4BE5-A5DE-40FA26193E4C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5ABC9B-1714-47B0-9230-EE6F790FD75D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45D0932-26F3-494A-9DF8-2B6E3FD452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BB21EB7-E124-4D63-8311-EEE97E2C7389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A82C3FC-CFEF-42F3-B219-F652446D91F2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AE1A2B5-6BFA-4453-BA71-BF1D445E9FC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310CB205-E6BB-42E6-B082-18349E36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ACB2C2D-9644-4718-9ACC-10E59F2CA410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4BADE57-8909-4BFE-B5A8-C1C00E38C9A4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3685ADB-EB50-4742-992D-B25A34095849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21E8029B-6C11-4CDE-930D-F6DBB9B8BB1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ED7094A-6E20-43FA-8569-F76C6506F18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D480653-B527-4388-8D2C-138FC8F152CC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81AD27-080D-4B06-AB49-6A14B525B245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069A467-7E77-4ED5-B5EF-22C206394A6E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F26AF3B-9CF3-478C-8114-F589480D22AE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46F134-F666-4BB5-9F04-A50DE04317A0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BDEFA4A-7EAA-4B6D-9F00-D356149DAF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ABBE3C5-C8A7-43EA-88AA-2504F9526BF6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45D732-5957-40C6-8876-95FBEF94DB2F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3E70021-2DB5-4970-BDFF-54AE714EE94D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C67FF547-BC68-4CD8-9D87-FE193AF6C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2872946-9E8A-468C-B796-EB177525ACE9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30668C4-9CF3-42B8-ACDA-AC5A272CE88C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4920804-74A5-4E96-A479-F375DE76AE6C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6B1DA6D-3C4B-451F-A6EB-BEB4D036E7D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97AABD2-3CE6-43F4-8F95-85953FCB703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C0BF959-DE52-4854-9BEB-2042358AAD5F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6D7360-640B-4357-8669-B6661FB7D9F3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8C60A21-FD64-4071-A898-763F58A3197E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45301-6C47-414F-B1A4-C76F32AB2014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AE76388-E2B4-4757-B8AA-2205FACD2335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A1DC674-9B9A-4155-8014-DA244659EAA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B4130EF-D57C-42F9-86BE-8F2B30925DE2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6F815D9-E56B-43FE-ABA0-B959D1B30AA0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0B4A9B1-3C21-4B85-B436-FB2E9C564DB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02B87D72-50BA-44DE-B372-B8C0DCB1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841E1EB-59CD-4FE3-A5A7-6473B2F953B6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D19085C-9AA1-44FB-82CB-B13811A2AAF4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47CFEBD-84EF-4B3F-95B3-62CB6AAB99C2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8051E41-6DAA-418E-B8A8-C25E297C0B67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94E6E2E-158B-438B-BFA4-2F387FF1195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ED12D9B-C068-4733-9AA5-31CACC274277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0C209F8-E1ED-450C-B038-3C8218FEEF0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60625BF-D606-4A4A-9FD7-8EFB376B0D3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77EE3E7-9341-4CBA-9338-3F757D89CF57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BE821A1-E8D6-47BB-80BF-2A497060335E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3BD5DE8-3840-4CD1-AA8E-8C5E78A216A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1D53CBC-09AA-4BFF-9632-E53885F9F66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1AAF1D0-F443-4DF5-9381-3AE15A6A9B36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A01C17-A12B-4045-ABF9-FF4C437B669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3EE43879-2F10-4C51-AE12-21FE32A8C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CC2657F-3B84-4723-B476-69E2C4DCEA34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15EBFB54-37D3-44D3-B3CF-57A15338817D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82D87B5-6E4A-4382-9C07-124BC5B4E0D8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40D86BA-CE04-470F-83A2-660CD56A829E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165F969-BF6A-4F17-BF67-7AB235F5C2BC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BCB7CF-E519-4B09-94FA-76097B8FED4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2CA841F-DE6A-49BF-AC82-347733F9C90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1D6A30-6CA8-4120-8D7C-245A738D1F1B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1ABD4F2-D4CD-4FAA-A019-9226115BF310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5769EEF-C95A-44E7-8341-5AB505BC2D2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4217D7A-6A94-45AF-A05F-2406163CBC91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5D3F3E7-4600-4585-B1D8-DFA657DDFCED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A45A7F3-4E7A-4813-AD74-11ED1D297FF9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EF0A88B0-9669-47E0-9DD2-BA133A227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86878D3-3774-492D-BFA0-EB22EE0C8278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4FC3357-FAB2-4F08-936F-C3FDA2992D7B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1F084F0-69F7-4D77-8FF6-D457DF5582BB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9F21C65-B421-4333-970A-163B5A4D25A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127D7DE-C6D4-4FA4-AF8B-806F27379A03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938F32CD-553C-4ACD-95D6-9FE96164A428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50D47D-4DFB-41A9-8C7A-2B72025A365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878CE1C-1002-427A-A794-886CD5E04A82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9F1878-78F9-485A-9EBB-1316043837B1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55C51D-1DE8-42A8-B2E0-975F6C462CA2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D8FAD12-360C-46A3-B824-9ADC5B0CFAA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B0768E0-A83B-4F22-9358-05BD3FFBD0F6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CBB1A6-4B0A-4A44-B21C-4A4BBC083AD4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CF8FB1E-CACB-4463-B1EE-F051448A6D58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45C03ACC-637D-4DA3-A2F5-FE9659AD4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95C8917-CC23-4535-AFBC-A69BCD565AEE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2BFF9D85-7EAC-4852-A8E5-705264B7E1DF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B6C5463-A101-46CA-B813-3DF81C6E25BF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E31412E1-B532-4EB6-B00C-67573064D38C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92CAB4C-B4FB-410E-8F5A-E20B04DD5CFE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D928F0F-1B0E-4BF8-BE6F-7BEAE191D1F4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AC732A-7606-4BA6-9451-F898E7B6860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84180C9-0730-46A5-A7B7-3A35F3D5E511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030DAA-7996-482C-82AB-0AB6194CACA2}"/>
            </a:ext>
          </a:extLst>
        </xdr:cNvPr>
        <xdr:cNvSpPr txBox="1"/>
      </xdr:nvSpPr>
      <xdr:spPr>
        <a:xfrm>
          <a:off x="257175" y="7334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B8A695-B42F-44A8-A2CE-B6276D4A3C27}"/>
            </a:ext>
          </a:extLst>
        </xdr:cNvPr>
        <xdr:cNvSpPr txBox="1"/>
      </xdr:nvSpPr>
      <xdr:spPr>
        <a:xfrm>
          <a:off x="4400550" y="447676"/>
          <a:ext cx="2686050" cy="2762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70F8E2-E382-4D4C-B52D-AA35660B7F7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A9BCC789-887B-465D-BE43-97340E5CFEC7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F238EC7-3E38-4065-9342-1CD4777733D5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178C30-70CB-4E89-806E-CC52F9B737CA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5" name="Picture 10" descr="http://www.lakecement.com/images/logo.jpg">
          <a:extLst>
            <a:ext uri="{FF2B5EF4-FFF2-40B4-BE49-F238E27FC236}">
              <a16:creationId xmlns:a16="http://schemas.microsoft.com/office/drawing/2014/main" id="{9BAD59C0-9A0F-4369-910B-2616D34E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4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1BBDB30-D3FF-4B3E-B47C-000CF240A7E1}"/>
            </a:ext>
          </a:extLst>
        </xdr:cNvPr>
        <xdr:cNvSpPr/>
      </xdr:nvSpPr>
      <xdr:spPr>
        <a:xfrm>
          <a:off x="5256742" y="304376"/>
          <a:ext cx="29508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FB274F1-7D1F-484F-94E8-8DE156D22385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7431488-9B2E-4C4B-A2BE-145AB34C7792}"/>
            </a:ext>
          </a:extLst>
        </xdr:cNvPr>
        <xdr:cNvSpPr/>
      </xdr:nvSpPr>
      <xdr:spPr>
        <a:xfrm>
          <a:off x="78390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B4F5FD-2047-454F-AB40-E36D8A863F34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601E7AF-2CBA-4B36-9032-F4248932CD06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A4BF359-F828-428A-A2E4-A52C07B57C99}"/>
            </a:ext>
          </a:extLst>
        </xdr:cNvPr>
        <xdr:cNvCxnSpPr/>
      </xdr:nvCxnSpPr>
      <xdr:spPr>
        <a:xfrm>
          <a:off x="908685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43681DA-A622-455C-8A04-7132CF63D2E3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318FF9-5514-4382-BE62-513033F9FAB0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9F7305-75CF-439D-B71A-949E461F219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29A6DB5-CAB5-4DDE-AEE2-A2B19752F5D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414DD77-0E56-4CFD-94CC-75A7CA759A9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6BB5D8E-A2D2-4672-B444-B9976A84064B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E222B75-E6F2-44A5-9913-6D55DA92563D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E971BDB-963A-4240-8D43-0EA0ED0450B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783B10D5-E8E4-471A-88A4-77817E8BD91A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34B0AF4-FBAC-4728-92F8-1E6BD7D4298C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1937F95-BE8F-4097-8969-14FA7CFA5800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1" name="Picture 10" descr="http://www.lakecement.com/images/logo.jpg">
          <a:extLst>
            <a:ext uri="{FF2B5EF4-FFF2-40B4-BE49-F238E27FC236}">
              <a16:creationId xmlns:a16="http://schemas.microsoft.com/office/drawing/2014/main" id="{C1B1E9D3-CF9D-4AA5-9F65-276AED8DE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F2EA18C-CEA8-42C7-A929-DCC6D1C03F27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2B08E74-803C-4B14-89BA-149FE7CDA6AE}"/>
            </a:ext>
          </a:extLst>
        </xdr:cNvPr>
        <xdr:cNvCxnSpPr/>
      </xdr:nvCxnSpPr>
      <xdr:spPr>
        <a:xfrm>
          <a:off x="73865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E137BE8-885C-4C36-9583-454C5E8A8F4F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C48FF87-27D1-485A-8A0A-2C7887CB804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D12C229-0E0F-4D78-836E-B4691FDEE73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C9878101-77D5-4E54-8586-76C1B1A65C24}"/>
            </a:ext>
          </a:extLst>
        </xdr:cNvPr>
        <xdr:cNvCxnSpPr/>
      </xdr:nvCxnSpPr>
      <xdr:spPr>
        <a:xfrm>
          <a:off x="88487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58C203-9566-4622-99E5-EFD90FE6266E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73D92F8-9420-4A31-88EE-7B6C2E12CE4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4800B7-FD69-42DC-B68C-1C92A91CB73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6D1948A-AF55-4606-9D53-E008CB1F9F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34F2E8-9721-42DC-9496-E5231BEF75F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79A18-F057-45A5-ACAE-C9DFC43BB2E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89DF621-C7F0-4A55-9E28-083F74632C94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C7048C9-6EDB-4514-AE6D-9D17C2F8F14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94044CD-119D-4810-A20F-9BE8E2C0389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F34EFDE-8267-4EA2-9B6F-4F88646A7532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2550E9C-4179-47B4-95F7-96449648F34A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0" name="Picture 10" descr="http://www.lakecement.com/images/logo.jpg">
          <a:extLst>
            <a:ext uri="{FF2B5EF4-FFF2-40B4-BE49-F238E27FC236}">
              <a16:creationId xmlns:a16="http://schemas.microsoft.com/office/drawing/2014/main" id="{1D044212-2EB8-4DED-8B27-68BBF0BDA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88A249A-B786-4F93-BC79-8FBFF4B9E6C9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99EFDF9-A777-4A52-A099-AB394F118C21}"/>
            </a:ext>
          </a:extLst>
        </xdr:cNvPr>
        <xdr:cNvCxnSpPr/>
      </xdr:nvCxnSpPr>
      <xdr:spPr>
        <a:xfrm>
          <a:off x="73865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9E163A8-00C5-4E1E-9648-366BDC65096A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B20CC69-99ED-4991-B2E9-B8A94BD72725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D263627-04F3-4733-9B74-42E8E7DB7CD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3DF13F1-C174-4D01-9CFB-00F5CE602799}"/>
            </a:ext>
          </a:extLst>
        </xdr:cNvPr>
        <xdr:cNvCxnSpPr/>
      </xdr:nvCxnSpPr>
      <xdr:spPr>
        <a:xfrm>
          <a:off x="88487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7F2217A-2A47-4947-8BFD-544DE8DD4F6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6F7EFC0-5B3D-42C1-8193-2EFE0946AF3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550201F-4556-42C2-A70E-F6788E5FB264}"/>
            </a:ext>
          </a:extLst>
        </xdr:cNvPr>
        <xdr:cNvCxnSpPr/>
      </xdr:nvCxnSpPr>
      <xdr:spPr>
        <a:xfrm>
          <a:off x="90773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53FB82F9-29C9-4CF7-AB26-B6B6285BCA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9CC95D3-6507-48EA-9F54-05CCF3BC690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374402F1-B137-427A-A1F4-AC4E886CD8D4}"/>
            </a:ext>
          </a:extLst>
        </xdr:cNvPr>
        <xdr:cNvCxnSpPr/>
      </xdr:nvCxnSpPr>
      <xdr:spPr>
        <a:xfrm>
          <a:off x="90773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21A5679-E92B-4301-83EB-F7583BFB33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2979800-DE3A-4DBA-95B8-B390F519D6F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D9A1866-5685-42C9-80D4-49B6FA685CCF}"/>
            </a:ext>
          </a:extLst>
        </xdr:cNvPr>
        <xdr:cNvSpPr txBox="1"/>
      </xdr:nvSpPr>
      <xdr:spPr>
        <a:xfrm>
          <a:off x="4400550" y="447676"/>
          <a:ext cx="28384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4DC033C-BC77-42C8-BC2B-31B0871ACFE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8367532-CFCD-4A40-ADEF-DDB9C114238F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BA17EAE-0313-4A89-B566-7BC2FAF242AB}"/>
            </a:ext>
          </a:extLst>
        </xdr:cNvPr>
        <xdr:cNvSpPr txBox="1"/>
      </xdr:nvSpPr>
      <xdr:spPr>
        <a:xfrm>
          <a:off x="4400550" y="533400"/>
          <a:ext cx="28384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A119D77-FF78-4810-A9A4-8A0A06948F31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6348</xdr:rowOff>
    </xdr:to>
    <xdr:pic>
      <xdr:nvPicPr>
        <xdr:cNvPr id="23" name="Picture 10" descr="http://www.lakecement.com/images/logo.jpg">
          <a:extLst>
            <a:ext uri="{FF2B5EF4-FFF2-40B4-BE49-F238E27FC236}">
              <a16:creationId xmlns:a16="http://schemas.microsoft.com/office/drawing/2014/main" id="{B830BE69-0B26-40D0-98FA-914A1FFF5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03BCDD6-98B4-4797-BCAC-84353CBCDAD5}"/>
            </a:ext>
          </a:extLst>
        </xdr:cNvPr>
        <xdr:cNvSpPr/>
      </xdr:nvSpPr>
      <xdr:spPr>
        <a:xfrm>
          <a:off x="5256742" y="304376"/>
          <a:ext cx="29413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5B1A124-76A8-4EED-97DF-9F579914E94F}"/>
            </a:ext>
          </a:extLst>
        </xdr:cNvPr>
        <xdr:cNvCxnSpPr/>
      </xdr:nvCxnSpPr>
      <xdr:spPr>
        <a:xfrm>
          <a:off x="761513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D7DABF4E-9C07-4088-B914-F90448075D99}"/>
            </a:ext>
          </a:extLst>
        </xdr:cNvPr>
        <xdr:cNvSpPr/>
      </xdr:nvSpPr>
      <xdr:spPr>
        <a:xfrm>
          <a:off x="78295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7BF0284-3C19-4494-9EEE-F4C8C2CF528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86EC284-BDB9-4FE1-B2DB-8D16A8DE8502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456D69FC-BC5D-4106-B1D6-71DA96C26A63}"/>
            </a:ext>
          </a:extLst>
        </xdr:cNvPr>
        <xdr:cNvCxnSpPr/>
      </xdr:nvCxnSpPr>
      <xdr:spPr>
        <a:xfrm>
          <a:off x="9077325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AADDF53-3007-4413-AEDB-0CA4BCD220F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8709BA-1F18-479F-B298-F63B9FD4E841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3E5134-706A-4757-9525-1800FF4888C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8D7160A-C953-45CC-BAFF-4EF6E8A51DCB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28B9157-3965-4D39-B888-8B838EB3DBC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8A46329E-26EC-401E-BCE3-5BBA0AEB1571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C1629FC6-E82F-4EAA-9528-DE838053550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CE9B858-B2E7-4ED5-8B3C-81BB7EB955D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542EB5F3-1CAF-404D-BEC7-D33DD696357A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598F2B78-D175-4E86-B6C5-5086D0E32E1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E3A3B30-C3AE-4701-B436-18F49407CCC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6B0F16D-D657-41A2-8723-6DE4D6B5B8AA}"/>
            </a:ext>
          </a:extLst>
        </xdr:cNvPr>
        <xdr:cNvSpPr txBox="1"/>
      </xdr:nvSpPr>
      <xdr:spPr>
        <a:xfrm>
          <a:off x="4400550" y="447676"/>
          <a:ext cx="277177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593DB5-2B24-45AF-B92D-D86F1827A7B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1BACD945-E98F-46BA-A74A-5D9B9B8E3B17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D1716AA-37BA-4D51-AB75-38E835FB874E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2B1D263-C5E0-49E8-BE73-7D38C04510A8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1056</xdr:rowOff>
    </xdr:to>
    <xdr:pic>
      <xdr:nvPicPr>
        <xdr:cNvPr id="25" name="Picture 10" descr="http://www.lakecement.com/images/logo.jpg">
          <a:extLst>
            <a:ext uri="{FF2B5EF4-FFF2-40B4-BE49-F238E27FC236}">
              <a16:creationId xmlns:a16="http://schemas.microsoft.com/office/drawing/2014/main" id="{6BDFB32B-9CB9-4E46-B022-6F9CA2A0D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31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C187B9A-B0DA-4109-B9BD-7391E187F8FD}"/>
            </a:ext>
          </a:extLst>
        </xdr:cNvPr>
        <xdr:cNvSpPr/>
      </xdr:nvSpPr>
      <xdr:spPr>
        <a:xfrm>
          <a:off x="5256742" y="304376"/>
          <a:ext cx="28746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406728BD-AAD0-47F9-825D-E8FF92539D45}"/>
            </a:ext>
          </a:extLst>
        </xdr:cNvPr>
        <xdr:cNvCxnSpPr/>
      </xdr:nvCxnSpPr>
      <xdr:spPr>
        <a:xfrm>
          <a:off x="75484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8483C40F-D7E1-4DB2-BBE1-3AB9C3425507}"/>
            </a:ext>
          </a:extLst>
        </xdr:cNvPr>
        <xdr:cNvSpPr/>
      </xdr:nvSpPr>
      <xdr:spPr>
        <a:xfrm>
          <a:off x="77628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C446541-153E-460D-BA69-5F348E92EEC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FF28334-5F1A-4200-98C9-7011DA966F7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8768D400-3A6A-4E60-AA5E-1E121401126A}"/>
            </a:ext>
          </a:extLst>
        </xdr:cNvPr>
        <xdr:cNvCxnSpPr/>
      </xdr:nvCxnSpPr>
      <xdr:spPr>
        <a:xfrm>
          <a:off x="901065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4599DB-0C76-4899-ABD0-32E00C9318EC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5AFAE86-6EBC-44F6-9144-F23D686D0D1F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23C3C2B-BDDE-414B-8978-8AA3E26C3CB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EB12A688-1379-4C15-A323-299F8F17479A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81A840A-20CC-4089-BC92-8FB72DC2202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812E78-20C4-4611-BAEE-9690AFA699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459B9903-8C62-4BAD-9D65-DD4C43416F00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C74AB0A-FD4B-4E9B-92DE-27704547D4E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E005B4F-8BAF-4159-A938-100C81B62E72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6FC80AB-2ABA-4786-86D6-C28160608FA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FE2704B-BEB8-4A05-94FF-3C005ADCB6C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A86A37EF-00FD-475C-BF16-5B95E75CDACB}"/>
            </a:ext>
          </a:extLst>
        </xdr:cNvPr>
        <xdr:cNvCxnSpPr/>
      </xdr:nvCxnSpPr>
      <xdr:spPr>
        <a:xfrm>
          <a:off x="901065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3268458-F7AE-4A53-9B62-2DF2E680CC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A11A1FE-0A91-40BF-85BB-E978DB6BD67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BC3FC67-A427-47C7-A051-F15CAC5633AB}"/>
            </a:ext>
          </a:extLst>
        </xdr:cNvPr>
        <xdr:cNvSpPr txBox="1"/>
      </xdr:nvSpPr>
      <xdr:spPr>
        <a:xfrm>
          <a:off x="4400550" y="447676"/>
          <a:ext cx="277177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2BF95C5-897A-4A76-9807-DADEA960F76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A272A2F6-7C68-41B8-B0F4-D326E751A76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BBEB474-E70D-4F51-91AD-E037401AF7BB}"/>
            </a:ext>
          </a:extLst>
        </xdr:cNvPr>
        <xdr:cNvSpPr txBox="1"/>
      </xdr:nvSpPr>
      <xdr:spPr>
        <a:xfrm>
          <a:off x="4400550" y="533400"/>
          <a:ext cx="277177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DA2743D-0630-4AD0-ABC5-F11AF0E35C1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1056</xdr:rowOff>
    </xdr:to>
    <xdr:pic>
      <xdr:nvPicPr>
        <xdr:cNvPr id="28" name="Picture 10" descr="http://www.lakecement.com/images/logo.jpg">
          <a:extLst>
            <a:ext uri="{FF2B5EF4-FFF2-40B4-BE49-F238E27FC236}">
              <a16:creationId xmlns:a16="http://schemas.microsoft.com/office/drawing/2014/main" id="{AB822A68-76AD-42A8-90A9-0F5B9E034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3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DF49C92-11C7-4116-AC80-742C0248CCCC}"/>
            </a:ext>
          </a:extLst>
        </xdr:cNvPr>
        <xdr:cNvSpPr/>
      </xdr:nvSpPr>
      <xdr:spPr>
        <a:xfrm>
          <a:off x="5256742" y="304376"/>
          <a:ext cx="287465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38BCC37-2355-4F2A-9209-69C4E6C18FAD}"/>
            </a:ext>
          </a:extLst>
        </xdr:cNvPr>
        <xdr:cNvCxnSpPr/>
      </xdr:nvCxnSpPr>
      <xdr:spPr>
        <a:xfrm>
          <a:off x="75484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D6DE677-9CD4-4904-9A3E-0ADD03B738E2}"/>
            </a:ext>
          </a:extLst>
        </xdr:cNvPr>
        <xdr:cNvSpPr/>
      </xdr:nvSpPr>
      <xdr:spPr>
        <a:xfrm>
          <a:off x="776287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A9192C2-D149-4288-B4A4-BDC9B350C95C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A18D918-E640-40B2-9032-909F5682AE8B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4A7A018A-618F-4496-A4E9-C8485EB1F001}"/>
            </a:ext>
          </a:extLst>
        </xdr:cNvPr>
        <xdr:cNvCxnSpPr/>
      </xdr:nvCxnSpPr>
      <xdr:spPr>
        <a:xfrm>
          <a:off x="901065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343581F-0492-495F-B872-8D06E5DD7EC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6876E0A-5CE8-4E8B-94EC-122BFD4EACCD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F3AEDB6-FFF4-4B43-8208-3DC5E7C4B9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9C51BA0-1811-478B-9607-F00315F2133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6F6BC56-DB4E-4AE2-B7BE-1B2EE4F376A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CC43CCD-899E-48C0-B242-DE90AB64AD7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A050B3A-508F-4EC4-BC1B-F7DBDE2486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037CBD8-73FD-4D05-9706-8C5562B93DC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A23CDF8-1FF7-40C0-BC27-73083A219D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FAF09C-ECD1-4322-99A0-5DA7D8B37A6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4A4AD076-640D-4A09-92DE-EB4F3C1A65C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9C1BE94-0AD7-4FEC-AA9D-E55B12F3146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CDC6C64-67B3-49A4-B52A-8AA235F54D2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43E6861-CF83-444A-907B-43239ED7F1A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ADE614C-4717-48DF-8296-3C2588DD146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9E49BE7-8CB8-4394-9588-ADBCF83D1F1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463A69E9-7011-490A-AD47-45AF6E3CD74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0748A69-C186-4D11-868A-886B2E7A54D9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58E13BE-0830-477A-8B04-769BA8811CB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D79F76C-DED9-4C63-A28F-CAAD63A0EAB9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B50F398-C65E-44C4-A29A-8F97F28C0F3E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1D68779-8762-4D01-AA49-F620A62329C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5289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CC5A3C5D-9C37-4578-998D-324B8458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7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14781CD-1769-43F4-9B24-CE98FF9E11A0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64E0F49-A282-41F4-9C1B-0D3413FC3500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A59A0CB-83A6-4FB8-878F-D440CFD611A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80DAF6AA-E13D-4382-8B2A-26215330F75F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113C858-7122-4EE2-8662-E192B2923D1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210BC92-EBB6-4A2D-BA34-B940676ADEBB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3E06502-9742-4680-9A70-78AC1BCEF83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A60F3D9-ABD4-4AEE-8C75-56156AC71797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84B3A3E-D695-4E88-8420-2EEFB267FE9C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32D6852-5134-44FD-88BD-8EAF9EEBEE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4257352-0305-4271-8B07-BD19A7AF4B0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4C05CA4-F059-4823-8EAA-07597B5DE27D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6B7B2C9-04C1-4396-92BF-015BDA59242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1D607B0-3274-4884-859D-D5953B9E864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3884EAF-BA70-44D9-9DBA-9885F029FCBF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8297269-5D83-4B8E-B9E4-6AC4198B160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246A47-75A2-4950-8229-6EA1A5B2840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2C517A3-3A5F-4D55-9EF7-C84B49B8EEA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D832EED-9C95-4EB4-BE26-552550F1E33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DEA829D-4908-4E76-9897-6017692E8A87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B41FC9D-9912-4687-92FF-F3FE8D7F73E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A3E587B-24E6-4413-B436-48BC312448D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97841916-D81F-4A90-A821-D7AA407A5B44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01B6191-FB54-475C-8337-FF4C880192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C26560E0-5C6A-42CF-BED3-D6D19858053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0E1945F-9B97-4F32-88E9-C79CD25C0208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CCAA225-141F-4354-9873-9A68CAA464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AB8CB79-0E62-4C3C-9356-A9B3525A9118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8A7144-75B8-4627-9745-7CE397DA2B4E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4DA5AB59-6965-4410-8B50-DAEB61BFA0AF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37575478-B71B-4573-9536-4132893E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F90212FA-C123-4D1A-BC9D-6BC37EA689B5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6100959-11C2-426D-B89B-5310109BDB4F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26C23FF-1EB1-42E2-90FA-9A89DBCF3698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F4C19AE-B65C-4039-AD0B-FC71E5F9DFCA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9C20B6A-0A68-43B6-A3BA-52C9B97D55C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500D957-7327-45E2-8391-15522FFEF74F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3C5796-38EB-490E-9DFF-5ADE9FE6A67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52A4500-0E89-40DE-9520-BDCDF9067E4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CC13489-B244-4433-8CC8-E8B358E6A00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97148B1-73A7-4D7A-B68B-11ADE53FA9C2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830CBCD-5B5A-4E5A-B851-2990F48BA54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1940DA3-F4C5-444E-830C-FB92847CF5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379E03F-559C-4538-8C2E-55BA4B3A75F2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1F6ED39-61A5-4FEA-9FDA-24D77B0C24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8908344-00A8-4AA3-A890-308E05D0A4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6DA373D3-1368-4673-A573-057FE5EC8EFF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1DD60ED-EC7F-46C0-BFEC-03BBC8F3B61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4430B1D-4756-47AC-A909-DB5799EF980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2B3EEC5-EA0B-436D-BE70-39B6B8ADFC5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F5DA658-E2A0-403E-BC9E-3F19AE3BAD4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1328716-BEDE-42AB-B816-B3CD9DAE2FE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9C1E17E-0FA4-4382-8858-2D54239E492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FE381D0-975A-4D12-BCA6-1F5F9EEA143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BC0D43-3A11-4380-AC24-3732B7F9B58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7C07809-B041-49B7-957F-B72A7924A58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D83CC96-7133-4B33-96B8-7B4972DEB7D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10253B-1D15-4196-8C06-CECE17583ECD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BF5F82-6FB6-433D-8367-B34BC08CAF6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6AEB44A4-C201-40FA-8FC1-770FA9E85EC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22C4281-5E9D-4036-8BD7-22979E892A23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E31EE2E-2D2D-4651-B42A-E8FC2226B01D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51A53C6B-EFCB-4A3F-8A27-E9811B00C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EDB8971D-2BCB-490B-9162-EAA6F2D9547A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867ACE5C-1A16-4059-8E4D-0C1ACE592007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81148F12-8FAC-466F-B302-D628D9132BF9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EFB2B6A-60BF-45AF-829C-BA95582691A1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81EB5C87-AC2B-4BE5-8CA3-D65FA5098C61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6E99AEB-AA34-4735-937C-1EB4DADFD02D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93E625-83AA-49E3-8F7E-21B6AF80E8D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7951E9D-ACD6-4FD7-BA49-7E30DE3DAA2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F660A0F-D8EF-4482-B97A-A24D3E76912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11D21A9-4A62-4EB0-907B-AA5F8A6EF41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1D02CD1-E747-4A1F-B9D6-735DA406C1F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87E11CA-1B87-4028-B856-FC68C099FB7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6B289AD-B8F4-4469-B239-4F7F567D7F80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A5901A5D-377D-4A4B-A7AA-EFEEE17EA6B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0BDEC43-9728-43F0-B9A4-31E22CFCE33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E73A131-C7CC-4D59-9325-169A9110005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E836007-449F-4393-86C1-5E36027E0D9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E2FB713-1520-4ABF-8D03-81E50225021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0619F7C-7127-4B72-9D70-EF631F8A0DB0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5EB0EB-923E-4052-9293-7296620B82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A2E4C002-FD11-4ED8-8E64-C41E7108C9A1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E1C8AD2-A4F6-4395-819D-F46EB2C6223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C634E5-DF3C-4647-96E9-44076F847E8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503D84BC-3C79-4B1F-94EC-5AA3EF042F2D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93DEB44-04A2-4451-B704-723374DF9BE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2071989-A4FD-4CE8-8683-F3EA4587C37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491BCD3-0A3F-431F-88F4-4349E1AC6A68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3C72194-4A51-4702-81FC-134D99A8D5E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24CBF29-57AB-454B-B69B-EDBE5D897BCE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7A52825-E236-4412-A895-292B10F13376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2ADA058-5A9E-4ACC-8205-036658538E0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FCCE8471-5CC9-464E-966E-8352043A9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19002FB-E97F-4DA7-81B9-742285309D73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13B477AE-A0E0-4426-B09F-924323D85CC4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04EDC64-33CF-4637-BEDE-37D95E8EFA46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E0182FCE-9EB4-40CA-8D56-BE8195C1A19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E40124A-5596-4B1E-95DA-ABA31C3B024B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EFFCB2A-67CB-4990-A066-46AF1C17B856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7C823C5-96C4-4B7B-A64D-953A639617A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4A21AE3-DA27-400D-B8EB-339280E7EF34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666FA19-94B1-4BB1-B737-2EC1391D438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1990B70-C765-4069-9AFA-46339E1A0F9B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2F753D7-A157-4CB3-AC4D-D2864715679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1D6684C-A2A8-4C5C-81B0-09D08C7A9B7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8E7C6B6-BE8B-49ED-A23E-9AAA575D039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8C734F1-6B86-446F-8220-52F790E1635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DD90FAF-F54F-4AEC-AE1E-C3029397B65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A0657F5-4AE1-4CF8-B722-6238C38FCA68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D9838B3-AD94-46BF-81B3-6D3C3D477E5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6F8D762-2BAE-423E-9118-A64E4EB7939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EB516DB6-7712-4A44-AC56-BE37FAAB083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BEBD0DEA-DBC8-42DD-971D-E837CBA56A5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FA13CE26-24D3-4D50-A5DA-DCCE5526AABE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4ABB1CA-32F3-4132-BB0C-60D918168DA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479E873-0BBD-4E22-B369-BBFDEE34C8A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573B10D-0994-4CF7-92DD-8DF192A28319}"/>
            </a:ext>
          </a:extLst>
        </xdr:cNvPr>
        <xdr:cNvCxnSpPr/>
      </xdr:nvCxnSpPr>
      <xdr:spPr>
        <a:xfrm>
          <a:off x="90297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B0F2B9A-9B5C-4B45-8667-8875F1E660E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BAC38F7-7373-45B9-A692-19D3D259B0E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3BA5DB9-04F2-403A-98DA-DA9033F47502}"/>
            </a:ext>
          </a:extLst>
        </xdr:cNvPr>
        <xdr:cNvSpPr txBox="1"/>
      </xdr:nvSpPr>
      <xdr:spPr>
        <a:xfrm>
          <a:off x="4400550" y="447676"/>
          <a:ext cx="2714625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09B7E1D-7580-4B57-88A6-727F4CBC09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79CA999-64BA-4B7B-8A5F-A1321E15C896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32F9288-6874-497F-9AEF-E589E82574A6}"/>
            </a:ext>
          </a:extLst>
        </xdr:cNvPr>
        <xdr:cNvSpPr txBox="1"/>
      </xdr:nvSpPr>
      <xdr:spPr>
        <a:xfrm>
          <a:off x="4400550" y="533400"/>
          <a:ext cx="2714625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83FFC52-163C-486F-A6A1-73DD686A38D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4" name="Picture 10" descr="http://www.lakecement.com/images/logo.jpg">
          <a:extLst>
            <a:ext uri="{FF2B5EF4-FFF2-40B4-BE49-F238E27FC236}">
              <a16:creationId xmlns:a16="http://schemas.microsoft.com/office/drawing/2014/main" id="{841DBA66-6A7C-4F1E-A4DD-CFC495AAB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82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6431E8D1-1DD8-45A2-8C51-9F7F3F12B8E1}"/>
            </a:ext>
          </a:extLst>
        </xdr:cNvPr>
        <xdr:cNvSpPr/>
      </xdr:nvSpPr>
      <xdr:spPr>
        <a:xfrm>
          <a:off x="5256742" y="304376"/>
          <a:ext cx="2893700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F932983-5755-494C-905B-FFB41D2EDA18}"/>
            </a:ext>
          </a:extLst>
        </xdr:cNvPr>
        <xdr:cNvCxnSpPr/>
      </xdr:nvCxnSpPr>
      <xdr:spPr>
        <a:xfrm>
          <a:off x="755798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7D716ECE-5EB1-435B-96EA-4BC2DEAF7A87}"/>
            </a:ext>
          </a:extLst>
        </xdr:cNvPr>
        <xdr:cNvSpPr/>
      </xdr:nvSpPr>
      <xdr:spPr>
        <a:xfrm>
          <a:off x="77819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C007634-3122-4101-9639-1A2BF0FFB4F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0A6BEE9-D069-40FD-9FEF-F1B833E26188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23C94C6-5F69-4926-94C5-06D69F8E74DC}"/>
            </a:ext>
          </a:extLst>
        </xdr:cNvPr>
        <xdr:cNvCxnSpPr/>
      </xdr:nvCxnSpPr>
      <xdr:spPr>
        <a:xfrm>
          <a:off x="90297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6C4444-DA97-4774-8BB8-383F694A9432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08882EC-0DB4-4ED1-A58D-63E652C66E98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7347F8-A003-4888-A3CF-51BDC9881CC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8AB616F-CBFD-409E-882F-3FAC66916F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996E40A-919C-41CC-8427-3B6EB2C718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214AEFA-5C23-47CC-8A81-99BCDC0B60F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F3007564-C995-47BC-9DCD-732E642F2D8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FE41CD9-89BA-440F-B686-D6EB6E5735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7C7275D-D971-4788-B4BD-76FAF03924E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C525702-F094-4C66-9820-4DBD03225FE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655E980-8929-425A-9B8E-591205E278A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3F5E5B9-4C46-4970-867D-124C8DC8AAB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3AA4A215-2691-4CEC-B40E-E41FC5A6877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2266AE0-0E6C-40DE-89EE-DBA8A42006D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D358384-5EA0-4175-BE61-7C465EDEEA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614F50A-CABF-4E69-A254-4A14F3EB0A0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CE554B2-82D9-42D9-9AB6-993BA2C7417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2AE50069-E21E-408D-93B2-F9ECB7EEB11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165D389-8278-4047-A3BA-BC7A160122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E702704-BD54-4C34-A121-1A3E77F389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451CA76-F7FE-4C75-A4EE-108E60A6310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07AF831-20E3-477A-A9E2-0200242FBF9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C7B0EF3-9D63-40E5-951D-A715B41C921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8E30FEC-48DE-45C1-ADC0-44743440C42F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BFECB70-253F-48C3-A05C-FFDB2E36220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54B4835-0DBC-4EAA-B039-D5FE958C67AD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3A25C13-C778-4310-B644-D9FDA7F614AF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3666F7B-90A5-47A2-B9C5-63A532139657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37" name="Picture 10" descr="http://www.lakecement.com/images/logo.jpg">
          <a:extLst>
            <a:ext uri="{FF2B5EF4-FFF2-40B4-BE49-F238E27FC236}">
              <a16:creationId xmlns:a16="http://schemas.microsoft.com/office/drawing/2014/main" id="{E4A929F7-AFA4-438A-A3C4-906792609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2570C13-500D-4B44-A972-E2A71E10D055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323D9F94-4299-403B-BEA5-38B38AB4F467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4F815ACC-DF6A-4B6F-8DAE-9C906FEB8FFD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5FBB887-0833-4EE2-A612-D2DBAC0BC2D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B2D4C1C-6918-4B6A-BB62-C7386FEA1C0F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F0330E6F-C044-493A-8C82-A8D15824E2BF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68662F-71C5-4E5D-8B75-B9601DD61B1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C8DD616-0926-45A0-818A-AA4B7D5FD70D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9721DF8-2942-482B-BEBA-C57CDBF1C2D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61DCAD0-A7A7-461A-A4E1-3710767453A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665063A-3290-406C-B5C9-CD3515AB141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450BD39-C596-4DFC-ADD2-36BD05614B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AD4F33-D9FA-4635-A8A1-B8D38F153B7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EE0BF048-D71A-4F05-AEE4-F2C8C414A0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B2C9767-40A9-45EC-8403-95A2F56DF2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47BDE2D-02E1-47E7-AE67-48D85DD4F23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ED449AEF-FE6A-4D8D-82E6-DEB20490C2D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ACDEF84-C9EF-4E3A-881A-396EC8D85F9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67FAAFF-3832-457E-928D-D9112334AC9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9F5C21A-0309-4E26-B5D9-6DEA6BDA887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D309C15-5EC5-4887-A1E5-553DC120B3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918A079-2BA2-4BDA-87E5-674D1265B9D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D87FE1BD-57BF-45BB-B153-72A706E0A2A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93CDBCE-EE2A-45F4-AA0A-753CB9ED759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002CB2F-B0E2-47F4-A135-8A4DA20702B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7A7F9F95-2363-47C8-B9BC-58DEF5673E2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08D11C4-E280-48B3-A66A-2C7217AE087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33E39A62-7306-43DF-99C3-7370A1A5ABD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42C7A09-4D95-4F53-99CA-F87432B9008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27AFEB74-BB58-4458-9EE6-49C1931B8F9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2703CEE-AC15-4650-A659-1D1003E2ABD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A1EB024-F2C6-4DCF-B6DE-4C28B0EF24C4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1C3B349-D7B3-49B8-BF5A-3984108C3647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638244-3E55-4046-99D8-9C0BBEE3944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7B8977B-3735-4488-9E9F-FC96ED3C7D20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D94932C-0942-408F-854C-353A23988B1B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97557E16-3C0E-4256-BC4F-D1AF5F3E030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1" name="Picture 10" descr="http://www.lakecement.com/images/logo.jpg">
          <a:extLst>
            <a:ext uri="{FF2B5EF4-FFF2-40B4-BE49-F238E27FC236}">
              <a16:creationId xmlns:a16="http://schemas.microsoft.com/office/drawing/2014/main" id="{13026D44-09F0-4C88-9B70-793DAC1B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AD4CB5C-A21C-40D0-9DF5-0087C21BA600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EA765C6-ACED-4B96-B99B-4F90F970D862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F5845C1C-B168-4E7C-8ED6-95323597BD3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5EA02B9-DCE7-4208-A3C5-BA11E200AC0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D3D5702-5C08-4610-99EA-602B4C9DFF7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DFF0A66-D9F1-485E-9635-8A0BC753A650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EF2BCCF-DA15-476F-A14D-DB155102FD69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538F904-A7B7-45ED-81F6-AB4B0764EBC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7400F85-83F2-41DC-81EF-3A0D1E921CC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FCF9561-1D56-4D40-8F95-7E16E2BE2EB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61868E0-61AF-4B9B-ADDF-7D89503A5AC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86ED876-830A-4C08-809F-69A74FB246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3ADC8D8-7CF2-4E15-ABD0-1EF51C8E166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6297569-9045-4BAF-9CF4-048CE9ACE3A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49D914-A259-444C-8178-7960718394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8EDACDE-6EC1-4D9A-B326-822A03FB35A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DBAC5036-9914-4F12-84F6-0329FEF8DF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6E7EB40-4F14-4669-9C56-1449064B2DD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A9065C47-AD3A-4E0E-9A2C-557F2A86B1C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A158F41-2611-417D-8C02-2EE566A5BA2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8397B3E-DFDF-4EBC-B26C-6FF958B1453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B2DD577-B82B-4C1E-B22C-8B26CC0C6E2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660592EB-1AD7-4184-9F3D-028C542B207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BA10DD-9404-4735-B109-9D9DB286CFD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F81B4A0-510C-4AAB-91D7-F3E00E2330B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7A57B5B-7183-4473-BC9F-073A7686B8D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F3C5650-8CB9-46A4-8ADD-971EB5F7C75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B210E6C-A0BD-4B5C-8DB3-6D40910AA69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A0B8745-9C33-44EB-A18D-1BB0B3EBC0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378D6ABC-1759-49D6-B86A-161412C431D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B6489CD-9BBB-4A52-93FA-438C9E62192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693CC8C-D77C-4120-9A9B-14A271D4095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BC59DD49-7554-4740-A4D4-9F9B91CCC9D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F3DE888-547D-4409-92AD-47408208FAB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CE57D19-3644-4449-9C68-888F5BD3029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5F05F79-0A0E-48C7-9F76-F28401DACD2D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BC19B1F-BD8B-4EE6-9DCD-FD126D7BA1A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682AF632-6775-4063-911F-DF4368818E30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7D694CC-0DB8-4B65-8CC8-8935CBC820CA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3DB9C44-1823-4FF9-94E0-F9219395C492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3" name="Picture 10" descr="http://www.lakecement.com/images/logo.jpg">
          <a:extLst>
            <a:ext uri="{FF2B5EF4-FFF2-40B4-BE49-F238E27FC236}">
              <a16:creationId xmlns:a16="http://schemas.microsoft.com/office/drawing/2014/main" id="{D103A8DD-2B26-4949-98C5-8DACD1FE0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9E614C0C-2B3E-418C-AD38-1FBC6839CDA6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5BAC3E3-CEEC-448E-BF2F-C5956AF094E2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96445D4-9E9E-4303-8930-B0B7D83098D9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91D3DBF-44AE-4558-8DDE-14C9A22282E3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59C21DF-CB3F-4386-B7F9-5CB7BCFE16E7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1A929B7-E69A-4ED0-9CB9-6416465F6054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3079E1A-70EA-4EB1-8F44-1D9256F5857A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6C1BEC9-9C0D-43F8-AB73-759AF68B011B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7F7C337-EEB2-4769-A122-3139F2F12DE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A6A99B5-B430-4071-837C-47D6E30C6E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123EB6C1-22CA-41D7-BFCF-28205C5A5BB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50CCE3-FB3A-4916-817B-98450C1C35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4C39CCB-8928-4F7E-A468-D333F2A9850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2C550D7E-49C9-4C9C-A9D8-3AE25FA954A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FCCA2B-93A5-489B-9F2C-542019AC165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E81AD39-6456-46B3-B05D-916358E5F13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44FCC40-CBA0-4D23-8155-80BC2E160D3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CE2AC3A-EE46-409B-8E75-E91B258C8F2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8B177C3-0136-4BEC-B334-8CCB4A4D963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43F7B99-9F86-49C9-A356-FF5D7E85C55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0C7D312-1BAC-4D60-BEA3-697B7E7A02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70DEFF2D-1B4A-430C-BBBE-B6614FB26E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4A83D686-FBAA-4A5F-8B65-B78C6546F35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4C1DDBC-3E94-4133-BC03-2F8EC53FF8A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A4847BB-207F-4EFF-BD07-D9E83269114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93747B32-7A45-4C72-8E75-154F231FD9A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710C280-A9FA-495A-9EB7-4BDA540AFF8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EE8C726-F7BF-4E37-808C-66F19E3C5D0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5D51B1C3-0398-4DC8-8BE1-D2CF88B3AF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EDEE318-72DD-4D11-91DC-E5782D7A39D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DCDC10E-A3D2-41F8-90E8-D9CE8F389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7C18374-203A-43DF-9DAB-E3EBF0B7331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6D2C0CE2-9B66-44BA-BF36-E1123D58003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E3B66D90-59C7-4B32-B511-69C91E9F4C0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48ECD1D-427F-4726-B65E-AC22BDC358F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11784E60-F6DE-4421-8112-81972124D95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25A633F-578E-4C20-94CB-951CB175ED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DF17EF2-69DE-45ED-A65F-977E8B5E180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75B7F88-24B1-46DC-9DC6-603C6EB8F786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E0F704C-0D1C-436D-8316-82F8AECD5A0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9A121BF-D072-4E03-B80A-ADE77D20C095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E03ADF6-C302-4795-908B-2803AD1F6B72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6C9259E-C2C4-4B89-8D86-470D1D5379F5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87003E4C-726A-4FC7-9EA7-14EF7D98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1AEF59F-33D9-4A53-B35A-2628415CBF53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D13888F-8F6E-4330-9F98-A8EF279E51ED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FD0450C3-9C3F-4A39-8688-D9546701F214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F9C1378-1C06-4F72-B1F0-A08631692CEB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0B18CD4-A859-4911-B962-020BEE61228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D4EB531-3109-4725-AE66-108576775738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4665D2F-BAFF-4047-8BFE-E1D66716481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DDF303D-8C55-4B20-A7CA-898F9338F5C6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29C21C-3FBE-4B02-AF8B-05A2BA84C4E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61B79A68-13B2-4C2E-B44C-1458ABFC14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03D7B45-9C82-453E-A907-3BA79614493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F0D38FA-FC1D-4378-94E5-97A40479E23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0BBE642-9C97-466E-963A-3E02495836E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35D2A481-0823-4DA3-B05F-1E527BC2B41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999F4AD-0005-42D1-B983-027411E47D1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BF4318B-2BC7-49D3-A650-0A1A7EE64F7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AE14B39-2960-47FC-8BDC-D09981280C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857606C-BD2A-4CF7-9FF4-535CE116615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29BDEF-16A4-43D5-AA12-A1D6396D451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67C4532-E201-4706-8956-E00550A2656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9D01F78-83D8-4057-B1F3-A52F314993E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9CB8F294-3CD9-4ADE-A537-E4C5BF53D52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A2FE4B0-076A-464C-9FF4-6CEC9C2FAF4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243F869-F9CE-4D62-8DDC-01B05CF1BF8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2F22E01-74B4-4311-B592-B9E3FDFF787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F356582-7DD9-4249-A058-211727269F8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2F62F9A-0C6D-4790-AEBF-FFFEFFDE1AF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2227F0-FF2D-4B22-854C-3F8CBC63621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D98547C0-4B57-4DFC-9C62-2DEE01396D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5283318-337C-4C6C-9BEB-885A0A369A6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F2E35FB-5970-4203-8863-F740F1DE6D8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6062832-B25C-4F4B-9821-9CFF631CAEB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E194645-4481-4B1F-A02D-82FDB5DC477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41D3E7A-B97E-4662-A602-BE751DB083A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BEEAE16A-4D6B-4478-AF95-F7E0B6318F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926126-3915-4AA0-8BF6-ABA536EE2F6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11BCB08-CB20-4645-80B1-87ECF4EEB0F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C0D8BF9-2556-4B90-8E1F-90426B686DD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6261792-DDCC-4349-90FB-AF4306F926C2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BCE1303-F11E-475B-8C0F-F9CDFB6F87D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CE4A531-C00B-494C-B8D7-722AE224A1EC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253504B-0E44-41A6-B459-B726A6364256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BC1973D5-790B-4506-89DB-2E3ABCCB6D3F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7038640B-2F24-48F4-9395-E7521284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FE114F36-4918-456B-A35C-409BF0293A2D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A0D034B-23D8-497D-AD16-66528EB244A6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E03FF4FE-6E1D-4A5C-BC40-911490891BB8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2913AAC-B4FA-4C45-990E-B38A556CF63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61F20F0-7C35-4A04-906D-79AFE5FA7421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F07E622-E215-4504-8657-E5EA558F9083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4F1D103-8EAC-4422-816B-09CBFD15BAC6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7BEF3DF-158A-423F-B25E-57EEED0A7F8B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9C2362D-4312-4C54-A2BF-2DB81FA1D0C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53C6381-C91D-4867-87B2-C92B35EFA6A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4C519A5-949A-4F88-9269-18618ABC50C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AA853F8-574F-4CAB-9F0B-BE15DC76BE5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C96F445-EA19-4F89-B581-3B5D88DC5D3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E54AD6-2E3A-41C6-94A6-EE7A09A9FA2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117F33A-731B-4605-B7A5-0DDECB7466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324DDDE-0039-469B-9C53-DDE37681783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9958C4D3-80AB-4C7A-A5C6-34507CD009A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AD642BF-045E-454B-909A-8C5972D5F9B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B8243A9-ED6F-4DC9-8B86-A13B799E1756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369895A-D07F-4F20-AEF9-49F982EA9A3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FDE4265-8959-4438-BA4D-618E1CE9570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375F6A0-28EC-4F6E-9521-3CAA64526D2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6E64D5F-0296-44D2-ABBE-16E672C998F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F7D76F97-7866-451F-B6F5-0A05C94D693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471A94A-AF09-4B73-BE63-1DF86AC7F4C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48BAADE-62C5-4E56-B423-BDA3E691CD6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99A2D9D-15CF-41D5-BA17-2628BED353E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19D669B-F7B7-45A9-B3EB-C9CBC6ACD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CE102CD-B9E0-4AC6-996E-EAA96B4F252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B5A1B97-1221-448E-89E9-40838570FD6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0C07782-11E0-4776-959B-4DD66B64399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DC61115-8898-4C60-A924-EB92ECFEB9C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7BF34D7F-7448-4C88-BE14-46487F7BBD0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B8CDEA4-B845-44B2-84C2-2F53568FB25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5692FDA-A918-4E24-9DDD-E025E771AEF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00BF1B1-3022-4255-9A6E-0490CFDDB70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171E99C-1260-4CF7-A0A2-97A782A9D75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E893CE77-E39A-4B1B-B11E-6BF3D4F01AA1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4BFF08E-D21E-417F-9B18-EB4B1B747B49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D5EEE42-6F16-4359-85B5-477FB5A3B2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AF6D82D-D8E2-42A8-98C6-51E422B9CFA2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65137BA-6160-41E7-B00D-8EEF64203346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EAB5160-B121-48FF-842F-B16F3CB208FE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6" name="Picture 10" descr="http://www.lakecement.com/images/logo.jpg">
          <a:extLst>
            <a:ext uri="{FF2B5EF4-FFF2-40B4-BE49-F238E27FC236}">
              <a16:creationId xmlns:a16="http://schemas.microsoft.com/office/drawing/2014/main" id="{3E873361-B3D9-4D09-9AA6-C9DE60524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50B8190-A480-4113-BA5C-A7B0E9FA8734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1F1302A-5415-493C-8851-3252B3D97217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DC335E87-1D37-451B-8A88-8AB1A3C53CFA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5392189-4D03-4A7E-B451-0599AE81E47D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FBBB57B-EBFE-4D04-B5F1-78068CB6B60D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24B858C-016B-4ABE-B319-0FBBA28FE7FD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D58CF5-5460-464B-AB71-8CBCB43632C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8582E83-CE43-4A4D-B893-6E6A76DEFCB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077D15-DE21-4CC3-A5C6-98B68EC7629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7FE5D45-196C-4D4C-BAEB-2F41D3315D06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5C663A-03DE-489F-8B91-B8A99568CB1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32A0112-0EAD-497F-A90D-0DDAEE67D54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7289E7-394F-495A-8FB1-373F5BD8BA85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E5CADF1-70F2-447B-B322-70E3CEEED08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590ED74-22E0-4DCE-A3E5-97A9E53FE56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E2D848D9-078D-4930-87F6-C39A1E18C47F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999DEE0-ACA5-4C13-BF24-455E2F4EBE6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3E8F3C0-B5AA-4FE2-8805-677BDAE86C2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EA9F225-D69C-4B13-B022-0988F95EC82D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E81165E-40F1-4FBA-BAB3-F8A85277618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70B0BB8-6545-43F5-A538-0C934B34FEB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DB3FE7F-1BC9-4D28-9A75-CBCC366B4FC8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A6174B4-18C1-4332-9C2D-9055F042EC3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C02CA27-E58C-40E5-A55C-EBA957611DD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2038EE2B-CBA5-4C16-A130-529DE5D3F5FA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1CEAF60-0E4D-4380-8062-8D48450B2E7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7680965-8E77-4423-8E12-7891AF5DFDF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D4788CC-BF5A-4BCB-8B51-E454F50F60F9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B0A65A1-E5EB-42BC-AA7F-615F9D57BA1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B8BF0D8-2489-4EB0-AD40-C0F7CA32BEB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966FB5B-D1DE-480B-82C8-F973D6040EEB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65A87A4A-7ACE-494B-A47F-3A3A2ABB7A4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1A2F39A-82AE-48A1-9C84-0EDFEA44B9E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8C3EE9C-877F-40F3-8783-08F38726CB21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67A75892-342E-4BFB-ABB7-98F9FEEB2F1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6E1A2C2-18C8-4DD2-A4AC-4D29FC6392CE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A89964FA-EFF1-48E7-9A10-9F717D4B0D6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856A20D-6F26-4E8E-A706-9D73A48D350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B2D6C2B9-0D34-48D0-98AC-2C26DF1E957E}"/>
            </a:ext>
          </a:extLst>
        </xdr:cNvPr>
        <xdr:cNvCxnSpPr/>
      </xdr:nvCxnSpPr>
      <xdr:spPr>
        <a:xfrm>
          <a:off x="91059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DECBCD5-2B5E-4815-B35E-C850D4871AC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A3CC6E2-18E1-4F68-AB2A-D899410A4539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3F3BC433-4E64-4A5A-91A2-E83800AFD569}"/>
            </a:ext>
          </a:extLst>
        </xdr:cNvPr>
        <xdr:cNvSpPr txBox="1"/>
      </xdr:nvSpPr>
      <xdr:spPr>
        <a:xfrm>
          <a:off x="4400550" y="447676"/>
          <a:ext cx="278130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116F394-8636-4B88-A015-F789B67A7F2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DE958F7-8470-4569-A96A-75034E87F494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700A827-8C48-44EA-8DF3-CB7C49ED3D70}"/>
            </a:ext>
          </a:extLst>
        </xdr:cNvPr>
        <xdr:cNvSpPr txBox="1"/>
      </xdr:nvSpPr>
      <xdr:spPr>
        <a:xfrm>
          <a:off x="4400550" y="533400"/>
          <a:ext cx="278130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E37119D4-B3B6-4FD2-8364-EA63103D22C0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49" name="Picture 10" descr="http://www.lakecement.com/images/logo.jpg">
          <a:extLst>
            <a:ext uri="{FF2B5EF4-FFF2-40B4-BE49-F238E27FC236}">
              <a16:creationId xmlns:a16="http://schemas.microsoft.com/office/drawing/2014/main" id="{3ADCFF5A-A7FA-4278-B5F4-07781FBB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1DE6992-D9F2-46BD-A625-5B101B2273CE}"/>
            </a:ext>
          </a:extLst>
        </xdr:cNvPr>
        <xdr:cNvSpPr/>
      </xdr:nvSpPr>
      <xdr:spPr>
        <a:xfrm>
          <a:off x="5256742" y="304376"/>
          <a:ext cx="296037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69A40B3-511D-46B9-9AE8-65F328A70750}"/>
            </a:ext>
          </a:extLst>
        </xdr:cNvPr>
        <xdr:cNvCxnSpPr/>
      </xdr:nvCxnSpPr>
      <xdr:spPr>
        <a:xfrm>
          <a:off x="762465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7D738E-4FDD-462B-B272-5DF76B07BFCE}"/>
            </a:ext>
          </a:extLst>
        </xdr:cNvPr>
        <xdr:cNvSpPr/>
      </xdr:nvSpPr>
      <xdr:spPr>
        <a:xfrm>
          <a:off x="7848600" y="556260"/>
          <a:ext cx="1049638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289D668-D9A4-4C35-BC00-D8562657E6F6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305D8EA-36D8-4EB7-843C-66572BB25AE3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B23EFA8-8993-4621-AA17-DCF23BC45277}"/>
            </a:ext>
          </a:extLst>
        </xdr:cNvPr>
        <xdr:cNvCxnSpPr/>
      </xdr:nvCxnSpPr>
      <xdr:spPr>
        <a:xfrm>
          <a:off x="91059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0E3FEF3-CAA5-43EB-AAB4-9EF9F77F0987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1BEF1D1-FC44-4B7E-9002-F6B03F6D6FE0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CAF7260-BFEC-479A-AC7A-71A79751531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66AE999-E84B-4E42-A2D9-92ACCC0D5AF4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589599F-66AB-4118-88A7-6E7F201F0BF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131147C-5444-4364-B31E-37122A36C8C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CD5F469-C492-443E-8C99-CE37652AA075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AF01DD0-599B-4D34-A6D1-FEA51DF6CAC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4185DD0-2966-444E-93FD-3E4267A4E75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26A2C56-680A-4D8E-851F-381357C3917A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53917B7-A776-45EE-8EE6-D1736DD1D08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348F326-0BDA-40A9-A35D-934B5F2ABD8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D8A58F9-C187-429E-A90F-31C3809BED3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4E84E58-AB91-4485-A967-E6D10985F0D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EAF46F0-5CD6-40BA-BFF3-535B218A974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631B56B5-2731-4B92-A27B-3149F8897B12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8C4A5090-06B6-4F21-83CB-5D60154EDE2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34E4EF4-34BD-4EE3-8465-53D25B8E57F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B3840E29-A1E9-43FC-B102-7324BC1BD28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81C1BA1-18D1-462A-806B-E394785DF56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288CDA27-C7AB-4660-9270-5959EE117C7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69CCE38-DC42-4F77-A704-029E5A8525AA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4BD3F073-C7A3-4A2D-80E0-4CACFF68A87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E5D5701-BC78-46AC-A174-88611CF1A10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5ADB740-D364-4B77-BEFD-5C5538BFCF03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C932942-B573-4459-A7B3-5C520BE8E29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A83238-D888-4637-A683-85EDA7F07BA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3804733-4B11-44CD-A8E6-CB1EA251B4F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3E727C5-B211-4867-B8BE-9B3EE6FD2C6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46928B9-3D74-4B8D-9C46-FE600D7888E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478ADF8-52D8-4E09-B385-BF5E7B9438B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34C1685-7AC5-4CFD-A375-6881D2969B3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D5B801BE-0F9D-425D-8597-18C3F770BA8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EB770A1-B14B-48CA-AC96-2B1604EBB6B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8942B7C-76BC-48D6-ACE2-4EE93769F6C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97D47247-6E47-4CEE-9987-D9D44F06F407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041C593-71D6-4129-80F4-27B1B540402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3B19C1F-CA4B-4AC6-B720-DCAF752FD986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48ABF36-EBA5-4155-B06A-1F51EA5E25DC}"/>
            </a:ext>
          </a:extLst>
        </xdr:cNvPr>
        <xdr:cNvSpPr txBox="1"/>
      </xdr:nvSpPr>
      <xdr:spPr>
        <a:xfrm>
          <a:off x="4400550" y="447676"/>
          <a:ext cx="27622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EF44CA9-1BDC-4B82-81E7-A5A211D0FA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BBF755C8-206E-4598-B240-E1D042A9ADEB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F3F97C6-F706-49D3-977D-DC0BD82E478F}"/>
            </a:ext>
          </a:extLst>
        </xdr:cNvPr>
        <xdr:cNvSpPr txBox="1"/>
      </xdr:nvSpPr>
      <xdr:spPr>
        <a:xfrm>
          <a:off x="4400550" y="533400"/>
          <a:ext cx="27622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544AED1-B974-4F37-8AFB-10CD853A15B1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2" name="Picture 10" descr="http://www.lakecement.com/images/logo.jpg">
          <a:extLst>
            <a:ext uri="{FF2B5EF4-FFF2-40B4-BE49-F238E27FC236}">
              <a16:creationId xmlns:a16="http://schemas.microsoft.com/office/drawing/2014/main" id="{5043832B-0F07-4416-B3F0-1D925A182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5026E7D2-6F56-4313-83B4-0313ED0118A7}"/>
            </a:ext>
          </a:extLst>
        </xdr:cNvPr>
        <xdr:cNvSpPr/>
      </xdr:nvSpPr>
      <xdr:spPr>
        <a:xfrm>
          <a:off x="5256742" y="304376"/>
          <a:ext cx="27889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681D0B2-2D14-48DF-BF0F-B209ED5BA4DF}"/>
            </a:ext>
          </a:extLst>
        </xdr:cNvPr>
        <xdr:cNvCxnSpPr/>
      </xdr:nvCxnSpPr>
      <xdr:spPr>
        <a:xfrm>
          <a:off x="74627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9568DA22-1D8B-4902-B674-0F55CF753931}"/>
            </a:ext>
          </a:extLst>
        </xdr:cNvPr>
        <xdr:cNvSpPr/>
      </xdr:nvSpPr>
      <xdr:spPr>
        <a:xfrm>
          <a:off x="76771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7E91D0D-3C1E-43A6-B3E0-2AC1CDE9F908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8521935-58C6-430D-996E-E1CE6E7F94F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F870624-293B-4048-9D9D-4E90768A6CCE}"/>
            </a:ext>
          </a:extLst>
        </xdr:cNvPr>
        <xdr:cNvCxnSpPr/>
      </xdr:nvCxnSpPr>
      <xdr:spPr>
        <a:xfrm>
          <a:off x="89249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20889B1-E13F-4A4D-8270-D144B5A63151}"/>
            </a:ext>
          </a:extLst>
        </xdr:cNvPr>
        <xdr:cNvCxnSpPr/>
      </xdr:nvCxnSpPr>
      <xdr:spPr>
        <a:xfrm>
          <a:off x="8915400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F9F6B34-843F-4CA2-8CE8-86E913D6337E}"/>
            </a:ext>
          </a:extLst>
        </xdr:cNvPr>
        <xdr:cNvCxnSpPr/>
      </xdr:nvCxnSpPr>
      <xdr:spPr>
        <a:xfrm>
          <a:off x="2295525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91C09C-F219-40E4-BFB9-4E23F49BF269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7066C06-CC48-43E3-BC66-76AA4097A8C3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C6144FE-20D9-457D-BD39-8AFF3EDFF1F4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944251C-C34D-488C-8927-9CC133BA84AA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8EC36C47-28B7-48CA-9034-5E4B9FB1CBEB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475BE02-9678-434F-9368-DC407B2C2EBD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897B96-FFEC-4C67-A851-859448D2D262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0EC2CE8-9597-4249-B74D-12791149AEA7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B770114-767A-4AF3-AD80-825D0EC70684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98B9B50-A332-478A-BFDF-958658D97108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70FF0D3-917A-410C-B193-EC5F5F3C3BC8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0A5FF81-F1DE-4536-9395-A24A5B9FC161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6046537-184A-4789-982B-FE82EF451E7F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120290D-D103-420A-9B4C-390C2CE311C5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B6A98845-310E-4540-8AB7-FC37B6FD0199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149810D-8792-4FE0-BF67-29F232C3248A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D753B49A-9F69-497F-86F1-9F1052FC45EF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1524A8E-570C-4CA3-AD66-AAE68F73EC62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151742A-3155-4584-8C21-3C1C70D22394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FB3089FB-1B13-46AD-A74D-AA694A3E8BEA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92D1875C-9CB4-4A7B-B867-72604515616E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C02C3CB5-B7C4-45DF-81F7-7713E0884595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AD0DE6A-7DD0-4588-AEF0-265D940252C8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16D6823E-2ADF-494D-B323-0E159468FF5F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C73F78D-9E84-47F8-A79E-097FF85B58B2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7DAE5F95-8DB6-4141-B18C-29C5C4B97E5A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40298070-89B4-4102-9674-C8AA885E4D9B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CA73CEA-AA9E-4282-ABCC-EDDE6A3335D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98DF499F-2EAE-423E-8F11-C866902CD132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51861FCA-298B-4295-BF9E-201063D19F95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B56C7B4-3752-445B-BF79-B1B4513AC5E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B37EE39-45EC-494F-BC19-388A93681C3E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2924034-9EF7-474C-890F-921C1C5ED201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3CE590A-F4FB-499A-9270-E677E5A1BBBC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9E93FD68-EE5D-4832-95AE-CA116FA6581A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FB7EF90-189C-486D-A513-4BBA4E0F7C43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5BBBA0D-0C9A-4DE2-9FEE-92A06A394A7E}"/>
            </a:ext>
          </a:extLst>
        </xdr:cNvPr>
        <xdr:cNvCxnSpPr/>
      </xdr:nvCxnSpPr>
      <xdr:spPr>
        <a:xfrm>
          <a:off x="89154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726065DD-2F09-46D7-9AB4-E23CB3738F3E}"/>
            </a:ext>
          </a:extLst>
        </xdr:cNvPr>
        <xdr:cNvCxnSpPr/>
      </xdr:nvCxnSpPr>
      <xdr:spPr>
        <a:xfrm>
          <a:off x="2295525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96FE0BD-E663-4222-AA31-1EA921914063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780DCF8-5140-4E06-B828-86F3A203C599}"/>
            </a:ext>
          </a:extLst>
        </xdr:cNvPr>
        <xdr:cNvSpPr txBox="1"/>
      </xdr:nvSpPr>
      <xdr:spPr>
        <a:xfrm>
          <a:off x="4467225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C487AD8-DB26-43DB-BD14-79B8223B3B70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95B9B748-91DF-403D-A6CE-94A9669DD961}"/>
            </a:ext>
          </a:extLst>
        </xdr:cNvPr>
        <xdr:cNvCxnSpPr/>
      </xdr:nvCxnSpPr>
      <xdr:spPr>
        <a:xfrm>
          <a:off x="2295525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F1AC435-F997-43E7-A940-5C5FE8C224B8}"/>
            </a:ext>
          </a:extLst>
        </xdr:cNvPr>
        <xdr:cNvSpPr txBox="1"/>
      </xdr:nvSpPr>
      <xdr:spPr>
        <a:xfrm>
          <a:off x="4467225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54886171-3890-4DB5-9A44-80AA99003EBA}"/>
            </a:ext>
          </a:extLst>
        </xdr:cNvPr>
        <xdr:cNvSpPr txBox="1"/>
      </xdr:nvSpPr>
      <xdr:spPr>
        <a:xfrm>
          <a:off x="5419725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5" name="Picture 10" descr="http://www.lakecement.com/images/logo.jpg">
          <a:extLst>
            <a:ext uri="{FF2B5EF4-FFF2-40B4-BE49-F238E27FC236}">
              <a16:creationId xmlns:a16="http://schemas.microsoft.com/office/drawing/2014/main" id="{0901E695-8825-40ED-A35A-D2C0A76AC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509CE63D-CE8B-43FF-825F-EEAA08CA0361}"/>
            </a:ext>
          </a:extLst>
        </xdr:cNvPr>
        <xdr:cNvSpPr/>
      </xdr:nvSpPr>
      <xdr:spPr>
        <a:xfrm>
          <a:off x="5323417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B56B1F9-D3E4-4F79-8956-1117B0989AE4}"/>
            </a:ext>
          </a:extLst>
        </xdr:cNvPr>
        <xdr:cNvCxnSpPr/>
      </xdr:nvCxnSpPr>
      <xdr:spPr>
        <a:xfrm>
          <a:off x="7453207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BDFDF50D-22F3-46E6-81E2-BC9E57FB14B0}"/>
            </a:ext>
          </a:extLst>
        </xdr:cNvPr>
        <xdr:cNvSpPr/>
      </xdr:nvSpPr>
      <xdr:spPr>
        <a:xfrm>
          <a:off x="7667625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6DE548F-543D-4D8D-B22F-B9C16DC8FD25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8D62720-E65B-47CA-9FDE-8169316B977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2489367-3FAD-452F-AA73-F4276F1BC587}"/>
            </a:ext>
          </a:extLst>
        </xdr:cNvPr>
        <xdr:cNvCxnSpPr/>
      </xdr:nvCxnSpPr>
      <xdr:spPr>
        <a:xfrm>
          <a:off x="8915400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57CD5F4-6803-4F68-9381-D4DEED376E03}"/>
            </a:ext>
          </a:extLst>
        </xdr:cNvPr>
        <xdr:cNvCxnSpPr/>
      </xdr:nvCxnSpPr>
      <xdr:spPr>
        <a:xfrm>
          <a:off x="8915400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156CD21-3753-45B4-A643-69A825A56972}"/>
            </a:ext>
          </a:extLst>
        </xdr:cNvPr>
        <xdr:cNvCxnSpPr/>
      </xdr:nvCxnSpPr>
      <xdr:spPr>
        <a:xfrm>
          <a:off x="2295525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0B7AF2-D2CA-45D6-9EF1-2E078C8F9C67}"/>
            </a:ext>
          </a:extLst>
        </xdr:cNvPr>
        <xdr:cNvSpPr txBox="1"/>
      </xdr:nvSpPr>
      <xdr:spPr>
        <a:xfrm>
          <a:off x="541972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D59FB40-8119-436A-A982-47227C0AACA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4BE66C4-96BA-439C-885F-2B3647288F8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DAF2C71-8F20-4830-9EEA-4C3601E6B1A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8B20DAE-9618-4578-AD7F-302163B6E25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3EBE9FF-4BBD-453D-AD9F-3AD5FE5AD61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680563-DD53-4333-8E8B-6743E7D120C5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C0D1A1BD-90E9-4145-9BAC-A30B0C3FDA0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637536C2-F3BA-4BC2-A039-5115387B5FC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B1A23D9-A5E4-4A4A-B665-8CB1A57BE5DD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0AF4911-90D3-45A9-B16C-D8000FC393C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7944DE3-C70E-4975-A6A1-A3E5DB11079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7DA4532-DA88-47BD-9476-7123E846CC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F3DF4A5-95FD-4C1C-8279-34DF7D07CCF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035283C-A3DA-4C3D-BDF0-010FC1100AE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52E76C3-9B31-4C26-87BC-E30B444388D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6EE36E08-5C02-44CF-B050-783B552D02D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328DF547-98B2-4C85-A35F-D6B7C202E4D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D711948-F375-4F23-9D77-FB0EF0CF6B7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DC371AE2-63CE-4183-BB63-28CEEB91CD8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A419C15-1E7E-4340-ACDC-22889B958BF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B782C22-FA08-4AE5-8B1A-108C0AC1E2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485A75C-5FF0-4E51-A02B-A27C5F2CF6A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26638E4C-D1F4-4230-A094-B5027996C79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595CA28-33CC-4F3E-8C72-171856BD502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423783F-2382-46C0-AE43-6F83C92870E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CF24D47D-B0BE-4094-99E8-65A1EC7136E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A2E4B2B-4AEC-4DC5-A324-38DAD4D7A2D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459D86E-C4C1-4C99-A09B-20AB9B63C9B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1D37CB2-52EC-4146-B25A-39DB8A49828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40F642E3-4850-4DA6-93C1-8FE5664E02B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63D986-9FB0-463A-A3E7-96FDC783BEC4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137A8D-B3E6-41D1-B6A9-130CBD25D28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E0550DB-7EB3-4E6A-B155-9F8719C7B4A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4775C09-FF6C-444A-BAC9-76982284AB5E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3F89FA5-A14B-4D6B-8A2C-7C9B66FCF2C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845902B-4912-4816-AA5B-824AFB2E4BA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BDAC6D2D-33BA-43A8-A703-B606D275A63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CB4701F1-9846-4961-9DDB-DFD221ABC20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F3066CE-BBBF-42E1-B43D-395A2EDF963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1C7D079-4E7D-4CEA-8DA9-5FD8F7045F7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22EB3A1B-FC5F-49F8-A41D-F4FFA39F2F4C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77902B5A-2756-43D1-B481-221C240DCAAE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A60A398F-E566-45C2-B5ED-D5D203F94EA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3E953D2-FFC9-4378-B5C6-29EA5C06BA02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6195F66E-7853-43D7-8EEE-A034200F4533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6976B73-2ABC-43FC-AF7D-67CB61E5D6FC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58" name="Picture 10" descr="http://www.lakecement.com/images/logo.jpg">
          <a:extLst>
            <a:ext uri="{FF2B5EF4-FFF2-40B4-BE49-F238E27FC236}">
              <a16:creationId xmlns:a16="http://schemas.microsoft.com/office/drawing/2014/main" id="{ABDB9E14-1BB7-4694-B732-B6BC8434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86024E7-8606-40F3-BC61-266C7F94D661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961BFBB-176D-4C56-8397-0FA798018131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39A632C-F6ED-40FD-9AD1-E566B125E504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FBE398D-8BD9-49A9-A50F-79FB0B683820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5A5CED7-1953-4BB5-BAF2-796A801133EE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B6C61600-EDAE-4E0B-A8F6-C7DDB8A076C1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E10C10F-93FE-47DE-BD9F-72D560A8BC9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F531A9A-412F-4B1B-BFEA-E438AA4E0F99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742E9AA-1768-4EC4-8224-2820D9E02A6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ADB44BC-B8CB-453D-8A28-F66EC9CC546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8AE0E573-9B8D-40DD-9303-34085D8D4EE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452D5D-50CA-4EE9-9AE6-20459C392A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63363DC-6DB6-42A6-AD3C-57FC7B54EAB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EA1CCF1-AC9F-4B1F-9A31-903E7B1F317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3B9C39F-7B6F-4A0A-B5E1-D0AC43CF04F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1C39FB40-EB61-41CB-8567-E21BDCEBB45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82CD5AEB-02C0-48A3-AEB0-FFA21B67ACC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F0A2F4B-90B6-47F9-9ABC-69B93682542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B519E91-7D85-47AC-8C0B-912B97D07BE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6801B8-FFE9-480D-8F6C-A337818DA51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571BE55-DDAC-454E-BF2C-20984A61665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B0B1FE31-CFE4-47E0-A30F-428AD726F8B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38EF7BC-2303-4435-9B57-E1B984965C0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7857D24-E9D5-47BC-A84D-6559815D66AB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E125F22B-7645-4561-9619-5B4C06784C5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580E6675-A43D-41A8-8D47-B8BD10BA7B9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FE087DB-D5CC-44A0-AFC3-F89D71793A7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738F032-8C7A-4769-9C56-1E0D31887DC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187AE4F-517E-42BA-B609-1D4B95D329B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A91C17E-630F-4B22-AAE1-E77D96529F2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8640A4EA-4D66-4A31-A445-845EAEC0D7F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1860D04-4993-4842-9443-38BE67179D98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9AD8AF99-110C-4BE1-87D7-7A9E153352F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FC43354-36A1-4FF0-B98C-2DF8AEF367C2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B7519CF7-C10B-436E-9455-862F56D83A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4F2F602-8522-477F-8B90-23B89732F77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313D449-3610-47E7-BFD9-1753941520E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AACBB340-54E4-4536-B2B5-B0C89511B32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3DA2507-2E74-40EF-9E9D-6D7EE47EADF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6BEC80C-77EE-4C48-9E26-998251D6586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71BE3F6-C58B-40F1-B090-3110D235C33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AD7BAAF-A020-4671-8081-E869E5128B4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F2816193-0E8B-42FC-866D-1463A8655163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FC405B1-1E89-4378-9F68-E6DB265B424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ACD6B98C-79AF-431A-919D-EAE1A2A5A73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6056690-73F5-4EAB-8CF9-9995C26F4E8A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47434F3-105A-42E3-B868-056C2D7FC2D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7215CD3-D375-44A9-B070-8823A4FBC38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A08216B5-7B49-494F-9615-0558805B724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FAD3B08-A3FE-4DCE-8A22-180AD47B435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9010678-086B-4430-877A-527E5DF54CE0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C19D81B-825D-412A-950F-18FD324E4C2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E8D2AED-070E-43BD-BE3B-A636E574706A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0699E87-CC45-43FE-BCEE-FDFDBB97F7EB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DC93F15-69F3-4E57-905D-2508C67DD1F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F8E4201-BF57-430C-9550-97340D1ED10A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BFBDAF-8E20-4148-A11D-7F483043A653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1FF2EB8-F3D1-4F9E-B919-73A89239A494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61" name="Picture 10" descr="http://www.lakecement.com/images/logo.jpg">
          <a:extLst>
            <a:ext uri="{FF2B5EF4-FFF2-40B4-BE49-F238E27FC236}">
              <a16:creationId xmlns:a16="http://schemas.microsoft.com/office/drawing/2014/main" id="{09832AF0-C705-494B-BC47-0D3AFEAE7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87D830E-87EC-496F-B475-D2652F016021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D5497DA-1324-410B-B3E1-80D41A775298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2FB2F520-EC81-4AA9-82CB-5A3CD4382B66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9271437-79E4-48B4-9633-ABF054AA28D7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82BC95C-6B61-4528-B2F8-D053D8ACA759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918BA95-FB98-4DC8-BDEE-8A6F3B53397C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241C865-286D-4581-AEF5-8E9E61F803ED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85C1A6-3132-4A07-90A1-72E8CBBB1A48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EBC476C-65BD-488B-8ADD-ADE063A1BAD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E64CB12-AD53-46B5-985A-168DDAD725BD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1098559-A95A-47C5-BB8B-A1CCA0843D4F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C44FF1BC-1B0D-4F1F-84B2-C31508F721B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4DFA359-52EF-4FE3-AE07-12735EDBB3F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A232E97-9654-40CE-81F2-22B3052BFB17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E68771A-3F30-403E-B6FC-27B11845D61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59AFB71-7C7D-402F-B040-753302B9208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90D3B8D-D413-4DCC-9329-6C3DE92ADC3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948B6CA-75DA-4C1E-AD93-321CBE4AD4E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155523BD-8AC1-4380-8FAE-59BD6FFE9A3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A4C92F22-E087-4410-BD69-297A28F18A0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2EF2D12-B614-4EB7-9AB6-8C4AA36A652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DB74AD62-1FD2-410A-AE03-4DC7187AFFB5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1D59DB7-3A41-44C3-A644-D3E7C54DF25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DA11BAC-ED4E-4968-8172-94A6D8834EF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2AB63968-548D-4DB0-9961-993B636CC35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722F7B26-35C3-4964-9AF0-28D6A7F1ADC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D79CC05-26F6-47EB-A487-54B5B2D41A1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F9DD6168-CD91-483C-8284-E716BBCBE868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42D36D3-EA0C-4786-86C4-E9B8B13A3FE6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5A84FE96-3FEA-49BD-8079-E4CE763F4C5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9600EB2E-F3EB-41BE-8A2D-4CBD1E51C1C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908C4B-5FF7-42F0-8235-E0E6ADCB604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9578E38-AB84-4B5D-BDFA-B8E2718EA89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8C7E2E41-A48C-4B1D-B2F4-9AD5F9C0F92F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45E07AB-6FFF-4849-9C1A-2ED57001A47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97A22B0-7159-430F-8DFB-7B10CDDE7DC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647BB4D-27B6-4EAA-AD77-2366CB69A287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069333F-28B0-4F08-A738-D30E3AAFCC7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0A9DEF7-8EA6-48CE-A873-7C17633A9AF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CC9526-1090-4D8E-B856-4CA88C503F39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24197DC-869A-44F3-9513-FE654B84BD6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6243EC9A-3DDB-4414-BEA1-497C67609BE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233DD347-6A9A-4B20-9C7B-65059494F3A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D557C7F-8AA6-422F-8C67-0A11E135904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B66ECE50-BCC4-4755-BC98-A79AD4BDF36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B4024762-1F1F-485C-A246-3377D5F725D1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066EB66-80C2-45DA-8B46-BEF2758FBC74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A45E1A6-E4C8-49ED-BF87-3ACC5E7FCF3C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7F94A8A-EE95-45E3-ABAF-0450ED4BE893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E2C5A5D-687E-455F-B566-920C2E0A8C7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184B54D-291C-4371-85BA-92C9F8C2757B}"/>
            </a:ext>
          </a:extLst>
        </xdr:cNvPr>
        <xdr:cNvCxnSpPr/>
      </xdr:nvCxnSpPr>
      <xdr:spPr>
        <a:xfrm>
          <a:off x="88487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9E8FEBE-385C-4EC6-B3BA-80F538DDD51E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D0921DF-A91C-41A0-87E0-B1F3668EA8FF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5913B139-EAAB-4128-9E0C-6AE74644CEC3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6106A7C-03DE-451C-A93E-EB6B87ABF1C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8A7D0B6-3395-48FA-A002-259E7970D37D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10115DF-65AD-4342-92CC-5AE3A1858B8A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CF7DE04-AEA3-436B-AA2D-792408F39C23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70" name="Picture 10" descr="http://www.lakecement.com/images/logo.jpg">
          <a:extLst>
            <a:ext uri="{FF2B5EF4-FFF2-40B4-BE49-F238E27FC236}">
              <a16:creationId xmlns:a16="http://schemas.microsoft.com/office/drawing/2014/main" id="{686956A3-0FF8-4A16-A100-EEEAF7423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1B895FA-9AF5-4EC6-84B5-43F98E2B87EB}"/>
            </a:ext>
          </a:extLst>
        </xdr:cNvPr>
        <xdr:cNvSpPr/>
      </xdr:nvSpPr>
      <xdr:spPr>
        <a:xfrm>
          <a:off x="5256742" y="304376"/>
          <a:ext cx="27127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48869C02-85CA-43BC-BAE7-10FDEF440464}"/>
            </a:ext>
          </a:extLst>
        </xdr:cNvPr>
        <xdr:cNvCxnSpPr/>
      </xdr:nvCxnSpPr>
      <xdr:spPr>
        <a:xfrm>
          <a:off x="73865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1D7D47EA-23FD-4B6A-926B-EAAA8113E2B3}"/>
            </a:ext>
          </a:extLst>
        </xdr:cNvPr>
        <xdr:cNvSpPr/>
      </xdr:nvSpPr>
      <xdr:spPr>
        <a:xfrm>
          <a:off x="76009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755BF445-4D3B-4927-BA65-7539669DBD7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A860DB26-8C94-4FA9-8CC3-7653BF32C0A0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12ACC45-2396-45F5-B743-3ACC8C68C522}"/>
            </a:ext>
          </a:extLst>
        </xdr:cNvPr>
        <xdr:cNvCxnSpPr/>
      </xdr:nvCxnSpPr>
      <xdr:spPr>
        <a:xfrm>
          <a:off x="88487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FA3375A-4EED-4E65-BD70-4A7A10FC6268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AD218E-3C76-4BD9-82AA-C92353B7FE1F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E52E5D7-2011-40D2-9933-021B7DFFEC3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4EC2B24-7C09-47B0-8BEC-A849D0827506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9B13FD8-B257-4044-BD23-0031D1CBABD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20178AC-F21A-43BE-A732-0A2A0A14DBE7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C8F7AA0-2DF0-41FD-9ECF-98191A01C5A8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A65B419-ABA8-453D-BB61-3B3F1F99783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E295F1A-157F-4047-A5BC-5BD566D49EF8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8EACDF14-C84C-4FD5-8514-E47E2B1C7AF3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5AD5AE6-9530-4B1A-B90B-B3DEC3C1C30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5EBC9FB-C1C9-4299-915A-8454D4302C29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8D532F1-CF3D-4FB8-B510-8F677BBD0582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99DCE0D-5982-48C1-BB76-02FC7A694E3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914CF3A-97A0-4107-836C-79AEE5D0C50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468974BA-6AAF-4AE6-A57D-28BA661873E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CEFAC31-F3AA-461D-9E63-BC3F10031DA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B2053CE-7091-4F35-A94B-6F8D369CF79F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638CDA8-6305-4D82-8E69-F1D00FEE1C5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53DA76E-E228-4EFF-B539-FFF7805586AB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6CB5182-EB1A-43C4-8CF1-F9122DA77CB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8B2B574-B610-491D-BF63-13E5D36954D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B1E3E2CC-B58B-4537-9311-C8AB52B50F8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E4B4F66-9353-494B-A5C4-DC158C6E5146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207A844-2FFE-463D-98E7-C0D7E9929F0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73D3C561-1154-4AC1-8CE7-797E88F2E5B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4C386CF-5744-45A1-A073-1A6886AD6621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2AE5C0F-CC9D-418A-9145-1E2C4C586B7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E5455C9A-1B58-4A78-98CE-54CBAF180DCA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F53B5AC7-61B0-4A1C-838C-CA2A953E7D8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BA77F279-5D4E-4AF0-B3A5-BEB43C169BA6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177F73BB-A6FB-4226-A1D9-ADDCC86B7E3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97FD2C3B-A09F-4B85-B3FE-FCA2AD13DC1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D7D9A8-1703-4AD7-A6CA-F36432CC486D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E1CCB50-0D38-4225-86B3-BFE11BC45DF9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8942279-FCD6-4348-97D3-41BCE948F96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139FBBBE-F3C3-4506-BC6B-02028150B811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5394BF8-6023-4F31-A14E-A7968EBBB76C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2A15E0A6-58DB-47B6-B482-1DCB01B4904E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9088ADF-07B0-4151-A1A2-BEFFFB9D5B8F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E330306-C0A2-4CDA-ADD3-F89627329421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8A7E580-FE9E-4DDC-B7C4-E26B6B3B6F30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515391-23A3-4EB8-85CD-7797F6E86290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75122C6D-B63F-4F05-ACEA-AC99C0AF5815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266C20C-DF8E-4387-A733-06FA3C5C04E9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FD798EC-FA17-42AB-B8B7-B765810EEAC2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1C7F374-88CA-4650-8BBC-16D51AA5405C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B0F4776-79F1-46C1-9B30-DCDC30802878}"/>
            </a:ext>
          </a:extLst>
        </xdr:cNvPr>
        <xdr:cNvCxnSpPr/>
      </xdr:nvCxnSpPr>
      <xdr:spPr>
        <a:xfrm>
          <a:off x="8924925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787B2413-E9BC-4353-8D5C-96B1DA99F7BD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3B53CFE-46B6-4D84-AC5B-D014EF3D488E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1A6ED61-0BA2-4AC1-87F3-3AEBFEB169C3}"/>
            </a:ext>
          </a:extLst>
        </xdr:cNvPr>
        <xdr:cNvSpPr txBox="1"/>
      </xdr:nvSpPr>
      <xdr:spPr>
        <a:xfrm>
          <a:off x="4400550" y="447676"/>
          <a:ext cx="26860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DD1E0AD7-F6FF-4989-AC7E-3ABB38290003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054A272-8E59-450D-8EA6-4B215833C89C}"/>
            </a:ext>
          </a:extLst>
        </xdr:cNvPr>
        <xdr:cNvCxnSpPr/>
      </xdr:nvCxnSpPr>
      <xdr:spPr>
        <a:xfrm>
          <a:off x="2228850" y="533400"/>
          <a:ext cx="9525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43C5031-7E27-431B-A614-78D84B05CB2D}"/>
            </a:ext>
          </a:extLst>
        </xdr:cNvPr>
        <xdr:cNvSpPr txBox="1"/>
      </xdr:nvSpPr>
      <xdr:spPr>
        <a:xfrm>
          <a:off x="4400550" y="533400"/>
          <a:ext cx="26860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9E2A385-D269-4192-9DD8-A7083FA2A2B5}"/>
            </a:ext>
          </a:extLst>
        </xdr:cNvPr>
        <xdr:cNvSpPr txBox="1"/>
      </xdr:nvSpPr>
      <xdr:spPr>
        <a:xfrm>
          <a:off x="535305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1</xdr:row>
      <xdr:rowOff>338664</xdr:rowOff>
    </xdr:to>
    <xdr:pic>
      <xdr:nvPicPr>
        <xdr:cNvPr id="64" name="Picture 10" descr="http://www.lakecement.com/images/logo.jpg">
          <a:extLst>
            <a:ext uri="{FF2B5EF4-FFF2-40B4-BE49-F238E27FC236}">
              <a16:creationId xmlns:a16="http://schemas.microsoft.com/office/drawing/2014/main" id="{957D1CB1-67DB-4D00-91FE-46389475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2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2E3746A-32ED-4C0A-BADC-6CF78E59600F}"/>
            </a:ext>
          </a:extLst>
        </xdr:cNvPr>
        <xdr:cNvSpPr/>
      </xdr:nvSpPr>
      <xdr:spPr>
        <a:xfrm>
          <a:off x="5256742" y="304376"/>
          <a:ext cx="27889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B87D3AC7-A9D1-4962-9578-DE73C9462907}"/>
            </a:ext>
          </a:extLst>
        </xdr:cNvPr>
        <xdr:cNvCxnSpPr/>
      </xdr:nvCxnSpPr>
      <xdr:spPr>
        <a:xfrm>
          <a:off x="7462732" y="569807"/>
          <a:ext cx="0" cy="23981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DCB98775-CF18-4294-9AB5-175B01970F9A}"/>
            </a:ext>
          </a:extLst>
        </xdr:cNvPr>
        <xdr:cNvSpPr/>
      </xdr:nvSpPr>
      <xdr:spPr>
        <a:xfrm>
          <a:off x="7677150" y="556260"/>
          <a:ext cx="1040113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E188C33-CC89-4992-B9BC-5E0D31CB0253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547E0BC0-36AD-418A-89A2-793E052DF2B4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F53CA9C-F778-4845-9EB8-9272A126CDD6}"/>
            </a:ext>
          </a:extLst>
        </xdr:cNvPr>
        <xdr:cNvCxnSpPr/>
      </xdr:nvCxnSpPr>
      <xdr:spPr>
        <a:xfrm>
          <a:off x="8924925" y="554566"/>
          <a:ext cx="0" cy="2550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B39"/>
  <sheetViews>
    <sheetView zoomScale="60" zoomScaleNormal="60" workbookViewId="0">
      <pane ySplit="2" topLeftCell="A3" activePane="bottomLeft" state="frozen"/>
      <selection pane="bottomLeft" activeCell="K27" sqref="K27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5.140625" bestFit="1" customWidth="1"/>
    <col min="11" max="11" width="15.5703125" bestFit="1" customWidth="1"/>
    <col min="12" max="12" width="16.28515625" bestFit="1" customWidth="1"/>
    <col min="13" max="13" width="12.7109375" bestFit="1" customWidth="1"/>
    <col min="14" max="15" width="15.140625" bestFit="1" customWidth="1"/>
    <col min="16" max="16" width="15.5703125" bestFit="1" customWidth="1"/>
    <col min="17" max="17" width="16.28515625" bestFit="1" customWidth="1"/>
    <col min="18" max="18" width="12.7109375" bestFit="1" customWidth="1"/>
    <col min="19" max="20" width="15.140625" bestFit="1" customWidth="1"/>
    <col min="21" max="21" width="19.140625" bestFit="1" customWidth="1"/>
    <col min="22" max="33" width="15.5703125" customWidth="1"/>
    <col min="34" max="34" width="9.140625" customWidth="1"/>
    <col min="35" max="35" width="11.42578125" customWidth="1"/>
    <col min="36" max="36" width="11.140625" bestFit="1" customWidth="1"/>
    <col min="47" max="47" width="11.5703125" bestFit="1" customWidth="1"/>
  </cols>
  <sheetData>
    <row r="1" spans="2:54" x14ac:dyDescent="0.25">
      <c r="B1" s="3" t="s">
        <v>0</v>
      </c>
      <c r="C1" s="657" t="s">
        <v>1</v>
      </c>
      <c r="D1" s="658"/>
      <c r="E1" s="658"/>
      <c r="F1" s="660"/>
      <c r="G1" s="659"/>
      <c r="H1" s="657" t="s">
        <v>2</v>
      </c>
      <c r="I1" s="658"/>
      <c r="J1" s="658"/>
      <c r="K1" s="659"/>
      <c r="L1" s="657" t="s">
        <v>3</v>
      </c>
      <c r="M1" s="658"/>
      <c r="N1" s="658"/>
      <c r="O1" s="660"/>
      <c r="P1" s="659"/>
      <c r="Q1" s="657" t="s">
        <v>4</v>
      </c>
      <c r="R1" s="658"/>
      <c r="S1" s="658"/>
      <c r="T1" s="660"/>
      <c r="U1" s="659"/>
      <c r="V1" s="657" t="s">
        <v>5</v>
      </c>
      <c r="W1" s="658"/>
      <c r="X1" s="658"/>
      <c r="Y1" s="659"/>
      <c r="Z1" s="657" t="s">
        <v>6</v>
      </c>
      <c r="AA1" s="658"/>
      <c r="AB1" s="658"/>
      <c r="AC1" s="659"/>
      <c r="AD1" s="657" t="s">
        <v>7</v>
      </c>
      <c r="AE1" s="658"/>
      <c r="AF1" s="658"/>
      <c r="AG1" s="659"/>
      <c r="AH1" s="1" t="s">
        <v>8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2:54" x14ac:dyDescent="0.25">
      <c r="B2" s="4" t="s">
        <v>9</v>
      </c>
      <c r="C2" s="6" t="s">
        <v>10</v>
      </c>
      <c r="D2" s="1" t="s">
        <v>11</v>
      </c>
      <c r="E2" s="269" t="s">
        <v>12</v>
      </c>
      <c r="F2" s="26" t="s">
        <v>13</v>
      </c>
      <c r="G2" s="7" t="s">
        <v>14</v>
      </c>
      <c r="H2" s="6" t="s">
        <v>10</v>
      </c>
      <c r="I2" s="1" t="s">
        <v>11</v>
      </c>
      <c r="J2" s="1" t="s">
        <v>15</v>
      </c>
      <c r="K2" s="7" t="s">
        <v>14</v>
      </c>
      <c r="L2" s="6" t="s">
        <v>10</v>
      </c>
      <c r="M2" s="1" t="s">
        <v>11</v>
      </c>
      <c r="N2" s="269" t="s">
        <v>16</v>
      </c>
      <c r="O2" s="1" t="s">
        <v>17</v>
      </c>
      <c r="P2" s="7" t="s">
        <v>14</v>
      </c>
      <c r="Q2" s="6" t="s">
        <v>10</v>
      </c>
      <c r="R2" s="1" t="s">
        <v>11</v>
      </c>
      <c r="S2" s="269" t="s">
        <v>18</v>
      </c>
      <c r="T2" s="1" t="s">
        <v>17</v>
      </c>
      <c r="U2" s="7" t="s">
        <v>14</v>
      </c>
      <c r="V2" s="39" t="s">
        <v>10</v>
      </c>
      <c r="W2" s="1" t="s">
        <v>11</v>
      </c>
      <c r="X2" s="1" t="s">
        <v>15</v>
      </c>
      <c r="Y2" s="9" t="s">
        <v>14</v>
      </c>
      <c r="Z2" s="39" t="s">
        <v>10</v>
      </c>
      <c r="AA2" s="1" t="s">
        <v>11</v>
      </c>
      <c r="AB2" s="1" t="s">
        <v>15</v>
      </c>
      <c r="AC2" s="9" t="s">
        <v>14</v>
      </c>
      <c r="AD2" s="39" t="s">
        <v>10</v>
      </c>
      <c r="AE2" s="1" t="s">
        <v>11</v>
      </c>
      <c r="AF2" s="1" t="s">
        <v>15</v>
      </c>
      <c r="AG2" s="9" t="s">
        <v>14</v>
      </c>
      <c r="AH2" s="1" t="s">
        <v>19</v>
      </c>
      <c r="AI2" s="1" t="s">
        <v>20</v>
      </c>
      <c r="AJ2" s="1" t="s">
        <v>21</v>
      </c>
      <c r="AK2" s="1" t="s">
        <v>22</v>
      </c>
      <c r="AL2" s="1" t="s">
        <v>23</v>
      </c>
      <c r="AM2" s="1"/>
      <c r="AN2" s="1"/>
      <c r="AO2" s="1"/>
      <c r="AP2" s="1"/>
      <c r="AQ2" s="1"/>
      <c r="AR2" s="1" t="s">
        <v>24</v>
      </c>
      <c r="AS2" s="1" t="s">
        <v>25</v>
      </c>
    </row>
    <row r="3" spans="2:54" x14ac:dyDescent="0.25">
      <c r="B3" s="4">
        <v>1</v>
      </c>
      <c r="C3" s="39">
        <v>7272.7831800029708</v>
      </c>
      <c r="D3" s="1">
        <v>6632.0200000000013</v>
      </c>
      <c r="E3" s="269">
        <f>F3+'RAW MILL 2'!C3</f>
        <v>36</v>
      </c>
      <c r="F3" s="1">
        <v>36</v>
      </c>
      <c r="G3" s="9">
        <f>C3+D3-E3</f>
        <v>13868.803180002971</v>
      </c>
      <c r="H3" s="64">
        <v>5298.9685246186336</v>
      </c>
      <c r="I3" s="1">
        <v>2996.2000000000007</v>
      </c>
      <c r="J3" s="1">
        <v>200</v>
      </c>
      <c r="K3" s="46">
        <f>H3+I3-J3-Cement!S3</f>
        <v>7877.1685247916357</v>
      </c>
      <c r="L3" s="48">
        <v>946.5</v>
      </c>
      <c r="M3" s="1">
        <v>832.26000000000022</v>
      </c>
      <c r="N3" s="269">
        <f>O3+'RAW MILL 2'!D3</f>
        <v>1</v>
      </c>
      <c r="O3" s="1">
        <v>1</v>
      </c>
      <c r="P3" s="9">
        <f>L3+M3-N3</f>
        <v>1777.7600000000002</v>
      </c>
      <c r="Q3" s="48">
        <v>191.03999999999996</v>
      </c>
      <c r="R3" s="1">
        <v>0</v>
      </c>
      <c r="S3" s="269">
        <f>T3+'RAW MILL 2'!E3</f>
        <v>13</v>
      </c>
      <c r="T3" s="1">
        <v>13</v>
      </c>
      <c r="U3" s="9">
        <f>Q3+R3-S3</f>
        <v>178.03999999999996</v>
      </c>
      <c r="V3" s="27">
        <v>0</v>
      </c>
      <c r="W3" s="1">
        <v>0</v>
      </c>
      <c r="X3" s="1">
        <v>0</v>
      </c>
      <c r="Y3" s="27">
        <f>V3+W3-X3</f>
        <v>0</v>
      </c>
      <c r="Z3" s="27">
        <v>0</v>
      </c>
      <c r="AA3" s="1">
        <v>0</v>
      </c>
      <c r="AB3" s="1">
        <v>0</v>
      </c>
      <c r="AC3" s="27">
        <f>Z3+AA3-AB3</f>
        <v>0</v>
      </c>
      <c r="AD3" s="27">
        <v>0</v>
      </c>
      <c r="AE3" s="1">
        <v>0</v>
      </c>
      <c r="AF3" s="1">
        <v>0</v>
      </c>
      <c r="AG3" s="27">
        <f>AD3+AE3-AF3</f>
        <v>0</v>
      </c>
      <c r="AH3" s="31">
        <f>D3+I3+M3+R3+W3+AA3+Cement!Q3+Cement!V3+AE3</f>
        <v>10460.480000000001</v>
      </c>
      <c r="AI3" s="31">
        <f>E3+J3+N3+S3+X3+AB3+Clinker!E3+AF3</f>
        <v>255</v>
      </c>
      <c r="AJ3" s="1">
        <f>Production2!N3</f>
        <v>229.65</v>
      </c>
      <c r="AK3" s="1"/>
      <c r="AL3" s="293">
        <v>3103</v>
      </c>
      <c r="AM3" s="1"/>
      <c r="AN3" s="1"/>
      <c r="AO3" s="1"/>
      <c r="AP3" s="1"/>
      <c r="AQ3" s="1">
        <f>D3+I3+M3+R3+Cement!Q3</f>
        <v>10460.480000000001</v>
      </c>
      <c r="AR3" s="1">
        <f>AI3+Cement!R3-Clinker!E3</f>
        <v>467.99999982700001</v>
      </c>
      <c r="AS3" s="1">
        <v>940.1</v>
      </c>
      <c r="AT3" s="50">
        <f>AI3-Production2!N3</f>
        <v>25.349999999999994</v>
      </c>
      <c r="AU3" s="52">
        <f>AI3</f>
        <v>255</v>
      </c>
      <c r="AV3">
        <f>E3+J3</f>
        <v>236</v>
      </c>
      <c r="AW3">
        <f>AS3-D3</f>
        <v>-5691.920000000001</v>
      </c>
      <c r="AX3">
        <f>I3-AY3</f>
        <v>1376.7000000000007</v>
      </c>
      <c r="AY3">
        <v>1619.5</v>
      </c>
      <c r="AZ3">
        <f>(AI3-Production2!N3)/'Mines (2)'!AI3</f>
        <v>9.9411764705882324E-2</v>
      </c>
      <c r="BA3">
        <f>AZ3*100</f>
        <v>9.941176470588232</v>
      </c>
      <c r="BB3">
        <f>E3+J3+AB3</f>
        <v>236</v>
      </c>
    </row>
    <row r="4" spans="2:54" x14ac:dyDescent="0.25">
      <c r="B4" s="4">
        <v>2</v>
      </c>
      <c r="C4" s="39">
        <f t="shared" ref="C4:C27" si="0">G3</f>
        <v>13868.803180002971</v>
      </c>
      <c r="D4" s="1">
        <v>368.46000000000004</v>
      </c>
      <c r="E4" s="269">
        <f>F4+'RAW MILL 2'!C4</f>
        <v>734</v>
      </c>
      <c r="F4" s="1">
        <v>604</v>
      </c>
      <c r="G4" s="9">
        <f t="shared" ref="G4:G33" si="1">C4+D4-E4</f>
        <v>13503.26318000297</v>
      </c>
      <c r="H4" s="39">
        <f t="shared" ref="H4:H27" si="2">K3</f>
        <v>7877.1685247916357</v>
      </c>
      <c r="I4" s="1">
        <v>161.41999999999999</v>
      </c>
      <c r="J4" s="1">
        <v>2000</v>
      </c>
      <c r="K4" s="46">
        <f>H4+I4-J4-Cement!S4</f>
        <v>5791.5885248460354</v>
      </c>
      <c r="L4" s="39">
        <f t="shared" ref="L4:L27" si="3">P3</f>
        <v>1777.7600000000002</v>
      </c>
      <c r="M4" s="1">
        <v>291.42</v>
      </c>
      <c r="N4" s="269">
        <f>O4+'RAW MILL 2'!D4</f>
        <v>148</v>
      </c>
      <c r="O4" s="1">
        <v>141</v>
      </c>
      <c r="P4" s="9">
        <f t="shared" ref="P4:P33" si="4">L4+M4-N4</f>
        <v>1921.1800000000003</v>
      </c>
      <c r="Q4" s="39">
        <f t="shared" ref="Q4:Q27" si="5">U3</f>
        <v>178.03999999999996</v>
      </c>
      <c r="R4" s="1">
        <v>0</v>
      </c>
      <c r="S4" s="269">
        <f>T4+'RAW MILL 2'!E4</f>
        <v>15</v>
      </c>
      <c r="T4" s="1">
        <v>14</v>
      </c>
      <c r="U4" s="9">
        <f>Q4+R4-S4</f>
        <v>163.03999999999996</v>
      </c>
      <c r="V4" s="27">
        <f>Y3</f>
        <v>0</v>
      </c>
      <c r="W4" s="1">
        <v>0</v>
      </c>
      <c r="X4" s="1">
        <v>0</v>
      </c>
      <c r="Y4" s="27">
        <f t="shared" ref="Y4:Y24" si="6">V4+W4-X4</f>
        <v>0</v>
      </c>
      <c r="Z4" s="27">
        <f>AC3</f>
        <v>0</v>
      </c>
      <c r="AA4" s="1">
        <v>0</v>
      </c>
      <c r="AB4" s="1">
        <v>0</v>
      </c>
      <c r="AC4" s="27">
        <f t="shared" ref="AC4:AC33" si="7">Z4+AA4-AB4</f>
        <v>0</v>
      </c>
      <c r="AD4" s="27">
        <f>AG3</f>
        <v>0</v>
      </c>
      <c r="AE4" s="1">
        <v>0</v>
      </c>
      <c r="AF4" s="1">
        <v>0</v>
      </c>
      <c r="AG4" s="27">
        <f t="shared" ref="AG4:AG33" si="8">AD4+AE4-AF4</f>
        <v>0</v>
      </c>
      <c r="AH4" s="31">
        <f>D4+I4+M4+R4+W4+AA4+Cement!Q4+Cement!V4+AE4</f>
        <v>821.3</v>
      </c>
      <c r="AI4" s="31">
        <f>E4+J4+N4+S4+X4+AB4+Clinker!E4+AF4</f>
        <v>2957</v>
      </c>
      <c r="AJ4" s="1">
        <f>Production2!N4</f>
        <v>2535</v>
      </c>
      <c r="AK4" s="1">
        <f t="shared" ref="AK4:AK15" si="9">AJ4-AI4</f>
        <v>-422</v>
      </c>
      <c r="AL4" s="294">
        <v>3286</v>
      </c>
      <c r="AM4" s="1"/>
      <c r="AN4" s="1"/>
      <c r="AO4" s="1"/>
      <c r="AP4" s="1"/>
      <c r="AQ4" s="1">
        <f>D4+I4+M4+R4+Cement!Q4</f>
        <v>821.3</v>
      </c>
      <c r="AR4" s="1">
        <f>AI4+Cement!R4-Clinker!E4</f>
        <v>3143.9999999455999</v>
      </c>
      <c r="AS4" s="1">
        <v>987.54</v>
      </c>
      <c r="AT4" s="50">
        <f>AI4-Production2!N4</f>
        <v>422</v>
      </c>
      <c r="AU4" s="52">
        <f t="shared" ref="AU4:AU32" si="10">AI4</f>
        <v>2957</v>
      </c>
      <c r="AV4">
        <f t="shared" ref="AV4:AV26" si="11">E4+J4</f>
        <v>2734</v>
      </c>
      <c r="AW4">
        <f t="shared" ref="AW4:AW26" si="12">AS4-D4</f>
        <v>619.07999999999993</v>
      </c>
      <c r="AX4">
        <f t="shared" ref="AX4:AX25" si="13">I4-AY4</f>
        <v>-461.86</v>
      </c>
      <c r="AY4">
        <v>623.28</v>
      </c>
      <c r="AZ4">
        <f>(AI4-Production2!N4)/'Mines (2)'!AI4</f>
        <v>0.14271220831924247</v>
      </c>
      <c r="BA4">
        <f t="shared" ref="BA4:BA31" si="14">AZ4*100</f>
        <v>14.271220831924246</v>
      </c>
      <c r="BB4">
        <f t="shared" ref="BB4:BB21" si="15">E4+J4+AB4</f>
        <v>2734</v>
      </c>
    </row>
    <row r="5" spans="2:54" x14ac:dyDescent="0.25">
      <c r="B5" s="4">
        <v>3</v>
      </c>
      <c r="C5" s="39">
        <f t="shared" si="0"/>
        <v>13503.26318000297</v>
      </c>
      <c r="D5" s="1">
        <v>1465.02</v>
      </c>
      <c r="E5" s="269">
        <f>F5+'RAW MILL 2'!C5</f>
        <v>2540</v>
      </c>
      <c r="F5" s="1">
        <v>2352</v>
      </c>
      <c r="G5" s="9">
        <f t="shared" si="1"/>
        <v>12428.283180002971</v>
      </c>
      <c r="H5" s="39">
        <f t="shared" si="2"/>
        <v>5791.5885248460354</v>
      </c>
      <c r="I5" s="1">
        <v>1261.98</v>
      </c>
      <c r="J5" s="1">
        <v>0</v>
      </c>
      <c r="K5" s="46">
        <f>H5+I5-J5-Cement!S5</f>
        <v>7011.0685245960358</v>
      </c>
      <c r="L5" s="39">
        <f t="shared" si="3"/>
        <v>1921.1800000000003</v>
      </c>
      <c r="M5" s="1">
        <v>348.68</v>
      </c>
      <c r="N5" s="269">
        <f>O5+'RAW MILL 2'!D5</f>
        <v>75</v>
      </c>
      <c r="O5" s="1">
        <v>69</v>
      </c>
      <c r="P5" s="9">
        <f t="shared" si="4"/>
        <v>2194.86</v>
      </c>
      <c r="Q5" s="39">
        <f t="shared" si="5"/>
        <v>163.03999999999996</v>
      </c>
      <c r="R5" s="1">
        <v>0</v>
      </c>
      <c r="S5" s="269">
        <f>T5+'RAW MILL 2'!E5</f>
        <v>13</v>
      </c>
      <c r="T5" s="1">
        <v>12</v>
      </c>
      <c r="U5" s="9">
        <f>Q5+R5-S5</f>
        <v>150.03999999999996</v>
      </c>
      <c r="V5" s="27">
        <f t="shared" ref="V5:V23" si="16">Y4</f>
        <v>0</v>
      </c>
      <c r="W5" s="1">
        <v>0</v>
      </c>
      <c r="X5" s="1">
        <v>0</v>
      </c>
      <c r="Y5" s="27">
        <f t="shared" si="6"/>
        <v>0</v>
      </c>
      <c r="Z5" s="27">
        <f t="shared" ref="Z5:Z23" si="17">AC4</f>
        <v>0</v>
      </c>
      <c r="AA5" s="1">
        <v>0</v>
      </c>
      <c r="AB5" s="1">
        <v>0</v>
      </c>
      <c r="AC5" s="27">
        <f t="shared" si="7"/>
        <v>0</v>
      </c>
      <c r="AD5" s="27">
        <f t="shared" ref="AD5:AD23" si="18">AG4</f>
        <v>0</v>
      </c>
      <c r="AE5" s="1">
        <v>0</v>
      </c>
      <c r="AF5" s="1">
        <v>0</v>
      </c>
      <c r="AG5" s="27">
        <f t="shared" si="8"/>
        <v>0</v>
      </c>
      <c r="AH5" s="31">
        <f>D5+I5+M5+R5+W5+AA5+Cement!Q5+Cement!V5+AE5</f>
        <v>3075.68</v>
      </c>
      <c r="AI5" s="31">
        <f>E5+J5+N5+S5+X5+AB5+Clinker!E5+AF5</f>
        <v>2682</v>
      </c>
      <c r="AJ5" s="1">
        <f>Production2!N5</f>
        <v>2235</v>
      </c>
      <c r="AK5" s="1">
        <f t="shared" si="9"/>
        <v>-447</v>
      </c>
      <c r="AL5" s="294">
        <v>2899</v>
      </c>
      <c r="AM5" s="1"/>
      <c r="AN5" s="1"/>
      <c r="AO5" s="1"/>
      <c r="AP5" s="1"/>
      <c r="AQ5" s="1">
        <f>D5+I5+M5+R5+Cement!Q5</f>
        <v>3075.68</v>
      </c>
      <c r="AR5" s="1">
        <f>AI5+Cement!R5-Clinker!E5</f>
        <v>2670.5000002500001</v>
      </c>
      <c r="AS5" s="1">
        <v>249.34000000000003</v>
      </c>
      <c r="AT5" s="50">
        <f>AI5-Production2!N5</f>
        <v>447</v>
      </c>
      <c r="AU5" s="52">
        <f t="shared" si="10"/>
        <v>2682</v>
      </c>
      <c r="AV5">
        <f t="shared" si="11"/>
        <v>2540</v>
      </c>
      <c r="AW5">
        <f t="shared" si="12"/>
        <v>-1215.6799999999998</v>
      </c>
      <c r="AX5">
        <f t="shared" si="13"/>
        <v>819.48</v>
      </c>
      <c r="AY5">
        <v>442.49999999999994</v>
      </c>
      <c r="AZ5">
        <f>(AI5-Production2!N5)/'Mines (2)'!AI5</f>
        <v>0.16666666666666666</v>
      </c>
      <c r="BA5">
        <f t="shared" si="14"/>
        <v>16.666666666666664</v>
      </c>
      <c r="BB5">
        <f t="shared" si="15"/>
        <v>2540</v>
      </c>
    </row>
    <row r="6" spans="2:54" x14ac:dyDescent="0.25">
      <c r="B6" s="4">
        <v>4</v>
      </c>
      <c r="C6" s="39">
        <f t="shared" si="0"/>
        <v>12428.283180002971</v>
      </c>
      <c r="D6" s="1">
        <v>711.33999999999992</v>
      </c>
      <c r="E6" s="269">
        <f>F6+'RAW MILL 2'!C6</f>
        <v>1874</v>
      </c>
      <c r="F6" s="1">
        <v>1773</v>
      </c>
      <c r="G6" s="9">
        <f t="shared" si="1"/>
        <v>11265.623180002971</v>
      </c>
      <c r="H6" s="39">
        <f t="shared" si="2"/>
        <v>7011.0685245960358</v>
      </c>
      <c r="I6" s="1">
        <v>1588.22</v>
      </c>
      <c r="J6" s="1">
        <v>0</v>
      </c>
      <c r="K6" s="46">
        <f>H6+I6-J6-Cement!S6</f>
        <v>8463.2885245960351</v>
      </c>
      <c r="L6" s="39">
        <f t="shared" si="3"/>
        <v>2194.86</v>
      </c>
      <c r="M6" s="1">
        <v>70.7</v>
      </c>
      <c r="N6" s="269">
        <f>O6+'RAW MILL 2'!D6</f>
        <v>40</v>
      </c>
      <c r="O6" s="1">
        <v>38</v>
      </c>
      <c r="P6" s="9">
        <f t="shared" si="4"/>
        <v>2225.56</v>
      </c>
      <c r="Q6" s="39">
        <f t="shared" si="5"/>
        <v>150.03999999999996</v>
      </c>
      <c r="R6" s="1">
        <v>0</v>
      </c>
      <c r="S6" s="269">
        <f>T6+'RAW MILL 2'!E6</f>
        <v>20</v>
      </c>
      <c r="T6" s="1">
        <v>19</v>
      </c>
      <c r="U6" s="9">
        <f>Q6+R6-S6</f>
        <v>130.03999999999996</v>
      </c>
      <c r="V6" s="27">
        <f t="shared" si="16"/>
        <v>0</v>
      </c>
      <c r="W6" s="1">
        <v>0</v>
      </c>
      <c r="X6" s="1">
        <v>0</v>
      </c>
      <c r="Y6" s="27">
        <f t="shared" si="6"/>
        <v>0</v>
      </c>
      <c r="Z6" s="27">
        <f t="shared" si="17"/>
        <v>0</v>
      </c>
      <c r="AA6" s="1">
        <v>0</v>
      </c>
      <c r="AB6" s="1">
        <v>0</v>
      </c>
      <c r="AC6" s="27">
        <f t="shared" si="7"/>
        <v>0</v>
      </c>
      <c r="AD6" s="27">
        <f t="shared" si="18"/>
        <v>0</v>
      </c>
      <c r="AE6" s="1">
        <v>0</v>
      </c>
      <c r="AF6" s="1">
        <v>0</v>
      </c>
      <c r="AG6" s="27">
        <f t="shared" si="8"/>
        <v>0</v>
      </c>
      <c r="AH6" s="14">
        <f>D6+I6+M6+R6+W6+AA6+Cement!Q6+Cement!V6+AE6</f>
        <v>2370.2599999999998</v>
      </c>
      <c r="AI6" s="31">
        <f>E6+J6+N6+S6+X6+AB6+Clinker!E6+AF6</f>
        <v>1973</v>
      </c>
      <c r="AJ6" s="1">
        <f>Production2!N6</f>
        <v>1680</v>
      </c>
      <c r="AK6" s="1">
        <f t="shared" si="9"/>
        <v>-293</v>
      </c>
      <c r="AL6" s="294">
        <v>3290</v>
      </c>
      <c r="AM6" s="1"/>
      <c r="AN6" s="1"/>
      <c r="AO6" s="1"/>
      <c r="AP6" s="1"/>
      <c r="AQ6" s="1">
        <f>D6+I6+M6+R6+Cement!Q6</f>
        <v>2370.2599999999998</v>
      </c>
      <c r="AR6" s="1">
        <f>AI6+Cement!R6-Clinker!E6</f>
        <v>2069.9999999999995</v>
      </c>
      <c r="AS6" s="1">
        <v>1108.96</v>
      </c>
      <c r="AT6" s="50">
        <f>AI6-Production2!N6</f>
        <v>293</v>
      </c>
      <c r="AU6" s="52">
        <f t="shared" si="10"/>
        <v>1973</v>
      </c>
      <c r="AV6">
        <f t="shared" si="11"/>
        <v>1874</v>
      </c>
      <c r="AW6">
        <f t="shared" si="12"/>
        <v>397.62000000000012</v>
      </c>
      <c r="AX6">
        <f t="shared" si="13"/>
        <v>-648.54000000000019</v>
      </c>
      <c r="AY6">
        <v>2236.7600000000002</v>
      </c>
      <c r="AZ6">
        <f>(AI6-Production2!N6)/'Mines (2)'!AI6</f>
        <v>0.14850481500253421</v>
      </c>
      <c r="BA6">
        <f t="shared" si="14"/>
        <v>14.850481500253421</v>
      </c>
      <c r="BB6">
        <f t="shared" si="15"/>
        <v>1874</v>
      </c>
    </row>
    <row r="7" spans="2:54" x14ac:dyDescent="0.25">
      <c r="B7" s="4">
        <v>5</v>
      </c>
      <c r="C7" s="39">
        <f t="shared" si="0"/>
        <v>11265.623180002971</v>
      </c>
      <c r="D7" s="1">
        <v>2441.96</v>
      </c>
      <c r="E7" s="269">
        <f>F7+'RAW MILL 2'!C7</f>
        <v>1862</v>
      </c>
      <c r="F7" s="1">
        <v>1778</v>
      </c>
      <c r="G7" s="9">
        <f t="shared" si="1"/>
        <v>11845.58318000297</v>
      </c>
      <c r="H7" s="39">
        <f t="shared" si="2"/>
        <v>8463.2885245960351</v>
      </c>
      <c r="I7" s="1">
        <v>584.44000000000005</v>
      </c>
      <c r="J7" s="1">
        <v>0</v>
      </c>
      <c r="K7" s="46">
        <f>H7+I7-J7-Cement!S7</f>
        <v>8903.328524596036</v>
      </c>
      <c r="L7" s="39">
        <f t="shared" si="3"/>
        <v>2225.56</v>
      </c>
      <c r="M7" s="1">
        <v>84.9</v>
      </c>
      <c r="N7" s="269">
        <f>O7+'RAW MILL 2'!D7</f>
        <v>47</v>
      </c>
      <c r="O7" s="1">
        <v>45</v>
      </c>
      <c r="P7" s="9">
        <f t="shared" si="4"/>
        <v>2263.46</v>
      </c>
      <c r="Q7" s="39">
        <f t="shared" si="5"/>
        <v>130.03999999999996</v>
      </c>
      <c r="R7" s="1">
        <v>0</v>
      </c>
      <c r="S7" s="269">
        <f>T7+'RAW MILL 2'!E7</f>
        <v>4</v>
      </c>
      <c r="T7" s="1">
        <v>4</v>
      </c>
      <c r="U7" s="9">
        <f>Q7+R7-S7</f>
        <v>126.03999999999996</v>
      </c>
      <c r="V7" s="27">
        <f t="shared" si="16"/>
        <v>0</v>
      </c>
      <c r="W7" s="1">
        <v>0</v>
      </c>
      <c r="X7" s="1">
        <v>0</v>
      </c>
      <c r="Y7" s="27">
        <f t="shared" si="6"/>
        <v>0</v>
      </c>
      <c r="Z7" s="27">
        <f t="shared" si="17"/>
        <v>0</v>
      </c>
      <c r="AA7" s="1">
        <v>0</v>
      </c>
      <c r="AB7" s="1">
        <v>0</v>
      </c>
      <c r="AC7" s="27">
        <f t="shared" si="7"/>
        <v>0</v>
      </c>
      <c r="AD7" s="27">
        <f t="shared" si="18"/>
        <v>0</v>
      </c>
      <c r="AE7" s="1">
        <v>0</v>
      </c>
      <c r="AF7" s="1">
        <v>0</v>
      </c>
      <c r="AG7" s="27">
        <f t="shared" si="8"/>
        <v>0</v>
      </c>
      <c r="AH7" s="31">
        <f>D7+I7+M7+R7+W7+AA7+Cement!Q7+Cement!V7+AE7</f>
        <v>3111.3</v>
      </c>
      <c r="AI7" s="31">
        <f>E7+J7+N7+S7+X7+AB7+Clinker!E7+AF7</f>
        <v>1952</v>
      </c>
      <c r="AJ7" s="1">
        <f>Production2!N7</f>
        <v>1678</v>
      </c>
      <c r="AK7" s="1">
        <f t="shared" si="9"/>
        <v>-274</v>
      </c>
      <c r="AL7" s="294">
        <v>3245</v>
      </c>
      <c r="AM7" s="1"/>
      <c r="AN7" s="1"/>
      <c r="AO7" s="1"/>
      <c r="AP7" s="1"/>
      <c r="AQ7" s="1">
        <f>D7+I7+R7+Cement!Q7</f>
        <v>3026.4</v>
      </c>
      <c r="AR7" s="1">
        <f>AI7+Cement!R7-Clinker!E7</f>
        <v>2057.3999999999996</v>
      </c>
      <c r="AS7" s="1">
        <v>0</v>
      </c>
      <c r="AT7" s="50">
        <f>AI7-Production2!N7</f>
        <v>274</v>
      </c>
      <c r="AU7" s="52">
        <f t="shared" si="10"/>
        <v>1952</v>
      </c>
      <c r="AV7">
        <f t="shared" si="11"/>
        <v>1862</v>
      </c>
      <c r="AW7">
        <f t="shared" si="12"/>
        <v>-2441.96</v>
      </c>
      <c r="AX7">
        <f t="shared" si="13"/>
        <v>584.44000000000005</v>
      </c>
      <c r="AY7">
        <v>0</v>
      </c>
      <c r="AZ7">
        <f>(AI7-Production2!N7)/'Mines (2)'!AI7</f>
        <v>0.1403688524590164</v>
      </c>
      <c r="BA7">
        <f t="shared" si="14"/>
        <v>14.03688524590164</v>
      </c>
      <c r="BB7">
        <f t="shared" si="15"/>
        <v>1862</v>
      </c>
    </row>
    <row r="8" spans="2:54" x14ac:dyDescent="0.25">
      <c r="B8" s="4">
        <v>6</v>
      </c>
      <c r="C8" s="39">
        <f t="shared" si="0"/>
        <v>11845.58318000297</v>
      </c>
      <c r="D8" s="1">
        <v>1954.7400000000007</v>
      </c>
      <c r="E8" s="269">
        <f>F8+'RAW MILL 2'!C8</f>
        <v>2241</v>
      </c>
      <c r="F8" s="1">
        <v>2241</v>
      </c>
      <c r="G8" s="9">
        <f t="shared" si="1"/>
        <v>11559.323180002972</v>
      </c>
      <c r="H8" s="39">
        <f t="shared" si="2"/>
        <v>8903.328524596036</v>
      </c>
      <c r="I8" s="1">
        <v>82.44</v>
      </c>
      <c r="J8" s="1">
        <v>0</v>
      </c>
      <c r="K8" s="46">
        <f>H8+I8-J8-Cement!S8</f>
        <v>8736.4385245960366</v>
      </c>
      <c r="L8" s="39">
        <f t="shared" si="3"/>
        <v>2263.46</v>
      </c>
      <c r="M8" s="1">
        <v>0</v>
      </c>
      <c r="N8" s="269">
        <f>O8+'RAW MILL 2'!D8</f>
        <v>60</v>
      </c>
      <c r="O8" s="1">
        <v>60</v>
      </c>
      <c r="P8" s="9">
        <f t="shared" si="4"/>
        <v>2203.46</v>
      </c>
      <c r="Q8" s="39">
        <f t="shared" si="5"/>
        <v>126.03999999999996</v>
      </c>
      <c r="R8" s="1">
        <v>0</v>
      </c>
      <c r="S8" s="269">
        <f>T8+'RAW MILL 2'!E8</f>
        <v>0</v>
      </c>
      <c r="T8" s="1">
        <v>0</v>
      </c>
      <c r="U8" s="9">
        <f t="shared" ref="U8:U33" si="19">Q8+R8-S8</f>
        <v>126.03999999999996</v>
      </c>
      <c r="V8" s="27">
        <f t="shared" si="16"/>
        <v>0</v>
      </c>
      <c r="W8" s="1">
        <v>0</v>
      </c>
      <c r="X8" s="1">
        <v>0</v>
      </c>
      <c r="Y8" s="27">
        <f t="shared" si="6"/>
        <v>0</v>
      </c>
      <c r="Z8" s="27">
        <f t="shared" si="17"/>
        <v>0</v>
      </c>
      <c r="AA8" s="1">
        <v>0</v>
      </c>
      <c r="AB8" s="1">
        <v>0</v>
      </c>
      <c r="AC8" s="27">
        <f t="shared" si="7"/>
        <v>0</v>
      </c>
      <c r="AD8" s="27">
        <f t="shared" si="18"/>
        <v>0</v>
      </c>
      <c r="AE8" s="1">
        <v>0</v>
      </c>
      <c r="AF8" s="1">
        <v>0</v>
      </c>
      <c r="AG8" s="27">
        <f t="shared" si="8"/>
        <v>0</v>
      </c>
      <c r="AH8" s="15">
        <f>D8+I8+M8+R8+W8+AA8+Cement!Q8+Cement!V8+AE8</f>
        <v>2037.1800000000007</v>
      </c>
      <c r="AI8" s="31">
        <f>E8+J8+N8+S8+X8+AB8+Clinker!E8+AF8</f>
        <v>2360</v>
      </c>
      <c r="AJ8" s="1">
        <f>Production2!N8</f>
        <v>2125.77</v>
      </c>
      <c r="AK8" s="1">
        <f t="shared" si="9"/>
        <v>-234.23000000000002</v>
      </c>
      <c r="AL8" s="294">
        <v>3139</v>
      </c>
      <c r="AM8" s="1"/>
      <c r="AN8" s="1"/>
      <c r="AO8" s="1"/>
      <c r="AP8" s="1"/>
      <c r="AQ8" s="1">
        <f>D8+I8+M8+R8+Cement!Q8</f>
        <v>2037.1800000000007</v>
      </c>
      <c r="AR8" s="1">
        <f>AI8+Cement!R8-Clinker!E8</f>
        <v>2550.329999999999</v>
      </c>
      <c r="AS8" s="1">
        <v>1300</v>
      </c>
      <c r="AT8" s="50">
        <f>AI8-Production2!N8</f>
        <v>234.23000000000002</v>
      </c>
      <c r="AU8" s="52">
        <f t="shared" si="10"/>
        <v>2360</v>
      </c>
      <c r="AV8">
        <f t="shared" si="11"/>
        <v>2241</v>
      </c>
      <c r="AW8">
        <f t="shared" si="12"/>
        <v>-654.74000000000069</v>
      </c>
      <c r="AX8">
        <f t="shared" si="13"/>
        <v>-757.56</v>
      </c>
      <c r="AY8">
        <v>840</v>
      </c>
      <c r="AZ8">
        <f>(AI8-Production2!N8)/'Mines (2)'!AI8</f>
        <v>9.9250000000000005E-2</v>
      </c>
      <c r="BA8">
        <f t="shared" si="14"/>
        <v>9.9250000000000007</v>
      </c>
      <c r="BB8">
        <f t="shared" si="15"/>
        <v>2241</v>
      </c>
    </row>
    <row r="9" spans="2:54" x14ac:dyDescent="0.25">
      <c r="B9" s="4">
        <v>7</v>
      </c>
      <c r="C9" s="39">
        <f t="shared" si="0"/>
        <v>11559.323180002972</v>
      </c>
      <c r="D9" s="1">
        <v>2109.64</v>
      </c>
      <c r="E9" s="269">
        <f>F9+'RAW MILL 2'!C9</f>
        <v>717</v>
      </c>
      <c r="F9" s="1">
        <v>717</v>
      </c>
      <c r="G9" s="9">
        <f>C9+D9-E9</f>
        <v>12951.963180002971</v>
      </c>
      <c r="H9" s="39">
        <f t="shared" si="2"/>
        <v>8736.4385245960366</v>
      </c>
      <c r="I9" s="1">
        <v>406.4</v>
      </c>
      <c r="J9" s="1">
        <v>300</v>
      </c>
      <c r="K9" s="46">
        <f>H9+I9-J9-Cement!S9</f>
        <v>8644.0507468182586</v>
      </c>
      <c r="L9" s="39">
        <f t="shared" si="3"/>
        <v>2203.46</v>
      </c>
      <c r="M9" s="1">
        <v>0</v>
      </c>
      <c r="N9" s="269">
        <f>O9+'RAW MILL 2'!D9</f>
        <v>24</v>
      </c>
      <c r="O9" s="1">
        <v>24</v>
      </c>
      <c r="P9" s="9">
        <f t="shared" si="4"/>
        <v>2179.46</v>
      </c>
      <c r="Q9" s="39">
        <f t="shared" si="5"/>
        <v>126.03999999999996</v>
      </c>
      <c r="R9" s="1">
        <v>0</v>
      </c>
      <c r="S9" s="269">
        <f>T9+'RAW MILL 2'!E9</f>
        <v>25</v>
      </c>
      <c r="T9" s="1">
        <v>25</v>
      </c>
      <c r="U9" s="9">
        <f t="shared" si="19"/>
        <v>101.03999999999996</v>
      </c>
      <c r="V9" s="27">
        <f t="shared" si="16"/>
        <v>0</v>
      </c>
      <c r="W9" s="1">
        <v>0</v>
      </c>
      <c r="X9" s="1">
        <v>0</v>
      </c>
      <c r="Y9" s="27">
        <f t="shared" si="6"/>
        <v>0</v>
      </c>
      <c r="Z9" s="27">
        <f t="shared" si="17"/>
        <v>0</v>
      </c>
      <c r="AA9" s="1">
        <v>0</v>
      </c>
      <c r="AB9" s="1">
        <v>0</v>
      </c>
      <c r="AC9" s="27">
        <f t="shared" si="7"/>
        <v>0</v>
      </c>
      <c r="AD9" s="27">
        <f t="shared" si="18"/>
        <v>0</v>
      </c>
      <c r="AE9" s="1">
        <v>0</v>
      </c>
      <c r="AF9" s="1">
        <v>0</v>
      </c>
      <c r="AG9" s="27">
        <f t="shared" si="8"/>
        <v>0</v>
      </c>
      <c r="AH9" s="14">
        <f>D9+I9+M9+R9+W9+AA9+Cement!Q9+Cement!V9+AE9</f>
        <v>2516.04</v>
      </c>
      <c r="AI9" s="31">
        <f>E9+J9+N9+S9+X9+AB9+Clinker!E9+AF9</f>
        <v>1088</v>
      </c>
      <c r="AJ9" s="1">
        <f>Production2!N9</f>
        <v>980.3</v>
      </c>
      <c r="AK9" s="1">
        <f t="shared" si="9"/>
        <v>-107.70000000000005</v>
      </c>
      <c r="AL9" s="294">
        <v>1732</v>
      </c>
      <c r="AM9" s="1"/>
      <c r="AN9" s="1"/>
      <c r="AO9" s="1"/>
      <c r="AP9" s="1"/>
      <c r="AQ9" s="1">
        <f>D9+I9+M9+R9+Cement!Q9</f>
        <v>2516.04</v>
      </c>
      <c r="AR9" s="1">
        <f>AI9+Cement!R9-Clinker!E9</f>
        <v>1244.8999999999992</v>
      </c>
      <c r="AS9" s="1">
        <v>480</v>
      </c>
      <c r="AT9" s="50">
        <f>AI9-Production2!N9</f>
        <v>107.70000000000005</v>
      </c>
      <c r="AU9" s="52">
        <f t="shared" si="10"/>
        <v>1088</v>
      </c>
      <c r="AV9">
        <f t="shared" si="11"/>
        <v>1017</v>
      </c>
      <c r="AW9">
        <f t="shared" si="12"/>
        <v>-1629.6399999999999</v>
      </c>
      <c r="AX9">
        <f t="shared" si="13"/>
        <v>-1773.6</v>
      </c>
      <c r="AY9">
        <v>2180</v>
      </c>
      <c r="AZ9">
        <f>(AI9-Production2!N9)/'Mines (2)'!AI9</f>
        <v>9.8988970588235331E-2</v>
      </c>
      <c r="BA9">
        <f t="shared" si="14"/>
        <v>9.8988970588235325</v>
      </c>
      <c r="BB9">
        <f t="shared" si="15"/>
        <v>1017</v>
      </c>
    </row>
    <row r="10" spans="2:54" x14ac:dyDescent="0.25">
      <c r="B10" s="4">
        <v>8</v>
      </c>
      <c r="C10" s="39">
        <f t="shared" si="0"/>
        <v>12951.963180002971</v>
      </c>
      <c r="D10" s="1">
        <v>1836.44</v>
      </c>
      <c r="E10" s="269">
        <f>F10+'RAW MILL 2'!C10</f>
        <v>1014</v>
      </c>
      <c r="F10" s="1">
        <v>1014</v>
      </c>
      <c r="G10" s="9">
        <f t="shared" si="1"/>
        <v>13774.403180002972</v>
      </c>
      <c r="H10" s="39">
        <f t="shared" si="2"/>
        <v>8644.0507468182586</v>
      </c>
      <c r="I10" s="1">
        <v>1422.66</v>
      </c>
      <c r="J10" s="1">
        <v>1000</v>
      </c>
      <c r="K10" s="46">
        <f>H10+I10-J10-Cement!S10</f>
        <v>8763.7207468182587</v>
      </c>
      <c r="L10" s="39">
        <f t="shared" si="3"/>
        <v>2179.46</v>
      </c>
      <c r="M10" s="1">
        <v>177.22</v>
      </c>
      <c r="N10" s="269">
        <f>O10+'RAW MILL 2'!D10</f>
        <v>47</v>
      </c>
      <c r="O10" s="1">
        <v>47</v>
      </c>
      <c r="P10" s="9">
        <f t="shared" si="4"/>
        <v>2309.6799999999998</v>
      </c>
      <c r="Q10" s="39">
        <f t="shared" si="5"/>
        <v>101.03999999999996</v>
      </c>
      <c r="R10" s="1">
        <v>0</v>
      </c>
      <c r="S10" s="269">
        <f>T10+'RAW MILL 2'!E10</f>
        <v>43</v>
      </c>
      <c r="T10" s="1">
        <v>43</v>
      </c>
      <c r="U10" s="9">
        <f t="shared" si="19"/>
        <v>58.039999999999964</v>
      </c>
      <c r="V10" s="27">
        <f t="shared" si="16"/>
        <v>0</v>
      </c>
      <c r="W10" s="1">
        <v>0</v>
      </c>
      <c r="X10" s="1">
        <v>0</v>
      </c>
      <c r="Y10" s="27">
        <f t="shared" si="6"/>
        <v>0</v>
      </c>
      <c r="Z10" s="27">
        <f t="shared" si="17"/>
        <v>0</v>
      </c>
      <c r="AA10" s="1">
        <v>0</v>
      </c>
      <c r="AB10" s="1">
        <v>0</v>
      </c>
      <c r="AC10" s="27">
        <f t="shared" si="7"/>
        <v>0</v>
      </c>
      <c r="AD10" s="27">
        <f t="shared" si="18"/>
        <v>0</v>
      </c>
      <c r="AE10" s="1">
        <v>0</v>
      </c>
      <c r="AF10" s="1">
        <v>0</v>
      </c>
      <c r="AG10" s="27">
        <f t="shared" si="8"/>
        <v>0</v>
      </c>
      <c r="AH10" s="31">
        <f>D10+I10+M10+R10+W10+AA10+Cement!Q10+Cement!V10+AE10</f>
        <v>3436.32</v>
      </c>
      <c r="AI10" s="31">
        <f>E10+J10+N10+S10+X10+AB10+Clinker!E10+AF10</f>
        <v>2154</v>
      </c>
      <c r="AJ10" s="1">
        <f>Production2!N10</f>
        <v>1940.1</v>
      </c>
      <c r="AK10" s="1">
        <f t="shared" si="9"/>
        <v>-213.90000000000009</v>
      </c>
      <c r="AL10" s="294">
        <v>1959</v>
      </c>
      <c r="AM10" s="1"/>
      <c r="AN10" s="1"/>
      <c r="AO10" s="1"/>
      <c r="AP10" s="1"/>
      <c r="AQ10" s="1">
        <f>D10+I10+M10+R10+Cement!Q10</f>
        <v>3436.32</v>
      </c>
      <c r="AR10" s="1">
        <f>AI10+Cement!R10-Clinker!E10</f>
        <v>2376.6909999999998</v>
      </c>
      <c r="AS10" s="1">
        <v>1612.0800000000002</v>
      </c>
      <c r="AT10" s="50">
        <f>AI10-Production2!N10</f>
        <v>213.90000000000009</v>
      </c>
      <c r="AU10" s="52">
        <f t="shared" si="10"/>
        <v>2154</v>
      </c>
      <c r="AV10">
        <f t="shared" si="11"/>
        <v>2014</v>
      </c>
      <c r="AW10">
        <f t="shared" si="12"/>
        <v>-224.3599999999999</v>
      </c>
      <c r="AX10">
        <f t="shared" si="13"/>
        <v>782.66000000000008</v>
      </c>
      <c r="AY10">
        <v>640</v>
      </c>
      <c r="AZ10">
        <f>(AI10-Production2!N10)/'Mines (2)'!AI10</f>
        <v>9.9303621169916478E-2</v>
      </c>
      <c r="BA10">
        <f t="shared" si="14"/>
        <v>9.9303621169916472</v>
      </c>
      <c r="BB10">
        <f t="shared" si="15"/>
        <v>2014</v>
      </c>
    </row>
    <row r="11" spans="2:54" x14ac:dyDescent="0.25">
      <c r="B11" s="4">
        <v>9</v>
      </c>
      <c r="C11" s="39">
        <f t="shared" si="0"/>
        <v>13774.403180002972</v>
      </c>
      <c r="D11" s="1">
        <v>922.71999999999991</v>
      </c>
      <c r="E11" s="269">
        <f>F11+'RAW MILL 2'!C11</f>
        <v>1697</v>
      </c>
      <c r="F11" s="1">
        <v>1697</v>
      </c>
      <c r="G11" s="9">
        <f t="shared" si="1"/>
        <v>13000.123180002971</v>
      </c>
      <c r="H11" s="39">
        <f t="shared" si="2"/>
        <v>8763.7207468182587</v>
      </c>
      <c r="I11" s="1">
        <v>1864.8799999999999</v>
      </c>
      <c r="J11" s="1">
        <v>0</v>
      </c>
      <c r="K11" s="46">
        <f>H11+I11-J11-Cement!S11</f>
        <v>10101.760746995258</v>
      </c>
      <c r="L11" s="39">
        <f t="shared" si="3"/>
        <v>2309.6799999999998</v>
      </c>
      <c r="M11" s="1">
        <v>73.240000000000009</v>
      </c>
      <c r="N11" s="269">
        <f>O11+'RAW MILL 2'!D11</f>
        <v>40</v>
      </c>
      <c r="O11" s="1">
        <v>40</v>
      </c>
      <c r="P11" s="9">
        <f t="shared" si="4"/>
        <v>2342.92</v>
      </c>
      <c r="Q11" s="39">
        <f t="shared" si="5"/>
        <v>58.039999999999964</v>
      </c>
      <c r="R11" s="1">
        <v>0</v>
      </c>
      <c r="S11" s="269">
        <f>T11+'RAW MILL 2'!E11</f>
        <v>36</v>
      </c>
      <c r="T11" s="1">
        <v>36</v>
      </c>
      <c r="U11" s="9">
        <f t="shared" si="19"/>
        <v>22.039999999999964</v>
      </c>
      <c r="V11" s="27">
        <f t="shared" si="16"/>
        <v>0</v>
      </c>
      <c r="W11" s="1">
        <v>0</v>
      </c>
      <c r="X11" s="1">
        <v>0</v>
      </c>
      <c r="Y11" s="27">
        <f t="shared" si="6"/>
        <v>0</v>
      </c>
      <c r="Z11" s="27">
        <f t="shared" si="17"/>
        <v>0</v>
      </c>
      <c r="AA11" s="1">
        <v>0</v>
      </c>
      <c r="AB11" s="1">
        <v>0</v>
      </c>
      <c r="AC11" s="27">
        <f t="shared" si="7"/>
        <v>0</v>
      </c>
      <c r="AD11" s="27">
        <f t="shared" si="18"/>
        <v>0</v>
      </c>
      <c r="AE11" s="1">
        <v>0</v>
      </c>
      <c r="AF11" s="1">
        <v>0</v>
      </c>
      <c r="AG11" s="27">
        <f t="shared" si="8"/>
        <v>0</v>
      </c>
      <c r="AH11" s="31">
        <f>D11+I11+M11+R11+W11+AA11+Cement!Q11+Cement!V11+AE11</f>
        <v>2860.84</v>
      </c>
      <c r="AI11" s="31">
        <f>E11+J11+N11+S11+X11+AB11+Clinker!E11+AF11</f>
        <v>1815</v>
      </c>
      <c r="AJ11" s="1">
        <f>Production2!N11</f>
        <v>1634.76</v>
      </c>
      <c r="AK11" s="1">
        <f t="shared" si="9"/>
        <v>-180.24</v>
      </c>
      <c r="AL11" s="294">
        <v>3119</v>
      </c>
      <c r="AM11" s="1"/>
      <c r="AN11" s="1"/>
      <c r="AO11" s="1"/>
      <c r="AP11" s="1"/>
      <c r="AQ11" s="1">
        <f>D11+I11+M11+R11+Cement!Q11</f>
        <v>2860.84</v>
      </c>
      <c r="AR11" s="1">
        <f>AI11+Cement!R11-Clinker!E11</f>
        <v>2247.1559998407001</v>
      </c>
      <c r="AS11" s="1">
        <v>2277.2599999999989</v>
      </c>
      <c r="AT11" s="50">
        <f>AI11-Production2!N11</f>
        <v>180.24</v>
      </c>
      <c r="AU11" s="52">
        <f t="shared" si="10"/>
        <v>1815</v>
      </c>
      <c r="AV11">
        <f t="shared" si="11"/>
        <v>1697</v>
      </c>
      <c r="AW11">
        <f t="shared" si="12"/>
        <v>1354.5399999999991</v>
      </c>
      <c r="AX11">
        <f t="shared" si="13"/>
        <v>1247.0999999999999</v>
      </c>
      <c r="AY11">
        <v>617.77999999999986</v>
      </c>
      <c r="AZ11">
        <f>(AI11-Production2!N11)/'Mines (2)'!AI11</f>
        <v>9.9305785123966941E-2</v>
      </c>
      <c r="BA11">
        <f t="shared" si="14"/>
        <v>9.9305785123966945</v>
      </c>
      <c r="BB11">
        <f t="shared" si="15"/>
        <v>1697</v>
      </c>
    </row>
    <row r="12" spans="2:54" x14ac:dyDescent="0.25">
      <c r="B12" s="4">
        <v>10</v>
      </c>
      <c r="C12" s="39">
        <f t="shared" si="0"/>
        <v>13000.123180002971</v>
      </c>
      <c r="D12" s="1">
        <v>1666.4399999999996</v>
      </c>
      <c r="E12" s="269">
        <f>F12+'RAW MILL 2'!C12</f>
        <v>1861</v>
      </c>
      <c r="F12" s="1">
        <v>1861</v>
      </c>
      <c r="G12" s="9">
        <f t="shared" si="1"/>
        <v>12805.56318000297</v>
      </c>
      <c r="H12" s="39">
        <f t="shared" si="2"/>
        <v>10101.760746995258</v>
      </c>
      <c r="I12" s="1">
        <v>1090.4799999999998</v>
      </c>
      <c r="J12" s="1">
        <v>0</v>
      </c>
      <c r="K12" s="46">
        <f>H12+I12-J12-Cement!S12</f>
        <v>10855.040746995259</v>
      </c>
      <c r="L12" s="39">
        <f t="shared" si="3"/>
        <v>2342.92</v>
      </c>
      <c r="M12" s="1">
        <v>241.34</v>
      </c>
      <c r="N12" s="269">
        <f>O12+'RAW MILL 2'!D12</f>
        <v>73</v>
      </c>
      <c r="O12" s="1">
        <v>73</v>
      </c>
      <c r="P12" s="9">
        <f t="shared" si="4"/>
        <v>2511.2600000000002</v>
      </c>
      <c r="Q12" s="39">
        <f t="shared" si="5"/>
        <v>22.039999999999964</v>
      </c>
      <c r="R12" s="1">
        <v>0</v>
      </c>
      <c r="S12" s="269">
        <f>T12+'RAW MILL 2'!E12</f>
        <v>3</v>
      </c>
      <c r="T12" s="1">
        <v>3</v>
      </c>
      <c r="U12" s="9">
        <f t="shared" si="19"/>
        <v>19.039999999999964</v>
      </c>
      <c r="V12" s="27">
        <f t="shared" si="16"/>
        <v>0</v>
      </c>
      <c r="W12" s="1">
        <v>0</v>
      </c>
      <c r="X12" s="1">
        <v>0</v>
      </c>
      <c r="Y12" s="27">
        <f t="shared" si="6"/>
        <v>0</v>
      </c>
      <c r="Z12" s="27">
        <f t="shared" si="17"/>
        <v>0</v>
      </c>
      <c r="AA12" s="1">
        <v>0</v>
      </c>
      <c r="AB12" s="1">
        <v>0</v>
      </c>
      <c r="AC12" s="27">
        <f t="shared" si="7"/>
        <v>0</v>
      </c>
      <c r="AD12" s="27">
        <f t="shared" si="18"/>
        <v>0</v>
      </c>
      <c r="AE12" s="1">
        <v>0</v>
      </c>
      <c r="AF12" s="1">
        <v>0</v>
      </c>
      <c r="AG12" s="27">
        <f t="shared" si="8"/>
        <v>0</v>
      </c>
      <c r="AH12" s="31">
        <f>D12+I12+M12+R12+W12+AA12+Cement!Q12+Cement!V12+AE12</f>
        <v>2998.2599999999993</v>
      </c>
      <c r="AI12" s="15">
        <f>E12+J12+N12+S12+X12+AB12+Clinker!E12+AF12</f>
        <v>1987</v>
      </c>
      <c r="AJ12" s="1">
        <f>Production2!N12</f>
        <v>1789.8</v>
      </c>
      <c r="AK12" s="1">
        <f t="shared" si="9"/>
        <v>-197.20000000000005</v>
      </c>
      <c r="AL12" s="294">
        <v>3017</v>
      </c>
      <c r="AM12" s="1"/>
      <c r="AN12" s="1"/>
      <c r="AO12" s="1"/>
      <c r="AP12" s="1"/>
      <c r="AQ12" s="1">
        <f>D12+I12+M12+R12+Cement!Q12</f>
        <v>2998.2599999999993</v>
      </c>
      <c r="AR12" s="1">
        <f>AI12+Cement!R12-Clinker!E12</f>
        <v>2240.4799999999987</v>
      </c>
      <c r="AS12" s="1">
        <v>400.6400000000001</v>
      </c>
      <c r="AT12" s="50">
        <f>AI12-Production2!N12</f>
        <v>197.20000000000005</v>
      </c>
      <c r="AU12" s="52">
        <f t="shared" si="10"/>
        <v>1987</v>
      </c>
      <c r="AV12">
        <f t="shared" si="11"/>
        <v>1861</v>
      </c>
      <c r="AW12">
        <f t="shared" si="12"/>
        <v>-1265.7999999999995</v>
      </c>
      <c r="AX12">
        <f t="shared" si="13"/>
        <v>-52.100000000000364</v>
      </c>
      <c r="AY12">
        <v>1142.5800000000002</v>
      </c>
      <c r="AZ12">
        <f>(AI12-Production2!N12)/'Mines (2)'!AI12</f>
        <v>9.9245093105183715E-2</v>
      </c>
      <c r="BA12">
        <f t="shared" si="14"/>
        <v>9.9245093105183724</v>
      </c>
      <c r="BB12">
        <f t="shared" si="15"/>
        <v>1861</v>
      </c>
    </row>
    <row r="13" spans="2:54" ht="17.25" customHeight="1" x14ac:dyDescent="0.25">
      <c r="B13" s="4">
        <v>11</v>
      </c>
      <c r="C13" s="39">
        <f t="shared" si="0"/>
        <v>12805.56318000297</v>
      </c>
      <c r="D13" s="1">
        <v>1171.6400000000003</v>
      </c>
      <c r="E13" s="269">
        <f>F13+'RAW MILL 2'!C13</f>
        <v>1875</v>
      </c>
      <c r="F13" s="1">
        <v>1875</v>
      </c>
      <c r="G13" s="9">
        <f t="shared" si="1"/>
        <v>12102.203180002969</v>
      </c>
      <c r="H13" s="39">
        <f t="shared" si="2"/>
        <v>10855.040746995259</v>
      </c>
      <c r="I13" s="1">
        <v>545.84</v>
      </c>
      <c r="J13" s="1">
        <v>0</v>
      </c>
      <c r="K13" s="46">
        <f>H13+I13-J13-Cement!S13</f>
        <v>11064.191858106371</v>
      </c>
      <c r="L13" s="39">
        <f t="shared" si="3"/>
        <v>2511.2600000000002</v>
      </c>
      <c r="M13" s="1">
        <v>60.3</v>
      </c>
      <c r="N13" s="269">
        <f>O13+'RAW MILL 2'!D13</f>
        <v>83</v>
      </c>
      <c r="O13" s="1">
        <v>83</v>
      </c>
      <c r="P13" s="9">
        <f t="shared" si="4"/>
        <v>2488.5600000000004</v>
      </c>
      <c r="Q13" s="39">
        <f t="shared" si="5"/>
        <v>19.039999999999964</v>
      </c>
      <c r="R13" s="1">
        <v>0</v>
      </c>
      <c r="S13" s="269">
        <f>T13+'RAW MILL 2'!E13</f>
        <v>4</v>
      </c>
      <c r="T13" s="1">
        <v>4</v>
      </c>
      <c r="U13" s="9">
        <f t="shared" si="19"/>
        <v>15.039999999999964</v>
      </c>
      <c r="V13" s="27">
        <f t="shared" si="16"/>
        <v>0</v>
      </c>
      <c r="W13" s="1">
        <v>0</v>
      </c>
      <c r="X13" s="1">
        <v>0</v>
      </c>
      <c r="Y13" s="27">
        <f t="shared" si="6"/>
        <v>0</v>
      </c>
      <c r="Z13" s="27">
        <f t="shared" si="17"/>
        <v>0</v>
      </c>
      <c r="AA13" s="1">
        <v>0</v>
      </c>
      <c r="AB13" s="1">
        <v>0</v>
      </c>
      <c r="AC13" s="27">
        <f t="shared" si="7"/>
        <v>0</v>
      </c>
      <c r="AD13" s="27">
        <f t="shared" si="18"/>
        <v>0</v>
      </c>
      <c r="AE13" s="1">
        <v>0</v>
      </c>
      <c r="AF13" s="1">
        <v>0</v>
      </c>
      <c r="AG13" s="27">
        <f t="shared" si="8"/>
        <v>0</v>
      </c>
      <c r="AH13" s="31">
        <f>D13+I13+M13+R13+W13+AA13+Cement!Q13+Cement!V13+AE13</f>
        <v>1777.7800000000004</v>
      </c>
      <c r="AI13" s="15">
        <f>E13+J13+N13+S13+X13+AB13+Clinker!E13+AF13</f>
        <v>2010</v>
      </c>
      <c r="AJ13" s="1">
        <f>Production2!N13</f>
        <v>1810.44</v>
      </c>
      <c r="AK13" s="1">
        <f t="shared" si="9"/>
        <v>-199.55999999999995</v>
      </c>
      <c r="AL13" s="294">
        <v>3256</v>
      </c>
      <c r="AM13" s="1"/>
      <c r="AN13" s="1"/>
      <c r="AO13" s="1"/>
      <c r="AP13" s="1"/>
      <c r="AQ13" s="1">
        <f>D13+I13+M13+R13+Cement!Q13</f>
        <v>1777.7800000000004</v>
      </c>
      <c r="AR13" s="1">
        <f>AI13+Cement!R13-Clinker!E13</f>
        <v>2265.0199999999991</v>
      </c>
      <c r="AS13" s="1">
        <v>1843.24</v>
      </c>
      <c r="AT13" s="50">
        <f>AI13-Production2!N13</f>
        <v>199.55999999999995</v>
      </c>
      <c r="AU13" s="52">
        <f t="shared" si="10"/>
        <v>2010</v>
      </c>
      <c r="AV13">
        <f t="shared" si="11"/>
        <v>1875</v>
      </c>
      <c r="AW13">
        <f t="shared" si="12"/>
        <v>671.59999999999968</v>
      </c>
      <c r="AX13">
        <f t="shared" si="13"/>
        <v>-547.64000000000021</v>
      </c>
      <c r="AY13">
        <v>1093.4800000000002</v>
      </c>
      <c r="AZ13">
        <f>(AI13-Production2!N13)/'Mines (2)'!AI13</f>
        <v>9.9283582089552208E-2</v>
      </c>
      <c r="BA13">
        <f t="shared" si="14"/>
        <v>9.9283582089552205</v>
      </c>
      <c r="BB13">
        <f t="shared" si="15"/>
        <v>1875</v>
      </c>
    </row>
    <row r="14" spans="2:54" x14ac:dyDescent="0.25">
      <c r="B14" s="4">
        <v>12</v>
      </c>
      <c r="C14" s="39">
        <f t="shared" si="0"/>
        <v>12102.203180002969</v>
      </c>
      <c r="D14" s="1">
        <v>2037.24</v>
      </c>
      <c r="E14" s="269">
        <f>F14+'RAW MILL 2'!C14</f>
        <v>1841</v>
      </c>
      <c r="F14" s="1">
        <v>1841</v>
      </c>
      <c r="G14" s="9">
        <f t="shared" si="1"/>
        <v>12298.443180002969</v>
      </c>
      <c r="H14" s="39">
        <f t="shared" si="2"/>
        <v>11064.191858106371</v>
      </c>
      <c r="I14" s="1">
        <v>780.1</v>
      </c>
      <c r="J14" s="1">
        <v>0</v>
      </c>
      <c r="K14" s="46">
        <f>H14+I14-J14-Cement!S14</f>
        <v>11518.514080328594</v>
      </c>
      <c r="L14" s="39">
        <f t="shared" si="3"/>
        <v>2488.5600000000004</v>
      </c>
      <c r="M14" s="1">
        <v>83</v>
      </c>
      <c r="N14" s="269">
        <f>O14+'RAW MILL 2'!D14</f>
        <v>68</v>
      </c>
      <c r="O14" s="1">
        <v>68</v>
      </c>
      <c r="P14" s="9">
        <f t="shared" si="4"/>
        <v>2503.5600000000004</v>
      </c>
      <c r="Q14" s="39">
        <f t="shared" si="5"/>
        <v>15.039999999999964</v>
      </c>
      <c r="R14" s="1">
        <v>0</v>
      </c>
      <c r="S14" s="269">
        <f>T14+'RAW MILL 2'!E14</f>
        <v>14</v>
      </c>
      <c r="T14" s="1">
        <v>14</v>
      </c>
      <c r="U14" s="9">
        <f t="shared" si="19"/>
        <v>1.0399999999999636</v>
      </c>
      <c r="V14" s="27">
        <f t="shared" si="16"/>
        <v>0</v>
      </c>
      <c r="W14" s="1">
        <v>0</v>
      </c>
      <c r="X14" s="1">
        <v>0</v>
      </c>
      <c r="Y14" s="27">
        <f t="shared" si="6"/>
        <v>0</v>
      </c>
      <c r="Z14" s="27">
        <f t="shared" si="17"/>
        <v>0</v>
      </c>
      <c r="AA14" s="1">
        <v>0</v>
      </c>
      <c r="AB14" s="1">
        <v>0</v>
      </c>
      <c r="AC14" s="27">
        <f t="shared" si="7"/>
        <v>0</v>
      </c>
      <c r="AD14" s="27">
        <f t="shared" si="18"/>
        <v>0</v>
      </c>
      <c r="AE14" s="1">
        <v>0</v>
      </c>
      <c r="AF14" s="1">
        <v>0</v>
      </c>
      <c r="AG14" s="27">
        <f t="shared" si="8"/>
        <v>0</v>
      </c>
      <c r="AH14" s="31">
        <f>D14+I14+M14+R14+W14+AA14+Cement!Q14+Cement!V14+AE14</f>
        <v>2900.34</v>
      </c>
      <c r="AI14" s="15">
        <f>E14+J14+N14+S14+X14+AB14+Clinker!E14+AF14</f>
        <v>1976</v>
      </c>
      <c r="AJ14" s="1">
        <f>Production2!N14</f>
        <v>1779.99</v>
      </c>
      <c r="AK14" s="1">
        <f t="shared" si="9"/>
        <v>-196.01</v>
      </c>
      <c r="AL14" s="294">
        <v>3209</v>
      </c>
      <c r="AM14" s="1"/>
      <c r="AN14" s="1"/>
      <c r="AO14" s="1"/>
      <c r="AP14" s="1"/>
      <c r="AQ14" s="1">
        <f>D14+I14+M14+R14+Cement!Q14</f>
        <v>2900.34</v>
      </c>
      <c r="AR14" s="1">
        <f>AI14+Cement!R14-Clinker!E14</f>
        <v>2216.1999999999998</v>
      </c>
      <c r="AS14" s="1">
        <v>665.75999999999988</v>
      </c>
      <c r="AT14" s="50">
        <f>AI14-Production2!N14</f>
        <v>196.01</v>
      </c>
      <c r="AU14" s="52">
        <f t="shared" si="10"/>
        <v>1976</v>
      </c>
      <c r="AV14">
        <f t="shared" si="11"/>
        <v>1841</v>
      </c>
      <c r="AW14">
        <f t="shared" si="12"/>
        <v>-1371.48</v>
      </c>
      <c r="AX14">
        <f t="shared" si="13"/>
        <v>-405.32000000000028</v>
      </c>
      <c r="AY14">
        <v>1185.4200000000003</v>
      </c>
      <c r="AZ14">
        <f>(AI14-Production2!N14)/'Mines (2)'!AI14</f>
        <v>9.919534412955465E-2</v>
      </c>
      <c r="BA14">
        <f t="shared" si="14"/>
        <v>9.9195344129554641</v>
      </c>
      <c r="BB14">
        <f t="shared" si="15"/>
        <v>1841</v>
      </c>
    </row>
    <row r="15" spans="2:54" x14ac:dyDescent="0.25">
      <c r="B15" s="4">
        <v>13</v>
      </c>
      <c r="C15" s="39">
        <f t="shared" si="0"/>
        <v>12298.443180002969</v>
      </c>
      <c r="D15" s="1">
        <v>1923.4</v>
      </c>
      <c r="E15" s="269">
        <f>F15+'RAW MILL 2'!C15</f>
        <v>2200</v>
      </c>
      <c r="F15" s="1">
        <v>2200</v>
      </c>
      <c r="G15" s="9">
        <f t="shared" si="1"/>
        <v>12021.843180002968</v>
      </c>
      <c r="H15" s="39">
        <f t="shared" si="2"/>
        <v>11518.514080328594</v>
      </c>
      <c r="I15" s="1">
        <v>1008.8800000000001</v>
      </c>
      <c r="J15" s="1">
        <v>0</v>
      </c>
      <c r="K15" s="46">
        <f>H15+I15-J15-Cement!S15</f>
        <v>12122.294080328596</v>
      </c>
      <c r="L15" s="39">
        <f t="shared" si="3"/>
        <v>2503.5600000000004</v>
      </c>
      <c r="M15" s="1">
        <v>179.16</v>
      </c>
      <c r="N15" s="269">
        <f>O15+'RAW MILL 2'!D15</f>
        <v>83</v>
      </c>
      <c r="O15" s="1">
        <v>83</v>
      </c>
      <c r="P15" s="9">
        <f t="shared" si="4"/>
        <v>2599.7200000000003</v>
      </c>
      <c r="Q15" s="39">
        <f t="shared" si="5"/>
        <v>1.0399999999999636</v>
      </c>
      <c r="R15" s="1">
        <v>0</v>
      </c>
      <c r="S15" s="269">
        <f>T15+'RAW MILL 2'!E15</f>
        <v>1</v>
      </c>
      <c r="T15" s="1">
        <v>1</v>
      </c>
      <c r="U15" s="9">
        <f t="shared" si="19"/>
        <v>3.999999999996362E-2</v>
      </c>
      <c r="V15" s="27">
        <f t="shared" si="16"/>
        <v>0</v>
      </c>
      <c r="W15" s="1">
        <v>0</v>
      </c>
      <c r="X15" s="1">
        <v>0</v>
      </c>
      <c r="Y15" s="27">
        <f t="shared" si="6"/>
        <v>0</v>
      </c>
      <c r="Z15" s="27">
        <f t="shared" si="17"/>
        <v>0</v>
      </c>
      <c r="AA15" s="1">
        <v>0</v>
      </c>
      <c r="AB15" s="1">
        <v>0</v>
      </c>
      <c r="AC15" s="27">
        <f t="shared" si="7"/>
        <v>0</v>
      </c>
      <c r="AD15" s="27">
        <f t="shared" si="18"/>
        <v>0</v>
      </c>
      <c r="AE15" s="1">
        <v>0</v>
      </c>
      <c r="AF15" s="1">
        <v>0</v>
      </c>
      <c r="AG15" s="27">
        <f t="shared" si="8"/>
        <v>0</v>
      </c>
      <c r="AH15" s="31">
        <f>D15+I15+M15+R15+W15+AA15+Cement!Q15+Cement!V15+AE15</f>
        <v>3111.44</v>
      </c>
      <c r="AI15" s="15">
        <f>E15+J15+N15+S15+X15+AB15+Clinker!E15+AF15</f>
        <v>2343</v>
      </c>
      <c r="AJ15" s="1">
        <f>Production2!N15</f>
        <v>2110.4699999999998</v>
      </c>
      <c r="AK15" s="1">
        <f t="shared" si="9"/>
        <v>-232.5300000000002</v>
      </c>
      <c r="AL15" s="294">
        <v>3075</v>
      </c>
      <c r="AM15" s="1"/>
      <c r="AN15" s="1"/>
      <c r="AO15" s="1"/>
      <c r="AP15" s="1"/>
      <c r="AQ15" s="1">
        <f>D15+I15+M15+R15+Cement!Q15</f>
        <v>3111.44</v>
      </c>
      <c r="AR15" s="1">
        <f>AI15+Cement!R15-Clinker!E15</f>
        <v>2648.5899999999992</v>
      </c>
      <c r="AS15" s="1">
        <v>776.72</v>
      </c>
      <c r="AT15" s="50">
        <f>AI15-Production2!N15</f>
        <v>232.5300000000002</v>
      </c>
      <c r="AU15" s="52">
        <f t="shared" si="10"/>
        <v>2343</v>
      </c>
      <c r="AV15">
        <f t="shared" si="11"/>
        <v>2200</v>
      </c>
      <c r="AW15">
        <f t="shared" si="12"/>
        <v>-1146.68</v>
      </c>
      <c r="AX15">
        <f t="shared" si="13"/>
        <v>-211.63999999999942</v>
      </c>
      <c r="AY15">
        <v>1220.5199999999995</v>
      </c>
      <c r="AZ15">
        <f>(AI15-Production2!N15)/'Mines (2)'!AI15</f>
        <v>9.9244558258642854E-2</v>
      </c>
      <c r="BA15">
        <f t="shared" si="14"/>
        <v>9.9244558258642854</v>
      </c>
      <c r="BB15">
        <f t="shared" si="15"/>
        <v>2200</v>
      </c>
    </row>
    <row r="16" spans="2:54" x14ac:dyDescent="0.25">
      <c r="B16" s="4">
        <v>14</v>
      </c>
      <c r="C16" s="39">
        <f t="shared" si="0"/>
        <v>12021.843180002968</v>
      </c>
      <c r="D16" s="1">
        <v>1668.4799999999996</v>
      </c>
      <c r="E16" s="269">
        <f>F16+'RAW MILL 2'!C16</f>
        <v>2117</v>
      </c>
      <c r="F16" s="1">
        <v>2117</v>
      </c>
      <c r="G16" s="9">
        <f t="shared" si="1"/>
        <v>11573.323180002968</v>
      </c>
      <c r="H16" s="39">
        <f t="shared" si="2"/>
        <v>12122.294080328596</v>
      </c>
      <c r="I16" s="1">
        <v>879.1400000000001</v>
      </c>
      <c r="J16" s="1">
        <v>0</v>
      </c>
      <c r="K16" s="46">
        <f>H16+I16-J16-Cement!S16</f>
        <v>12580.634080328597</v>
      </c>
      <c r="L16" s="39">
        <f t="shared" si="3"/>
        <v>2599.7200000000003</v>
      </c>
      <c r="M16" s="1">
        <v>0</v>
      </c>
      <c r="N16" s="269">
        <f>O16+'RAW MILL 2'!D16</f>
        <v>92</v>
      </c>
      <c r="O16" s="1">
        <v>92</v>
      </c>
      <c r="P16" s="9">
        <f t="shared" si="4"/>
        <v>2507.7200000000003</v>
      </c>
      <c r="Q16" s="39">
        <f t="shared" si="5"/>
        <v>3.999999999996362E-2</v>
      </c>
      <c r="R16" s="1">
        <v>0</v>
      </c>
      <c r="S16" s="269">
        <f>T16+'RAW MILL 2'!E16</f>
        <v>0</v>
      </c>
      <c r="T16" s="1">
        <v>0</v>
      </c>
      <c r="U16" s="9">
        <f t="shared" si="19"/>
        <v>3.999999999996362E-2</v>
      </c>
      <c r="V16" s="27">
        <f t="shared" si="16"/>
        <v>0</v>
      </c>
      <c r="W16" s="1">
        <v>0</v>
      </c>
      <c r="X16" s="1">
        <v>0</v>
      </c>
      <c r="Y16" s="27">
        <f t="shared" si="6"/>
        <v>0</v>
      </c>
      <c r="Z16" s="27">
        <f t="shared" si="17"/>
        <v>0</v>
      </c>
      <c r="AA16" s="1">
        <v>0</v>
      </c>
      <c r="AB16" s="1">
        <v>0</v>
      </c>
      <c r="AC16" s="27">
        <f t="shared" si="7"/>
        <v>0</v>
      </c>
      <c r="AD16" s="27">
        <f t="shared" si="18"/>
        <v>0</v>
      </c>
      <c r="AE16" s="1">
        <v>0</v>
      </c>
      <c r="AF16" s="1">
        <v>0</v>
      </c>
      <c r="AG16" s="27">
        <f t="shared" si="8"/>
        <v>0</v>
      </c>
      <c r="AH16" s="31">
        <f>D16+I16+M16+R16+W16+AA16+Cement!Q16+Cement!V16+AE16</f>
        <v>2547.62</v>
      </c>
      <c r="AI16" s="15">
        <f>E16+J16+N16+S16+X16+AB16+Clinker!E16+AF16</f>
        <v>2266</v>
      </c>
      <c r="AJ16" s="1">
        <f>Production2!N16</f>
        <v>2041.11</v>
      </c>
      <c r="AK16" s="1">
        <f>AJ16-AI16</f>
        <v>-224.8900000000001</v>
      </c>
      <c r="AL16" s="294">
        <v>2456</v>
      </c>
      <c r="AM16" s="1"/>
      <c r="AN16" s="1"/>
      <c r="AO16" s="1"/>
      <c r="AP16" s="1"/>
      <c r="AQ16" s="1">
        <f>D16+I16+M16+R16+Cement!Q16</f>
        <v>2547.62</v>
      </c>
      <c r="AR16" s="1">
        <f>AI16+Cement!R16-Clinker!E16</f>
        <v>2587.7200000000003</v>
      </c>
      <c r="AS16" s="1">
        <v>1682.0600000000006</v>
      </c>
      <c r="AT16" s="50">
        <f>AI16-Production2!N16</f>
        <v>224.8900000000001</v>
      </c>
      <c r="AU16" s="52">
        <f t="shared" si="10"/>
        <v>2266</v>
      </c>
      <c r="AV16">
        <f t="shared" si="11"/>
        <v>2117</v>
      </c>
      <c r="AW16">
        <f t="shared" si="12"/>
        <v>13.580000000001064</v>
      </c>
      <c r="AX16">
        <f t="shared" si="13"/>
        <v>-179.01999999999975</v>
      </c>
      <c r="AY16">
        <v>1058.1599999999999</v>
      </c>
      <c r="AZ16">
        <f>(AI16-Production2!N16)/'Mines (2)'!AI16</f>
        <v>9.9245366284201275E-2</v>
      </c>
      <c r="BA16">
        <f t="shared" si="14"/>
        <v>9.9245366284201282</v>
      </c>
      <c r="BB16">
        <f t="shared" si="15"/>
        <v>2117</v>
      </c>
    </row>
    <row r="17" spans="2:54" x14ac:dyDescent="0.25">
      <c r="B17" s="4">
        <v>15</v>
      </c>
      <c r="C17" s="39">
        <f t="shared" si="0"/>
        <v>11573.323180002968</v>
      </c>
      <c r="D17" s="1">
        <v>1255.9199999999998</v>
      </c>
      <c r="E17" s="269">
        <f>F17+'RAW MILL 2'!C17</f>
        <v>1836</v>
      </c>
      <c r="F17" s="1">
        <v>1836</v>
      </c>
      <c r="G17" s="9">
        <f t="shared" si="1"/>
        <v>10993.243180002968</v>
      </c>
      <c r="H17" s="39">
        <f t="shared" si="2"/>
        <v>12580.634080328597</v>
      </c>
      <c r="I17" s="1">
        <v>1212.2800000000002</v>
      </c>
      <c r="J17" s="1">
        <v>0</v>
      </c>
      <c r="K17" s="46">
        <f>H17+I17-J17-Cement!S17</f>
        <v>13406.914080328597</v>
      </c>
      <c r="L17" s="39">
        <f t="shared" si="3"/>
        <v>2507.7200000000003</v>
      </c>
      <c r="M17" s="1">
        <v>106.6</v>
      </c>
      <c r="N17" s="269">
        <f>O17+'RAW MILL 2'!D17</f>
        <v>80</v>
      </c>
      <c r="O17" s="1">
        <v>80</v>
      </c>
      <c r="P17" s="9">
        <f t="shared" si="4"/>
        <v>2534.3200000000002</v>
      </c>
      <c r="Q17" s="39">
        <f t="shared" si="5"/>
        <v>3.999999999996362E-2</v>
      </c>
      <c r="R17" s="1">
        <v>0</v>
      </c>
      <c r="S17" s="269">
        <f>T17+'RAW MILL 2'!E17</f>
        <v>0</v>
      </c>
      <c r="T17" s="1">
        <v>0</v>
      </c>
      <c r="U17" s="9">
        <f t="shared" si="19"/>
        <v>3.999999999996362E-2</v>
      </c>
      <c r="V17" s="27">
        <f t="shared" si="16"/>
        <v>0</v>
      </c>
      <c r="W17" s="1">
        <v>0</v>
      </c>
      <c r="X17" s="1">
        <v>0</v>
      </c>
      <c r="Y17" s="27">
        <f t="shared" si="6"/>
        <v>0</v>
      </c>
      <c r="Z17" s="27">
        <f t="shared" si="17"/>
        <v>0</v>
      </c>
      <c r="AA17" s="1">
        <v>0</v>
      </c>
      <c r="AB17" s="1">
        <v>0</v>
      </c>
      <c r="AC17" s="27">
        <f t="shared" si="7"/>
        <v>0</v>
      </c>
      <c r="AD17" s="27">
        <f t="shared" si="18"/>
        <v>0</v>
      </c>
      <c r="AE17" s="1">
        <v>0</v>
      </c>
      <c r="AF17" s="1">
        <v>0</v>
      </c>
      <c r="AG17" s="27">
        <f t="shared" si="8"/>
        <v>0</v>
      </c>
      <c r="AH17" s="31">
        <f>D17+I17+M17+R17+W17+AA17+Cement!Q17+Cement!V17+AE17</f>
        <v>2574.7999999999997</v>
      </c>
      <c r="AI17" s="15">
        <f>E17+J17+N17+S17+X17+AB17+Clinker!E17+AF17</f>
        <v>1965</v>
      </c>
      <c r="AJ17" s="1">
        <f>Production2!N17</f>
        <v>1769.97</v>
      </c>
      <c r="AK17" s="1">
        <f t="shared" ref="AK17:AK32" si="20">AJ17-AI17</f>
        <v>-195.02999999999997</v>
      </c>
      <c r="AL17" s="294">
        <v>2956</v>
      </c>
      <c r="AM17" s="1">
        <f>E17/AJ17</f>
        <v>1.0373057170460516</v>
      </c>
      <c r="AN17" s="1">
        <f>J17/AJ17</f>
        <v>0</v>
      </c>
      <c r="AO17" s="1">
        <f>N17/AJ17</f>
        <v>4.5198506189370442E-2</v>
      </c>
      <c r="AP17" s="1">
        <f>S17/AJ17</f>
        <v>0</v>
      </c>
      <c r="AQ17" s="1">
        <f>D17+I17+M17+R17+Cement!Q17</f>
        <v>2574.7999999999997</v>
      </c>
      <c r="AR17" s="1">
        <f>AI17+Cement!R17-Clinker!E17</f>
        <v>2263.4</v>
      </c>
      <c r="AS17" s="1">
        <v>593.67999999999995</v>
      </c>
      <c r="AT17" s="50">
        <f>AI17-Production2!N17</f>
        <v>195.02999999999997</v>
      </c>
      <c r="AU17" s="52">
        <f t="shared" si="10"/>
        <v>1965</v>
      </c>
      <c r="AV17">
        <f t="shared" si="11"/>
        <v>1836</v>
      </c>
      <c r="AW17">
        <f t="shared" si="12"/>
        <v>-662.2399999999999</v>
      </c>
      <c r="AX17">
        <f t="shared" si="13"/>
        <v>641.36000000000013</v>
      </c>
      <c r="AY17">
        <v>570.92000000000007</v>
      </c>
      <c r="AZ17">
        <f>(AI17-Production2!N17)/'Mines (2)'!AI17</f>
        <v>9.9251908396946545E-2</v>
      </c>
      <c r="BA17">
        <f t="shared" si="14"/>
        <v>9.925190839694654</v>
      </c>
      <c r="BB17">
        <f t="shared" si="15"/>
        <v>1836</v>
      </c>
    </row>
    <row r="18" spans="2:54" x14ac:dyDescent="0.25">
      <c r="B18" s="4">
        <v>16</v>
      </c>
      <c r="C18" s="39">
        <f t="shared" si="0"/>
        <v>10993.243180002968</v>
      </c>
      <c r="D18" s="1">
        <v>2943.1400000000003</v>
      </c>
      <c r="E18" s="269">
        <f>F18+'RAW MILL 2'!C18</f>
        <v>2588</v>
      </c>
      <c r="F18" s="1">
        <v>2588</v>
      </c>
      <c r="G18" s="9">
        <f t="shared" si="1"/>
        <v>11348.383180002969</v>
      </c>
      <c r="H18" s="39">
        <f t="shared" si="2"/>
        <v>13406.914080328597</v>
      </c>
      <c r="I18" s="1">
        <v>729.60000000000014</v>
      </c>
      <c r="J18" s="1">
        <v>0</v>
      </c>
      <c r="K18" s="46">
        <f>H18+I18-J18-Cement!S18</f>
        <v>13677.350747698598</v>
      </c>
      <c r="L18" s="39">
        <f t="shared" si="3"/>
        <v>2534.3200000000002</v>
      </c>
      <c r="M18" s="1">
        <v>390.8</v>
      </c>
      <c r="N18" s="269">
        <f>O18+'RAW MILL 2'!D18</f>
        <v>112</v>
      </c>
      <c r="O18" s="1">
        <v>112</v>
      </c>
      <c r="P18" s="9">
        <f t="shared" si="4"/>
        <v>2813.1200000000003</v>
      </c>
      <c r="Q18" s="39">
        <f t="shared" si="5"/>
        <v>3.999999999996362E-2</v>
      </c>
      <c r="R18" s="1">
        <v>0</v>
      </c>
      <c r="S18" s="269">
        <f>T18+'RAW MILL 2'!E18</f>
        <v>0</v>
      </c>
      <c r="T18" s="1">
        <v>0</v>
      </c>
      <c r="U18" s="9">
        <f t="shared" si="19"/>
        <v>3.999999999996362E-2</v>
      </c>
      <c r="V18" s="27">
        <f t="shared" si="16"/>
        <v>0</v>
      </c>
      <c r="W18" s="1">
        <v>0</v>
      </c>
      <c r="X18" s="1">
        <v>0</v>
      </c>
      <c r="Y18" s="27">
        <f t="shared" si="6"/>
        <v>0</v>
      </c>
      <c r="Z18" s="27">
        <f t="shared" si="17"/>
        <v>0</v>
      </c>
      <c r="AA18" s="1">
        <v>0</v>
      </c>
      <c r="AB18" s="1">
        <v>0</v>
      </c>
      <c r="AC18" s="27">
        <f t="shared" si="7"/>
        <v>0</v>
      </c>
      <c r="AD18" s="27">
        <f t="shared" si="18"/>
        <v>0</v>
      </c>
      <c r="AE18" s="1">
        <v>0</v>
      </c>
      <c r="AF18" s="1">
        <v>0</v>
      </c>
      <c r="AG18" s="27">
        <f t="shared" si="8"/>
        <v>0</v>
      </c>
      <c r="AH18" s="31">
        <f>D18+I18+M18+R18+W18+AA18+Cement!Q18+Cement!V18+AE18</f>
        <v>4063.5400000000009</v>
      </c>
      <c r="AI18" s="15">
        <f>E18+J18+N18+S18+X18+AB18+Clinker!E18+AF18</f>
        <v>2769</v>
      </c>
      <c r="AJ18" s="1">
        <f>Production2!N18</f>
        <v>2494.17</v>
      </c>
      <c r="AK18" s="1">
        <f t="shared" si="20"/>
        <v>-274.82999999999993</v>
      </c>
      <c r="AL18" s="294">
        <v>3022</v>
      </c>
      <c r="AM18" s="1">
        <f t="shared" ref="AM18:AM32" si="21">E18/AJ18</f>
        <v>1.0376197292085143</v>
      </c>
      <c r="AN18" s="1">
        <f t="shared" ref="AN18:AN32" si="22">J18/AJ18</f>
        <v>0</v>
      </c>
      <c r="AO18" s="1">
        <f t="shared" ref="AO18:AO32" si="23">N18/AJ18</f>
        <v>4.490471780191406E-2</v>
      </c>
      <c r="AP18" s="1">
        <f t="shared" ref="AP18:AP32" si="24">S18/AJ18</f>
        <v>0</v>
      </c>
      <c r="AQ18" s="1">
        <f>D18+I18+M18+R18+Cement!Q18</f>
        <v>4063.5400000000009</v>
      </c>
      <c r="AR18" s="1">
        <f>AI18+Cement!R18-Clinker!E18</f>
        <v>3113.2469993670002</v>
      </c>
      <c r="AS18" s="1">
        <v>1924.0200000000004</v>
      </c>
      <c r="AT18" s="50">
        <f>AI18-Production2!N18</f>
        <v>274.82999999999993</v>
      </c>
      <c r="AU18" s="52">
        <f t="shared" si="10"/>
        <v>2769</v>
      </c>
      <c r="AV18">
        <f t="shared" si="11"/>
        <v>2588</v>
      </c>
      <c r="AW18">
        <f t="shared" si="12"/>
        <v>-1019.1199999999999</v>
      </c>
      <c r="AX18">
        <f t="shared" si="13"/>
        <v>-1198.9799999999996</v>
      </c>
      <c r="AY18">
        <v>1928.5799999999997</v>
      </c>
      <c r="AZ18">
        <f>(AI18-Production2!N18)/'Mines (2)'!AI18</f>
        <v>9.9252437703141905E-2</v>
      </c>
      <c r="BA18">
        <f t="shared" si="14"/>
        <v>9.9252437703141911</v>
      </c>
      <c r="BB18">
        <f t="shared" si="15"/>
        <v>2588</v>
      </c>
    </row>
    <row r="19" spans="2:54" x14ac:dyDescent="0.25">
      <c r="B19" s="4">
        <v>17</v>
      </c>
      <c r="C19" s="39">
        <f t="shared" si="0"/>
        <v>11348.383180002969</v>
      </c>
      <c r="D19" s="1">
        <v>1944.6000000000001</v>
      </c>
      <c r="E19" s="269">
        <f>F19+'RAW MILL 2'!C19</f>
        <v>2545</v>
      </c>
      <c r="F19" s="1">
        <v>2446</v>
      </c>
      <c r="G19" s="9">
        <f t="shared" si="1"/>
        <v>10747.98318000297</v>
      </c>
      <c r="H19" s="39">
        <f t="shared" si="2"/>
        <v>13677.350747698598</v>
      </c>
      <c r="I19" s="1">
        <v>843.54000000000008</v>
      </c>
      <c r="J19" s="1">
        <v>0</v>
      </c>
      <c r="K19" s="46">
        <f>H19+I19-J19-Cement!S19</f>
        <v>14121.668525476376</v>
      </c>
      <c r="L19" s="39">
        <f t="shared" si="3"/>
        <v>2813.1200000000003</v>
      </c>
      <c r="M19" s="1">
        <v>37.840000000000003</v>
      </c>
      <c r="N19" s="269">
        <f>O19+'RAW MILL 2'!D19</f>
        <v>75</v>
      </c>
      <c r="O19" s="1">
        <v>72</v>
      </c>
      <c r="P19" s="9">
        <f t="shared" si="4"/>
        <v>2775.9600000000005</v>
      </c>
      <c r="Q19" s="39">
        <f t="shared" si="5"/>
        <v>3.999999999996362E-2</v>
      </c>
      <c r="R19" s="1">
        <v>0</v>
      </c>
      <c r="S19" s="269">
        <f>T19+'RAW MILL 2'!E19</f>
        <v>0</v>
      </c>
      <c r="T19" s="1">
        <v>0</v>
      </c>
      <c r="U19" s="9">
        <f t="shared" si="19"/>
        <v>3.999999999996362E-2</v>
      </c>
      <c r="V19" s="27">
        <f t="shared" si="16"/>
        <v>0</v>
      </c>
      <c r="W19" s="1">
        <v>0</v>
      </c>
      <c r="X19" s="1">
        <v>0</v>
      </c>
      <c r="Y19" s="27">
        <f t="shared" si="6"/>
        <v>0</v>
      </c>
      <c r="Z19" s="27">
        <f t="shared" si="17"/>
        <v>0</v>
      </c>
      <c r="AA19" s="1">
        <v>0</v>
      </c>
      <c r="AB19" s="1">
        <v>0</v>
      </c>
      <c r="AC19" s="27">
        <f t="shared" si="7"/>
        <v>0</v>
      </c>
      <c r="AD19" s="27">
        <f t="shared" si="18"/>
        <v>0</v>
      </c>
      <c r="AE19" s="1">
        <v>0</v>
      </c>
      <c r="AF19" s="1">
        <v>0</v>
      </c>
      <c r="AG19" s="27">
        <f t="shared" si="8"/>
        <v>0</v>
      </c>
      <c r="AH19" s="31">
        <f>D19+I19+M19+R19+W19+AA19+Cement!Q19+Cement!V19+AE19</f>
        <v>2825.9800000000005</v>
      </c>
      <c r="AI19" s="15">
        <f>E19+J19+N19+S19+X19+AB19+Clinker!E19+AF19</f>
        <v>2666</v>
      </c>
      <c r="AJ19" s="1">
        <f>Production2!N19</f>
        <v>2306</v>
      </c>
      <c r="AK19" s="1">
        <f t="shared" si="20"/>
        <v>-360</v>
      </c>
      <c r="AL19" s="295">
        <v>2379</v>
      </c>
      <c r="AM19" s="1">
        <f t="shared" si="21"/>
        <v>1.1036426712922811</v>
      </c>
      <c r="AN19" s="1">
        <f t="shared" si="22"/>
        <v>0</v>
      </c>
      <c r="AO19" s="1">
        <f t="shared" si="23"/>
        <v>3.2523850823937557E-2</v>
      </c>
      <c r="AP19" s="1">
        <f t="shared" si="24"/>
        <v>0</v>
      </c>
      <c r="AQ19" s="1">
        <f>D19+I19+M19+R19+Cement!Q19</f>
        <v>2825.9800000000005</v>
      </c>
      <c r="AR19" s="1">
        <f>AI19+Cement!R19-Clinker!E19</f>
        <v>2979.2999999999997</v>
      </c>
      <c r="AS19" s="1">
        <v>2200</v>
      </c>
      <c r="AT19" s="50">
        <f>AI19-Production2!N19</f>
        <v>360</v>
      </c>
      <c r="AU19" s="52">
        <f t="shared" si="10"/>
        <v>2666</v>
      </c>
      <c r="AV19">
        <f t="shared" si="11"/>
        <v>2545</v>
      </c>
      <c r="AW19">
        <f t="shared" si="12"/>
        <v>255.39999999999986</v>
      </c>
      <c r="AX19">
        <f t="shared" si="13"/>
        <v>-56.459999999999923</v>
      </c>
      <c r="AY19">
        <v>900</v>
      </c>
      <c r="AZ19">
        <f>(AI19-Production2!N19)/'Mines (2)'!AI19</f>
        <v>0.13503375843960991</v>
      </c>
      <c r="BA19">
        <f t="shared" si="14"/>
        <v>13.50337584396099</v>
      </c>
      <c r="BB19">
        <f t="shared" si="15"/>
        <v>2545</v>
      </c>
    </row>
    <row r="20" spans="2:54" x14ac:dyDescent="0.25">
      <c r="B20" s="4">
        <v>18</v>
      </c>
      <c r="C20" s="39">
        <f t="shared" si="0"/>
        <v>10747.98318000297</v>
      </c>
      <c r="D20" s="1">
        <v>1705.08</v>
      </c>
      <c r="E20" s="269">
        <f>F20+'RAW MILL 2'!C20</f>
        <v>2664</v>
      </c>
      <c r="F20" s="1">
        <v>2454</v>
      </c>
      <c r="G20" s="9">
        <f t="shared" si="1"/>
        <v>9789.0631800029696</v>
      </c>
      <c r="H20" s="39">
        <f t="shared" si="2"/>
        <v>14121.668525476376</v>
      </c>
      <c r="I20" s="1">
        <v>873.28</v>
      </c>
      <c r="J20" s="1">
        <v>0</v>
      </c>
      <c r="K20" s="46">
        <f>H20+I20-J20-Cement!S20</f>
        <v>14699.926303254155</v>
      </c>
      <c r="L20" s="39">
        <f t="shared" si="3"/>
        <v>2775.9600000000005</v>
      </c>
      <c r="M20" s="1">
        <v>0</v>
      </c>
      <c r="N20" s="269">
        <f>O20+'RAW MILL 2'!D20</f>
        <v>84</v>
      </c>
      <c r="O20" s="1">
        <v>77</v>
      </c>
      <c r="P20" s="9">
        <f t="shared" si="4"/>
        <v>2691.9600000000005</v>
      </c>
      <c r="Q20" s="39">
        <f t="shared" si="5"/>
        <v>3.999999999996362E-2</v>
      </c>
      <c r="R20" s="1">
        <v>0</v>
      </c>
      <c r="S20" s="269">
        <f>T20+'RAW MILL 2'!E20</f>
        <v>0</v>
      </c>
      <c r="T20" s="1">
        <v>0</v>
      </c>
      <c r="U20" s="9">
        <f t="shared" si="19"/>
        <v>3.999999999996362E-2</v>
      </c>
      <c r="V20" s="27">
        <f t="shared" si="16"/>
        <v>0</v>
      </c>
      <c r="W20" s="1">
        <v>0</v>
      </c>
      <c r="X20" s="1">
        <v>0</v>
      </c>
      <c r="Y20" s="27">
        <f t="shared" si="6"/>
        <v>0</v>
      </c>
      <c r="Z20" s="27">
        <f t="shared" si="17"/>
        <v>0</v>
      </c>
      <c r="AA20" s="1">
        <v>0</v>
      </c>
      <c r="AB20" s="1">
        <v>0</v>
      </c>
      <c r="AC20" s="27">
        <f t="shared" si="7"/>
        <v>0</v>
      </c>
      <c r="AD20" s="27">
        <f t="shared" si="18"/>
        <v>0</v>
      </c>
      <c r="AE20" s="1">
        <v>0</v>
      </c>
      <c r="AF20" s="1">
        <v>0</v>
      </c>
      <c r="AG20" s="27">
        <f t="shared" si="8"/>
        <v>0</v>
      </c>
      <c r="AH20" s="31">
        <f>D20+I20+M20+R20+W20+AA20+Cement!Q20+Cement!V20+AE20</f>
        <v>2578.3599999999997</v>
      </c>
      <c r="AI20" s="15">
        <f>E20+J20+N20+S20+X20+AB20+Clinker!E20+AF20</f>
        <v>2798</v>
      </c>
      <c r="AJ20" s="1">
        <f>Production2!N20</f>
        <v>2320</v>
      </c>
      <c r="AK20" s="1">
        <f t="shared" si="20"/>
        <v>-478</v>
      </c>
      <c r="AL20" s="294">
        <v>3157</v>
      </c>
      <c r="AM20" s="1">
        <f t="shared" si="21"/>
        <v>1.1482758620689655</v>
      </c>
      <c r="AN20" s="1">
        <f t="shared" si="22"/>
        <v>0</v>
      </c>
      <c r="AO20" s="1">
        <f t="shared" si="23"/>
        <v>3.6206896551724141E-2</v>
      </c>
      <c r="AP20" s="1">
        <f t="shared" si="24"/>
        <v>0</v>
      </c>
      <c r="AQ20" s="1">
        <f>D20+I20+M20+R20+Cement!Q20</f>
        <v>2578.3599999999997</v>
      </c>
      <c r="AR20" s="1">
        <f>AI20+Cement!R20-Clinker!E20</f>
        <v>3013.5199999999991</v>
      </c>
      <c r="AS20" s="1">
        <v>1275.5599999999997</v>
      </c>
      <c r="AT20" s="50">
        <f>AI20-Production2!N20</f>
        <v>478</v>
      </c>
      <c r="AU20" s="52">
        <f t="shared" si="10"/>
        <v>2798</v>
      </c>
      <c r="AV20">
        <f t="shared" si="11"/>
        <v>2664</v>
      </c>
      <c r="AW20">
        <f t="shared" si="12"/>
        <v>-429.52000000000021</v>
      </c>
      <c r="AX20">
        <f t="shared" si="13"/>
        <v>291.95999999999992</v>
      </c>
      <c r="AY20">
        <v>581.32000000000005</v>
      </c>
      <c r="AZ20">
        <f>(AI20-Production2!N20)/'Mines (2)'!AI20</f>
        <v>0.17083631165117941</v>
      </c>
      <c r="BA20">
        <f t="shared" si="14"/>
        <v>17.083631165117939</v>
      </c>
      <c r="BB20">
        <f t="shared" si="15"/>
        <v>2664</v>
      </c>
    </row>
    <row r="21" spans="2:54" s="321" customFormat="1" x14ac:dyDescent="0.25">
      <c r="B21" s="348">
        <v>19</v>
      </c>
      <c r="C21" s="349">
        <f t="shared" si="0"/>
        <v>9789.0631800029696</v>
      </c>
      <c r="D21" s="1">
        <v>1936.2400000000002</v>
      </c>
      <c r="E21" s="350">
        <f>F21+'RAW MILL 2'!C21</f>
        <v>3110</v>
      </c>
      <c r="F21" s="1">
        <v>2955</v>
      </c>
      <c r="G21" s="351">
        <f t="shared" si="1"/>
        <v>8615.3031800029694</v>
      </c>
      <c r="H21" s="349">
        <f t="shared" si="2"/>
        <v>14699.926303254155</v>
      </c>
      <c r="I21" s="1">
        <v>1173.0400000000002</v>
      </c>
      <c r="J21" s="1">
        <v>0</v>
      </c>
      <c r="K21" s="46">
        <f>H21+I21-J21-Cement!S21</f>
        <v>15584.632969920824</v>
      </c>
      <c r="L21" s="349">
        <f t="shared" si="3"/>
        <v>2691.9600000000005</v>
      </c>
      <c r="M21" s="1">
        <v>105.44</v>
      </c>
      <c r="N21" s="350">
        <f>O21+'RAW MILL 2'!D21</f>
        <v>58</v>
      </c>
      <c r="O21" s="1">
        <v>55</v>
      </c>
      <c r="P21" s="351">
        <f t="shared" si="4"/>
        <v>2739.4000000000005</v>
      </c>
      <c r="Q21" s="349">
        <f t="shared" si="5"/>
        <v>3.999999999996362E-2</v>
      </c>
      <c r="R21" s="1">
        <v>0</v>
      </c>
      <c r="S21" s="350">
        <f>T21+'RAW MILL 2'!E21</f>
        <v>0</v>
      </c>
      <c r="T21" s="1">
        <v>0</v>
      </c>
      <c r="U21" s="351">
        <f t="shared" si="19"/>
        <v>3.999999999996362E-2</v>
      </c>
      <c r="V21" s="365">
        <f t="shared" si="16"/>
        <v>0</v>
      </c>
      <c r="W21" s="1">
        <v>0</v>
      </c>
      <c r="X21" s="322">
        <v>0</v>
      </c>
      <c r="Y21" s="365">
        <f t="shared" si="6"/>
        <v>0</v>
      </c>
      <c r="Z21" s="365">
        <f t="shared" si="17"/>
        <v>0</v>
      </c>
      <c r="AA21" s="322">
        <v>0</v>
      </c>
      <c r="AB21" s="322">
        <v>0</v>
      </c>
      <c r="AC21" s="365">
        <f t="shared" si="7"/>
        <v>0</v>
      </c>
      <c r="AD21" s="365">
        <f t="shared" si="18"/>
        <v>0</v>
      </c>
      <c r="AE21" s="322">
        <v>0</v>
      </c>
      <c r="AF21" s="322">
        <v>0</v>
      </c>
      <c r="AG21" s="365">
        <f t="shared" si="8"/>
        <v>0</v>
      </c>
      <c r="AH21" s="366">
        <f>D21+I21+M21+R21+W21+AA21+Cement!Q21+Cement!V21+AE21</f>
        <v>3214.7200000000007</v>
      </c>
      <c r="AI21" s="366">
        <f>E21+J21+N21+S21+X21+AB21+Clinker!E21+AF21</f>
        <v>3220</v>
      </c>
      <c r="AJ21" s="322">
        <f>Production2!N21</f>
        <v>2754</v>
      </c>
      <c r="AK21" s="322">
        <f t="shared" si="20"/>
        <v>-466</v>
      </c>
      <c r="AL21" s="367">
        <v>2838</v>
      </c>
      <c r="AM21" s="322">
        <f t="shared" si="21"/>
        <v>1.1292665214233841</v>
      </c>
      <c r="AN21" s="322">
        <f t="shared" si="22"/>
        <v>0</v>
      </c>
      <c r="AO21" s="322">
        <f t="shared" si="23"/>
        <v>2.1060275962236745E-2</v>
      </c>
      <c r="AP21" s="322">
        <f t="shared" si="24"/>
        <v>0</v>
      </c>
      <c r="AQ21" s="322">
        <f>D21+I21+M21+R21+Cement!Q21</f>
        <v>3214.7200000000007</v>
      </c>
      <c r="AR21" s="322">
        <f>AI21+Cement!R21-Clinker!E21</f>
        <v>3427.4999999999991</v>
      </c>
      <c r="AS21" s="322">
        <v>244.67999999999998</v>
      </c>
      <c r="AT21" s="368">
        <f>AI21-Production2!N21</f>
        <v>466</v>
      </c>
      <c r="AU21" s="369">
        <f t="shared" si="10"/>
        <v>3220</v>
      </c>
      <c r="AV21" s="321">
        <f t="shared" si="11"/>
        <v>3110</v>
      </c>
      <c r="AW21" s="321">
        <f t="shared" si="12"/>
        <v>-1691.5600000000002</v>
      </c>
      <c r="AX21" s="321">
        <f t="shared" si="13"/>
        <v>-207.07999999999902</v>
      </c>
      <c r="AY21" s="321">
        <v>1380.1199999999992</v>
      </c>
      <c r="AZ21" s="321">
        <f>(AI21-Production2!N21)/'Mines (2)'!AI21</f>
        <v>0.14472049689440994</v>
      </c>
      <c r="BA21" s="321">
        <f t="shared" si="14"/>
        <v>14.472049689440993</v>
      </c>
      <c r="BB21">
        <f t="shared" si="15"/>
        <v>3110</v>
      </c>
    </row>
    <row r="22" spans="2:54" s="397" customFormat="1" x14ac:dyDescent="0.25">
      <c r="B22" s="380">
        <v>20</v>
      </c>
      <c r="C22" s="381">
        <f t="shared" si="0"/>
        <v>8615.3031800029694</v>
      </c>
      <c r="D22" s="1">
        <v>2358.5600000000004</v>
      </c>
      <c r="E22" s="383">
        <f>F22+'RAW MILL 2'!C22</f>
        <v>3059</v>
      </c>
      <c r="F22" s="1">
        <v>2850</v>
      </c>
      <c r="G22" s="384">
        <f t="shared" si="1"/>
        <v>7914.8631800029689</v>
      </c>
      <c r="H22" s="381">
        <f t="shared" si="2"/>
        <v>15584.632969920824</v>
      </c>
      <c r="I22" s="1">
        <v>1207.2200000000003</v>
      </c>
      <c r="J22" s="1">
        <v>0</v>
      </c>
      <c r="K22" s="46">
        <f>H22+I22-J22-Cement!S22</f>
        <v>16287.00852547638</v>
      </c>
      <c r="L22" s="381">
        <f t="shared" si="3"/>
        <v>2739.4000000000005</v>
      </c>
      <c r="M22" s="1">
        <v>0</v>
      </c>
      <c r="N22" s="383">
        <f>O22+'RAW MILL 2'!D22</f>
        <v>38</v>
      </c>
      <c r="O22" s="1">
        <v>35</v>
      </c>
      <c r="P22" s="384">
        <f t="shared" si="4"/>
        <v>2701.4000000000005</v>
      </c>
      <c r="Q22" s="381">
        <f t="shared" si="5"/>
        <v>3.999999999996362E-2</v>
      </c>
      <c r="R22" s="1">
        <v>0</v>
      </c>
      <c r="S22" s="383">
        <f>T22+'RAW MILL 2'!E22</f>
        <v>0</v>
      </c>
      <c r="T22" s="1">
        <v>0</v>
      </c>
      <c r="U22" s="384">
        <f t="shared" si="19"/>
        <v>3.999999999996362E-2</v>
      </c>
      <c r="V22" s="399">
        <f t="shared" si="16"/>
        <v>0</v>
      </c>
      <c r="W22" s="1">
        <v>0</v>
      </c>
      <c r="X22" s="382">
        <v>0</v>
      </c>
      <c r="Y22" s="399">
        <f t="shared" si="6"/>
        <v>0</v>
      </c>
      <c r="Z22" s="399">
        <f t="shared" si="17"/>
        <v>0</v>
      </c>
      <c r="AA22" s="382">
        <v>0</v>
      </c>
      <c r="AB22" s="382">
        <v>0</v>
      </c>
      <c r="AC22" s="399">
        <f t="shared" si="7"/>
        <v>0</v>
      </c>
      <c r="AD22" s="399">
        <f t="shared" si="18"/>
        <v>0</v>
      </c>
      <c r="AE22" s="382">
        <v>0</v>
      </c>
      <c r="AF22" s="382">
        <v>0</v>
      </c>
      <c r="AG22" s="399">
        <f t="shared" si="8"/>
        <v>0</v>
      </c>
      <c r="AH22" s="400">
        <f>D22+I22+M22+R22+W22+AA22+Cement!Q22+Cement!V22+AE22</f>
        <v>3565.7800000000007</v>
      </c>
      <c r="AI22" s="400">
        <f>E22+J22+N22+S22+X22+AB22+Clinker!E22+AF22</f>
        <v>3160</v>
      </c>
      <c r="AJ22" s="382">
        <f>Production2!N22</f>
        <v>2651</v>
      </c>
      <c r="AK22" s="382">
        <f t="shared" si="20"/>
        <v>-509</v>
      </c>
      <c r="AL22" s="401">
        <v>3051</v>
      </c>
      <c r="AM22" s="382">
        <f t="shared" si="21"/>
        <v>1.1539041870992079</v>
      </c>
      <c r="AN22" s="382">
        <f t="shared" si="22"/>
        <v>0</v>
      </c>
      <c r="AO22" s="382">
        <f t="shared" si="23"/>
        <v>1.4334213504337986E-2</v>
      </c>
      <c r="AP22" s="382">
        <f t="shared" si="24"/>
        <v>0</v>
      </c>
      <c r="AQ22" s="382">
        <f>D22+I22+M22+R22+Cement!Q22</f>
        <v>3565.7800000000007</v>
      </c>
      <c r="AR22" s="382">
        <f>AI22+Cement!R22-Clinker!E22</f>
        <v>3551.3599999999992</v>
      </c>
      <c r="AS22" s="382">
        <v>841.18</v>
      </c>
      <c r="AT22" s="402">
        <f>AI22-Production2!N22</f>
        <v>509</v>
      </c>
      <c r="AU22" s="403">
        <f t="shared" si="10"/>
        <v>3160</v>
      </c>
      <c r="AV22" s="397">
        <f t="shared" si="11"/>
        <v>3059</v>
      </c>
      <c r="AW22" s="397">
        <f t="shared" si="12"/>
        <v>-1517.3800000000006</v>
      </c>
      <c r="AX22" s="397">
        <f t="shared" si="13"/>
        <v>-393.58000000000038</v>
      </c>
      <c r="AY22" s="397">
        <v>1600.8000000000006</v>
      </c>
      <c r="AZ22" s="397">
        <f>(AI22-Production2!N22)/'Mines (2)'!AI22</f>
        <v>0.16107594936708861</v>
      </c>
      <c r="BA22" s="397">
        <f t="shared" si="14"/>
        <v>16.10759493670886</v>
      </c>
    </row>
    <row r="23" spans="2:54" s="321" customFormat="1" x14ac:dyDescent="0.25">
      <c r="B23" s="348">
        <v>21</v>
      </c>
      <c r="C23" s="349">
        <f>G22</f>
        <v>7914.8631800029689</v>
      </c>
      <c r="D23" s="1">
        <v>1526.7800000000002</v>
      </c>
      <c r="E23" s="350">
        <f>F23+'RAW MILL 2'!C23</f>
        <v>1148</v>
      </c>
      <c r="F23" s="1">
        <v>915</v>
      </c>
      <c r="G23" s="351">
        <f t="shared" si="1"/>
        <v>8293.6431800029695</v>
      </c>
      <c r="H23" s="349">
        <f t="shared" si="2"/>
        <v>16287.00852547638</v>
      </c>
      <c r="I23" s="1">
        <v>233.48000000000002</v>
      </c>
      <c r="J23" s="1">
        <v>2000</v>
      </c>
      <c r="K23" s="46">
        <f>H23+I23-J23-Cement!S23</f>
        <v>13953.388524283047</v>
      </c>
      <c r="L23" s="349">
        <f t="shared" si="3"/>
        <v>2701.4000000000005</v>
      </c>
      <c r="M23" s="1">
        <v>188.54</v>
      </c>
      <c r="N23" s="350">
        <f>O23+'RAW MILL 2'!D23</f>
        <v>66</v>
      </c>
      <c r="O23" s="1">
        <v>61</v>
      </c>
      <c r="P23" s="351">
        <f t="shared" si="4"/>
        <v>2823.9400000000005</v>
      </c>
      <c r="Q23" s="349">
        <f t="shared" si="5"/>
        <v>3.999999999996362E-2</v>
      </c>
      <c r="R23" s="1">
        <v>0</v>
      </c>
      <c r="S23" s="350">
        <f>T23+'RAW MILL 2'!E23</f>
        <v>0</v>
      </c>
      <c r="T23" s="1">
        <v>0</v>
      </c>
      <c r="U23" s="351">
        <f t="shared" si="19"/>
        <v>3.999999999996362E-2</v>
      </c>
      <c r="V23" s="365">
        <f t="shared" si="16"/>
        <v>0</v>
      </c>
      <c r="W23" s="1">
        <v>0</v>
      </c>
      <c r="X23" s="322">
        <v>0</v>
      </c>
      <c r="Y23" s="365">
        <f t="shared" si="6"/>
        <v>0</v>
      </c>
      <c r="Z23" s="365">
        <f t="shared" si="17"/>
        <v>0</v>
      </c>
      <c r="AA23" s="322">
        <v>0</v>
      </c>
      <c r="AB23" s="322">
        <v>0</v>
      </c>
      <c r="AC23" s="365">
        <f t="shared" si="7"/>
        <v>0</v>
      </c>
      <c r="AD23" s="365">
        <f t="shared" si="18"/>
        <v>0</v>
      </c>
      <c r="AE23" s="322">
        <v>0</v>
      </c>
      <c r="AF23" s="322">
        <v>0</v>
      </c>
      <c r="AG23" s="365">
        <f t="shared" si="8"/>
        <v>0</v>
      </c>
      <c r="AH23" s="366">
        <f>D23+I23+M23+R23+W23+AA23+Cement!Q23+Cement!V23+AE23</f>
        <v>1948.8000000000002</v>
      </c>
      <c r="AI23" s="366">
        <f>E23+J23+N23+S23+X23+AB23+Clinker!E23+AF23</f>
        <v>3290</v>
      </c>
      <c r="AJ23" s="322">
        <f>Production2!N23</f>
        <v>2743</v>
      </c>
      <c r="AK23" s="322">
        <f t="shared" si="20"/>
        <v>-547</v>
      </c>
      <c r="AL23" s="367">
        <v>2232</v>
      </c>
      <c r="AM23" s="322">
        <f t="shared" si="21"/>
        <v>0.41851986875683556</v>
      </c>
      <c r="AN23" s="322">
        <f t="shared" si="22"/>
        <v>0.72912869121399926</v>
      </c>
      <c r="AO23" s="322">
        <f t="shared" si="23"/>
        <v>2.4061246810061977E-2</v>
      </c>
      <c r="AP23" s="322">
        <f t="shared" si="24"/>
        <v>0</v>
      </c>
      <c r="AQ23" s="322" t="e">
        <f>D23+I23+R23+#REF!+Cement!Q23</f>
        <v>#REF!</v>
      </c>
      <c r="AR23" s="322">
        <f>AI23+Cement!R23-Clinker!E23</f>
        <v>3724.3900010739981</v>
      </c>
      <c r="AS23" s="322">
        <v>0</v>
      </c>
      <c r="AT23" s="368">
        <f>AI23-Production2!N23</f>
        <v>547</v>
      </c>
      <c r="AU23" s="369">
        <f t="shared" si="10"/>
        <v>3290</v>
      </c>
      <c r="AV23" s="321">
        <f t="shared" si="11"/>
        <v>3148</v>
      </c>
      <c r="AW23" s="321">
        <f t="shared" si="12"/>
        <v>-1526.7800000000002</v>
      </c>
      <c r="AX23" s="321">
        <f t="shared" si="13"/>
        <v>-794.09999999999991</v>
      </c>
      <c r="AY23" s="321">
        <v>1027.58</v>
      </c>
      <c r="AZ23" s="321">
        <f>(AI23-Production2!N23)/'Mines (2)'!AI23</f>
        <v>0.16626139817629179</v>
      </c>
      <c r="BA23" s="321">
        <f t="shared" si="14"/>
        <v>16.626139817629181</v>
      </c>
    </row>
    <row r="24" spans="2:54" s="321" customFormat="1" x14ac:dyDescent="0.25">
      <c r="B24" s="348">
        <v>22</v>
      </c>
      <c r="C24" s="349">
        <f t="shared" si="0"/>
        <v>8293.6431800029695</v>
      </c>
      <c r="D24" s="1">
        <v>2228.2200000000003</v>
      </c>
      <c r="E24" s="350">
        <f>F24+'RAW MILL 2'!C24</f>
        <v>2103</v>
      </c>
      <c r="F24" s="1">
        <v>2000</v>
      </c>
      <c r="G24" s="351">
        <f t="shared" si="1"/>
        <v>8418.8631800029689</v>
      </c>
      <c r="H24" s="349">
        <f t="shared" si="2"/>
        <v>13953.388524283047</v>
      </c>
      <c r="I24" s="1">
        <v>754.04000000000008</v>
      </c>
      <c r="J24" s="1">
        <v>302</v>
      </c>
      <c r="K24" s="46">
        <f>H24+I24-J24-Cement!S24</f>
        <v>13953.777414023049</v>
      </c>
      <c r="L24" s="349">
        <f t="shared" si="3"/>
        <v>2823.9400000000005</v>
      </c>
      <c r="M24" s="1">
        <v>0</v>
      </c>
      <c r="N24" s="350">
        <f>O24+'RAW MILL 2'!D24</f>
        <v>50</v>
      </c>
      <c r="O24" s="1">
        <v>48</v>
      </c>
      <c r="P24" s="351">
        <f t="shared" si="4"/>
        <v>2773.9400000000005</v>
      </c>
      <c r="Q24" s="349">
        <f t="shared" si="5"/>
        <v>3.999999999996362E-2</v>
      </c>
      <c r="R24" s="1">
        <v>0</v>
      </c>
      <c r="S24" s="350">
        <f>T24+'RAW MILL 2'!E24</f>
        <v>0</v>
      </c>
      <c r="T24" s="1">
        <v>0</v>
      </c>
      <c r="U24" s="351">
        <f t="shared" si="19"/>
        <v>3.999999999996362E-2</v>
      </c>
      <c r="V24" s="365">
        <f>Y23</f>
        <v>0</v>
      </c>
      <c r="W24" s="1">
        <v>0</v>
      </c>
      <c r="X24" s="322">
        <v>0</v>
      </c>
      <c r="Y24" s="365">
        <f t="shared" si="6"/>
        <v>0</v>
      </c>
      <c r="Z24" s="365">
        <f>AC23</f>
        <v>0</v>
      </c>
      <c r="AA24" s="322">
        <v>0</v>
      </c>
      <c r="AB24" s="322">
        <v>0</v>
      </c>
      <c r="AC24" s="365">
        <f t="shared" si="7"/>
        <v>0</v>
      </c>
      <c r="AD24" s="365">
        <f>AG23</f>
        <v>0</v>
      </c>
      <c r="AE24" s="322">
        <v>0</v>
      </c>
      <c r="AF24" s="322">
        <v>0</v>
      </c>
      <c r="AG24" s="365">
        <f t="shared" si="8"/>
        <v>0</v>
      </c>
      <c r="AH24" s="366">
        <f>D24+I24+M24+R24+W24+AA24+Cement!Q24+Cement!V24+AE24</f>
        <v>2982.26</v>
      </c>
      <c r="AI24" s="366">
        <f>E24+J24+N24+S24+X24+AB24+Clinker!E24+AF24</f>
        <v>2514</v>
      </c>
      <c r="AJ24" s="322">
        <f>Production2!N24</f>
        <v>2166</v>
      </c>
      <c r="AK24" s="322">
        <f t="shared" si="20"/>
        <v>-348</v>
      </c>
      <c r="AL24" s="367"/>
      <c r="AM24" s="322">
        <f t="shared" si="21"/>
        <v>0.97091412742382266</v>
      </c>
      <c r="AN24" s="322">
        <f t="shared" si="22"/>
        <v>0.1394275161588181</v>
      </c>
      <c r="AO24" s="322">
        <f t="shared" si="23"/>
        <v>2.3084025854108958E-2</v>
      </c>
      <c r="AP24" s="322">
        <f t="shared" si="24"/>
        <v>0</v>
      </c>
      <c r="AQ24" s="322">
        <f>D24+I24+M24+R24+Cement!Q24</f>
        <v>2982.26</v>
      </c>
      <c r="AR24" s="322">
        <f>AI24+Cement!R24-Clinker!E24</f>
        <v>2861.4859992339998</v>
      </c>
      <c r="AS24" s="322"/>
      <c r="AT24" s="368">
        <f>AI24-Production2!N24</f>
        <v>348</v>
      </c>
      <c r="AU24" s="369">
        <f t="shared" si="10"/>
        <v>2514</v>
      </c>
      <c r="AV24" s="321">
        <f t="shared" si="11"/>
        <v>2405</v>
      </c>
      <c r="AW24" s="321">
        <f t="shared" si="12"/>
        <v>-2228.2200000000003</v>
      </c>
      <c r="AX24" s="321">
        <f t="shared" si="13"/>
        <v>754.04000000000008</v>
      </c>
      <c r="AY24" s="321">
        <v>0</v>
      </c>
      <c r="AZ24" s="321">
        <f>(AI24-Production2!N24)/'Mines (2)'!AI24</f>
        <v>0.13842482100238662</v>
      </c>
      <c r="BA24" s="321">
        <f t="shared" si="14"/>
        <v>13.842482100238662</v>
      </c>
    </row>
    <row r="25" spans="2:54" s="321" customFormat="1" x14ac:dyDescent="0.25">
      <c r="B25" s="348">
        <v>23</v>
      </c>
      <c r="C25" s="349">
        <f t="shared" si="0"/>
        <v>8418.8631800029689</v>
      </c>
      <c r="D25" s="1">
        <v>2834.0200000000004</v>
      </c>
      <c r="E25" s="350">
        <f>F25+'RAW MILL 2'!C25</f>
        <v>2397</v>
      </c>
      <c r="F25" s="1">
        <v>2234</v>
      </c>
      <c r="G25" s="351">
        <f t="shared" si="1"/>
        <v>8855.8831800029693</v>
      </c>
      <c r="H25" s="349">
        <f t="shared" si="2"/>
        <v>13953.777414023049</v>
      </c>
      <c r="I25" s="1">
        <v>1154.54</v>
      </c>
      <c r="J25" s="1">
        <v>0</v>
      </c>
      <c r="K25" s="46">
        <f>H25+I25-J25-Cement!S25</f>
        <v>14676.350747746048</v>
      </c>
      <c r="L25" s="349">
        <f t="shared" si="3"/>
        <v>2773.9400000000005</v>
      </c>
      <c r="M25" s="1">
        <v>0</v>
      </c>
      <c r="N25" s="350">
        <f>O25+'RAW MILL 2'!D25</f>
        <v>51</v>
      </c>
      <c r="O25" s="1">
        <v>47</v>
      </c>
      <c r="P25" s="351">
        <f t="shared" si="4"/>
        <v>2722.9400000000005</v>
      </c>
      <c r="Q25" s="349">
        <f t="shared" si="5"/>
        <v>3.999999999996362E-2</v>
      </c>
      <c r="R25" s="1">
        <v>0</v>
      </c>
      <c r="S25" s="350">
        <f>T25+'RAW MILL 2'!E25</f>
        <v>0</v>
      </c>
      <c r="T25" s="1">
        <v>0</v>
      </c>
      <c r="U25" s="351">
        <f t="shared" si="19"/>
        <v>3.999999999996362E-2</v>
      </c>
      <c r="V25" s="365">
        <f t="shared" ref="V25:V32" si="25">Y24</f>
        <v>0</v>
      </c>
      <c r="W25" s="1">
        <v>0</v>
      </c>
      <c r="X25" s="322">
        <v>0</v>
      </c>
      <c r="Y25" s="365">
        <f t="shared" ref="Y25:Y33" si="26">V25+W25-X25</f>
        <v>0</v>
      </c>
      <c r="Z25" s="365">
        <f t="shared" ref="Z25:Z33" si="27">AC24</f>
        <v>0</v>
      </c>
      <c r="AA25" s="322">
        <v>0</v>
      </c>
      <c r="AB25" s="322">
        <v>0</v>
      </c>
      <c r="AC25" s="365">
        <f t="shared" si="7"/>
        <v>0</v>
      </c>
      <c r="AD25" s="365">
        <f t="shared" ref="AD25:AD33" si="28">AG24</f>
        <v>0</v>
      </c>
      <c r="AE25" s="322">
        <v>0</v>
      </c>
      <c r="AF25" s="322">
        <v>0</v>
      </c>
      <c r="AG25" s="365">
        <f t="shared" si="8"/>
        <v>0</v>
      </c>
      <c r="AH25" s="366">
        <f>D25+I25+M25+R25+W25+AA25+Cement!Q25+Cement!V25+AE25</f>
        <v>3988.5600000000004</v>
      </c>
      <c r="AI25" s="366">
        <f>E25+J25+N25+S25+X25+AB25+Clinker!E25+AF25</f>
        <v>2506</v>
      </c>
      <c r="AJ25" s="322">
        <f>Production2!N25</f>
        <v>2102</v>
      </c>
      <c r="AK25" s="322">
        <f t="shared" si="20"/>
        <v>-404</v>
      </c>
      <c r="AL25" s="367"/>
      <c r="AM25" s="322">
        <f t="shared" si="21"/>
        <v>1.1403425309229305</v>
      </c>
      <c r="AN25" s="322">
        <f t="shared" si="22"/>
        <v>0</v>
      </c>
      <c r="AO25" s="322">
        <f t="shared" si="23"/>
        <v>2.4262607040913417E-2</v>
      </c>
      <c r="AP25" s="322">
        <f t="shared" si="24"/>
        <v>0</v>
      </c>
      <c r="AQ25" s="322">
        <f>D25+I25+M25+R25+Cement!Q25</f>
        <v>3988.5600000000004</v>
      </c>
      <c r="AR25" s="322">
        <f>AI25+Cement!R25-Clinker!E25</f>
        <v>2836.7699996493002</v>
      </c>
      <c r="AS25" s="322"/>
      <c r="AT25" s="368">
        <f>AI25-Production2!N25</f>
        <v>404</v>
      </c>
      <c r="AU25" s="369">
        <f t="shared" si="10"/>
        <v>2506</v>
      </c>
      <c r="AV25" s="321">
        <f t="shared" si="11"/>
        <v>2397</v>
      </c>
      <c r="AW25" s="321">
        <f t="shared" si="12"/>
        <v>-2834.0200000000004</v>
      </c>
      <c r="AX25" s="321">
        <f t="shared" si="13"/>
        <v>1154.54</v>
      </c>
      <c r="AY25" s="321">
        <v>0</v>
      </c>
      <c r="AZ25" s="321">
        <f>(AI25-Production2!N25)/'Mines (2)'!AI25</f>
        <v>0.16121308858739025</v>
      </c>
      <c r="BA25" s="321">
        <f t="shared" si="14"/>
        <v>16.121308858739024</v>
      </c>
    </row>
    <row r="26" spans="2:54" s="321" customFormat="1" x14ac:dyDescent="0.25">
      <c r="B26" s="348">
        <v>24</v>
      </c>
      <c r="C26" s="349">
        <f t="shared" si="0"/>
        <v>8855.8831800029693</v>
      </c>
      <c r="D26" s="1">
        <v>1992.5800000000002</v>
      </c>
      <c r="E26" s="350">
        <f>F26+'RAW MILL 2'!C26</f>
        <v>2137</v>
      </c>
      <c r="F26" s="1">
        <v>2017</v>
      </c>
      <c r="G26" s="351">
        <f t="shared" si="1"/>
        <v>8711.4631800029692</v>
      </c>
      <c r="H26" s="349">
        <f t="shared" si="2"/>
        <v>14676.350747746048</v>
      </c>
      <c r="I26" s="1">
        <v>747.99999999999989</v>
      </c>
      <c r="J26" s="1">
        <v>1000</v>
      </c>
      <c r="K26" s="46">
        <f>H26+I26-J26-Cement!S26</f>
        <v>13918.35074774605</v>
      </c>
      <c r="L26" s="349">
        <f t="shared" si="3"/>
        <v>2722.9400000000005</v>
      </c>
      <c r="M26" s="1">
        <v>265.27999999999997</v>
      </c>
      <c r="N26" s="350">
        <f>O26+'RAW MILL 2'!D26</f>
        <v>107</v>
      </c>
      <c r="O26" s="1">
        <v>103</v>
      </c>
      <c r="P26" s="351">
        <f t="shared" si="4"/>
        <v>2881.2200000000003</v>
      </c>
      <c r="Q26" s="349">
        <f t="shared" si="5"/>
        <v>3.999999999996362E-2</v>
      </c>
      <c r="R26" s="1">
        <v>0</v>
      </c>
      <c r="S26" s="350">
        <f>T26+'RAW MILL 2'!E26</f>
        <v>0</v>
      </c>
      <c r="T26" s="1">
        <v>0</v>
      </c>
      <c r="U26" s="351">
        <f t="shared" si="19"/>
        <v>3.999999999996362E-2</v>
      </c>
      <c r="V26" s="365">
        <f t="shared" si="25"/>
        <v>0</v>
      </c>
      <c r="W26" s="1">
        <v>0</v>
      </c>
      <c r="X26" s="322">
        <v>0</v>
      </c>
      <c r="Y26" s="365">
        <f t="shared" si="26"/>
        <v>0</v>
      </c>
      <c r="Z26" s="365">
        <f t="shared" si="27"/>
        <v>0</v>
      </c>
      <c r="AA26" s="322">
        <v>0</v>
      </c>
      <c r="AB26" s="322">
        <v>0</v>
      </c>
      <c r="AC26" s="365">
        <f t="shared" si="7"/>
        <v>0</v>
      </c>
      <c r="AD26" s="365">
        <f t="shared" si="28"/>
        <v>0</v>
      </c>
      <c r="AE26" s="322">
        <v>0</v>
      </c>
      <c r="AF26" s="322">
        <v>0</v>
      </c>
      <c r="AG26" s="365">
        <f t="shared" si="8"/>
        <v>0</v>
      </c>
      <c r="AH26" s="417">
        <f>D26+I26+M26+R26+W26+AA26+Cement!Q26+Cement!V26+AE26</f>
        <v>3005.8599999999997</v>
      </c>
      <c r="AI26" s="366">
        <f>E26+J26+N26+S26+X26+AB26+Clinker!E26+AF26</f>
        <v>3338</v>
      </c>
      <c r="AJ26" s="322">
        <f>Production2!N26</f>
        <v>2890</v>
      </c>
      <c r="AK26" s="322">
        <f t="shared" si="20"/>
        <v>-448</v>
      </c>
      <c r="AL26" s="367"/>
      <c r="AM26" s="322">
        <f t="shared" si="21"/>
        <v>0.73944636678200693</v>
      </c>
      <c r="AN26" s="322">
        <f t="shared" si="22"/>
        <v>0.34602076124567471</v>
      </c>
      <c r="AO26" s="322">
        <f t="shared" si="23"/>
        <v>3.7024221453287195E-2</v>
      </c>
      <c r="AP26" s="322">
        <f t="shared" si="24"/>
        <v>0</v>
      </c>
      <c r="AQ26" s="322">
        <f>D26+I26+M26+R26+Cement!Q26</f>
        <v>3005.8599999999997</v>
      </c>
      <c r="AR26" s="322">
        <f>AI26+Cement!R26-Clinker!E26</f>
        <v>3699.3999999999987</v>
      </c>
      <c r="AS26" s="322"/>
      <c r="AT26" s="368">
        <f>AI26-Production2!N26</f>
        <v>448</v>
      </c>
      <c r="AU26" s="369">
        <f t="shared" si="10"/>
        <v>3338</v>
      </c>
      <c r="AV26" s="321">
        <f t="shared" si="11"/>
        <v>3137</v>
      </c>
      <c r="AW26" s="321">
        <f t="shared" si="12"/>
        <v>-1992.5800000000002</v>
      </c>
      <c r="AX26" s="321">
        <f t="shared" ref="AX26" si="29">D26-AY26</f>
        <v>1992.5800000000002</v>
      </c>
      <c r="AY26" s="321">
        <v>0</v>
      </c>
      <c r="AZ26" s="321">
        <f>(AI26-Production2!N26)/'Mines (2)'!AI26</f>
        <v>0.13421210305572198</v>
      </c>
      <c r="BA26" s="321">
        <f t="shared" si="14"/>
        <v>13.421210305572199</v>
      </c>
    </row>
    <row r="27" spans="2:54" s="321" customFormat="1" x14ac:dyDescent="0.25">
      <c r="B27" s="348">
        <v>25</v>
      </c>
      <c r="C27" s="349">
        <f t="shared" si="0"/>
        <v>8711.4631800029692</v>
      </c>
      <c r="D27" s="1">
        <v>1106.5200000000002</v>
      </c>
      <c r="E27" s="350">
        <f>F27+'RAW MILL 2'!C27</f>
        <v>2546</v>
      </c>
      <c r="F27" s="1">
        <v>2546</v>
      </c>
      <c r="G27" s="351">
        <f t="shared" si="1"/>
        <v>7271.9831800029697</v>
      </c>
      <c r="H27" s="349">
        <f t="shared" si="2"/>
        <v>13918.35074774605</v>
      </c>
      <c r="I27" s="1">
        <v>1498.02</v>
      </c>
      <c r="J27" s="1">
        <v>0</v>
      </c>
      <c r="K27" s="46">
        <f>H27+I27-J27-Cement!S27</f>
        <v>14988.392969968274</v>
      </c>
      <c r="L27" s="349">
        <f t="shared" si="3"/>
        <v>2881.2200000000003</v>
      </c>
      <c r="M27" s="1">
        <v>44.38</v>
      </c>
      <c r="N27" s="350">
        <f>O27+'RAW MILL 2'!D27</f>
        <v>71</v>
      </c>
      <c r="O27" s="1">
        <v>71</v>
      </c>
      <c r="P27" s="351">
        <f t="shared" si="4"/>
        <v>2854.6000000000004</v>
      </c>
      <c r="Q27" s="349">
        <f t="shared" si="5"/>
        <v>3.999999999996362E-2</v>
      </c>
      <c r="R27" s="1">
        <v>0</v>
      </c>
      <c r="S27" s="350">
        <f>T27+'RAW MILL 2'!E27</f>
        <v>0</v>
      </c>
      <c r="T27" s="1">
        <v>0</v>
      </c>
      <c r="U27" s="351">
        <f t="shared" si="19"/>
        <v>3.999999999996362E-2</v>
      </c>
      <c r="V27" s="365">
        <f t="shared" si="25"/>
        <v>0</v>
      </c>
      <c r="W27" s="1">
        <v>0</v>
      </c>
      <c r="X27" s="322">
        <v>0</v>
      </c>
      <c r="Y27" s="365">
        <f t="shared" si="26"/>
        <v>0</v>
      </c>
      <c r="Z27" s="365">
        <f t="shared" si="27"/>
        <v>0</v>
      </c>
      <c r="AA27" s="322">
        <v>0</v>
      </c>
      <c r="AB27" s="322">
        <v>0</v>
      </c>
      <c r="AC27" s="365">
        <f t="shared" si="7"/>
        <v>0</v>
      </c>
      <c r="AD27" s="365">
        <f t="shared" si="28"/>
        <v>0</v>
      </c>
      <c r="AE27" s="322">
        <v>0</v>
      </c>
      <c r="AF27" s="322">
        <v>0</v>
      </c>
      <c r="AG27" s="365">
        <f t="shared" si="8"/>
        <v>0</v>
      </c>
      <c r="AH27" s="366">
        <f>D27+I27+M27+R27+W27+AA27+Cement!Q27+Cement!V27+AE27</f>
        <v>2648.92</v>
      </c>
      <c r="AI27" s="366">
        <f>E27+J27+N27+S27+X27+AB27+Clinker!E27+AF27</f>
        <v>2692</v>
      </c>
      <c r="AJ27" s="322">
        <f>Production2!N27</f>
        <v>2425.0500000000002</v>
      </c>
      <c r="AK27" s="322">
        <f t="shared" si="20"/>
        <v>-266.94999999999982</v>
      </c>
      <c r="AL27" s="367"/>
      <c r="AM27" s="322">
        <f t="shared" si="21"/>
        <v>1.0498752603039112</v>
      </c>
      <c r="AN27" s="322">
        <f t="shared" si="22"/>
        <v>0</v>
      </c>
      <c r="AO27" s="322">
        <f t="shared" si="23"/>
        <v>2.9277746850580398E-2</v>
      </c>
      <c r="AP27" s="322">
        <f t="shared" si="24"/>
        <v>0</v>
      </c>
      <c r="AQ27" s="322">
        <f>D27+I27+M27+R27+Cement!Q27</f>
        <v>2648.92</v>
      </c>
      <c r="AR27" s="322">
        <f>AI27+Cement!R27-Clinker!E27</f>
        <v>3002.1799999999989</v>
      </c>
      <c r="AS27" s="322"/>
      <c r="AT27" s="368">
        <f>AI27-Production2!N27</f>
        <v>266.94999999999982</v>
      </c>
      <c r="AU27" s="369">
        <f t="shared" si="10"/>
        <v>2692</v>
      </c>
      <c r="AV27" s="321">
        <v>25</v>
      </c>
      <c r="AY27" s="321">
        <v>0</v>
      </c>
      <c r="AZ27" s="321">
        <f>(AI27-Production2!N27)/'Mines (2)'!AI27</f>
        <v>9.9164190193164872E-2</v>
      </c>
      <c r="BA27" s="321">
        <f t="shared" si="14"/>
        <v>9.9164190193164874</v>
      </c>
    </row>
    <row r="28" spans="2:54" s="321" customFormat="1" x14ac:dyDescent="0.25">
      <c r="B28" s="348">
        <v>26</v>
      </c>
      <c r="C28" s="349">
        <f t="shared" ref="C28:C33" si="30">G27</f>
        <v>7271.9831800029697</v>
      </c>
      <c r="D28" s="1">
        <v>105.4</v>
      </c>
      <c r="E28" s="350">
        <f>F28+'RAW MILL 2'!C28</f>
        <v>1765</v>
      </c>
      <c r="F28" s="1">
        <v>1765</v>
      </c>
      <c r="G28" s="351">
        <f t="shared" si="1"/>
        <v>5612.3831800029693</v>
      </c>
      <c r="H28" s="349">
        <f t="shared" ref="H28:H33" si="31">K27</f>
        <v>14988.392969968274</v>
      </c>
      <c r="I28" s="1">
        <v>2922.0399999999995</v>
      </c>
      <c r="J28" s="1">
        <v>0</v>
      </c>
      <c r="K28" s="46">
        <f>H28+I28-J28-Cement!S28</f>
        <v>17353.875193276275</v>
      </c>
      <c r="L28" s="349">
        <f t="shared" ref="L28:L33" si="32">P27</f>
        <v>2854.6000000000004</v>
      </c>
      <c r="M28" s="1">
        <v>136.66</v>
      </c>
      <c r="N28" s="350">
        <f>O28+'RAW MILL 2'!D28</f>
        <v>49</v>
      </c>
      <c r="O28" s="1">
        <v>49</v>
      </c>
      <c r="P28" s="351">
        <f t="shared" si="4"/>
        <v>2942.26</v>
      </c>
      <c r="Q28" s="349">
        <f t="shared" ref="Q28:Q33" si="33">U27</f>
        <v>3.999999999996362E-2</v>
      </c>
      <c r="R28" s="1">
        <v>0</v>
      </c>
      <c r="S28" s="350">
        <f>T28+'RAW MILL 2'!E28</f>
        <v>0</v>
      </c>
      <c r="T28" s="1">
        <v>0</v>
      </c>
      <c r="U28" s="351">
        <f t="shared" si="19"/>
        <v>3.999999999996362E-2</v>
      </c>
      <c r="V28" s="365">
        <f t="shared" si="25"/>
        <v>0</v>
      </c>
      <c r="W28" s="1">
        <v>0</v>
      </c>
      <c r="X28" s="322">
        <v>0</v>
      </c>
      <c r="Y28" s="365">
        <f t="shared" si="26"/>
        <v>0</v>
      </c>
      <c r="Z28" s="365">
        <f t="shared" si="27"/>
        <v>0</v>
      </c>
      <c r="AA28" s="322">
        <v>0</v>
      </c>
      <c r="AB28" s="322">
        <v>0</v>
      </c>
      <c r="AC28" s="365">
        <f t="shared" si="7"/>
        <v>0</v>
      </c>
      <c r="AD28" s="365">
        <f t="shared" si="28"/>
        <v>0</v>
      </c>
      <c r="AE28" s="322">
        <v>0</v>
      </c>
      <c r="AF28" s="322">
        <v>0</v>
      </c>
      <c r="AG28" s="365">
        <f t="shared" si="8"/>
        <v>0</v>
      </c>
      <c r="AH28" s="366">
        <f>D28+I28+M28+R28+W28+AA28+Cement!Q28+Cement!V28+AE28</f>
        <v>3164.0999999999995</v>
      </c>
      <c r="AI28" s="366">
        <f>E28+J28+N28+S28+X28+AB28+Clinker!E28+AF28</f>
        <v>1867</v>
      </c>
      <c r="AJ28" s="322">
        <f>Production2!N28</f>
        <v>1681.89</v>
      </c>
      <c r="AK28" s="322">
        <f t="shared" si="20"/>
        <v>-185.1099999999999</v>
      </c>
      <c r="AL28" s="367"/>
      <c r="AM28" s="322">
        <f t="shared" si="21"/>
        <v>1.0494146466177929</v>
      </c>
      <c r="AN28" s="322">
        <f t="shared" si="22"/>
        <v>0</v>
      </c>
      <c r="AO28" s="322">
        <f t="shared" si="23"/>
        <v>2.913389103924751E-2</v>
      </c>
      <c r="AP28" s="322">
        <f t="shared" si="24"/>
        <v>0</v>
      </c>
      <c r="AQ28" s="322">
        <f>D28+I28+M28+R28+Cement!Q28</f>
        <v>3164.0999999999995</v>
      </c>
      <c r="AR28" s="322">
        <f>AI28+Cement!R28-Clinker!E28</f>
        <v>2314.9019990227998</v>
      </c>
      <c r="AS28" s="322"/>
      <c r="AT28" s="368">
        <f>AI28-Production2!N28</f>
        <v>185.1099999999999</v>
      </c>
      <c r="AU28" s="369">
        <f t="shared" si="10"/>
        <v>1867</v>
      </c>
      <c r="AV28" s="321">
        <v>26</v>
      </c>
      <c r="AY28" s="321">
        <v>0</v>
      </c>
      <c r="AZ28" s="321">
        <f>(AI28-Production2!N28)/'Mines (2)'!AI28</f>
        <v>9.9148366363149387E-2</v>
      </c>
      <c r="BA28" s="321">
        <f t="shared" si="14"/>
        <v>9.9148366363149378</v>
      </c>
    </row>
    <row r="29" spans="2:54" x14ac:dyDescent="0.25">
      <c r="B29" s="4">
        <v>27</v>
      </c>
      <c r="C29" s="39">
        <f t="shared" si="30"/>
        <v>5612.3831800029693</v>
      </c>
      <c r="D29" s="1">
        <v>2026.5799999999995</v>
      </c>
      <c r="E29" s="269">
        <f>F29+'RAW MILL 2'!C29</f>
        <v>1083</v>
      </c>
      <c r="F29" s="1">
        <v>1083</v>
      </c>
      <c r="G29" s="9">
        <f t="shared" si="1"/>
        <v>6555.9631800029692</v>
      </c>
      <c r="H29" s="39">
        <f t="shared" si="31"/>
        <v>17353.875193276275</v>
      </c>
      <c r="I29" s="1">
        <v>1040.5400000000002</v>
      </c>
      <c r="J29" s="1">
        <v>2000</v>
      </c>
      <c r="K29" s="46">
        <f>H29+I29-J29-Cement!S29</f>
        <v>15808.415193276278</v>
      </c>
      <c r="L29" s="39">
        <f t="shared" si="32"/>
        <v>2942.26</v>
      </c>
      <c r="M29" s="1">
        <v>0</v>
      </c>
      <c r="N29" s="269">
        <f>O29+'RAW MILL 2'!D29</f>
        <v>32</v>
      </c>
      <c r="O29" s="1">
        <v>32</v>
      </c>
      <c r="P29" s="9">
        <f t="shared" si="4"/>
        <v>2910.26</v>
      </c>
      <c r="Q29" s="39">
        <f t="shared" si="33"/>
        <v>3.999999999996362E-2</v>
      </c>
      <c r="R29" s="1">
        <v>0</v>
      </c>
      <c r="S29" s="269">
        <f>T29+'RAW MILL 2'!E29</f>
        <v>0</v>
      </c>
      <c r="T29" s="1">
        <v>0</v>
      </c>
      <c r="U29" s="9">
        <f t="shared" si="19"/>
        <v>3.999999999996362E-2</v>
      </c>
      <c r="V29" s="27">
        <f t="shared" si="25"/>
        <v>0</v>
      </c>
      <c r="W29" s="1">
        <v>0</v>
      </c>
      <c r="X29" s="1">
        <v>0</v>
      </c>
      <c r="Y29" s="27">
        <f t="shared" si="26"/>
        <v>0</v>
      </c>
      <c r="Z29" s="27">
        <f t="shared" si="27"/>
        <v>0</v>
      </c>
      <c r="AA29" s="1">
        <v>0</v>
      </c>
      <c r="AB29" s="1">
        <v>0</v>
      </c>
      <c r="AC29" s="27">
        <f t="shared" si="7"/>
        <v>0</v>
      </c>
      <c r="AD29" s="27">
        <f t="shared" si="28"/>
        <v>0</v>
      </c>
      <c r="AE29" s="1">
        <v>0</v>
      </c>
      <c r="AF29" s="1">
        <v>0</v>
      </c>
      <c r="AG29" s="27">
        <f t="shared" si="8"/>
        <v>0</v>
      </c>
      <c r="AH29" s="31">
        <f>D29+I29+M29+R29+W29+AA29+Cement!Q29+Cement!V29+AE29</f>
        <v>3067.12</v>
      </c>
      <c r="AI29" s="31">
        <f>E29+J29+N29+S29+X29+AB29+Clinker!E29+AF29</f>
        <v>3179</v>
      </c>
      <c r="AJ29" s="1">
        <f>Production2!N29</f>
        <v>2863.02</v>
      </c>
      <c r="AK29" s="1">
        <f t="shared" si="20"/>
        <v>-315.98</v>
      </c>
      <c r="AL29" s="294"/>
      <c r="AM29" s="1">
        <f>E29/AJ29</f>
        <v>0.37827189471257622</v>
      </c>
      <c r="AN29" s="1">
        <f t="shared" si="22"/>
        <v>0.69856305579423128</v>
      </c>
      <c r="AO29" s="1">
        <f t="shared" si="23"/>
        <v>1.11770088927077E-2</v>
      </c>
      <c r="AP29" s="1">
        <f t="shared" si="24"/>
        <v>0</v>
      </c>
      <c r="AQ29" s="1"/>
      <c r="AR29" s="1">
        <f>AI29+Cement!R29-Clinker!E29</f>
        <v>3642.3999999999983</v>
      </c>
      <c r="AS29" s="1"/>
      <c r="AT29" s="50">
        <f>AI29-Production2!N29</f>
        <v>315.98</v>
      </c>
      <c r="AU29" s="52">
        <f t="shared" si="10"/>
        <v>3179</v>
      </c>
      <c r="AV29">
        <v>27</v>
      </c>
      <c r="AY29">
        <v>0</v>
      </c>
      <c r="AZ29">
        <f>(AI29-Production2!N29)/'Mines (2)'!AI29</f>
        <v>9.9396036489462103E-2</v>
      </c>
      <c r="BA29">
        <f t="shared" si="14"/>
        <v>9.9396036489462105</v>
      </c>
    </row>
    <row r="30" spans="2:54" x14ac:dyDescent="0.25">
      <c r="B30" s="4">
        <v>28</v>
      </c>
      <c r="C30" s="39">
        <f t="shared" si="30"/>
        <v>6555.9631800029692</v>
      </c>
      <c r="D30" s="1">
        <v>1283.02</v>
      </c>
      <c r="E30" s="269">
        <f>F30+'RAW MILL 2'!C30</f>
        <v>1204</v>
      </c>
      <c r="F30" s="1">
        <v>1204</v>
      </c>
      <c r="G30" s="9">
        <f t="shared" si="1"/>
        <v>6634.9831800029697</v>
      </c>
      <c r="H30" s="39">
        <f t="shared" si="31"/>
        <v>15808.415193276278</v>
      </c>
      <c r="I30" s="1">
        <v>2006.46</v>
      </c>
      <c r="J30" s="1">
        <v>2000</v>
      </c>
      <c r="K30" s="46">
        <f>H30+I30-J30-Cement!S30</f>
        <v>15460.908526621359</v>
      </c>
      <c r="L30" s="39">
        <f t="shared" si="32"/>
        <v>2910.26</v>
      </c>
      <c r="M30" s="1">
        <v>88</v>
      </c>
      <c r="N30" s="269">
        <f>O30+'RAW MILL 2'!D30</f>
        <v>33</v>
      </c>
      <c r="O30" s="1">
        <v>33</v>
      </c>
      <c r="P30" s="9">
        <f t="shared" si="4"/>
        <v>2965.26</v>
      </c>
      <c r="Q30" s="39">
        <f t="shared" si="33"/>
        <v>3.999999999996362E-2</v>
      </c>
      <c r="R30" s="1">
        <v>0</v>
      </c>
      <c r="S30" s="269">
        <f>T30+'RAW MILL 2'!E30</f>
        <v>0</v>
      </c>
      <c r="T30" s="1">
        <v>0</v>
      </c>
      <c r="U30" s="9">
        <f t="shared" si="19"/>
        <v>3.999999999996362E-2</v>
      </c>
      <c r="V30" s="27">
        <f t="shared" si="25"/>
        <v>0</v>
      </c>
      <c r="W30" s="1">
        <v>0</v>
      </c>
      <c r="X30" s="1">
        <v>0</v>
      </c>
      <c r="Y30" s="27">
        <f t="shared" si="26"/>
        <v>0</v>
      </c>
      <c r="Z30" s="27">
        <f t="shared" si="27"/>
        <v>0</v>
      </c>
      <c r="AA30" s="1">
        <v>0</v>
      </c>
      <c r="AB30" s="1">
        <v>0</v>
      </c>
      <c r="AC30" s="27">
        <f t="shared" si="7"/>
        <v>0</v>
      </c>
      <c r="AD30" s="27">
        <f t="shared" si="28"/>
        <v>0</v>
      </c>
      <c r="AE30" s="1">
        <v>0</v>
      </c>
      <c r="AF30" s="1">
        <v>0</v>
      </c>
      <c r="AG30" s="27">
        <f t="shared" si="8"/>
        <v>0</v>
      </c>
      <c r="AH30" s="31">
        <f>D30+I30+M30+R30+W30+AA30+Cement!Q30+Cement!V30+AE30</f>
        <v>3377.48</v>
      </c>
      <c r="AI30" s="31">
        <f>E30+J30+N30+S30+X30+AB30+Clinker!E30+AF30</f>
        <v>3303</v>
      </c>
      <c r="AJ30" s="1">
        <f>Production2!N30</f>
        <v>2974.68</v>
      </c>
      <c r="AK30" s="1">
        <f t="shared" si="20"/>
        <v>-328.32000000000016</v>
      </c>
      <c r="AL30" s="294"/>
      <c r="AM30" s="1">
        <f t="shared" si="21"/>
        <v>0.40474941842483897</v>
      </c>
      <c r="AN30" s="1">
        <f t="shared" si="22"/>
        <v>0.67234122661933393</v>
      </c>
      <c r="AO30" s="1">
        <f t="shared" si="23"/>
        <v>1.1093630239219009E-2</v>
      </c>
      <c r="AP30" s="1">
        <f t="shared" si="24"/>
        <v>0</v>
      </c>
      <c r="AQ30" s="1"/>
      <c r="AR30" s="1">
        <f>AI30+Cement!R30-Clinker!E30</f>
        <v>3555.5699999894277</v>
      </c>
      <c r="AS30" s="1"/>
      <c r="AT30" s="50">
        <f>AI30-Production2!N30</f>
        <v>328.32000000000016</v>
      </c>
      <c r="AU30" s="52">
        <f t="shared" si="10"/>
        <v>3303</v>
      </c>
      <c r="AV30">
        <v>28</v>
      </c>
      <c r="AY30">
        <v>0</v>
      </c>
      <c r="AZ30">
        <f>(AI30-Production2!N30)/'Mines (2)'!AI30</f>
        <v>9.9400544959128118E-2</v>
      </c>
      <c r="BA30">
        <f t="shared" si="14"/>
        <v>9.9400544959128112</v>
      </c>
    </row>
    <row r="31" spans="2:54" x14ac:dyDescent="0.25">
      <c r="B31" s="4">
        <v>29</v>
      </c>
      <c r="C31" s="39">
        <f t="shared" si="30"/>
        <v>6634.9831800029697</v>
      </c>
      <c r="D31" s="1">
        <v>2814.0200000000009</v>
      </c>
      <c r="E31" s="269">
        <f>F31+'RAW MILL 2'!C31</f>
        <v>856</v>
      </c>
      <c r="F31" s="1">
        <v>856</v>
      </c>
      <c r="G31" s="9">
        <f t="shared" si="1"/>
        <v>8593.0031800029701</v>
      </c>
      <c r="H31" s="39">
        <f t="shared" si="31"/>
        <v>15460.908526621359</v>
      </c>
      <c r="I31" s="1">
        <v>1258.2</v>
      </c>
      <c r="J31" s="1">
        <v>2000</v>
      </c>
      <c r="K31" s="46">
        <f>H31+I31-J31-Cement!S31</f>
        <v>14299.00741567236</v>
      </c>
      <c r="L31" s="39">
        <f t="shared" si="32"/>
        <v>2965.26</v>
      </c>
      <c r="M31" s="1">
        <v>112.18</v>
      </c>
      <c r="N31" s="269">
        <f>O31+'RAW MILL 2'!D31</f>
        <v>30</v>
      </c>
      <c r="O31" s="1">
        <v>30</v>
      </c>
      <c r="P31" s="9">
        <f t="shared" si="4"/>
        <v>3047.44</v>
      </c>
      <c r="Q31" s="39">
        <f t="shared" si="33"/>
        <v>3.999999999996362E-2</v>
      </c>
      <c r="R31" s="1">
        <v>0</v>
      </c>
      <c r="S31" s="269">
        <f>T31+'RAW MILL 2'!E31</f>
        <v>0</v>
      </c>
      <c r="T31" s="1">
        <v>0</v>
      </c>
      <c r="U31" s="9">
        <f t="shared" si="19"/>
        <v>3.999999999996362E-2</v>
      </c>
      <c r="V31" s="27">
        <f t="shared" si="25"/>
        <v>0</v>
      </c>
      <c r="W31" s="1">
        <v>0</v>
      </c>
      <c r="X31" s="1">
        <v>0</v>
      </c>
      <c r="Y31" s="27">
        <f t="shared" si="26"/>
        <v>0</v>
      </c>
      <c r="Z31" s="27">
        <f t="shared" si="27"/>
        <v>0</v>
      </c>
      <c r="AA31" s="1">
        <v>0</v>
      </c>
      <c r="AB31" s="1">
        <v>0</v>
      </c>
      <c r="AC31" s="27">
        <f t="shared" si="7"/>
        <v>0</v>
      </c>
      <c r="AD31" s="27">
        <f t="shared" si="28"/>
        <v>0</v>
      </c>
      <c r="AE31" s="1">
        <v>0</v>
      </c>
      <c r="AF31" s="1">
        <v>0</v>
      </c>
      <c r="AG31" s="27">
        <f t="shared" si="8"/>
        <v>0</v>
      </c>
      <c r="AH31" s="31">
        <f>D31+I31+M31+R31+W31+AA31+Cement!Q31+Cement!V31+AE31</f>
        <v>4184.4000000000015</v>
      </c>
      <c r="AI31" s="31">
        <f>E31+J31+N31+S31+X31+AB31+Clinker!E31+AF31</f>
        <v>2945</v>
      </c>
      <c r="AJ31" s="1">
        <f>Production2!N31</f>
        <v>2652.27</v>
      </c>
      <c r="AK31" s="1">
        <f t="shared" si="20"/>
        <v>-292.73</v>
      </c>
      <c r="AL31" s="294"/>
      <c r="AM31" s="1">
        <f t="shared" si="21"/>
        <v>0.32274240556202799</v>
      </c>
      <c r="AN31" s="1">
        <f t="shared" si="22"/>
        <v>0.75407104103277567</v>
      </c>
      <c r="AO31" s="1">
        <f t="shared" si="23"/>
        <v>1.1311065615491635E-2</v>
      </c>
      <c r="AP31" s="1">
        <f t="shared" si="24"/>
        <v>0</v>
      </c>
      <c r="AQ31" s="1"/>
      <c r="AR31" s="1">
        <f>AI31+Cement!R31-Clinker!E31</f>
        <v>3264.0909998541001</v>
      </c>
      <c r="AS31" s="1"/>
      <c r="AT31" s="50">
        <f>AI31-Production2!N31</f>
        <v>292.73</v>
      </c>
      <c r="AU31" s="175">
        <f t="shared" si="10"/>
        <v>2945</v>
      </c>
      <c r="AV31">
        <v>29</v>
      </c>
      <c r="AY31">
        <v>0</v>
      </c>
      <c r="AZ31">
        <f>(AI31-Production2!N31)/'Mines (2)'!AI31</f>
        <v>9.9398981324278449E-2</v>
      </c>
      <c r="BA31">
        <f t="shared" si="14"/>
        <v>9.9398981324278441</v>
      </c>
    </row>
    <row r="32" spans="2:54" x14ac:dyDescent="0.25">
      <c r="B32" s="4">
        <v>30</v>
      </c>
      <c r="C32" s="39">
        <f t="shared" si="30"/>
        <v>8593.0031800029701</v>
      </c>
      <c r="D32" s="1">
        <v>967.2600000000001</v>
      </c>
      <c r="E32" s="269">
        <f>F32+'RAW MILL 2'!C32</f>
        <v>1338</v>
      </c>
      <c r="F32" s="1">
        <v>1329</v>
      </c>
      <c r="G32" s="9">
        <f t="shared" si="1"/>
        <v>8222.2631800029703</v>
      </c>
      <c r="H32" s="39">
        <f t="shared" si="31"/>
        <v>14299.00741567236</v>
      </c>
      <c r="I32" s="1">
        <v>1893.4200000000003</v>
      </c>
      <c r="J32" s="1">
        <v>2000</v>
      </c>
      <c r="K32" s="46">
        <f>H32+I32-J32-Cement!S32</f>
        <v>13566.939304561251</v>
      </c>
      <c r="L32" s="39">
        <f t="shared" si="32"/>
        <v>3047.44</v>
      </c>
      <c r="M32" s="1">
        <v>0</v>
      </c>
      <c r="N32" s="269">
        <f>O32+'RAW MILL 2'!D32</f>
        <v>35</v>
      </c>
      <c r="O32" s="1">
        <v>34</v>
      </c>
      <c r="P32" s="9">
        <f t="shared" si="4"/>
        <v>3012.44</v>
      </c>
      <c r="Q32" s="39">
        <f t="shared" si="33"/>
        <v>3.999999999996362E-2</v>
      </c>
      <c r="R32" s="1">
        <v>0</v>
      </c>
      <c r="S32" s="269">
        <f>T32+'RAW MILL 2'!E32</f>
        <v>0</v>
      </c>
      <c r="T32" s="1">
        <v>0</v>
      </c>
      <c r="U32" s="9">
        <f t="shared" si="19"/>
        <v>3.999999999996362E-2</v>
      </c>
      <c r="V32" s="27">
        <f t="shared" si="25"/>
        <v>0</v>
      </c>
      <c r="W32" s="1">
        <v>0</v>
      </c>
      <c r="X32" s="1">
        <v>0</v>
      </c>
      <c r="Y32" s="27">
        <f t="shared" si="26"/>
        <v>0</v>
      </c>
      <c r="Z32" s="27">
        <f t="shared" si="27"/>
        <v>0</v>
      </c>
      <c r="AA32" s="1">
        <v>0</v>
      </c>
      <c r="AB32" s="1">
        <v>0</v>
      </c>
      <c r="AC32" s="27">
        <f t="shared" si="7"/>
        <v>0</v>
      </c>
      <c r="AD32" s="27">
        <f t="shared" si="28"/>
        <v>0</v>
      </c>
      <c r="AE32" s="1">
        <v>0</v>
      </c>
      <c r="AF32" s="1">
        <v>0</v>
      </c>
      <c r="AG32" s="27">
        <f t="shared" si="8"/>
        <v>0</v>
      </c>
      <c r="AH32" s="31">
        <f>D32+I32+M32+R32+W32+AA32+Cement!Q32+Cement!V32+AE32</f>
        <v>2860.6800000000003</v>
      </c>
      <c r="AI32" s="31">
        <f>E32+J32+N32+S32+X32+AB32+Clinker!E32+AF32</f>
        <v>3451</v>
      </c>
      <c r="AJ32" s="1">
        <f>Production2!N32</f>
        <v>3098</v>
      </c>
      <c r="AK32" s="1">
        <f t="shared" si="20"/>
        <v>-353</v>
      </c>
      <c r="AL32" s="294"/>
      <c r="AM32" s="1">
        <f t="shared" si="21"/>
        <v>0.43189154293092319</v>
      </c>
      <c r="AN32" s="1">
        <f t="shared" si="22"/>
        <v>0.64557779212395094</v>
      </c>
      <c r="AO32" s="1">
        <f t="shared" si="23"/>
        <v>1.1297611362169141E-2</v>
      </c>
      <c r="AP32" s="1">
        <f t="shared" si="24"/>
        <v>0</v>
      </c>
      <c r="AQ32" s="1"/>
      <c r="AR32" s="1">
        <f>AI32+Cement!R32-Clinker!E32</f>
        <v>3935.9599999999987</v>
      </c>
      <c r="AS32" s="1"/>
      <c r="AT32" s="52">
        <f>AI32-Production2!N32</f>
        <v>353</v>
      </c>
      <c r="AU32" s="175">
        <f t="shared" si="10"/>
        <v>3451</v>
      </c>
      <c r="AV32">
        <v>30</v>
      </c>
      <c r="AY32">
        <v>0</v>
      </c>
      <c r="AZ32">
        <f>(AI32-Production2!N32)/'Mines (2)'!AI32</f>
        <v>0.10228919153868445</v>
      </c>
    </row>
    <row r="33" spans="2:48" s="160" customFormat="1" x14ac:dyDescent="0.25">
      <c r="B33" s="155">
        <v>31</v>
      </c>
      <c r="C33" s="156">
        <f t="shared" si="30"/>
        <v>8222.2631800029703</v>
      </c>
      <c r="D33" s="1">
        <v>654.52</v>
      </c>
      <c r="E33" s="269">
        <f>F33+'RAW MILL 2'!C33</f>
        <v>1354</v>
      </c>
      <c r="F33" s="1">
        <v>1155</v>
      </c>
      <c r="G33" s="9">
        <f t="shared" si="1"/>
        <v>7522.7831800029708</v>
      </c>
      <c r="H33" s="156">
        <f t="shared" si="31"/>
        <v>13566.939304561251</v>
      </c>
      <c r="I33" s="1">
        <v>1068.8</v>
      </c>
      <c r="J33" s="1">
        <v>2000</v>
      </c>
      <c r="K33" s="46">
        <f>H33+I33-J33-Cement!S33</f>
        <v>11945.017082328195</v>
      </c>
      <c r="L33" s="156">
        <f t="shared" si="32"/>
        <v>3012.44</v>
      </c>
      <c r="M33" s="1">
        <v>0</v>
      </c>
      <c r="N33" s="269">
        <f>O33+'RAW MILL 2'!D33</f>
        <v>101</v>
      </c>
      <c r="O33" s="1">
        <v>95</v>
      </c>
      <c r="P33" s="9">
        <f t="shared" si="4"/>
        <v>2911.44</v>
      </c>
      <c r="Q33" s="156">
        <f t="shared" si="33"/>
        <v>3.999999999996362E-2</v>
      </c>
      <c r="R33" s="1">
        <v>0</v>
      </c>
      <c r="S33" s="269">
        <f>T33+'RAW MILL 2'!E33</f>
        <v>0</v>
      </c>
      <c r="T33" s="1">
        <v>0</v>
      </c>
      <c r="U33" s="9">
        <f t="shared" si="19"/>
        <v>3.999999999996362E-2</v>
      </c>
      <c r="V33" s="159">
        <f t="shared" ref="V33" si="34">Y32</f>
        <v>0</v>
      </c>
      <c r="W33" s="1">
        <v>0</v>
      </c>
      <c r="X33" s="1">
        <v>0</v>
      </c>
      <c r="Y33" s="27">
        <f t="shared" si="26"/>
        <v>0</v>
      </c>
      <c r="Z33" s="159">
        <f t="shared" si="27"/>
        <v>0</v>
      </c>
      <c r="AA33" s="1">
        <v>0</v>
      </c>
      <c r="AB33" s="1">
        <v>0</v>
      </c>
      <c r="AC33" s="27">
        <f t="shared" si="7"/>
        <v>0</v>
      </c>
      <c r="AD33" s="159">
        <f t="shared" si="28"/>
        <v>0</v>
      </c>
      <c r="AE33" s="1">
        <v>0</v>
      </c>
      <c r="AF33" s="1">
        <v>0</v>
      </c>
      <c r="AG33" s="27">
        <f t="shared" si="8"/>
        <v>0</v>
      </c>
      <c r="AH33" s="31">
        <f>D33+I33+M33+R33+W33+AA33+Cement!Q33+Cement!V33+AE33</f>
        <v>1723.32</v>
      </c>
      <c r="AI33" s="31">
        <f>E33+J33+N33+S33+X33+AB33+Clinker!E33+AF33</f>
        <v>3505</v>
      </c>
      <c r="AJ33" s="157"/>
      <c r="AK33" s="157"/>
      <c r="AL33" s="294"/>
      <c r="AM33" s="157"/>
      <c r="AN33" s="157"/>
      <c r="AO33" s="157"/>
      <c r="AP33" s="157"/>
      <c r="AQ33" s="157"/>
      <c r="AR33" s="157"/>
      <c r="AS33" s="157"/>
      <c r="AT33" s="175">
        <f>AI33-Production2!N33</f>
        <v>538</v>
      </c>
    </row>
    <row r="34" spans="2:48" ht="15.75" thickBot="1" x14ac:dyDescent="0.3">
      <c r="B34" s="5" t="s">
        <v>26</v>
      </c>
      <c r="C34" s="8"/>
      <c r="D34" s="8">
        <f>SUM(D3:D33)</f>
        <v>56592.000000000007</v>
      </c>
      <c r="E34" s="8">
        <f>SUM(E3:E33)</f>
        <v>56342</v>
      </c>
      <c r="F34" s="8"/>
      <c r="G34" s="10"/>
      <c r="H34" s="8"/>
      <c r="I34" s="8">
        <f>SUM(I3:I33)</f>
        <v>35289.580000000009</v>
      </c>
      <c r="J34" s="8">
        <f>SUM(J3:J33)</f>
        <v>16802</v>
      </c>
      <c r="K34" s="9"/>
      <c r="L34" s="8"/>
      <c r="M34" s="8">
        <f>SUM(M3:M33)</f>
        <v>3917.940000000001</v>
      </c>
      <c r="N34" s="8">
        <f>SUM(N3:N33)</f>
        <v>1953</v>
      </c>
      <c r="O34" s="8">
        <f>SUM(O3:O33)</f>
        <v>1898</v>
      </c>
      <c r="P34" s="10"/>
      <c r="Q34" s="8"/>
      <c r="R34" s="8">
        <f>SUM(R3:R33)</f>
        <v>0</v>
      </c>
      <c r="S34" s="8">
        <f>SUM(S3:S33)</f>
        <v>191</v>
      </c>
      <c r="T34" s="8">
        <f>SUM(T3:T33)</f>
        <v>188</v>
      </c>
      <c r="U34" s="8">
        <f t="shared" ref="U34:Y34" si="35">SUM(U3:U33)</f>
        <v>1090.2399999999989</v>
      </c>
      <c r="V34" s="8">
        <f t="shared" si="35"/>
        <v>0</v>
      </c>
      <c r="W34" s="8">
        <f t="shared" si="35"/>
        <v>0</v>
      </c>
      <c r="X34" s="8">
        <f t="shared" si="35"/>
        <v>0</v>
      </c>
      <c r="Y34" s="8">
        <f t="shared" si="35"/>
        <v>0</v>
      </c>
      <c r="Z34" s="8">
        <f t="shared" ref="Z34:AC34" si="36">SUM(Z3:Z33)</f>
        <v>0</v>
      </c>
      <c r="AA34" s="8">
        <f t="shared" si="36"/>
        <v>0</v>
      </c>
      <c r="AB34" s="8">
        <f t="shared" si="36"/>
        <v>0</v>
      </c>
      <c r="AC34" s="8">
        <f t="shared" si="36"/>
        <v>0</v>
      </c>
      <c r="AD34" s="8">
        <f t="shared" ref="AD34:AG34" si="37">SUM(AD3:AD33)</f>
        <v>0</v>
      </c>
      <c r="AE34" s="8">
        <f t="shared" si="37"/>
        <v>0</v>
      </c>
      <c r="AF34" s="8">
        <f t="shared" si="37"/>
        <v>0</v>
      </c>
      <c r="AG34" s="8">
        <f t="shared" si="37"/>
        <v>0</v>
      </c>
      <c r="AH34" s="1"/>
      <c r="AI34" s="1">
        <f>SUM(AI3:AI33)</f>
        <v>76986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2:48" x14ac:dyDescent="0.25">
      <c r="B35" t="s">
        <v>27</v>
      </c>
      <c r="D35" s="17">
        <f>D36+SUM(D3:D33)</f>
        <v>88657.72</v>
      </c>
      <c r="E35" s="17">
        <f>E36+SUM(E3:E33)</f>
        <v>90641</v>
      </c>
      <c r="F35" s="17"/>
      <c r="G35" s="17"/>
      <c r="H35" s="17"/>
      <c r="I35" s="17">
        <f>I36+SUM(I3:I33)</f>
        <v>68209.56</v>
      </c>
      <c r="J35" s="17">
        <f>J36+SUM(J3:J33)</f>
        <v>49390</v>
      </c>
      <c r="K35" s="17"/>
      <c r="L35" s="17"/>
      <c r="M35" s="17">
        <f>M36+SUM(M3:M33)</f>
        <v>5269.4000000000015</v>
      </c>
      <c r="N35" s="17">
        <f>N36+SUM(N3:N33)</f>
        <v>2482</v>
      </c>
      <c r="O35" s="17">
        <f>O36+SUM(O3:O33)</f>
        <v>2390</v>
      </c>
      <c r="P35" s="17"/>
      <c r="Q35" s="17"/>
      <c r="R35" s="17">
        <f>R36+SUM(R3:R33)</f>
        <v>137.76</v>
      </c>
      <c r="S35" s="17">
        <f>S36+SUM(S3:S33)</f>
        <v>738</v>
      </c>
      <c r="T35" s="17">
        <f>T36+SUM(T3:T33)</f>
        <v>705</v>
      </c>
      <c r="W35" s="17">
        <f>W36+SUM(W3:W33)</f>
        <v>0</v>
      </c>
      <c r="X35" s="17">
        <f>X36+SUM(X3:X33)</f>
        <v>0</v>
      </c>
      <c r="AA35" s="17">
        <f>AA36+SUM(AA3:AA33)</f>
        <v>0</v>
      </c>
      <c r="AB35" s="17">
        <f>AB36+SUM(AB3:AB33)</f>
        <v>0</v>
      </c>
      <c r="AE35" s="17">
        <f>AE36+SUM(AE3:AE33)</f>
        <v>0</v>
      </c>
      <c r="AF35" s="17">
        <f>AF36+SUM(AF3:AF33)</f>
        <v>0</v>
      </c>
      <c r="AK35" s="1"/>
      <c r="AL35" s="1"/>
    </row>
    <row r="36" spans="2:48" x14ac:dyDescent="0.25">
      <c r="D36" s="17">
        <v>32065.72</v>
      </c>
      <c r="E36" s="17">
        <v>34299</v>
      </c>
      <c r="F36" s="17"/>
      <c r="G36" s="17"/>
      <c r="H36" s="17"/>
      <c r="I36" s="17">
        <v>32919.979999999996</v>
      </c>
      <c r="J36" s="17">
        <v>32588</v>
      </c>
      <c r="K36" s="17"/>
      <c r="L36" s="17"/>
      <c r="M36" s="17">
        <v>1351.4600000000003</v>
      </c>
      <c r="N36" s="17">
        <v>529</v>
      </c>
      <c r="O36" s="17">
        <v>492</v>
      </c>
      <c r="P36" s="17"/>
      <c r="Q36" s="17"/>
      <c r="R36" s="17">
        <v>137.76</v>
      </c>
      <c r="S36" s="17">
        <v>547</v>
      </c>
      <c r="T36" s="17">
        <v>517</v>
      </c>
      <c r="W36" s="17">
        <v>0</v>
      </c>
      <c r="X36" s="17">
        <v>0</v>
      </c>
      <c r="AA36" s="17">
        <v>0</v>
      </c>
      <c r="AB36" s="17">
        <v>0</v>
      </c>
      <c r="AE36" s="17">
        <v>0</v>
      </c>
      <c r="AF36" s="17">
        <v>0</v>
      </c>
      <c r="AK36" s="1"/>
      <c r="AL36" s="1"/>
    </row>
    <row r="39" spans="2:48" x14ac:dyDescent="0.25">
      <c r="I39">
        <f>D36+I36+W36+AA36+Cement!Q36+Cement!V36</f>
        <v>64985.7</v>
      </c>
      <c r="J39">
        <f>E36+J36+X36+AB36+Cement!R36+Cement!W36</f>
        <v>75518.819992562232</v>
      </c>
      <c r="Q39" s="293">
        <v>3103</v>
      </c>
      <c r="R39" s="294">
        <v>3286</v>
      </c>
      <c r="S39" s="294">
        <v>2899</v>
      </c>
      <c r="T39" s="294">
        <v>2899</v>
      </c>
      <c r="U39" s="294">
        <v>3290</v>
      </c>
      <c r="V39" s="294">
        <v>3245</v>
      </c>
      <c r="W39" s="294">
        <v>3139</v>
      </c>
      <c r="X39" s="294">
        <v>1732</v>
      </c>
      <c r="Y39" s="294">
        <v>1959</v>
      </c>
      <c r="Z39" s="294">
        <v>3119</v>
      </c>
      <c r="AA39" s="294">
        <v>3017</v>
      </c>
      <c r="AB39" s="294">
        <v>3256</v>
      </c>
      <c r="AC39" s="294">
        <v>3209</v>
      </c>
      <c r="AD39" s="294">
        <v>3075</v>
      </c>
      <c r="AE39" s="294">
        <v>2456</v>
      </c>
      <c r="AF39" s="294">
        <v>2956</v>
      </c>
      <c r="AG39" s="294">
        <v>3022</v>
      </c>
      <c r="AH39" s="295">
        <v>2379</v>
      </c>
      <c r="AI39" s="294">
        <v>3157</v>
      </c>
      <c r="AJ39" s="294">
        <v>2838</v>
      </c>
      <c r="AK39" s="294">
        <v>3051</v>
      </c>
      <c r="AL39" s="294">
        <v>2232</v>
      </c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</row>
  </sheetData>
  <mergeCells count="7">
    <mergeCell ref="AD1:AG1"/>
    <mergeCell ref="Z1:AC1"/>
    <mergeCell ref="C1:G1"/>
    <mergeCell ref="H1:K1"/>
    <mergeCell ref="L1:P1"/>
    <mergeCell ref="Q1:U1"/>
    <mergeCell ref="V1:Y1"/>
  </mergeCells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FL40"/>
  <sheetViews>
    <sheetView zoomScale="60" zoomScaleNormal="60" workbookViewId="0">
      <pane xSplit="2" ySplit="2" topLeftCell="EK3" activePane="bottomRight" state="frozen"/>
      <selection pane="topRight" activeCell="C1" sqref="C1"/>
      <selection pane="bottomLeft" activeCell="A3" sqref="A3"/>
      <selection pane="bottomRight" activeCell="FF32" sqref="FF32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style="268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8.42578125" bestFit="1" customWidth="1"/>
    <col min="11" max="11" width="15.140625" bestFit="1" customWidth="1"/>
    <col min="12" max="12" width="16.28515625" bestFit="1" customWidth="1"/>
    <col min="13" max="13" width="12.7109375" bestFit="1" customWidth="1"/>
    <col min="14" max="15" width="12.7109375" customWidth="1"/>
    <col min="16" max="16" width="15.140625" bestFit="1" customWidth="1"/>
    <col min="17" max="17" width="15.5703125" bestFit="1" customWidth="1"/>
    <col min="18" max="18" width="16.28515625" bestFit="1" customWidth="1"/>
    <col min="19" max="19" width="12.7109375" bestFit="1" customWidth="1"/>
    <col min="20" max="20" width="21.140625" bestFit="1" customWidth="1"/>
    <col min="21" max="21" width="15.42578125" bestFit="1" customWidth="1"/>
    <col min="22" max="22" width="21.28515625" bestFit="1" customWidth="1"/>
    <col min="23" max="23" width="15.5703125" bestFit="1" customWidth="1"/>
    <col min="24" max="24" width="16.28515625" bestFit="1" customWidth="1"/>
    <col min="25" max="25" width="12.7109375" bestFit="1" customWidth="1"/>
    <col min="26" max="26" width="12.7109375" customWidth="1"/>
    <col min="27" max="27" width="15.140625" bestFit="1" customWidth="1"/>
    <col min="28" max="28" width="15.5703125" bestFit="1" customWidth="1"/>
    <col min="29" max="29" width="16.28515625" bestFit="1" customWidth="1"/>
    <col min="30" max="30" width="12.7109375" bestFit="1" customWidth="1"/>
    <col min="31" max="31" width="15.140625" bestFit="1" customWidth="1"/>
    <col min="32" max="32" width="15.5703125" bestFit="1" customWidth="1"/>
    <col min="33" max="33" width="16.28515625" bestFit="1" customWidth="1"/>
    <col min="34" max="34" width="12.7109375" bestFit="1" customWidth="1"/>
    <col min="35" max="35" width="12.7109375" customWidth="1"/>
    <col min="36" max="36" width="15.140625" bestFit="1" customWidth="1"/>
    <col min="37" max="37" width="15.5703125" bestFit="1" customWidth="1"/>
    <col min="38" max="139" width="15.5703125" customWidth="1"/>
    <col min="140" max="140" width="16.28515625" bestFit="1" customWidth="1"/>
    <col min="141" max="141" width="12.7109375" bestFit="1" customWidth="1"/>
    <col min="142" max="142" width="15.140625" bestFit="1" customWidth="1"/>
    <col min="143" max="143" width="15.5703125" bestFit="1" customWidth="1"/>
    <col min="144" max="144" width="12" customWidth="1"/>
    <col min="145" max="145" width="9.140625" customWidth="1"/>
    <col min="146" max="147" width="18" customWidth="1"/>
    <col min="148" max="148" width="9.7109375" bestFit="1" customWidth="1"/>
  </cols>
  <sheetData>
    <row r="1" spans="2:155" x14ac:dyDescent="0.25">
      <c r="B1" s="3" t="s">
        <v>28</v>
      </c>
      <c r="C1" s="657" t="s">
        <v>36</v>
      </c>
      <c r="D1" s="658"/>
      <c r="E1" s="658"/>
      <c r="F1" s="660"/>
      <c r="G1" s="659"/>
      <c r="H1" s="657" t="s">
        <v>37</v>
      </c>
      <c r="I1" s="658"/>
      <c r="J1" s="658"/>
      <c r="K1" s="658"/>
      <c r="L1" s="657" t="s">
        <v>38</v>
      </c>
      <c r="M1" s="658"/>
      <c r="N1" s="658"/>
      <c r="O1" s="658"/>
      <c r="P1" s="658"/>
      <c r="Q1" s="659"/>
      <c r="R1" s="657" t="s">
        <v>39</v>
      </c>
      <c r="S1" s="658"/>
      <c r="T1" s="658"/>
      <c r="U1" s="660"/>
      <c r="V1" s="660"/>
      <c r="W1" s="659"/>
      <c r="X1" s="667" t="s">
        <v>40</v>
      </c>
      <c r="Y1" s="668"/>
      <c r="Z1" s="668"/>
      <c r="AA1" s="668"/>
      <c r="AB1" s="669"/>
      <c r="AC1" s="666" t="s">
        <v>41</v>
      </c>
      <c r="AD1" s="664"/>
      <c r="AE1" s="664"/>
      <c r="AF1" s="665"/>
      <c r="AG1" s="667" t="s">
        <v>42</v>
      </c>
      <c r="AH1" s="668"/>
      <c r="AI1" s="668"/>
      <c r="AJ1" s="668"/>
      <c r="AK1" s="669"/>
      <c r="AL1" s="666" t="s">
        <v>43</v>
      </c>
      <c r="AM1" s="664"/>
      <c r="AN1" s="664"/>
      <c r="AO1" s="665"/>
      <c r="AP1" s="666" t="s">
        <v>44</v>
      </c>
      <c r="AQ1" s="664"/>
      <c r="AR1" s="664"/>
      <c r="AS1" s="664"/>
      <c r="AT1" s="665"/>
      <c r="AU1" s="666" t="s">
        <v>45</v>
      </c>
      <c r="AV1" s="664"/>
      <c r="AW1" s="664"/>
      <c r="AX1" s="664"/>
      <c r="AY1" s="665"/>
      <c r="AZ1" s="670" t="s">
        <v>46</v>
      </c>
      <c r="BA1" s="671"/>
      <c r="BB1" s="671"/>
      <c r="BC1" s="671"/>
      <c r="BD1" s="672"/>
      <c r="BE1" s="666" t="s">
        <v>47</v>
      </c>
      <c r="BF1" s="664"/>
      <c r="BG1" s="664"/>
      <c r="BH1" s="664"/>
      <c r="BI1" s="665"/>
      <c r="BJ1" s="666" t="s">
        <v>48</v>
      </c>
      <c r="BK1" s="664"/>
      <c r="BL1" s="664"/>
      <c r="BM1" s="664"/>
      <c r="BN1" s="665"/>
      <c r="BO1" s="666" t="s">
        <v>49</v>
      </c>
      <c r="BP1" s="664"/>
      <c r="BQ1" s="664"/>
      <c r="BR1" s="665"/>
      <c r="BS1" s="173"/>
      <c r="BT1" s="664" t="s">
        <v>50</v>
      </c>
      <c r="BU1" s="664"/>
      <c r="BV1" s="664"/>
      <c r="BW1" s="664"/>
      <c r="BX1" s="664"/>
      <c r="BY1" s="664" t="s">
        <v>51</v>
      </c>
      <c r="BZ1" s="664"/>
      <c r="CA1" s="664"/>
      <c r="CB1" s="664"/>
      <c r="CC1" s="664"/>
      <c r="CD1" s="673" t="s">
        <v>52</v>
      </c>
      <c r="CE1" s="673"/>
      <c r="CF1" s="673"/>
      <c r="CG1" s="673"/>
      <c r="CH1" s="673"/>
      <c r="CI1" s="664" t="s">
        <v>53</v>
      </c>
      <c r="CJ1" s="664"/>
      <c r="CK1" s="664"/>
      <c r="CL1" s="664"/>
      <c r="CM1" s="664"/>
      <c r="CN1" s="674" t="s">
        <v>54</v>
      </c>
      <c r="CO1" s="674"/>
      <c r="CP1" s="674"/>
      <c r="CQ1" s="674"/>
      <c r="CR1" s="674"/>
      <c r="CS1" s="664" t="s">
        <v>55</v>
      </c>
      <c r="CT1" s="664"/>
      <c r="CU1" s="664"/>
      <c r="CV1" s="664"/>
      <c r="CW1" s="664"/>
      <c r="CX1" s="664" t="s">
        <v>56</v>
      </c>
      <c r="CY1" s="664"/>
      <c r="CZ1" s="664"/>
      <c r="DA1" s="664"/>
      <c r="DB1" s="664"/>
      <c r="DC1" s="664" t="s">
        <v>57</v>
      </c>
      <c r="DD1" s="664"/>
      <c r="DE1" s="664"/>
      <c r="DF1" s="664"/>
      <c r="DG1" s="664"/>
      <c r="DH1" s="664" t="s">
        <v>58</v>
      </c>
      <c r="DI1" s="664"/>
      <c r="DJ1" s="664"/>
      <c r="DK1" s="664"/>
      <c r="DL1" s="664"/>
      <c r="DM1" s="664" t="s">
        <v>59</v>
      </c>
      <c r="DN1" s="664"/>
      <c r="DO1" s="664"/>
      <c r="DP1" s="664"/>
      <c r="DQ1" s="664"/>
      <c r="DR1" s="663" t="s">
        <v>60</v>
      </c>
      <c r="DS1" s="663"/>
      <c r="DT1" s="663"/>
      <c r="DU1" s="663"/>
      <c r="DV1" s="663"/>
      <c r="DW1" s="664" t="s">
        <v>61</v>
      </c>
      <c r="DX1" s="664"/>
      <c r="DY1" s="664"/>
      <c r="DZ1" s="664"/>
      <c r="EA1" s="664"/>
      <c r="EB1" s="664" t="s">
        <v>62</v>
      </c>
      <c r="EC1" s="664"/>
      <c r="ED1" s="664"/>
      <c r="EE1" s="665"/>
      <c r="EF1" s="666" t="s">
        <v>63</v>
      </c>
      <c r="EG1" s="664"/>
      <c r="EH1" s="664"/>
      <c r="EI1" s="665"/>
      <c r="EJ1" s="11" t="s">
        <v>64</v>
      </c>
      <c r="EK1" s="12"/>
      <c r="EL1" s="12"/>
      <c r="EM1" s="13"/>
      <c r="EN1" s="1"/>
      <c r="EO1" s="1"/>
      <c r="EP1" s="661" t="s">
        <v>65</v>
      </c>
      <c r="EQ1" s="662"/>
    </row>
    <row r="2" spans="2:155" x14ac:dyDescent="0.25">
      <c r="B2" s="4" t="s">
        <v>9</v>
      </c>
      <c r="C2" s="6" t="s">
        <v>10</v>
      </c>
      <c r="D2" s="1" t="s">
        <v>11</v>
      </c>
      <c r="E2" s="269" t="s">
        <v>66</v>
      </c>
      <c r="F2" s="26"/>
      <c r="G2" s="7" t="s">
        <v>14</v>
      </c>
      <c r="H2" s="6" t="s">
        <v>10</v>
      </c>
      <c r="I2" s="1" t="s">
        <v>11</v>
      </c>
      <c r="J2" s="1" t="s">
        <v>67</v>
      </c>
      <c r="K2" s="1" t="s">
        <v>14</v>
      </c>
      <c r="L2" s="6" t="s">
        <v>10</v>
      </c>
      <c r="M2" s="1" t="s">
        <v>11</v>
      </c>
      <c r="N2" s="1" t="s">
        <v>68</v>
      </c>
      <c r="O2" s="1" t="s">
        <v>69</v>
      </c>
      <c r="P2" s="1" t="s">
        <v>15</v>
      </c>
      <c r="Q2" s="7" t="s">
        <v>14</v>
      </c>
      <c r="R2" s="6" t="s">
        <v>10</v>
      </c>
      <c r="S2" s="1" t="s">
        <v>11</v>
      </c>
      <c r="T2" s="1" t="s">
        <v>70</v>
      </c>
      <c r="U2" s="26" t="s">
        <v>71</v>
      </c>
      <c r="V2" s="26" t="s">
        <v>12</v>
      </c>
      <c r="W2" s="7" t="s">
        <v>14</v>
      </c>
      <c r="X2" s="6" t="s">
        <v>10</v>
      </c>
      <c r="Y2" s="1" t="s">
        <v>11</v>
      </c>
      <c r="Z2" s="1" t="s">
        <v>68</v>
      </c>
      <c r="AA2" s="1" t="s">
        <v>15</v>
      </c>
      <c r="AB2" s="7" t="s">
        <v>14</v>
      </c>
      <c r="AC2" s="6" t="s">
        <v>10</v>
      </c>
      <c r="AD2" s="1" t="s">
        <v>11</v>
      </c>
      <c r="AE2" s="1" t="s">
        <v>15</v>
      </c>
      <c r="AF2" s="7" t="s">
        <v>14</v>
      </c>
      <c r="AG2" s="6" t="s">
        <v>10</v>
      </c>
      <c r="AH2" s="192" t="s">
        <v>11</v>
      </c>
      <c r="AI2" s="192" t="s">
        <v>333</v>
      </c>
      <c r="AJ2" s="1" t="s">
        <v>15</v>
      </c>
      <c r="AK2" s="7" t="s">
        <v>14</v>
      </c>
      <c r="AL2" s="6" t="s">
        <v>10</v>
      </c>
      <c r="AM2" s="1" t="s">
        <v>11</v>
      </c>
      <c r="AN2" s="1" t="s">
        <v>15</v>
      </c>
      <c r="AO2" s="7" t="s">
        <v>14</v>
      </c>
      <c r="AP2" s="6" t="s">
        <v>10</v>
      </c>
      <c r="AQ2" s="1" t="s">
        <v>11</v>
      </c>
      <c r="AR2" s="1" t="s">
        <v>15</v>
      </c>
      <c r="AS2" s="26" t="s">
        <v>72</v>
      </c>
      <c r="AT2" s="7" t="s">
        <v>14</v>
      </c>
      <c r="AU2" s="6" t="s">
        <v>10</v>
      </c>
      <c r="AV2" s="1" t="s">
        <v>11</v>
      </c>
      <c r="AW2" s="1" t="s">
        <v>15</v>
      </c>
      <c r="AX2" s="26" t="s">
        <v>72</v>
      </c>
      <c r="AY2" s="7" t="s">
        <v>14</v>
      </c>
      <c r="AZ2" s="6" t="s">
        <v>10</v>
      </c>
      <c r="BA2" s="192" t="s">
        <v>11</v>
      </c>
      <c r="BB2" s="1" t="s">
        <v>15</v>
      </c>
      <c r="BC2" s="26" t="s">
        <v>72</v>
      </c>
      <c r="BD2" s="7" t="s">
        <v>14</v>
      </c>
      <c r="BE2" s="6" t="s">
        <v>10</v>
      </c>
      <c r="BF2" s="1" t="s">
        <v>11</v>
      </c>
      <c r="BG2" s="1" t="s">
        <v>15</v>
      </c>
      <c r="BH2" s="26" t="s">
        <v>72</v>
      </c>
      <c r="BI2" s="7" t="s">
        <v>14</v>
      </c>
      <c r="BJ2" s="6" t="s">
        <v>10</v>
      </c>
      <c r="BK2" s="1" t="s">
        <v>11</v>
      </c>
      <c r="BL2" s="1" t="s">
        <v>15</v>
      </c>
      <c r="BM2" s="26" t="s">
        <v>72</v>
      </c>
      <c r="BN2" s="7" t="s">
        <v>14</v>
      </c>
      <c r="BO2" s="6" t="s">
        <v>10</v>
      </c>
      <c r="BP2" s="1" t="s">
        <v>11</v>
      </c>
      <c r="BQ2" s="1" t="s">
        <v>15</v>
      </c>
      <c r="BR2" s="26" t="s">
        <v>72</v>
      </c>
      <c r="BS2" s="7" t="s">
        <v>14</v>
      </c>
      <c r="BT2" s="6" t="s">
        <v>10</v>
      </c>
      <c r="BU2" s="1" t="s">
        <v>11</v>
      </c>
      <c r="BV2" s="1" t="s">
        <v>15</v>
      </c>
      <c r="BW2" s="26" t="s">
        <v>72</v>
      </c>
      <c r="BX2" s="7" t="s">
        <v>14</v>
      </c>
      <c r="BY2" s="6" t="s">
        <v>10</v>
      </c>
      <c r="BZ2" s="1" t="s">
        <v>11</v>
      </c>
      <c r="CA2" s="1" t="s">
        <v>15</v>
      </c>
      <c r="CB2" s="26" t="s">
        <v>72</v>
      </c>
      <c r="CC2" s="26" t="s">
        <v>14</v>
      </c>
      <c r="CD2" s="6" t="s">
        <v>10</v>
      </c>
      <c r="CE2" s="1" t="s">
        <v>11</v>
      </c>
      <c r="CF2" s="1" t="s">
        <v>15</v>
      </c>
      <c r="CG2" s="26" t="s">
        <v>72</v>
      </c>
      <c r="CH2" s="7" t="s">
        <v>14</v>
      </c>
      <c r="CI2" s="6" t="s">
        <v>10</v>
      </c>
      <c r="CJ2" s="1" t="s">
        <v>11</v>
      </c>
      <c r="CK2" s="1" t="s">
        <v>15</v>
      </c>
      <c r="CL2" s="26" t="s">
        <v>72</v>
      </c>
      <c r="CM2" s="7" t="s">
        <v>14</v>
      </c>
      <c r="CN2" s="6" t="s">
        <v>10</v>
      </c>
      <c r="CO2" s="1" t="s">
        <v>11</v>
      </c>
      <c r="CP2" s="192" t="s">
        <v>15</v>
      </c>
      <c r="CQ2" s="26" t="s">
        <v>72</v>
      </c>
      <c r="CR2" s="7" t="s">
        <v>14</v>
      </c>
      <c r="CS2" s="6" t="s">
        <v>10</v>
      </c>
      <c r="CT2" s="1" t="s">
        <v>11</v>
      </c>
      <c r="CU2" s="1" t="s">
        <v>15</v>
      </c>
      <c r="CV2" s="26" t="s">
        <v>72</v>
      </c>
      <c r="CW2" s="7" t="s">
        <v>14</v>
      </c>
      <c r="CX2" s="6" t="s">
        <v>10</v>
      </c>
      <c r="CY2" s="1" t="s">
        <v>11</v>
      </c>
      <c r="CZ2" s="1" t="s">
        <v>15</v>
      </c>
      <c r="DA2" s="26" t="s">
        <v>72</v>
      </c>
      <c r="DB2" s="7" t="s">
        <v>14</v>
      </c>
      <c r="DC2" s="6" t="s">
        <v>10</v>
      </c>
      <c r="DD2" s="1" t="s">
        <v>11</v>
      </c>
      <c r="DE2" s="1" t="s">
        <v>15</v>
      </c>
      <c r="DF2" s="26" t="s">
        <v>72</v>
      </c>
      <c r="DG2" s="7" t="s">
        <v>14</v>
      </c>
      <c r="DH2" s="6" t="s">
        <v>10</v>
      </c>
      <c r="DI2" s="1" t="s">
        <v>11</v>
      </c>
      <c r="DJ2" s="1" t="s">
        <v>15</v>
      </c>
      <c r="DK2" s="26" t="s">
        <v>72</v>
      </c>
      <c r="DL2" s="7" t="s">
        <v>14</v>
      </c>
      <c r="DM2" s="6" t="s">
        <v>10</v>
      </c>
      <c r="DN2" s="1" t="s">
        <v>11</v>
      </c>
      <c r="DO2" s="1" t="s">
        <v>15</v>
      </c>
      <c r="DP2" s="26" t="s">
        <v>72</v>
      </c>
      <c r="DQ2" s="7" t="s">
        <v>14</v>
      </c>
      <c r="DR2" s="6" t="s">
        <v>10</v>
      </c>
      <c r="DS2" s="1" t="s">
        <v>11</v>
      </c>
      <c r="DT2" s="1" t="s">
        <v>15</v>
      </c>
      <c r="DU2" s="26" t="s">
        <v>72</v>
      </c>
      <c r="DV2" s="7" t="s">
        <v>14</v>
      </c>
      <c r="DW2" s="6" t="s">
        <v>10</v>
      </c>
      <c r="DX2" s="1" t="s">
        <v>11</v>
      </c>
      <c r="DY2" s="1" t="s">
        <v>15</v>
      </c>
      <c r="DZ2" s="26" t="s">
        <v>72</v>
      </c>
      <c r="EA2" s="7" t="s">
        <v>14</v>
      </c>
      <c r="EB2" s="178" t="s">
        <v>14</v>
      </c>
      <c r="EC2" s="1" t="s">
        <v>11</v>
      </c>
      <c r="ED2" s="1" t="s">
        <v>15</v>
      </c>
      <c r="EE2" s="7" t="s">
        <v>14</v>
      </c>
      <c r="EF2" s="6" t="s">
        <v>10</v>
      </c>
      <c r="EG2" s="1" t="s">
        <v>11</v>
      </c>
      <c r="EH2" s="1" t="s">
        <v>15</v>
      </c>
      <c r="EI2" s="7" t="s">
        <v>14</v>
      </c>
      <c r="EJ2" s="6" t="s">
        <v>10</v>
      </c>
      <c r="EK2" s="192" t="s">
        <v>11</v>
      </c>
      <c r="EL2" s="1" t="s">
        <v>15</v>
      </c>
      <c r="EM2" s="7" t="s">
        <v>14</v>
      </c>
      <c r="EN2" s="1" t="s">
        <v>73</v>
      </c>
      <c r="EO2" s="1" t="s">
        <v>74</v>
      </c>
      <c r="EP2" s="1" t="s">
        <v>75</v>
      </c>
      <c r="EQ2" s="1" t="s">
        <v>76</v>
      </c>
      <c r="ER2" t="s">
        <v>77</v>
      </c>
    </row>
    <row r="3" spans="2:155" x14ac:dyDescent="0.25">
      <c r="B3" s="4">
        <v>1</v>
      </c>
      <c r="C3" s="48">
        <v>3998.3399999999997</v>
      </c>
      <c r="D3" s="1">
        <v>0</v>
      </c>
      <c r="E3" s="269">
        <f>F3+'RAW MILL 2'!F3</f>
        <v>5</v>
      </c>
      <c r="F3" s="1">
        <v>5</v>
      </c>
      <c r="G3" s="9">
        <f>C3+D3-E3</f>
        <v>3993.3399999999997</v>
      </c>
      <c r="H3" s="48">
        <v>1996.00001683752</v>
      </c>
      <c r="I3" s="33">
        <f>Production2!N3</f>
        <v>229.65</v>
      </c>
      <c r="J3" s="33">
        <f>Production2!K3</f>
        <v>348.75</v>
      </c>
      <c r="K3" s="18">
        <f>H3+I3-J3</f>
        <v>1876.9000168375201</v>
      </c>
      <c r="L3" s="48">
        <v>0</v>
      </c>
      <c r="M3" s="1">
        <v>0</v>
      </c>
      <c r="N3" s="33">
        <f>CPP!D3</f>
        <v>0</v>
      </c>
      <c r="O3" s="1">
        <v>0</v>
      </c>
      <c r="P3" s="33">
        <f t="shared" ref="P3:P26" si="0">N3+O3</f>
        <v>0</v>
      </c>
      <c r="Q3" s="9">
        <f>L3+M3-O3-N3</f>
        <v>0</v>
      </c>
      <c r="R3" s="48">
        <v>0</v>
      </c>
      <c r="S3" s="1">
        <v>0</v>
      </c>
      <c r="T3" s="33">
        <f>CPP!E3</f>
        <v>0</v>
      </c>
      <c r="U3" s="26">
        <v>0</v>
      </c>
      <c r="V3" s="38">
        <f>T3+U3</f>
        <v>0</v>
      </c>
      <c r="W3" s="9">
        <f>R3+S3-V3</f>
        <v>0</v>
      </c>
      <c r="X3" s="48">
        <v>3663.8299999999981</v>
      </c>
      <c r="Y3" s="1">
        <v>0</v>
      </c>
      <c r="Z3" s="33">
        <f>CPP!H3</f>
        <v>48</v>
      </c>
      <c r="AA3" s="1">
        <v>55.56</v>
      </c>
      <c r="AB3" s="9">
        <f>X3+Y3-AA3-Z3</f>
        <v>3560.2699999999982</v>
      </c>
      <c r="AC3" s="48">
        <v>0</v>
      </c>
      <c r="AD3" s="1">
        <v>0</v>
      </c>
      <c r="AE3" s="1">
        <v>0</v>
      </c>
      <c r="AF3" s="9">
        <f t="shared" ref="AF3:AF26" si="1">AC3+AD3-AE3</f>
        <v>0</v>
      </c>
      <c r="AG3" s="158">
        <v>10010.649999999998</v>
      </c>
      <c r="AH3" s="1">
        <v>0</v>
      </c>
      <c r="AI3" s="1"/>
      <c r="AJ3" s="170">
        <f>CPP!G3</f>
        <v>48</v>
      </c>
      <c r="AK3" s="9">
        <f t="shared" ref="AK3:AK14" si="2">AG3+AH3-AJ3</f>
        <v>9962.6499999999978</v>
      </c>
      <c r="AL3" s="129">
        <v>0</v>
      </c>
      <c r="AM3" s="1">
        <v>0</v>
      </c>
      <c r="AN3" s="1">
        <v>0</v>
      </c>
      <c r="AO3" s="18">
        <f>AL3+AM3-AN3</f>
        <v>0</v>
      </c>
      <c r="AP3" s="129">
        <v>0</v>
      </c>
      <c r="AQ3" s="1">
        <v>0</v>
      </c>
      <c r="AR3" s="1">
        <v>0</v>
      </c>
      <c r="AS3" s="171">
        <f>CPP!I3</f>
        <v>0</v>
      </c>
      <c r="AT3" s="129">
        <f>AP3+AQ3-AR3-AS3</f>
        <v>0</v>
      </c>
      <c r="AU3" s="1">
        <v>0</v>
      </c>
      <c r="AV3" s="1">
        <v>0</v>
      </c>
      <c r="AW3" s="1">
        <v>0</v>
      </c>
      <c r="AX3" s="170">
        <f>CPP!J3</f>
        <v>0</v>
      </c>
      <c r="AY3" s="1">
        <f>AU3+AV3-AW3-AX3</f>
        <v>0</v>
      </c>
      <c r="AZ3" s="1">
        <f>0.296999999990248-0.01</f>
        <v>0.286999999990248</v>
      </c>
      <c r="BA3" s="1">
        <v>0</v>
      </c>
      <c r="BB3" s="1">
        <v>0</v>
      </c>
      <c r="BC3" s="170">
        <f>CPP!K3</f>
        <v>0</v>
      </c>
      <c r="BD3" s="1">
        <f>AZ3+BA3-BB3-BC3</f>
        <v>0.286999999990248</v>
      </c>
      <c r="BE3" s="1">
        <v>0</v>
      </c>
      <c r="BF3" s="1">
        <v>0</v>
      </c>
      <c r="BG3" s="1">
        <v>0</v>
      </c>
      <c r="BH3" s="170">
        <f>CPP!L3</f>
        <v>0</v>
      </c>
      <c r="BI3" s="1">
        <f>BE3+BF3-BG3-BH3</f>
        <v>0</v>
      </c>
      <c r="BJ3" s="1">
        <v>0</v>
      </c>
      <c r="BK3" s="1">
        <v>0</v>
      </c>
      <c r="BL3" s="1">
        <v>0</v>
      </c>
      <c r="BM3" s="170">
        <f>CPP!M3</f>
        <v>0</v>
      </c>
      <c r="BN3" s="1">
        <f>BJ3+BK3-BL3-BM3</f>
        <v>0</v>
      </c>
      <c r="BO3" s="1">
        <v>0</v>
      </c>
      <c r="BP3" s="1">
        <v>0</v>
      </c>
      <c r="BQ3" s="1">
        <v>0</v>
      </c>
      <c r="BR3" s="170">
        <f>CPP!N3</f>
        <v>0</v>
      </c>
      <c r="BS3" s="1">
        <f>BO3+BP3-BQ3-BR3</f>
        <v>0</v>
      </c>
      <c r="BT3" s="1">
        <v>0</v>
      </c>
      <c r="BU3" s="1">
        <v>0</v>
      </c>
      <c r="BV3" s="1">
        <v>0</v>
      </c>
      <c r="BW3" s="170">
        <f>CPP!O3</f>
        <v>0</v>
      </c>
      <c r="BX3" s="1">
        <f>BT3+BU3-BV3-BW3</f>
        <v>0</v>
      </c>
      <c r="BY3" s="174">
        <v>9.9999999999909051E-3</v>
      </c>
      <c r="BZ3" s="1">
        <v>0</v>
      </c>
      <c r="CA3" s="1">
        <v>0</v>
      </c>
      <c r="CB3" s="170"/>
      <c r="CC3" s="26">
        <v>0</v>
      </c>
      <c r="CD3" s="1">
        <v>0</v>
      </c>
      <c r="CE3" s="1">
        <v>0</v>
      </c>
      <c r="CF3" s="1">
        <v>0</v>
      </c>
      <c r="CG3" s="170">
        <f>CPP!P3</f>
        <v>0</v>
      </c>
      <c r="CH3" s="26">
        <f>CD3+CE3-CF3-CG3</f>
        <v>0</v>
      </c>
      <c r="CI3" s="1">
        <v>0</v>
      </c>
      <c r="CJ3" s="1">
        <v>0</v>
      </c>
      <c r="CK3" s="1">
        <v>0</v>
      </c>
      <c r="CL3" s="170">
        <f>CPP!Q3</f>
        <v>0</v>
      </c>
      <c r="CM3" s="1">
        <f>CI3+CJ3-CK3-CL3</f>
        <v>0</v>
      </c>
      <c r="CN3" s="1">
        <v>5.0000000000181899E-2</v>
      </c>
      <c r="CO3" s="1">
        <v>0</v>
      </c>
      <c r="CP3" s="1">
        <v>0</v>
      </c>
      <c r="CQ3" s="170">
        <f>CPP!R3</f>
        <v>0</v>
      </c>
      <c r="CR3" s="1">
        <f>CN3+CO3-CP3-CQ3</f>
        <v>5.0000000000181899E-2</v>
      </c>
      <c r="CS3" s="129">
        <v>0</v>
      </c>
      <c r="CT3" s="1">
        <v>0</v>
      </c>
      <c r="CU3" s="1">
        <v>0</v>
      </c>
      <c r="CV3" s="171">
        <f>CPP!S3</f>
        <v>0</v>
      </c>
      <c r="CW3" s="129">
        <f>CS3+CT3-CU3-CV3</f>
        <v>0</v>
      </c>
      <c r="CX3" s="129">
        <v>0</v>
      </c>
      <c r="CY3" s="1">
        <v>0</v>
      </c>
      <c r="CZ3" s="1">
        <v>0</v>
      </c>
      <c r="DA3" s="171">
        <f>CPP!T3</f>
        <v>0</v>
      </c>
      <c r="DB3" s="129">
        <f>CX3+CY3-CZ3-DA3</f>
        <v>0</v>
      </c>
      <c r="DC3" s="129">
        <v>306</v>
      </c>
      <c r="DD3" s="1">
        <v>0</v>
      </c>
      <c r="DE3" s="1">
        <v>0</v>
      </c>
      <c r="DF3" s="171">
        <f>CPP!U3</f>
        <v>0</v>
      </c>
      <c r="DG3" s="129">
        <f>DC3+DD3-DE3-DF3</f>
        <v>306</v>
      </c>
      <c r="DH3" s="129">
        <v>0</v>
      </c>
      <c r="DI3" s="1">
        <v>0</v>
      </c>
      <c r="DJ3" s="1">
        <v>0</v>
      </c>
      <c r="DK3" s="171">
        <f>CPP!V3</f>
        <v>0</v>
      </c>
      <c r="DL3" s="129">
        <f>DH3+DI3-DJ3-DK3</f>
        <v>0</v>
      </c>
      <c r="DM3" s="129">
        <v>0</v>
      </c>
      <c r="DN3" s="1">
        <v>0</v>
      </c>
      <c r="DO3" s="1">
        <v>0</v>
      </c>
      <c r="DP3" s="171">
        <f>CPP!W3</f>
        <v>0</v>
      </c>
      <c r="DQ3" s="129">
        <f>DM3+DN3-DO3-DP3</f>
        <v>0</v>
      </c>
      <c r="DR3" s="129">
        <v>4270.3500000000022</v>
      </c>
      <c r="DS3" s="1">
        <v>0</v>
      </c>
      <c r="DT3" s="1">
        <v>0</v>
      </c>
      <c r="DU3" s="171">
        <f>CPP!X3</f>
        <v>0</v>
      </c>
      <c r="DV3" s="129">
        <f>DR3+DS3-DT3-DU3</f>
        <v>4270.3500000000022</v>
      </c>
      <c r="DW3" s="129">
        <v>0</v>
      </c>
      <c r="DX3" s="1">
        <v>0</v>
      </c>
      <c r="DY3" s="1">
        <v>0</v>
      </c>
      <c r="DZ3" s="171">
        <f>CPP!Y3</f>
        <v>0</v>
      </c>
      <c r="EA3" s="129">
        <f>DW3+DX3-DY3-DZ3</f>
        <v>0</v>
      </c>
      <c r="EB3" s="129">
        <f>L3+AP3+AU3+AZ3+BE3+BJ3+BT3+BY3+CD3+CI3+CS3+CX3+DC3+DH3+DM3+DW3+X3+DR3</f>
        <v>8240.4769999999917</v>
      </c>
      <c r="EC3" s="170">
        <f>M3+Y3+AM3+AQ3+AV3+BA3+BF3+BK3+BP3+BU3+BZ3+CT3+CY3+DD3+DI3+DN3+DX3+DS3</f>
        <v>0</v>
      </c>
      <c r="ED3" s="170">
        <f>O3+AA3+AN3+AR3+AW3+BB3+BG3+BL3+BQ3+BV3+CA3+CU3+CZ3+DE3+DJ3+DO3+DY3+DT3</f>
        <v>55.56</v>
      </c>
      <c r="EE3" s="129">
        <f>EB3+EC3-ED3-N3-Z3-AS3-AX3-BC3-BH3-BM3-BR3-BW3-CV3-DA3-DF3-DK3-DP3-DZ3-DU3</f>
        <v>8136.9169999999913</v>
      </c>
      <c r="EF3" s="18">
        <f>R3+AC3+AG3+AL3+CN3</f>
        <v>10010.699999999997</v>
      </c>
      <c r="EG3" s="170">
        <f>S3+AD3+AH3+CE3+CJ3+CO3</f>
        <v>0</v>
      </c>
      <c r="EH3" s="170">
        <f>CPP!D3+CPP!E3+CPP!F3+CPP!G3+CPP!H3+CPP!I3+CPP!J3+CPP!K3+CPP!L3+CPP!M3+CPP!N3+CPP!O3+CPP!P3+CPP!Q3+CPP!R3+CPP!S3+DA3+DF3+DK3+CPP!W3+DU3</f>
        <v>96</v>
      </c>
      <c r="EI3" s="18">
        <f>EF3+EG3-CPP!G3-CPP!E3-CPP!F3-CPP!P3-CPP!Q3-CL3-CQ3-DU3</f>
        <v>9962.6999999999971</v>
      </c>
      <c r="EJ3" s="130">
        <v>24919.660087740463</v>
      </c>
      <c r="EK3" s="1">
        <v>225</v>
      </c>
      <c r="EL3" s="247">
        <f>'Daily CEM-1'!AG4+'Daily  CEM - 2'!AF4-EQ3</f>
        <v>808.00000017299999</v>
      </c>
      <c r="EM3" s="40">
        <f>EJ3+EK3-EL3-EN3</f>
        <v>24336.660087567463</v>
      </c>
      <c r="EN3" s="1">
        <v>0</v>
      </c>
      <c r="EO3" s="18">
        <v>5155.3290080001361</v>
      </c>
      <c r="EP3" s="1">
        <v>0</v>
      </c>
      <c r="EQ3" s="1">
        <v>0</v>
      </c>
      <c r="ER3" s="17">
        <f>EO3+EP3-EQ3</f>
        <v>5155.3290080001361</v>
      </c>
      <c r="ES3">
        <f>ET3-EP3</f>
        <v>1722.57</v>
      </c>
      <c r="ET3">
        <v>1722.57</v>
      </c>
      <c r="EU3" s="51">
        <f>EL3+EQ3</f>
        <v>808.00000017299999</v>
      </c>
      <c r="EV3" s="51">
        <f>EL3+EQ3</f>
        <v>808.00000017299999</v>
      </c>
      <c r="EW3" s="51">
        <f>(EU3/Production2!CG3)*100</f>
        <v>74.814814830833328</v>
      </c>
      <c r="EX3">
        <v>74.814814830833328</v>
      </c>
      <c r="EY3">
        <f>EX3*100</f>
        <v>7481.4814830833329</v>
      </c>
    </row>
    <row r="4" spans="2:155" x14ac:dyDescent="0.25">
      <c r="B4" s="4">
        <v>2</v>
      </c>
      <c r="C4" s="39">
        <f t="shared" ref="C4:C27" si="3">G3</f>
        <v>3993.3399999999997</v>
      </c>
      <c r="D4" s="1">
        <v>37.520000000000003</v>
      </c>
      <c r="E4" s="269">
        <f>F4+'RAW MILL 2'!F4</f>
        <v>60</v>
      </c>
      <c r="F4" s="1">
        <v>57</v>
      </c>
      <c r="G4" s="9">
        <f t="shared" ref="G4:G33" si="4">C4+D4-E4</f>
        <v>3970.8599999999997</v>
      </c>
      <c r="H4" s="39">
        <f t="shared" ref="H4:H27" si="5">K3</f>
        <v>1876.9000168375201</v>
      </c>
      <c r="I4" s="33">
        <f>Production2!N4</f>
        <v>2535</v>
      </c>
      <c r="J4" s="33">
        <f>Production2!K4</f>
        <v>2239.75</v>
      </c>
      <c r="K4" s="18">
        <f t="shared" ref="K4:K33" si="6">H4+I4-J4</f>
        <v>2172.1500168375205</v>
      </c>
      <c r="L4" s="39">
        <f t="shared" ref="L4:L27" si="7">Q3</f>
        <v>0</v>
      </c>
      <c r="M4" s="1">
        <v>0</v>
      </c>
      <c r="N4" s="33">
        <f>CPP!D4</f>
        <v>0</v>
      </c>
      <c r="O4" s="1">
        <v>0</v>
      </c>
      <c r="P4" s="33">
        <f t="shared" si="0"/>
        <v>0</v>
      </c>
      <c r="Q4" s="9">
        <f>L4+M4-O4-N4</f>
        <v>0</v>
      </c>
      <c r="R4" s="39">
        <f t="shared" ref="R4:R27" si="8">W3</f>
        <v>0</v>
      </c>
      <c r="S4" s="1">
        <v>0</v>
      </c>
      <c r="T4" s="33">
        <f>CPP!E4</f>
        <v>0</v>
      </c>
      <c r="U4" s="26">
        <v>0</v>
      </c>
      <c r="V4" s="38">
        <f t="shared" ref="V4:V33" si="9">T4+U4</f>
        <v>0</v>
      </c>
      <c r="W4" s="9">
        <f t="shared" ref="W4:W33" si="10">R4+S4-V4</f>
        <v>0</v>
      </c>
      <c r="X4" s="39">
        <f t="shared" ref="X4:X27" si="11">AB3</f>
        <v>3560.2699999999982</v>
      </c>
      <c r="Y4" s="1">
        <v>0</v>
      </c>
      <c r="Z4" s="33">
        <f>CPP!H4</f>
        <v>67</v>
      </c>
      <c r="AA4" s="1">
        <v>266.67</v>
      </c>
      <c r="AB4" s="9">
        <f t="shared" ref="AB4:AB33" si="12">X4+Y4-AA4-Z4</f>
        <v>3226.5999999999981</v>
      </c>
      <c r="AC4" s="39">
        <f t="shared" ref="AC4:AC33" si="13">AF3</f>
        <v>0</v>
      </c>
      <c r="AD4" s="1">
        <v>0</v>
      </c>
      <c r="AE4" s="1">
        <v>0</v>
      </c>
      <c r="AF4" s="9">
        <f t="shared" si="1"/>
        <v>0</v>
      </c>
      <c r="AG4" s="39">
        <f t="shared" ref="AG4:AG33" si="14">AK3</f>
        <v>9962.6499999999978</v>
      </c>
      <c r="AH4" s="1">
        <v>64.3</v>
      </c>
      <c r="AI4" s="1"/>
      <c r="AJ4" s="170">
        <f>CPP!G4</f>
        <v>68</v>
      </c>
      <c r="AK4" s="9">
        <f t="shared" si="2"/>
        <v>9958.9499999999971</v>
      </c>
      <c r="AL4" s="129">
        <f>AO3</f>
        <v>0</v>
      </c>
      <c r="AM4" s="1">
        <v>0</v>
      </c>
      <c r="AN4" s="1">
        <v>0</v>
      </c>
      <c r="AO4" s="18">
        <f t="shared" ref="AO4:AO33" si="15">AL4+AM4-AN4</f>
        <v>0</v>
      </c>
      <c r="AP4" s="129">
        <f>AT3</f>
        <v>0</v>
      </c>
      <c r="AQ4" s="1">
        <v>0</v>
      </c>
      <c r="AR4" s="1">
        <v>0</v>
      </c>
      <c r="AS4" s="171">
        <f>CPP!I4</f>
        <v>0</v>
      </c>
      <c r="AT4" s="129">
        <f t="shared" ref="AT4:AT33" si="16">AP4+AQ4-AR4-AS4</f>
        <v>0</v>
      </c>
      <c r="AU4" s="1">
        <f>AY3</f>
        <v>0</v>
      </c>
      <c r="AV4" s="1">
        <v>0</v>
      </c>
      <c r="AW4" s="1">
        <v>0</v>
      </c>
      <c r="AX4" s="170">
        <f>CPP!J4</f>
        <v>0</v>
      </c>
      <c r="AY4" s="1">
        <f t="shared" ref="AY4:AY33" si="17">AU4+AV4-AW4-AX4</f>
        <v>0</v>
      </c>
      <c r="AZ4" s="1">
        <f>BD3</f>
        <v>0.286999999990248</v>
      </c>
      <c r="BA4" s="1">
        <v>0</v>
      </c>
      <c r="BB4" s="1">
        <v>0</v>
      </c>
      <c r="BC4" s="170">
        <f>CPP!K4</f>
        <v>0</v>
      </c>
      <c r="BD4" s="1">
        <f t="shared" ref="BD4:BD33" si="18">AZ4+BA4-BB4-BC4</f>
        <v>0.286999999990248</v>
      </c>
      <c r="BE4" s="1">
        <f>BI3</f>
        <v>0</v>
      </c>
      <c r="BF4" s="1">
        <v>0</v>
      </c>
      <c r="BG4" s="1">
        <v>0</v>
      </c>
      <c r="BH4" s="170">
        <f>CPP!L4</f>
        <v>0</v>
      </c>
      <c r="BI4" s="1">
        <f t="shared" ref="BI4:BI33" si="19">BE4+BF4-BG4-BH4</f>
        <v>0</v>
      </c>
      <c r="BJ4" s="1">
        <f>BN3</f>
        <v>0</v>
      </c>
      <c r="BK4" s="1">
        <v>0</v>
      </c>
      <c r="BL4" s="1">
        <v>0</v>
      </c>
      <c r="BM4" s="170">
        <f>CPP!M4</f>
        <v>0</v>
      </c>
      <c r="BN4" s="1">
        <f>BJ4+BK4-BL4-BM4</f>
        <v>0</v>
      </c>
      <c r="BO4" s="1">
        <f t="shared" ref="BO4:BO33" si="20">BS3</f>
        <v>0</v>
      </c>
      <c r="BP4" s="1">
        <v>0</v>
      </c>
      <c r="BQ4" s="1">
        <v>0</v>
      </c>
      <c r="BR4" s="170">
        <f>CPP!N4</f>
        <v>0</v>
      </c>
      <c r="BS4" s="1">
        <f t="shared" ref="BS4:BS33" si="21">BO4+BP4-BQ4-BR4</f>
        <v>0</v>
      </c>
      <c r="BT4" s="1">
        <f t="shared" ref="BT4:BT33" si="22">BX3</f>
        <v>0</v>
      </c>
      <c r="BU4" s="1">
        <v>0</v>
      </c>
      <c r="BV4" s="1">
        <v>0</v>
      </c>
      <c r="BW4" s="170">
        <f>CPP!O4</f>
        <v>0</v>
      </c>
      <c r="BX4" s="1">
        <f t="shared" ref="BX4:BX33" si="23">BT4+BU4-BV4-BW4</f>
        <v>0</v>
      </c>
      <c r="BY4" s="174">
        <f>CC3</f>
        <v>0</v>
      </c>
      <c r="BZ4" s="1">
        <v>0</v>
      </c>
      <c r="CA4" s="1">
        <v>0</v>
      </c>
      <c r="CB4" s="170"/>
      <c r="CC4" s="26">
        <f t="shared" ref="CC4:CC33" si="24">BY4+BZ4-CA4-CB4</f>
        <v>0</v>
      </c>
      <c r="CD4" s="1">
        <f>CH3</f>
        <v>0</v>
      </c>
      <c r="CE4" s="1">
        <v>0</v>
      </c>
      <c r="CF4" s="1">
        <v>0</v>
      </c>
      <c r="CG4" s="170">
        <f>CPP!P4</f>
        <v>0</v>
      </c>
      <c r="CH4" s="26">
        <f t="shared" ref="CH4:CH33" si="25">CD4+CE4-CF4-CG4</f>
        <v>0</v>
      </c>
      <c r="CI4" s="1">
        <f>CM3</f>
        <v>0</v>
      </c>
      <c r="CJ4" s="1">
        <v>0</v>
      </c>
      <c r="CK4" s="1">
        <v>0</v>
      </c>
      <c r="CL4" s="170">
        <f>CPP!Q4</f>
        <v>0</v>
      </c>
      <c r="CM4" s="1">
        <f t="shared" ref="CM4:CM33" si="26">CI4+CJ4-CK4-CL4</f>
        <v>0</v>
      </c>
      <c r="CN4" s="1">
        <f>CR3</f>
        <v>5.0000000000181899E-2</v>
      </c>
      <c r="CO4" s="1">
        <v>0</v>
      </c>
      <c r="CP4" s="1">
        <v>0</v>
      </c>
      <c r="CQ4" s="170">
        <f>CPP!R4</f>
        <v>0</v>
      </c>
      <c r="CR4" s="1">
        <f t="shared" ref="CR4:CR33" si="27">CN4+CO4-CP4-CQ4</f>
        <v>5.0000000000181899E-2</v>
      </c>
      <c r="CS4" s="129">
        <f>CW3</f>
        <v>0</v>
      </c>
      <c r="CT4" s="1">
        <v>0</v>
      </c>
      <c r="CU4" s="1">
        <v>0</v>
      </c>
      <c r="CV4" s="171">
        <f>CPP!S4</f>
        <v>0</v>
      </c>
      <c r="CW4" s="129">
        <f t="shared" ref="CW4:CW33" si="28">CS4+CT4-CU4-CV4</f>
        <v>0</v>
      </c>
      <c r="CX4" s="129">
        <f>DB3</f>
        <v>0</v>
      </c>
      <c r="CY4" s="1">
        <v>0</v>
      </c>
      <c r="CZ4" s="1">
        <v>0</v>
      </c>
      <c r="DA4" s="171">
        <f>CPP!T4</f>
        <v>0</v>
      </c>
      <c r="DB4" s="129">
        <f t="shared" ref="DB4:DB33" si="29">CX4+CY4-CZ4-DA4</f>
        <v>0</v>
      </c>
      <c r="DC4" s="129">
        <f>DG3</f>
        <v>306</v>
      </c>
      <c r="DD4" s="1">
        <v>0</v>
      </c>
      <c r="DE4" s="1">
        <v>0</v>
      </c>
      <c r="DF4" s="171">
        <f>CPP!U4</f>
        <v>0</v>
      </c>
      <c r="DG4" s="129">
        <f t="shared" ref="DG4:DG33" si="30">DC4+DD4-DE4-DF4</f>
        <v>306</v>
      </c>
      <c r="DH4" s="129">
        <f>DL3</f>
        <v>0</v>
      </c>
      <c r="DI4" s="1">
        <v>0</v>
      </c>
      <c r="DJ4" s="1">
        <v>0</v>
      </c>
      <c r="DK4" s="171">
        <f>CPP!V4</f>
        <v>0</v>
      </c>
      <c r="DL4" s="129">
        <f t="shared" ref="DL4:DL33" si="31">DH4+DI4-DJ4-DK4</f>
        <v>0</v>
      </c>
      <c r="DM4" s="129">
        <f>DQ3</f>
        <v>0</v>
      </c>
      <c r="DN4" s="1">
        <v>0</v>
      </c>
      <c r="DO4" s="1">
        <v>0</v>
      </c>
      <c r="DP4" s="171">
        <f>CPP!W4</f>
        <v>0</v>
      </c>
      <c r="DQ4" s="129">
        <f t="shared" ref="DQ4:DQ33" si="32">DM4+DN4-DO4-DP4</f>
        <v>0</v>
      </c>
      <c r="DR4" s="129">
        <f>DV3</f>
        <v>4270.3500000000022</v>
      </c>
      <c r="DS4" s="1">
        <v>0</v>
      </c>
      <c r="DT4" s="1">
        <v>0</v>
      </c>
      <c r="DU4" s="171">
        <f>CPP!X4</f>
        <v>0</v>
      </c>
      <c r="DV4" s="129">
        <f t="shared" ref="DV4:DV33" si="33">DR4+DS4-DT4-DU4</f>
        <v>4270.3500000000022</v>
      </c>
      <c r="DW4" s="129">
        <f>EA3</f>
        <v>0</v>
      </c>
      <c r="DX4" s="1">
        <v>0</v>
      </c>
      <c r="DY4" s="1">
        <v>0</v>
      </c>
      <c r="DZ4" s="171">
        <f>CPP!Y4</f>
        <v>0</v>
      </c>
      <c r="EA4" s="129">
        <f t="shared" ref="EA4:EA33" si="34">DW4+DX4-DY4-DZ4</f>
        <v>0</v>
      </c>
      <c r="EB4" s="129">
        <f t="shared" ref="EB4:EB33" si="35">L4+AP4+AU4+AZ4+BE4+BJ4+BT4+BY4+CD4+CI4+CS4+CX4+DC4+DH4+DM4+DW4+X4+DR4</f>
        <v>8136.9069999999901</v>
      </c>
      <c r="EC4" s="170">
        <f t="shared" ref="EC4:EC33" si="36">M4+Y4+AM4+AQ4+AV4+BA4+BF4+BK4+BP4+BU4+BZ4+CT4+CY4+DD4+DI4+DN4+DX4+DS4</f>
        <v>0</v>
      </c>
      <c r="ED4" s="170">
        <f t="shared" ref="ED4:ED14" si="37">O4+AA4+AN4+AR4+AW4+BB4+BG4+BL4+BQ4+BV4+CA4+CU4+CZ4+DE4+DJ4+DO4+DY4+DT4</f>
        <v>266.67</v>
      </c>
      <c r="EE4" s="129">
        <f t="shared" ref="EE4:EE33" si="38">EB4+EC4-ED4-N4-Z4-AS4-AX4-BC4-BH4-BM4-BR4-BW4-CV4-DA4-DF4-DK4-DP4-DZ4-DU4</f>
        <v>7803.2369999999901</v>
      </c>
      <c r="EF4" s="18">
        <f t="shared" ref="EF4:EF33" si="39">R4+AC4+AG4+AL4+CN4</f>
        <v>9962.6999999999971</v>
      </c>
      <c r="EG4" s="170">
        <f t="shared" ref="EG4:EG33" si="40">S4+AD4+AH4+CE4+CJ4+CO4</f>
        <v>64.3</v>
      </c>
      <c r="EH4" s="170">
        <f>CPP!D4+CPP!E4+CPP!F4+CPP!G4+CPP!H4+CPP!I4+CPP!J4+CPP!K4+CPP!L4+CPP!M4+CPP!N4+CPP!O4+CPP!P4+CPP!Q4+CPP!R4+CPP!S4+DA4+DF4+DK4+CPP!W4+DU4</f>
        <v>135</v>
      </c>
      <c r="EI4" s="18">
        <f>EF4+EG4-CPP!G4-CPP!E4-CPP!F4-CPP!P4-CPP!Q4-CL4-CQ4-DU4</f>
        <v>9958.9999999999964</v>
      </c>
      <c r="EJ4" s="16">
        <f t="shared" ref="EJ4:EJ27" si="41">EM3</f>
        <v>24336.660087567463</v>
      </c>
      <c r="EK4" s="1">
        <v>1445</v>
      </c>
      <c r="EL4" s="247">
        <f>'Daily CEM-1'!AG5+'Daily  CEM - 2'!AF5-EQ4</f>
        <v>862.50000010240001</v>
      </c>
      <c r="EM4" s="9">
        <f t="shared" ref="EM4:EM32" si="42">EJ4+EK4-EL4-EN4</f>
        <v>24919.160087465061</v>
      </c>
      <c r="EN4" s="1">
        <v>0</v>
      </c>
      <c r="EO4" s="18">
        <f>ER3</f>
        <v>5155.3290080001361</v>
      </c>
      <c r="EP4" s="1">
        <v>91.19</v>
      </c>
      <c r="EQ4" s="1">
        <v>0</v>
      </c>
      <c r="ER4" s="17">
        <f t="shared" ref="ER4:ER33" si="43">EO4+EP4-EQ4</f>
        <v>5246.5190080001357</v>
      </c>
      <c r="ES4">
        <f t="shared" ref="ES4:ES32" si="44">ET4-EP4</f>
        <v>1079.9099999999999</v>
      </c>
      <c r="ET4">
        <v>1171.0999999999999</v>
      </c>
      <c r="EU4" s="51">
        <f t="shared" ref="EU4:EU32" si="45">EL4+EQ4</f>
        <v>862.50000010240001</v>
      </c>
      <c r="EV4" s="51">
        <f t="shared" ref="EV4:EV15" si="46">EL4+EQ4</f>
        <v>862.50000010240001</v>
      </c>
      <c r="EW4" s="51">
        <f>(EU4/Production2!CG4)*100</f>
        <v>73.844178090958906</v>
      </c>
      <c r="EX4">
        <v>73.844178090958906</v>
      </c>
      <c r="EY4">
        <f t="shared" ref="EY4:EY13" si="47">EX4*100</f>
        <v>7384.4178090958903</v>
      </c>
    </row>
    <row r="5" spans="2:155" x14ac:dyDescent="0.25">
      <c r="B5" s="4">
        <v>3</v>
      </c>
      <c r="C5" s="39">
        <f t="shared" si="3"/>
        <v>3970.8599999999997</v>
      </c>
      <c r="D5" s="1">
        <v>0</v>
      </c>
      <c r="E5" s="269">
        <f>F5+'RAW MILL 2'!F5</f>
        <v>54</v>
      </c>
      <c r="F5" s="1">
        <v>50</v>
      </c>
      <c r="G5" s="9">
        <f t="shared" si="4"/>
        <v>3916.8599999999997</v>
      </c>
      <c r="H5" s="39">
        <f t="shared" si="5"/>
        <v>2172.1500168375205</v>
      </c>
      <c r="I5" s="33">
        <f>Production2!N5</f>
        <v>2235</v>
      </c>
      <c r="J5" s="33">
        <f>Production2!K5</f>
        <v>2518.75</v>
      </c>
      <c r="K5" s="18">
        <f t="shared" si="6"/>
        <v>1888.4000168375205</v>
      </c>
      <c r="L5" s="39">
        <f t="shared" si="7"/>
        <v>0</v>
      </c>
      <c r="M5" s="1">
        <v>0</v>
      </c>
      <c r="N5" s="33">
        <f>CPP!D5</f>
        <v>0</v>
      </c>
      <c r="O5" s="1">
        <v>0</v>
      </c>
      <c r="P5" s="33">
        <f t="shared" si="0"/>
        <v>0</v>
      </c>
      <c r="Q5" s="9">
        <f t="shared" ref="Q5:Q33" si="48">L5+M5-O5-N5</f>
        <v>0</v>
      </c>
      <c r="R5" s="39">
        <f t="shared" si="8"/>
        <v>0</v>
      </c>
      <c r="S5" s="1">
        <v>0</v>
      </c>
      <c r="T5" s="33">
        <f>CPP!E5</f>
        <v>0</v>
      </c>
      <c r="U5" s="26">
        <v>0</v>
      </c>
      <c r="V5" s="38">
        <f t="shared" si="9"/>
        <v>0</v>
      </c>
      <c r="W5" s="9">
        <f t="shared" si="10"/>
        <v>0</v>
      </c>
      <c r="X5" s="39">
        <f t="shared" si="11"/>
        <v>3226.5999999999981</v>
      </c>
      <c r="Y5" s="1">
        <v>0</v>
      </c>
      <c r="Z5" s="33">
        <f>CPP!H5</f>
        <v>72</v>
      </c>
      <c r="AA5" s="1">
        <v>212</v>
      </c>
      <c r="AB5" s="9">
        <f t="shared" si="12"/>
        <v>2942.5999999999981</v>
      </c>
      <c r="AC5" s="39">
        <f t="shared" si="13"/>
        <v>0</v>
      </c>
      <c r="AD5" s="1">
        <v>0</v>
      </c>
      <c r="AE5" s="1">
        <v>0</v>
      </c>
      <c r="AF5" s="9">
        <f t="shared" si="1"/>
        <v>0</v>
      </c>
      <c r="AG5" s="39">
        <f t="shared" si="14"/>
        <v>9958.9499999999971</v>
      </c>
      <c r="AH5" s="1">
        <v>0</v>
      </c>
      <c r="AI5" s="1"/>
      <c r="AJ5" s="170">
        <f>CPP!G5</f>
        <v>72</v>
      </c>
      <c r="AK5" s="9">
        <f t="shared" si="2"/>
        <v>9886.9499999999971</v>
      </c>
      <c r="AL5" s="129">
        <f t="shared" ref="AL5:AL33" si="49">AO4</f>
        <v>0</v>
      </c>
      <c r="AM5" s="1">
        <v>0</v>
      </c>
      <c r="AN5" s="1">
        <v>0</v>
      </c>
      <c r="AO5" s="18">
        <f t="shared" si="15"/>
        <v>0</v>
      </c>
      <c r="AP5" s="129">
        <f t="shared" ref="AP5:AP33" si="50">AT4</f>
        <v>0</v>
      </c>
      <c r="AQ5" s="1">
        <v>0</v>
      </c>
      <c r="AR5" s="1">
        <v>0</v>
      </c>
      <c r="AS5" s="171">
        <f>CPP!I5</f>
        <v>0</v>
      </c>
      <c r="AT5" s="129">
        <f t="shared" si="16"/>
        <v>0</v>
      </c>
      <c r="AU5" s="1">
        <f t="shared" ref="AU5:AU33" si="51">AY4</f>
        <v>0</v>
      </c>
      <c r="AV5" s="1">
        <v>0</v>
      </c>
      <c r="AW5" s="1">
        <v>0</v>
      </c>
      <c r="AX5" s="170">
        <f>CPP!J5</f>
        <v>0</v>
      </c>
      <c r="AY5" s="1">
        <f t="shared" si="17"/>
        <v>0</v>
      </c>
      <c r="AZ5" s="1">
        <f t="shared" ref="AZ5:AZ33" si="52">BD4</f>
        <v>0.286999999990248</v>
      </c>
      <c r="BA5" s="1">
        <v>0</v>
      </c>
      <c r="BB5" s="1">
        <v>0</v>
      </c>
      <c r="BC5" s="170">
        <f>CPP!K5</f>
        <v>0</v>
      </c>
      <c r="BD5" s="1">
        <f t="shared" si="18"/>
        <v>0.286999999990248</v>
      </c>
      <c r="BE5" s="1">
        <f t="shared" ref="BE5:BE33" si="53">BI4</f>
        <v>0</v>
      </c>
      <c r="BF5" s="1">
        <v>0</v>
      </c>
      <c r="BG5" s="1">
        <v>0</v>
      </c>
      <c r="BH5" s="170">
        <f>CPP!L5</f>
        <v>0</v>
      </c>
      <c r="BI5" s="1">
        <f t="shared" si="19"/>
        <v>0</v>
      </c>
      <c r="BJ5" s="1">
        <f t="shared" ref="BJ5:BJ33" si="54">BN4</f>
        <v>0</v>
      </c>
      <c r="BK5" s="1">
        <v>0</v>
      </c>
      <c r="BL5" s="1">
        <v>0</v>
      </c>
      <c r="BM5" s="170">
        <f>CPP!M5</f>
        <v>0</v>
      </c>
      <c r="BN5" s="1">
        <f t="shared" ref="BN5:BN33" si="55">BJ5+BK5-BL5-BM5</f>
        <v>0</v>
      </c>
      <c r="BO5" s="1">
        <f t="shared" si="20"/>
        <v>0</v>
      </c>
      <c r="BP5" s="1">
        <v>0</v>
      </c>
      <c r="BQ5" s="1">
        <v>0</v>
      </c>
      <c r="BR5" s="170">
        <f>CPP!N5</f>
        <v>0</v>
      </c>
      <c r="BS5" s="1">
        <f t="shared" si="21"/>
        <v>0</v>
      </c>
      <c r="BT5" s="1">
        <f t="shared" si="22"/>
        <v>0</v>
      </c>
      <c r="BU5" s="1">
        <v>0</v>
      </c>
      <c r="BV5" s="1">
        <v>0</v>
      </c>
      <c r="BW5" s="170">
        <f>CPP!O5</f>
        <v>0</v>
      </c>
      <c r="BX5" s="1">
        <f t="shared" si="23"/>
        <v>0</v>
      </c>
      <c r="BY5" s="174">
        <f t="shared" ref="BY5:BY33" si="56">CC4</f>
        <v>0</v>
      </c>
      <c r="BZ5" s="1">
        <v>0</v>
      </c>
      <c r="CA5" s="1">
        <v>0</v>
      </c>
      <c r="CB5" s="170"/>
      <c r="CC5" s="26">
        <f t="shared" si="24"/>
        <v>0</v>
      </c>
      <c r="CD5" s="1">
        <f t="shared" ref="CD5:CD33" si="57">CH4</f>
        <v>0</v>
      </c>
      <c r="CE5" s="1">
        <v>0</v>
      </c>
      <c r="CF5" s="1">
        <v>0</v>
      </c>
      <c r="CG5" s="170">
        <f>CPP!P5</f>
        <v>0</v>
      </c>
      <c r="CH5" s="26">
        <f t="shared" si="25"/>
        <v>0</v>
      </c>
      <c r="CI5" s="1">
        <f t="shared" ref="CI5:CI33" si="58">CM4</f>
        <v>0</v>
      </c>
      <c r="CJ5" s="1">
        <v>0</v>
      </c>
      <c r="CK5" s="1">
        <v>0</v>
      </c>
      <c r="CL5" s="170">
        <f>CPP!Q5</f>
        <v>0</v>
      </c>
      <c r="CM5" s="1">
        <f t="shared" si="26"/>
        <v>0</v>
      </c>
      <c r="CN5" s="1">
        <f t="shared" ref="CN5:CN33" si="59">CR4</f>
        <v>5.0000000000181899E-2</v>
      </c>
      <c r="CO5" s="1">
        <v>0</v>
      </c>
      <c r="CP5" s="1">
        <v>0</v>
      </c>
      <c r="CQ5" s="170">
        <f>CPP!R5</f>
        <v>0</v>
      </c>
      <c r="CR5" s="1">
        <f t="shared" si="27"/>
        <v>5.0000000000181899E-2</v>
      </c>
      <c r="CS5" s="129">
        <f t="shared" ref="CS5:CS33" si="60">CW4</f>
        <v>0</v>
      </c>
      <c r="CT5" s="1">
        <v>0</v>
      </c>
      <c r="CU5" s="1">
        <v>0</v>
      </c>
      <c r="CV5" s="171">
        <f>CPP!S5</f>
        <v>0</v>
      </c>
      <c r="CW5" s="129">
        <f t="shared" si="28"/>
        <v>0</v>
      </c>
      <c r="CX5" s="129">
        <f t="shared" ref="CX5:CX33" si="61">DB4</f>
        <v>0</v>
      </c>
      <c r="CY5" s="1">
        <v>0</v>
      </c>
      <c r="CZ5" s="1">
        <v>0</v>
      </c>
      <c r="DA5" s="171">
        <f>CPP!T5</f>
        <v>0</v>
      </c>
      <c r="DB5" s="129">
        <f t="shared" si="29"/>
        <v>0</v>
      </c>
      <c r="DC5" s="129">
        <f t="shared" ref="DC5:DC33" si="62">DG4</f>
        <v>306</v>
      </c>
      <c r="DD5" s="1">
        <v>0</v>
      </c>
      <c r="DE5" s="1">
        <v>0</v>
      </c>
      <c r="DF5" s="171">
        <f>CPP!U5</f>
        <v>0</v>
      </c>
      <c r="DG5" s="129">
        <f t="shared" si="30"/>
        <v>306</v>
      </c>
      <c r="DH5" s="129">
        <f t="shared" ref="DH5:DH33" si="63">DL4</f>
        <v>0</v>
      </c>
      <c r="DI5" s="1">
        <v>0</v>
      </c>
      <c r="DJ5" s="1">
        <v>0</v>
      </c>
      <c r="DK5" s="171">
        <f>CPP!V5</f>
        <v>0</v>
      </c>
      <c r="DL5" s="129">
        <f t="shared" si="31"/>
        <v>0</v>
      </c>
      <c r="DM5" s="129">
        <f t="shared" ref="DM5:DM33" si="64">DQ4</f>
        <v>0</v>
      </c>
      <c r="DN5" s="1">
        <v>0</v>
      </c>
      <c r="DO5" s="1">
        <v>0</v>
      </c>
      <c r="DP5" s="171">
        <f>CPP!W5</f>
        <v>0</v>
      </c>
      <c r="DQ5" s="129">
        <f t="shared" si="32"/>
        <v>0</v>
      </c>
      <c r="DR5" s="129">
        <f t="shared" ref="DR5:DR33" si="65">DV4</f>
        <v>4270.3500000000022</v>
      </c>
      <c r="DS5" s="1">
        <v>0</v>
      </c>
      <c r="DT5" s="1">
        <v>53</v>
      </c>
      <c r="DU5" s="171">
        <f>CPP!X5</f>
        <v>0</v>
      </c>
      <c r="DV5" s="129">
        <f t="shared" si="33"/>
        <v>4217.3500000000022</v>
      </c>
      <c r="DW5" s="129">
        <f t="shared" ref="DW5:DW33" si="66">EA4</f>
        <v>0</v>
      </c>
      <c r="DX5" s="1">
        <v>0</v>
      </c>
      <c r="DY5" s="1">
        <v>0</v>
      </c>
      <c r="DZ5" s="171">
        <f>CPP!Y5</f>
        <v>0</v>
      </c>
      <c r="EA5" s="129">
        <f t="shared" si="34"/>
        <v>0</v>
      </c>
      <c r="EB5" s="129">
        <f t="shared" si="35"/>
        <v>7803.2369999999901</v>
      </c>
      <c r="EC5" s="170">
        <f t="shared" si="36"/>
        <v>0</v>
      </c>
      <c r="ED5" s="170">
        <f t="shared" si="37"/>
        <v>265</v>
      </c>
      <c r="EE5" s="129">
        <f t="shared" si="38"/>
        <v>7466.2369999999901</v>
      </c>
      <c r="EF5" s="18">
        <f t="shared" si="39"/>
        <v>9958.9999999999964</v>
      </c>
      <c r="EG5" s="170">
        <f t="shared" si="40"/>
        <v>0</v>
      </c>
      <c r="EH5" s="170">
        <f>CPP!D5+CPP!E5+CPP!F5+CPP!G5+CPP!H5+CPP!I5+CPP!J5+CPP!K5+CPP!L5+CPP!M5+CPP!N5+CPP!O5+CPP!P5+CPP!Q5+CPP!R5+CPP!S5+DA5+DF5+DK5+CPP!W5+DU5</f>
        <v>144</v>
      </c>
      <c r="EI5" s="18">
        <f>EF5+EG5-CPP!G5-CPP!E5-CPP!F5-CPP!P5-CPP!Q5-CL5-CQ5-DU5</f>
        <v>9886.9999999999964</v>
      </c>
      <c r="EJ5" s="16">
        <f t="shared" si="41"/>
        <v>24919.160087465061</v>
      </c>
      <c r="EK5" s="1">
        <v>1625</v>
      </c>
      <c r="EL5" s="247">
        <f>'Daily CEM-1'!AG6+'Daily  CEM - 2'!AF6-EQ5</f>
        <v>194.99999975</v>
      </c>
      <c r="EM5" s="9">
        <f t="shared" si="42"/>
        <v>26349.160087715059</v>
      </c>
      <c r="EN5" s="1">
        <v>0</v>
      </c>
      <c r="EO5" s="18">
        <f t="shared" ref="EO5:EO33" si="67">ER4</f>
        <v>5246.5190080001357</v>
      </c>
      <c r="EP5" s="1">
        <v>0</v>
      </c>
      <c r="EQ5" s="1">
        <v>0</v>
      </c>
      <c r="ER5" s="17">
        <f t="shared" si="43"/>
        <v>5246.5190080001357</v>
      </c>
      <c r="ES5">
        <f t="shared" si="44"/>
        <v>1446.55</v>
      </c>
      <c r="ET5">
        <v>1446.55</v>
      </c>
      <c r="EU5" s="51">
        <f t="shared" si="45"/>
        <v>194.99999975</v>
      </c>
      <c r="EV5" s="51">
        <f t="shared" si="46"/>
        <v>194.99999975</v>
      </c>
      <c r="EW5" s="51">
        <f>(EU5/Production2!CG5)*100</f>
        <v>77.999999900000006</v>
      </c>
      <c r="EX5">
        <v>77.999999900000006</v>
      </c>
      <c r="EY5">
        <f t="shared" si="47"/>
        <v>7799.9999900000003</v>
      </c>
    </row>
    <row r="6" spans="2:155" x14ac:dyDescent="0.25">
      <c r="B6" s="4">
        <v>4</v>
      </c>
      <c r="C6" s="39">
        <f t="shared" si="3"/>
        <v>3916.8599999999997</v>
      </c>
      <c r="D6" s="1">
        <v>32</v>
      </c>
      <c r="E6" s="269">
        <f>F6+'RAW MILL 2'!F6</f>
        <v>39</v>
      </c>
      <c r="F6" s="1">
        <v>37</v>
      </c>
      <c r="G6" s="9">
        <f t="shared" si="4"/>
        <v>3909.8599999999997</v>
      </c>
      <c r="H6" s="39">
        <f t="shared" si="5"/>
        <v>1888.4000168375205</v>
      </c>
      <c r="I6" s="33">
        <f>Production2!N6</f>
        <v>1680</v>
      </c>
      <c r="J6" s="33">
        <f>Production2!K6</f>
        <v>2286.25</v>
      </c>
      <c r="K6" s="18">
        <f t="shared" si="6"/>
        <v>1282.1500168375205</v>
      </c>
      <c r="L6" s="39">
        <f t="shared" si="7"/>
        <v>0</v>
      </c>
      <c r="M6" s="1">
        <v>0</v>
      </c>
      <c r="N6" s="33">
        <f>CPP!D6</f>
        <v>0</v>
      </c>
      <c r="O6" s="1">
        <v>0</v>
      </c>
      <c r="P6" s="33">
        <f t="shared" si="0"/>
        <v>0</v>
      </c>
      <c r="Q6" s="9">
        <f t="shared" si="48"/>
        <v>0</v>
      </c>
      <c r="R6" s="39">
        <f t="shared" si="8"/>
        <v>0</v>
      </c>
      <c r="S6" s="1">
        <v>0</v>
      </c>
      <c r="T6" s="33">
        <f>CPP!E6</f>
        <v>0</v>
      </c>
      <c r="U6" s="26">
        <v>0</v>
      </c>
      <c r="V6" s="38">
        <f t="shared" si="9"/>
        <v>0</v>
      </c>
      <c r="W6" s="9">
        <f t="shared" si="10"/>
        <v>0</v>
      </c>
      <c r="X6" s="39">
        <f t="shared" si="11"/>
        <v>2942.5999999999981</v>
      </c>
      <c r="Y6" s="1">
        <v>0</v>
      </c>
      <c r="Z6" s="33">
        <f>CPP!H6</f>
        <v>74</v>
      </c>
      <c r="AA6" s="1">
        <v>200</v>
      </c>
      <c r="AB6" s="9">
        <f t="shared" si="12"/>
        <v>2668.5999999999981</v>
      </c>
      <c r="AC6" s="39">
        <f t="shared" si="13"/>
        <v>0</v>
      </c>
      <c r="AD6" s="1">
        <v>0</v>
      </c>
      <c r="AE6" s="1">
        <v>0</v>
      </c>
      <c r="AF6" s="9">
        <f t="shared" si="1"/>
        <v>0</v>
      </c>
      <c r="AG6" s="39">
        <f t="shared" si="14"/>
        <v>9886.9499999999971</v>
      </c>
      <c r="AH6" s="1">
        <v>90.9</v>
      </c>
      <c r="AI6" s="1"/>
      <c r="AJ6" s="170">
        <f>CPP!G6</f>
        <v>49</v>
      </c>
      <c r="AK6" s="9">
        <f t="shared" si="2"/>
        <v>9928.8499999999967</v>
      </c>
      <c r="AL6" s="129">
        <f t="shared" si="49"/>
        <v>0</v>
      </c>
      <c r="AM6" s="1">
        <v>0</v>
      </c>
      <c r="AN6" s="1">
        <v>0</v>
      </c>
      <c r="AO6" s="18">
        <f t="shared" si="15"/>
        <v>0</v>
      </c>
      <c r="AP6" s="129">
        <f t="shared" si="50"/>
        <v>0</v>
      </c>
      <c r="AQ6" s="1">
        <v>0</v>
      </c>
      <c r="AR6" s="1">
        <v>0</v>
      </c>
      <c r="AS6" s="171">
        <f>CPP!I6</f>
        <v>0</v>
      </c>
      <c r="AT6" s="129">
        <f t="shared" si="16"/>
        <v>0</v>
      </c>
      <c r="AU6" s="1">
        <f t="shared" si="51"/>
        <v>0</v>
      </c>
      <c r="AV6" s="1">
        <v>0</v>
      </c>
      <c r="AW6" s="1">
        <v>0</v>
      </c>
      <c r="AX6" s="170">
        <f>CPP!J6</f>
        <v>0</v>
      </c>
      <c r="AY6" s="1">
        <f t="shared" si="17"/>
        <v>0</v>
      </c>
      <c r="AZ6" s="1">
        <f t="shared" si="52"/>
        <v>0.286999999990248</v>
      </c>
      <c r="BA6" s="1">
        <v>0</v>
      </c>
      <c r="BB6" s="1">
        <v>0</v>
      </c>
      <c r="BC6" s="170">
        <f>CPP!K6</f>
        <v>0</v>
      </c>
      <c r="BD6" s="1">
        <f t="shared" si="18"/>
        <v>0.286999999990248</v>
      </c>
      <c r="BE6" s="1">
        <f t="shared" si="53"/>
        <v>0</v>
      </c>
      <c r="BF6" s="1">
        <v>0</v>
      </c>
      <c r="BG6" s="1">
        <v>0</v>
      </c>
      <c r="BH6" s="170">
        <f>CPP!L6</f>
        <v>0</v>
      </c>
      <c r="BI6" s="1">
        <f t="shared" si="19"/>
        <v>0</v>
      </c>
      <c r="BJ6" s="1">
        <f t="shared" si="54"/>
        <v>0</v>
      </c>
      <c r="BK6" s="1">
        <v>0</v>
      </c>
      <c r="BL6" s="1">
        <v>0</v>
      </c>
      <c r="BM6" s="170">
        <f>CPP!M6</f>
        <v>0</v>
      </c>
      <c r="BN6" s="1">
        <f t="shared" si="55"/>
        <v>0</v>
      </c>
      <c r="BO6" s="1">
        <f t="shared" si="20"/>
        <v>0</v>
      </c>
      <c r="BP6" s="1">
        <v>0</v>
      </c>
      <c r="BQ6" s="1">
        <v>0</v>
      </c>
      <c r="BR6" s="170">
        <f>CPP!N6</f>
        <v>0</v>
      </c>
      <c r="BS6" s="1">
        <f t="shared" si="21"/>
        <v>0</v>
      </c>
      <c r="BT6" s="1">
        <f t="shared" si="22"/>
        <v>0</v>
      </c>
      <c r="BU6" s="1">
        <v>0</v>
      </c>
      <c r="BV6" s="1">
        <v>0</v>
      </c>
      <c r="BW6" s="170">
        <f>CPP!O6</f>
        <v>0</v>
      </c>
      <c r="BX6" s="1">
        <f t="shared" si="23"/>
        <v>0</v>
      </c>
      <c r="BY6" s="174">
        <f t="shared" si="56"/>
        <v>0</v>
      </c>
      <c r="BZ6" s="1">
        <v>0</v>
      </c>
      <c r="CA6" s="1">
        <v>0</v>
      </c>
      <c r="CB6" s="170"/>
      <c r="CC6" s="26">
        <f t="shared" si="24"/>
        <v>0</v>
      </c>
      <c r="CD6" s="1">
        <f t="shared" si="57"/>
        <v>0</v>
      </c>
      <c r="CE6" s="1">
        <v>0</v>
      </c>
      <c r="CF6" s="1">
        <v>0</v>
      </c>
      <c r="CG6" s="170">
        <f>CPP!P6</f>
        <v>0</v>
      </c>
      <c r="CH6" s="26">
        <f t="shared" si="25"/>
        <v>0</v>
      </c>
      <c r="CI6" s="1">
        <f t="shared" si="58"/>
        <v>0</v>
      </c>
      <c r="CJ6" s="1">
        <v>0</v>
      </c>
      <c r="CK6" s="1">
        <v>0</v>
      </c>
      <c r="CL6" s="170">
        <f>CPP!Q6</f>
        <v>0</v>
      </c>
      <c r="CM6" s="1">
        <f t="shared" si="26"/>
        <v>0</v>
      </c>
      <c r="CN6" s="1">
        <f t="shared" si="59"/>
        <v>5.0000000000181899E-2</v>
      </c>
      <c r="CO6" s="1">
        <v>0</v>
      </c>
      <c r="CP6" s="1">
        <v>0</v>
      </c>
      <c r="CQ6" s="170">
        <f>CPP!R6</f>
        <v>0</v>
      </c>
      <c r="CR6" s="1">
        <f t="shared" si="27"/>
        <v>5.0000000000181899E-2</v>
      </c>
      <c r="CS6" s="129">
        <f t="shared" si="60"/>
        <v>0</v>
      </c>
      <c r="CT6" s="1">
        <v>0</v>
      </c>
      <c r="CU6" s="1">
        <v>0</v>
      </c>
      <c r="CV6" s="171">
        <f>CPP!S6</f>
        <v>0</v>
      </c>
      <c r="CW6" s="129">
        <f t="shared" si="28"/>
        <v>0</v>
      </c>
      <c r="CX6" s="129">
        <f t="shared" si="61"/>
        <v>0</v>
      </c>
      <c r="CY6" s="1">
        <v>0</v>
      </c>
      <c r="CZ6" s="1">
        <v>0</v>
      </c>
      <c r="DA6" s="171">
        <f>CPP!T6</f>
        <v>0</v>
      </c>
      <c r="DB6" s="129">
        <f t="shared" si="29"/>
        <v>0</v>
      </c>
      <c r="DC6" s="129">
        <f t="shared" si="62"/>
        <v>306</v>
      </c>
      <c r="DD6" s="1">
        <v>0</v>
      </c>
      <c r="DE6" s="1">
        <v>0</v>
      </c>
      <c r="DF6" s="171">
        <f>CPP!U6</f>
        <v>0</v>
      </c>
      <c r="DG6" s="129">
        <f t="shared" si="30"/>
        <v>306</v>
      </c>
      <c r="DH6" s="129">
        <f t="shared" si="63"/>
        <v>0</v>
      </c>
      <c r="DI6" s="1">
        <v>0</v>
      </c>
      <c r="DJ6" s="1">
        <v>0</v>
      </c>
      <c r="DK6" s="171">
        <f>CPP!V6</f>
        <v>0</v>
      </c>
      <c r="DL6" s="129">
        <f t="shared" si="31"/>
        <v>0</v>
      </c>
      <c r="DM6" s="129">
        <f t="shared" si="64"/>
        <v>0</v>
      </c>
      <c r="DN6" s="1">
        <v>0</v>
      </c>
      <c r="DO6" s="1">
        <v>0</v>
      </c>
      <c r="DP6" s="171">
        <f>CPP!W6</f>
        <v>0</v>
      </c>
      <c r="DQ6" s="129">
        <f t="shared" si="32"/>
        <v>0</v>
      </c>
      <c r="DR6" s="129">
        <f t="shared" si="65"/>
        <v>4217.3500000000022</v>
      </c>
      <c r="DS6" s="1">
        <v>0</v>
      </c>
      <c r="DT6" s="1">
        <v>50</v>
      </c>
      <c r="DU6" s="171">
        <f>CPP!X6</f>
        <v>0</v>
      </c>
      <c r="DV6" s="129">
        <f t="shared" si="33"/>
        <v>4167.3500000000022</v>
      </c>
      <c r="DW6" s="129">
        <f t="shared" si="66"/>
        <v>0</v>
      </c>
      <c r="DX6" s="1">
        <v>0</v>
      </c>
      <c r="DY6" s="1">
        <v>0</v>
      </c>
      <c r="DZ6" s="171">
        <f>CPP!Y6</f>
        <v>0</v>
      </c>
      <c r="EA6" s="129">
        <f t="shared" si="34"/>
        <v>0</v>
      </c>
      <c r="EB6" s="129">
        <f t="shared" si="35"/>
        <v>7466.2369999999901</v>
      </c>
      <c r="EC6" s="170">
        <f t="shared" si="36"/>
        <v>0</v>
      </c>
      <c r="ED6" s="170">
        <f t="shared" si="37"/>
        <v>250</v>
      </c>
      <c r="EE6" s="129">
        <f t="shared" si="38"/>
        <v>7142.2369999999901</v>
      </c>
      <c r="EF6" s="18">
        <f t="shared" si="39"/>
        <v>9886.9999999999964</v>
      </c>
      <c r="EG6" s="170">
        <f t="shared" si="40"/>
        <v>90.9</v>
      </c>
      <c r="EH6" s="170">
        <f>CPP!D6+CPP!E6+CPP!F6+CPP!G6+CPP!H6+CPP!I6+CPP!J6+CPP!K6+CPP!L6+CPP!M6+CPP!N6+CPP!O6+CPP!P6+CPP!Q6+CPP!R6+CPP!S6+DA6+DF6+DK6+CPP!W6+DU6</f>
        <v>123</v>
      </c>
      <c r="EI6" s="18">
        <f>EF6+EG6-CPP!G6-CPP!E6-CPP!F6-CPP!P6-CPP!Q6-CL6-CQ6-DU6</f>
        <v>9928.899999999996</v>
      </c>
      <c r="EJ6" s="16">
        <f t="shared" si="41"/>
        <v>26349.160087715059</v>
      </c>
      <c r="EK6" s="1">
        <v>1475</v>
      </c>
      <c r="EL6" s="253">
        <f>'Daily CEM-1'!AG7+'Daily  CEM - 2'!AF7-EQ6</f>
        <v>671.50000000000057</v>
      </c>
      <c r="EM6" s="9">
        <f t="shared" si="42"/>
        <v>27152.660087715059</v>
      </c>
      <c r="EN6" s="1">
        <v>0</v>
      </c>
      <c r="EO6" s="18">
        <f t="shared" si="67"/>
        <v>5246.5190080001357</v>
      </c>
      <c r="EP6" s="1">
        <v>59.59</v>
      </c>
      <c r="EQ6" s="1">
        <v>0</v>
      </c>
      <c r="ER6" s="17">
        <f t="shared" si="43"/>
        <v>5306.1090080001359</v>
      </c>
      <c r="ES6">
        <f t="shared" si="44"/>
        <v>1440.7</v>
      </c>
      <c r="ET6">
        <v>1500.29</v>
      </c>
      <c r="EU6" s="51">
        <f t="shared" si="45"/>
        <v>671.50000000000057</v>
      </c>
      <c r="EV6" s="51">
        <f t="shared" si="46"/>
        <v>671.50000000000057</v>
      </c>
      <c r="EW6" s="51">
        <f>(EU6/Production2!CG6)*100</f>
        <v>79.000000000000071</v>
      </c>
      <c r="EX6">
        <v>79.000000000000071</v>
      </c>
      <c r="EY6">
        <f t="shared" si="47"/>
        <v>7900.0000000000073</v>
      </c>
    </row>
    <row r="7" spans="2:155" x14ac:dyDescent="0.25">
      <c r="B7" s="4">
        <v>5</v>
      </c>
      <c r="C7" s="39">
        <f t="shared" si="3"/>
        <v>3909.8599999999997</v>
      </c>
      <c r="D7" s="1">
        <v>0</v>
      </c>
      <c r="E7" s="269">
        <f>F7+'RAW MILL 2'!F7</f>
        <v>39</v>
      </c>
      <c r="F7" s="1">
        <v>37</v>
      </c>
      <c r="G7" s="9">
        <f t="shared" si="4"/>
        <v>3870.8599999999997</v>
      </c>
      <c r="H7" s="39">
        <f t="shared" si="5"/>
        <v>1282.1500168375205</v>
      </c>
      <c r="I7" s="33">
        <f>Production2!N7</f>
        <v>1678</v>
      </c>
      <c r="J7" s="33">
        <f>Production2!K7</f>
        <v>2030.5</v>
      </c>
      <c r="K7" s="18">
        <f t="shared" si="6"/>
        <v>929.65001683752052</v>
      </c>
      <c r="L7" s="39">
        <f t="shared" si="7"/>
        <v>0</v>
      </c>
      <c r="M7" s="1">
        <v>0</v>
      </c>
      <c r="N7" s="33">
        <f>CPP!D7</f>
        <v>0</v>
      </c>
      <c r="O7" s="1">
        <v>0</v>
      </c>
      <c r="P7" s="33">
        <f t="shared" si="0"/>
        <v>0</v>
      </c>
      <c r="Q7" s="9">
        <f t="shared" si="48"/>
        <v>0</v>
      </c>
      <c r="R7" s="39">
        <f t="shared" si="8"/>
        <v>0</v>
      </c>
      <c r="S7" s="1">
        <v>0</v>
      </c>
      <c r="T7" s="33">
        <f>CPP!E7</f>
        <v>0</v>
      </c>
      <c r="U7" s="26">
        <v>0</v>
      </c>
      <c r="V7" s="38">
        <f t="shared" si="9"/>
        <v>0</v>
      </c>
      <c r="W7" s="9">
        <f t="shared" si="10"/>
        <v>0</v>
      </c>
      <c r="X7" s="39">
        <f t="shared" si="11"/>
        <v>2668.5999999999981</v>
      </c>
      <c r="Y7" s="1">
        <v>0</v>
      </c>
      <c r="Z7" s="33">
        <f>CPP!H7</f>
        <v>60</v>
      </c>
      <c r="AA7" s="1">
        <v>184</v>
      </c>
      <c r="AB7" s="9">
        <f t="shared" si="12"/>
        <v>2424.5999999999981</v>
      </c>
      <c r="AC7" s="39">
        <f t="shared" si="13"/>
        <v>0</v>
      </c>
      <c r="AD7" s="1">
        <v>0</v>
      </c>
      <c r="AE7" s="1">
        <v>0</v>
      </c>
      <c r="AF7" s="9">
        <f t="shared" si="1"/>
        <v>0</v>
      </c>
      <c r="AG7" s="39">
        <f t="shared" si="14"/>
        <v>9928.8499999999967</v>
      </c>
      <c r="AH7" s="1">
        <v>154.30000000000001</v>
      </c>
      <c r="AI7" s="1"/>
      <c r="AJ7" s="170">
        <f>CPP!G7</f>
        <v>60</v>
      </c>
      <c r="AK7" s="9">
        <f t="shared" si="2"/>
        <v>10023.149999999996</v>
      </c>
      <c r="AL7" s="129">
        <f t="shared" si="49"/>
        <v>0</v>
      </c>
      <c r="AM7" s="1">
        <v>0</v>
      </c>
      <c r="AN7" s="1">
        <v>0</v>
      </c>
      <c r="AO7" s="18">
        <f t="shared" si="15"/>
        <v>0</v>
      </c>
      <c r="AP7" s="129">
        <f t="shared" si="50"/>
        <v>0</v>
      </c>
      <c r="AQ7" s="1">
        <v>0</v>
      </c>
      <c r="AR7" s="1">
        <v>0</v>
      </c>
      <c r="AS7" s="171">
        <f>CPP!I7</f>
        <v>0</v>
      </c>
      <c r="AT7" s="129">
        <f t="shared" si="16"/>
        <v>0</v>
      </c>
      <c r="AU7" s="1">
        <f t="shared" si="51"/>
        <v>0</v>
      </c>
      <c r="AV7" s="1">
        <v>0</v>
      </c>
      <c r="AW7" s="1">
        <v>0</v>
      </c>
      <c r="AX7" s="170">
        <f>CPP!J7</f>
        <v>0</v>
      </c>
      <c r="AY7" s="1">
        <f t="shared" si="17"/>
        <v>0</v>
      </c>
      <c r="AZ7" s="1">
        <f t="shared" si="52"/>
        <v>0.286999999990248</v>
      </c>
      <c r="BA7" s="1">
        <v>0</v>
      </c>
      <c r="BB7" s="1">
        <v>0</v>
      </c>
      <c r="BC7" s="170">
        <f>CPP!K7</f>
        <v>0</v>
      </c>
      <c r="BD7" s="1">
        <f t="shared" si="18"/>
        <v>0.286999999990248</v>
      </c>
      <c r="BE7" s="1">
        <f t="shared" si="53"/>
        <v>0</v>
      </c>
      <c r="BF7" s="1">
        <v>0</v>
      </c>
      <c r="BG7" s="1">
        <v>0</v>
      </c>
      <c r="BH7" s="170">
        <f>CPP!L7</f>
        <v>0</v>
      </c>
      <c r="BI7" s="1">
        <f t="shared" si="19"/>
        <v>0</v>
      </c>
      <c r="BJ7" s="1">
        <f t="shared" si="54"/>
        <v>0</v>
      </c>
      <c r="BK7" s="1">
        <v>0</v>
      </c>
      <c r="BL7" s="1">
        <v>0</v>
      </c>
      <c r="BM7" s="170">
        <f>CPP!M7</f>
        <v>0</v>
      </c>
      <c r="BN7" s="1">
        <f t="shared" si="55"/>
        <v>0</v>
      </c>
      <c r="BO7" s="1">
        <f t="shared" si="20"/>
        <v>0</v>
      </c>
      <c r="BP7" s="1">
        <v>0</v>
      </c>
      <c r="BQ7" s="1">
        <v>0</v>
      </c>
      <c r="BR7" s="170">
        <f>CPP!N7</f>
        <v>0</v>
      </c>
      <c r="BS7" s="1">
        <f t="shared" si="21"/>
        <v>0</v>
      </c>
      <c r="BT7" s="1">
        <f t="shared" si="22"/>
        <v>0</v>
      </c>
      <c r="BU7" s="1">
        <v>0</v>
      </c>
      <c r="BV7" s="1">
        <v>0</v>
      </c>
      <c r="BW7" s="170">
        <f>CPP!O7</f>
        <v>0</v>
      </c>
      <c r="BX7" s="1">
        <f t="shared" si="23"/>
        <v>0</v>
      </c>
      <c r="BY7" s="174">
        <f t="shared" si="56"/>
        <v>0</v>
      </c>
      <c r="BZ7" s="1">
        <v>0</v>
      </c>
      <c r="CA7" s="1">
        <v>0</v>
      </c>
      <c r="CB7" s="170"/>
      <c r="CC7" s="26">
        <f t="shared" si="24"/>
        <v>0</v>
      </c>
      <c r="CD7" s="1">
        <f t="shared" si="57"/>
        <v>0</v>
      </c>
      <c r="CE7" s="1">
        <v>0</v>
      </c>
      <c r="CF7" s="1">
        <v>0</v>
      </c>
      <c r="CG7" s="170">
        <f>CPP!P7</f>
        <v>0</v>
      </c>
      <c r="CH7" s="26">
        <f t="shared" si="25"/>
        <v>0</v>
      </c>
      <c r="CI7" s="1">
        <f t="shared" si="58"/>
        <v>0</v>
      </c>
      <c r="CJ7" s="1">
        <v>0</v>
      </c>
      <c r="CK7" s="1">
        <v>0</v>
      </c>
      <c r="CL7" s="170">
        <f>CPP!Q7</f>
        <v>0</v>
      </c>
      <c r="CM7" s="1">
        <f t="shared" si="26"/>
        <v>0</v>
      </c>
      <c r="CN7" s="1">
        <f t="shared" si="59"/>
        <v>5.0000000000181899E-2</v>
      </c>
      <c r="CO7" s="1">
        <v>0</v>
      </c>
      <c r="CP7" s="1">
        <v>0</v>
      </c>
      <c r="CQ7" s="170">
        <f>CPP!R7</f>
        <v>0</v>
      </c>
      <c r="CR7" s="1">
        <f t="shared" si="27"/>
        <v>5.0000000000181899E-2</v>
      </c>
      <c r="CS7" s="129">
        <f t="shared" si="60"/>
        <v>0</v>
      </c>
      <c r="CT7" s="1">
        <v>0</v>
      </c>
      <c r="CU7" s="1">
        <v>0</v>
      </c>
      <c r="CV7" s="171">
        <f>CPP!S7</f>
        <v>0</v>
      </c>
      <c r="CW7" s="129">
        <f t="shared" si="28"/>
        <v>0</v>
      </c>
      <c r="CX7" s="129">
        <f t="shared" si="61"/>
        <v>0</v>
      </c>
      <c r="CY7" s="1">
        <v>0</v>
      </c>
      <c r="CZ7" s="1">
        <v>0</v>
      </c>
      <c r="DA7" s="171">
        <f>CPP!T7</f>
        <v>0</v>
      </c>
      <c r="DB7" s="129">
        <f t="shared" si="29"/>
        <v>0</v>
      </c>
      <c r="DC7" s="129">
        <f t="shared" si="62"/>
        <v>306</v>
      </c>
      <c r="DD7" s="1">
        <v>0</v>
      </c>
      <c r="DE7" s="1">
        <v>0</v>
      </c>
      <c r="DF7" s="171">
        <f>CPP!U7</f>
        <v>0</v>
      </c>
      <c r="DG7" s="129">
        <f t="shared" si="30"/>
        <v>306</v>
      </c>
      <c r="DH7" s="129">
        <f t="shared" si="63"/>
        <v>0</v>
      </c>
      <c r="DI7" s="1">
        <v>0</v>
      </c>
      <c r="DJ7" s="1">
        <v>0</v>
      </c>
      <c r="DK7" s="171">
        <f>CPP!V7</f>
        <v>0</v>
      </c>
      <c r="DL7" s="129">
        <f t="shared" si="31"/>
        <v>0</v>
      </c>
      <c r="DM7" s="129">
        <f t="shared" si="64"/>
        <v>0</v>
      </c>
      <c r="DN7" s="1">
        <v>0</v>
      </c>
      <c r="DO7" s="1">
        <v>0</v>
      </c>
      <c r="DP7" s="171">
        <f>CPP!W7</f>
        <v>0</v>
      </c>
      <c r="DQ7" s="129">
        <f t="shared" si="32"/>
        <v>0</v>
      </c>
      <c r="DR7" s="129">
        <f t="shared" si="65"/>
        <v>4167.3500000000022</v>
      </c>
      <c r="DS7" s="1">
        <v>0</v>
      </c>
      <c r="DT7" s="1">
        <v>46</v>
      </c>
      <c r="DU7" s="171">
        <f>CPP!X7</f>
        <v>0</v>
      </c>
      <c r="DV7" s="129">
        <f t="shared" si="33"/>
        <v>4121.3500000000022</v>
      </c>
      <c r="DW7" s="129">
        <f t="shared" si="66"/>
        <v>0</v>
      </c>
      <c r="DX7" s="1">
        <v>0</v>
      </c>
      <c r="DY7" s="1">
        <v>0</v>
      </c>
      <c r="DZ7" s="171">
        <f>CPP!Y7</f>
        <v>0</v>
      </c>
      <c r="EA7" s="129">
        <f t="shared" si="34"/>
        <v>0</v>
      </c>
      <c r="EB7" s="129">
        <f t="shared" si="35"/>
        <v>7142.2369999999901</v>
      </c>
      <c r="EC7" s="170">
        <f t="shared" si="36"/>
        <v>0</v>
      </c>
      <c r="ED7" s="170">
        <f t="shared" si="37"/>
        <v>230</v>
      </c>
      <c r="EE7" s="129">
        <f t="shared" si="38"/>
        <v>6852.2369999999901</v>
      </c>
      <c r="EF7" s="18">
        <f t="shared" si="39"/>
        <v>9928.8999999999978</v>
      </c>
      <c r="EG7" s="170">
        <f t="shared" si="40"/>
        <v>154.30000000000001</v>
      </c>
      <c r="EH7" s="170">
        <f>CPP!D7+CPP!E7+CPP!F7+CPP!G7+CPP!H7+CPP!I7+CPP!J7+CPP!K7+CPP!L7+CPP!M7+CPP!N7+CPP!O7+CPP!P7+CPP!Q7+CPP!R7+CPP!S7+DA7+DF7+DK7+CPP!W7+DU7</f>
        <v>120</v>
      </c>
      <c r="EI7" s="18">
        <f>EF7+EG7-CPP!G7-CPP!E7-CPP!F7-CPP!P7-CPP!Q7-CL7-CQ7-DU7</f>
        <v>10023.199999999997</v>
      </c>
      <c r="EJ7" s="16">
        <f t="shared" si="41"/>
        <v>27152.660087715059</v>
      </c>
      <c r="EK7" s="1">
        <v>1310</v>
      </c>
      <c r="EL7" s="253">
        <f>'Daily CEM-1'!AG8+'Daily  CEM - 2'!AF8-EQ7</f>
        <v>463.60000000000031</v>
      </c>
      <c r="EM7" s="9">
        <f t="shared" si="42"/>
        <v>27999.060087715061</v>
      </c>
      <c r="EN7" s="1">
        <v>0</v>
      </c>
      <c r="EO7" s="18">
        <f t="shared" si="67"/>
        <v>5306.1090080001359</v>
      </c>
      <c r="EP7" s="1">
        <v>0</v>
      </c>
      <c r="EQ7" s="1">
        <v>0</v>
      </c>
      <c r="ER7" s="17">
        <f t="shared" si="43"/>
        <v>5306.1090080001359</v>
      </c>
      <c r="ES7">
        <f t="shared" si="44"/>
        <v>0</v>
      </c>
      <c r="EU7" s="51">
        <f t="shared" si="45"/>
        <v>463.60000000000031</v>
      </c>
      <c r="EV7" s="51">
        <f t="shared" si="46"/>
        <v>463.60000000000031</v>
      </c>
      <c r="EW7" s="51">
        <f>(EU7/Production2!CG7)*100</f>
        <v>72.437500000000043</v>
      </c>
      <c r="EX7">
        <v>72.437500000000043</v>
      </c>
      <c r="EY7">
        <f t="shared" si="47"/>
        <v>7243.7500000000045</v>
      </c>
    </row>
    <row r="8" spans="2:155" x14ac:dyDescent="0.25">
      <c r="B8" s="4">
        <v>6</v>
      </c>
      <c r="C8" s="39">
        <f t="shared" si="3"/>
        <v>3870.8599999999997</v>
      </c>
      <c r="D8" s="1">
        <v>0</v>
      </c>
      <c r="E8" s="269">
        <f>F8+'RAW MILL 2'!F8</f>
        <v>59</v>
      </c>
      <c r="F8" s="1">
        <v>59</v>
      </c>
      <c r="G8" s="9">
        <f t="shared" si="4"/>
        <v>3811.8599999999997</v>
      </c>
      <c r="H8" s="39">
        <f t="shared" si="5"/>
        <v>929.65001683752052</v>
      </c>
      <c r="I8" s="33">
        <f>Production2!N8</f>
        <v>2125.77</v>
      </c>
      <c r="J8" s="33">
        <f>Production2!K8</f>
        <v>2092.5</v>
      </c>
      <c r="K8" s="18">
        <f t="shared" si="6"/>
        <v>962.92001683752051</v>
      </c>
      <c r="L8" s="39">
        <f t="shared" si="7"/>
        <v>0</v>
      </c>
      <c r="M8" s="1">
        <v>0</v>
      </c>
      <c r="N8" s="33">
        <f>CPP!D8</f>
        <v>0</v>
      </c>
      <c r="O8" s="1">
        <v>0</v>
      </c>
      <c r="P8" s="33">
        <f t="shared" si="0"/>
        <v>0</v>
      </c>
      <c r="Q8" s="9">
        <f t="shared" si="48"/>
        <v>0</v>
      </c>
      <c r="R8" s="39">
        <f t="shared" si="8"/>
        <v>0</v>
      </c>
      <c r="S8" s="1">
        <v>0</v>
      </c>
      <c r="T8" s="33">
        <f>CPP!E8</f>
        <v>0</v>
      </c>
      <c r="U8" s="26">
        <v>0</v>
      </c>
      <c r="V8" s="38">
        <f t="shared" si="9"/>
        <v>0</v>
      </c>
      <c r="W8" s="9">
        <f t="shared" si="10"/>
        <v>0</v>
      </c>
      <c r="X8" s="39">
        <f t="shared" si="11"/>
        <v>2424.5999999999981</v>
      </c>
      <c r="Y8" s="1">
        <v>0</v>
      </c>
      <c r="Z8" s="33">
        <f>CPP!H8</f>
        <v>10</v>
      </c>
      <c r="AA8" s="1">
        <v>186</v>
      </c>
      <c r="AB8" s="9">
        <f t="shared" si="12"/>
        <v>2228.5999999999981</v>
      </c>
      <c r="AC8" s="39">
        <f t="shared" si="13"/>
        <v>0</v>
      </c>
      <c r="AD8" s="1">
        <v>0</v>
      </c>
      <c r="AE8" s="1">
        <v>0</v>
      </c>
      <c r="AF8" s="9">
        <f t="shared" si="1"/>
        <v>0</v>
      </c>
      <c r="AG8" s="39">
        <f t="shared" si="14"/>
        <v>10023.149999999996</v>
      </c>
      <c r="AH8" s="1">
        <v>269.8</v>
      </c>
      <c r="AI8" s="1"/>
      <c r="AJ8" s="170">
        <f>CPP!G8</f>
        <v>114</v>
      </c>
      <c r="AK8" s="9">
        <f t="shared" si="2"/>
        <v>10178.949999999995</v>
      </c>
      <c r="AL8" s="129">
        <f t="shared" si="49"/>
        <v>0</v>
      </c>
      <c r="AM8" s="1">
        <v>0</v>
      </c>
      <c r="AN8" s="1">
        <v>0</v>
      </c>
      <c r="AO8" s="18">
        <f t="shared" si="15"/>
        <v>0</v>
      </c>
      <c r="AP8" s="129">
        <f t="shared" si="50"/>
        <v>0</v>
      </c>
      <c r="AQ8" s="1">
        <v>0</v>
      </c>
      <c r="AR8" s="1">
        <v>0</v>
      </c>
      <c r="AS8" s="171">
        <f>CPP!I8</f>
        <v>0</v>
      </c>
      <c r="AT8" s="129">
        <f t="shared" si="16"/>
        <v>0</v>
      </c>
      <c r="AU8" s="1">
        <f t="shared" si="51"/>
        <v>0</v>
      </c>
      <c r="AV8" s="1">
        <v>0</v>
      </c>
      <c r="AW8" s="1">
        <v>0</v>
      </c>
      <c r="AX8" s="170">
        <f>CPP!J8</f>
        <v>0</v>
      </c>
      <c r="AY8" s="1">
        <f t="shared" si="17"/>
        <v>0</v>
      </c>
      <c r="AZ8" s="1">
        <f t="shared" si="52"/>
        <v>0.286999999990248</v>
      </c>
      <c r="BA8" s="1">
        <v>0</v>
      </c>
      <c r="BB8" s="1">
        <v>0</v>
      </c>
      <c r="BC8" s="170">
        <f>CPP!K8</f>
        <v>0</v>
      </c>
      <c r="BD8" s="1">
        <f t="shared" si="18"/>
        <v>0.286999999990248</v>
      </c>
      <c r="BE8" s="1">
        <f t="shared" si="53"/>
        <v>0</v>
      </c>
      <c r="BF8" s="1">
        <v>0</v>
      </c>
      <c r="BG8" s="1">
        <v>0</v>
      </c>
      <c r="BH8" s="170">
        <f>CPP!L8</f>
        <v>0</v>
      </c>
      <c r="BI8" s="1">
        <f t="shared" si="19"/>
        <v>0</v>
      </c>
      <c r="BJ8" s="1">
        <f t="shared" si="54"/>
        <v>0</v>
      </c>
      <c r="BK8" s="1">
        <v>0</v>
      </c>
      <c r="BL8" s="1">
        <v>0</v>
      </c>
      <c r="BM8" s="170">
        <f>CPP!M8</f>
        <v>0</v>
      </c>
      <c r="BN8" s="1">
        <f t="shared" si="55"/>
        <v>0</v>
      </c>
      <c r="BO8" s="1">
        <f t="shared" si="20"/>
        <v>0</v>
      </c>
      <c r="BP8" s="1">
        <v>0</v>
      </c>
      <c r="BQ8" s="1">
        <v>0</v>
      </c>
      <c r="BR8" s="170">
        <f>CPP!N8</f>
        <v>0</v>
      </c>
      <c r="BS8" s="1">
        <f t="shared" si="21"/>
        <v>0</v>
      </c>
      <c r="BT8" s="1">
        <f t="shared" si="22"/>
        <v>0</v>
      </c>
      <c r="BU8" s="1">
        <v>0</v>
      </c>
      <c r="BV8" s="1">
        <v>0</v>
      </c>
      <c r="BW8" s="170">
        <f>CPP!O8</f>
        <v>0</v>
      </c>
      <c r="BX8" s="1">
        <f t="shared" si="23"/>
        <v>0</v>
      </c>
      <c r="BY8" s="174">
        <f t="shared" si="56"/>
        <v>0</v>
      </c>
      <c r="BZ8" s="1">
        <v>0</v>
      </c>
      <c r="CA8" s="1">
        <v>0</v>
      </c>
      <c r="CB8" s="170"/>
      <c r="CC8" s="26">
        <f t="shared" si="24"/>
        <v>0</v>
      </c>
      <c r="CD8" s="1">
        <f t="shared" si="57"/>
        <v>0</v>
      </c>
      <c r="CE8" s="1">
        <v>0</v>
      </c>
      <c r="CF8" s="1">
        <v>0</v>
      </c>
      <c r="CG8" s="170">
        <f>CPP!P8</f>
        <v>0</v>
      </c>
      <c r="CH8" s="26">
        <f t="shared" si="25"/>
        <v>0</v>
      </c>
      <c r="CI8" s="1">
        <f t="shared" si="58"/>
        <v>0</v>
      </c>
      <c r="CJ8" s="1">
        <v>0</v>
      </c>
      <c r="CK8" s="1">
        <v>0</v>
      </c>
      <c r="CL8" s="170">
        <f>CPP!Q8</f>
        <v>0</v>
      </c>
      <c r="CM8" s="1">
        <f t="shared" si="26"/>
        <v>0</v>
      </c>
      <c r="CN8" s="1">
        <f t="shared" si="59"/>
        <v>5.0000000000181899E-2</v>
      </c>
      <c r="CO8" s="1">
        <v>0</v>
      </c>
      <c r="CP8" s="1">
        <v>0</v>
      </c>
      <c r="CQ8" s="170">
        <f>CPP!R8</f>
        <v>0</v>
      </c>
      <c r="CR8" s="1">
        <f t="shared" si="27"/>
        <v>5.0000000000181899E-2</v>
      </c>
      <c r="CS8" s="129">
        <f t="shared" si="60"/>
        <v>0</v>
      </c>
      <c r="CT8" s="1">
        <v>0</v>
      </c>
      <c r="CU8" s="1">
        <v>0</v>
      </c>
      <c r="CV8" s="171">
        <f>CPP!S8</f>
        <v>0</v>
      </c>
      <c r="CW8" s="129">
        <f t="shared" si="28"/>
        <v>0</v>
      </c>
      <c r="CX8" s="129">
        <f t="shared" si="61"/>
        <v>0</v>
      </c>
      <c r="CY8" s="1">
        <v>0</v>
      </c>
      <c r="CZ8" s="1">
        <v>0</v>
      </c>
      <c r="DA8" s="171">
        <f>CPP!T8</f>
        <v>0</v>
      </c>
      <c r="DB8" s="129">
        <f t="shared" si="29"/>
        <v>0</v>
      </c>
      <c r="DC8" s="129">
        <f t="shared" si="62"/>
        <v>306</v>
      </c>
      <c r="DD8" s="1">
        <v>0</v>
      </c>
      <c r="DE8" s="1">
        <v>0</v>
      </c>
      <c r="DF8" s="171">
        <f>CPP!U8</f>
        <v>0</v>
      </c>
      <c r="DG8" s="129">
        <f t="shared" si="30"/>
        <v>306</v>
      </c>
      <c r="DH8" s="129">
        <f t="shared" si="63"/>
        <v>0</v>
      </c>
      <c r="DI8" s="1">
        <v>0</v>
      </c>
      <c r="DJ8" s="1">
        <v>0</v>
      </c>
      <c r="DK8" s="171">
        <f>CPP!V8</f>
        <v>0</v>
      </c>
      <c r="DL8" s="129">
        <f t="shared" si="31"/>
        <v>0</v>
      </c>
      <c r="DM8" s="129">
        <f t="shared" si="64"/>
        <v>0</v>
      </c>
      <c r="DN8" s="1">
        <v>0</v>
      </c>
      <c r="DO8" s="1">
        <v>0</v>
      </c>
      <c r="DP8" s="171">
        <f>CPP!W8</f>
        <v>0</v>
      </c>
      <c r="DQ8" s="129">
        <f t="shared" si="32"/>
        <v>0</v>
      </c>
      <c r="DR8" s="129">
        <f t="shared" si="65"/>
        <v>4121.3500000000022</v>
      </c>
      <c r="DS8" s="1">
        <v>0</v>
      </c>
      <c r="DT8" s="1">
        <v>47</v>
      </c>
      <c r="DU8" s="171">
        <f>CPP!X8</f>
        <v>0</v>
      </c>
      <c r="DV8" s="129">
        <f t="shared" si="33"/>
        <v>4074.3500000000022</v>
      </c>
      <c r="DW8" s="129">
        <f t="shared" si="66"/>
        <v>0</v>
      </c>
      <c r="DX8" s="1">
        <v>0</v>
      </c>
      <c r="DY8" s="1">
        <v>0</v>
      </c>
      <c r="DZ8" s="171">
        <f>CPP!Y8</f>
        <v>0</v>
      </c>
      <c r="EA8" s="129">
        <f t="shared" si="34"/>
        <v>0</v>
      </c>
      <c r="EB8" s="129">
        <f t="shared" si="35"/>
        <v>6852.2369999999901</v>
      </c>
      <c r="EC8" s="170">
        <f t="shared" si="36"/>
        <v>0</v>
      </c>
      <c r="ED8" s="170">
        <f t="shared" si="37"/>
        <v>233</v>
      </c>
      <c r="EE8" s="129">
        <f t="shared" si="38"/>
        <v>6609.2369999999901</v>
      </c>
      <c r="EF8" s="18">
        <f t="shared" si="39"/>
        <v>10023.199999999997</v>
      </c>
      <c r="EG8" s="170">
        <f t="shared" si="40"/>
        <v>269.8</v>
      </c>
      <c r="EH8" s="170">
        <f>CPP!D8+CPP!E8+CPP!F8+CPP!G8+CPP!H8+CPP!I8+CPP!J8+CPP!K8+CPP!L8+CPP!M8+CPP!N8+CPP!O8+CPP!P8+CPP!Q8+CPP!R8+CPP!S8+DA8+DF8+DK8+CPP!W8+DU8</f>
        <v>124</v>
      </c>
      <c r="EI8" s="18">
        <f>EF8+EG8-CPP!G8-CPP!E8-CPP!F8-CPP!P8-CPP!Q8-CL8-CQ8-DU8</f>
        <v>10178.999999999996</v>
      </c>
      <c r="EJ8" s="16">
        <f t="shared" si="41"/>
        <v>27999.060087715061</v>
      </c>
      <c r="EK8" s="1">
        <v>1350</v>
      </c>
      <c r="EL8" s="253">
        <f>'Daily CEM-1'!AG9+'Daily  CEM - 2'!AF9-EQ8</f>
        <v>1028.420000000001</v>
      </c>
      <c r="EM8" s="9">
        <f t="shared" si="42"/>
        <v>28320.640087715059</v>
      </c>
      <c r="EN8" s="1">
        <v>0</v>
      </c>
      <c r="EO8" s="18">
        <f t="shared" si="67"/>
        <v>5306.1090080001359</v>
      </c>
      <c r="EP8" s="1">
        <v>0</v>
      </c>
      <c r="EQ8" s="1">
        <v>0</v>
      </c>
      <c r="ER8" s="17">
        <f t="shared" si="43"/>
        <v>5306.1090080001359</v>
      </c>
      <c r="ES8">
        <f t="shared" si="44"/>
        <v>2036.63</v>
      </c>
      <c r="ET8">
        <v>2036.63</v>
      </c>
      <c r="EU8" s="51">
        <f t="shared" si="45"/>
        <v>1028.420000000001</v>
      </c>
      <c r="EV8" s="51">
        <f t="shared" si="46"/>
        <v>1028.420000000001</v>
      </c>
      <c r="EW8" s="51">
        <f>(EU8/Production2!CG8)*100</f>
        <v>76.462453531598584</v>
      </c>
      <c r="EX8">
        <v>76.462453531598584</v>
      </c>
      <c r="EY8">
        <f t="shared" si="47"/>
        <v>7646.2453531598585</v>
      </c>
    </row>
    <row r="9" spans="2:155" ht="16.5" customHeight="1" x14ac:dyDescent="0.25">
      <c r="B9" s="4">
        <v>7</v>
      </c>
      <c r="C9" s="39">
        <f t="shared" si="3"/>
        <v>3811.8599999999997</v>
      </c>
      <c r="D9" s="1">
        <v>74.260000000000005</v>
      </c>
      <c r="E9" s="269">
        <f>F9+'RAW MILL 2'!F9</f>
        <v>22</v>
      </c>
      <c r="F9" s="1">
        <v>22</v>
      </c>
      <c r="G9" s="9">
        <f t="shared" si="4"/>
        <v>3864.12</v>
      </c>
      <c r="H9" s="39">
        <f t="shared" si="5"/>
        <v>962.92001683752051</v>
      </c>
      <c r="I9" s="33">
        <f>Production2!N9</f>
        <v>980.3</v>
      </c>
      <c r="J9" s="33">
        <f>Production2!K9</f>
        <v>1123.75</v>
      </c>
      <c r="K9" s="18">
        <f t="shared" si="6"/>
        <v>819.47001683752046</v>
      </c>
      <c r="L9" s="39">
        <f t="shared" si="7"/>
        <v>0</v>
      </c>
      <c r="M9" s="1">
        <v>0</v>
      </c>
      <c r="N9" s="33">
        <f>CPP!D9</f>
        <v>0</v>
      </c>
      <c r="O9" s="1">
        <v>0</v>
      </c>
      <c r="P9" s="33">
        <f t="shared" si="0"/>
        <v>0</v>
      </c>
      <c r="Q9" s="9">
        <f t="shared" si="48"/>
        <v>0</v>
      </c>
      <c r="R9" s="39">
        <f t="shared" si="8"/>
        <v>0</v>
      </c>
      <c r="S9" s="1">
        <v>0</v>
      </c>
      <c r="T9" s="33">
        <f>CPP!E9</f>
        <v>0</v>
      </c>
      <c r="U9" s="26">
        <v>0</v>
      </c>
      <c r="V9" s="38">
        <f t="shared" si="9"/>
        <v>0</v>
      </c>
      <c r="W9" s="9">
        <f t="shared" si="10"/>
        <v>0</v>
      </c>
      <c r="X9" s="39">
        <f t="shared" si="11"/>
        <v>2228.5999999999981</v>
      </c>
      <c r="Y9" s="1">
        <v>0</v>
      </c>
      <c r="Z9" s="33">
        <f>CPP!H9</f>
        <v>57</v>
      </c>
      <c r="AA9" s="1">
        <v>143</v>
      </c>
      <c r="AB9" s="9">
        <f t="shared" si="12"/>
        <v>2028.5999999999981</v>
      </c>
      <c r="AC9" s="39">
        <f t="shared" si="13"/>
        <v>0</v>
      </c>
      <c r="AD9" s="1">
        <v>0</v>
      </c>
      <c r="AE9" s="1">
        <v>0</v>
      </c>
      <c r="AF9" s="9">
        <f t="shared" si="1"/>
        <v>0</v>
      </c>
      <c r="AG9" s="39">
        <f t="shared" si="14"/>
        <v>10178.949999999995</v>
      </c>
      <c r="AH9" s="1">
        <v>0</v>
      </c>
      <c r="AI9" s="1"/>
      <c r="AJ9" s="170">
        <f>CPP!G9</f>
        <v>57</v>
      </c>
      <c r="AK9" s="9">
        <f t="shared" si="2"/>
        <v>10121.949999999995</v>
      </c>
      <c r="AL9" s="129">
        <f t="shared" si="49"/>
        <v>0</v>
      </c>
      <c r="AM9" s="1">
        <v>0</v>
      </c>
      <c r="AN9" s="1">
        <v>0</v>
      </c>
      <c r="AO9" s="18">
        <f t="shared" si="15"/>
        <v>0</v>
      </c>
      <c r="AP9" s="129">
        <f t="shared" si="50"/>
        <v>0</v>
      </c>
      <c r="AQ9" s="1">
        <v>0</v>
      </c>
      <c r="AR9" s="1">
        <v>0</v>
      </c>
      <c r="AS9" s="171">
        <f>CPP!I9</f>
        <v>0</v>
      </c>
      <c r="AT9" s="129">
        <f t="shared" si="16"/>
        <v>0</v>
      </c>
      <c r="AU9" s="1">
        <f t="shared" si="51"/>
        <v>0</v>
      </c>
      <c r="AV9" s="1">
        <v>0</v>
      </c>
      <c r="AW9" s="1">
        <v>0</v>
      </c>
      <c r="AX9" s="170">
        <f>CPP!J9</f>
        <v>0</v>
      </c>
      <c r="AY9" s="1">
        <f t="shared" si="17"/>
        <v>0</v>
      </c>
      <c r="AZ9" s="1">
        <f t="shared" si="52"/>
        <v>0.286999999990248</v>
      </c>
      <c r="BA9" s="1">
        <v>0</v>
      </c>
      <c r="BB9" s="1">
        <v>0</v>
      </c>
      <c r="BC9" s="170">
        <f>CPP!K9</f>
        <v>0</v>
      </c>
      <c r="BD9" s="1">
        <f t="shared" si="18"/>
        <v>0.286999999990248</v>
      </c>
      <c r="BE9" s="1">
        <f t="shared" si="53"/>
        <v>0</v>
      </c>
      <c r="BF9" s="1">
        <v>0</v>
      </c>
      <c r="BG9" s="1">
        <v>0</v>
      </c>
      <c r="BH9" s="170">
        <f>CPP!L9</f>
        <v>0</v>
      </c>
      <c r="BI9" s="1">
        <f t="shared" si="19"/>
        <v>0</v>
      </c>
      <c r="BJ9" s="1">
        <f t="shared" si="54"/>
        <v>0</v>
      </c>
      <c r="BK9" s="1">
        <v>0</v>
      </c>
      <c r="BL9" s="1">
        <v>0</v>
      </c>
      <c r="BM9" s="170">
        <f>CPP!M9</f>
        <v>0</v>
      </c>
      <c r="BN9" s="1">
        <f t="shared" si="55"/>
        <v>0</v>
      </c>
      <c r="BO9" s="1">
        <f t="shared" si="20"/>
        <v>0</v>
      </c>
      <c r="BP9" s="1">
        <v>0</v>
      </c>
      <c r="BQ9" s="1">
        <v>0</v>
      </c>
      <c r="BR9" s="170">
        <f>CPP!N9</f>
        <v>0</v>
      </c>
      <c r="BS9" s="1">
        <f t="shared" si="21"/>
        <v>0</v>
      </c>
      <c r="BT9" s="1">
        <f t="shared" si="22"/>
        <v>0</v>
      </c>
      <c r="BU9" s="1">
        <v>0</v>
      </c>
      <c r="BV9" s="1">
        <v>0</v>
      </c>
      <c r="BW9" s="170">
        <f>CPP!O9</f>
        <v>0</v>
      </c>
      <c r="BX9" s="1">
        <f t="shared" si="23"/>
        <v>0</v>
      </c>
      <c r="BY9" s="174">
        <f t="shared" si="56"/>
        <v>0</v>
      </c>
      <c r="BZ9" s="1">
        <v>0</v>
      </c>
      <c r="CA9" s="1">
        <v>0</v>
      </c>
      <c r="CB9" s="170"/>
      <c r="CC9" s="26">
        <f t="shared" si="24"/>
        <v>0</v>
      </c>
      <c r="CD9" s="1">
        <f t="shared" si="57"/>
        <v>0</v>
      </c>
      <c r="CE9" s="1">
        <v>0</v>
      </c>
      <c r="CF9" s="1">
        <v>0</v>
      </c>
      <c r="CG9" s="170">
        <f>CPP!P9</f>
        <v>0</v>
      </c>
      <c r="CH9" s="26">
        <f t="shared" si="25"/>
        <v>0</v>
      </c>
      <c r="CI9" s="1">
        <f t="shared" si="58"/>
        <v>0</v>
      </c>
      <c r="CJ9" s="1">
        <v>0</v>
      </c>
      <c r="CK9" s="1">
        <v>0</v>
      </c>
      <c r="CL9" s="170">
        <f>CPP!Q9</f>
        <v>0</v>
      </c>
      <c r="CM9" s="1">
        <f t="shared" si="26"/>
        <v>0</v>
      </c>
      <c r="CN9" s="1">
        <f t="shared" si="59"/>
        <v>5.0000000000181899E-2</v>
      </c>
      <c r="CO9" s="1">
        <v>0</v>
      </c>
      <c r="CP9" s="1">
        <v>0</v>
      </c>
      <c r="CQ9" s="170">
        <f>CPP!R9</f>
        <v>0</v>
      </c>
      <c r="CR9" s="1">
        <f t="shared" si="27"/>
        <v>5.0000000000181899E-2</v>
      </c>
      <c r="CS9" s="129">
        <f t="shared" si="60"/>
        <v>0</v>
      </c>
      <c r="CT9" s="1">
        <v>0</v>
      </c>
      <c r="CU9" s="1">
        <v>0</v>
      </c>
      <c r="CV9" s="171">
        <f>CPP!S9</f>
        <v>0</v>
      </c>
      <c r="CW9" s="129">
        <f t="shared" si="28"/>
        <v>0</v>
      </c>
      <c r="CX9" s="129">
        <f t="shared" si="61"/>
        <v>0</v>
      </c>
      <c r="CY9" s="1">
        <v>0</v>
      </c>
      <c r="CZ9" s="1">
        <v>0</v>
      </c>
      <c r="DA9" s="171">
        <f>CPP!T9</f>
        <v>0</v>
      </c>
      <c r="DB9" s="129">
        <f t="shared" si="29"/>
        <v>0</v>
      </c>
      <c r="DC9" s="129">
        <f t="shared" si="62"/>
        <v>306</v>
      </c>
      <c r="DD9" s="1">
        <v>0</v>
      </c>
      <c r="DE9" s="1">
        <v>0</v>
      </c>
      <c r="DF9" s="171">
        <f>CPP!U9</f>
        <v>0</v>
      </c>
      <c r="DG9" s="129">
        <f t="shared" si="30"/>
        <v>306</v>
      </c>
      <c r="DH9" s="129">
        <f t="shared" si="63"/>
        <v>0</v>
      </c>
      <c r="DI9" s="1">
        <v>0</v>
      </c>
      <c r="DJ9" s="1">
        <v>0</v>
      </c>
      <c r="DK9" s="171">
        <f>CPP!V9</f>
        <v>0</v>
      </c>
      <c r="DL9" s="129">
        <f t="shared" si="31"/>
        <v>0</v>
      </c>
      <c r="DM9" s="129">
        <f t="shared" si="64"/>
        <v>0</v>
      </c>
      <c r="DN9" s="1">
        <v>0</v>
      </c>
      <c r="DO9" s="1">
        <v>0</v>
      </c>
      <c r="DP9" s="171">
        <f>CPP!W9</f>
        <v>0</v>
      </c>
      <c r="DQ9" s="129">
        <f t="shared" si="32"/>
        <v>0</v>
      </c>
      <c r="DR9" s="129">
        <f t="shared" si="65"/>
        <v>4074.3500000000022</v>
      </c>
      <c r="DS9" s="1">
        <v>0</v>
      </c>
      <c r="DT9" s="1">
        <v>16</v>
      </c>
      <c r="DU9" s="171">
        <f>CPP!X9</f>
        <v>0</v>
      </c>
      <c r="DV9" s="129">
        <f t="shared" si="33"/>
        <v>4058.3500000000022</v>
      </c>
      <c r="DW9" s="129">
        <f t="shared" si="66"/>
        <v>0</v>
      </c>
      <c r="DX9" s="1">
        <v>0</v>
      </c>
      <c r="DY9" s="1">
        <v>0</v>
      </c>
      <c r="DZ9" s="171">
        <f>CPP!Y9</f>
        <v>0</v>
      </c>
      <c r="EA9" s="129">
        <f t="shared" si="34"/>
        <v>0</v>
      </c>
      <c r="EB9" s="129">
        <f t="shared" si="35"/>
        <v>6609.2369999999901</v>
      </c>
      <c r="EC9" s="170">
        <f t="shared" si="36"/>
        <v>0</v>
      </c>
      <c r="ED9" s="170">
        <f t="shared" si="37"/>
        <v>159</v>
      </c>
      <c r="EE9" s="129">
        <f t="shared" si="38"/>
        <v>6393.2369999999901</v>
      </c>
      <c r="EF9" s="18">
        <f t="shared" si="39"/>
        <v>10178.999999999996</v>
      </c>
      <c r="EG9" s="170">
        <f t="shared" si="40"/>
        <v>0</v>
      </c>
      <c r="EH9" s="170">
        <f>CPP!D9+CPP!E9+CPP!F9+CPP!G9+CPP!H9+CPP!I9+CPP!J9+CPP!K9+CPP!L9+CPP!M9+CPP!N9+CPP!O9+CPP!P9+CPP!Q9+CPP!R9+CPP!S9+DA9+DF9+DK9+CPP!W9+DU9</f>
        <v>114</v>
      </c>
      <c r="EI9" s="18">
        <f>EF9+EG9-CPP!G9-CPP!E9-CPP!F9-CPP!P9-CPP!Q9-CL9-CQ9-DU9</f>
        <v>10121.999999999996</v>
      </c>
      <c r="EJ9" s="16">
        <f t="shared" si="41"/>
        <v>28320.640087715059</v>
      </c>
      <c r="EK9" s="1">
        <v>725</v>
      </c>
      <c r="EL9" s="253">
        <f>'Daily CEM-1'!AG10+'Daily  CEM - 2'!AF10-EQ9</f>
        <v>851.85000000000082</v>
      </c>
      <c r="EM9" s="9">
        <f t="shared" si="42"/>
        <v>28193.790087715057</v>
      </c>
      <c r="EN9" s="1">
        <v>0</v>
      </c>
      <c r="EO9" s="18">
        <f t="shared" si="67"/>
        <v>5306.1090080001359</v>
      </c>
      <c r="EP9" s="1">
        <v>0</v>
      </c>
      <c r="EQ9" s="1">
        <v>0</v>
      </c>
      <c r="ER9" s="17">
        <f t="shared" si="43"/>
        <v>5306.1090080001359</v>
      </c>
      <c r="ES9">
        <f t="shared" si="44"/>
        <v>0</v>
      </c>
      <c r="EU9" s="51">
        <f t="shared" si="45"/>
        <v>851.85000000000082</v>
      </c>
      <c r="EV9" s="51">
        <f t="shared" si="46"/>
        <v>851.85000000000082</v>
      </c>
      <c r="EW9" s="51">
        <f>(EU9/Production2!CG9)*100</f>
        <v>78.511520737327274</v>
      </c>
      <c r="EX9">
        <v>78.511520737327274</v>
      </c>
      <c r="EY9">
        <f t="shared" si="47"/>
        <v>7851.1520737327273</v>
      </c>
    </row>
    <row r="10" spans="2:155" x14ac:dyDescent="0.25">
      <c r="B10" s="4">
        <v>8</v>
      </c>
      <c r="C10" s="39">
        <f t="shared" si="3"/>
        <v>3864.12</v>
      </c>
      <c r="D10" s="1">
        <v>69.86</v>
      </c>
      <c r="E10" s="269">
        <f>F10+'RAW MILL 2'!F10</f>
        <v>50</v>
      </c>
      <c r="F10" s="1">
        <v>50</v>
      </c>
      <c r="G10" s="9">
        <f t="shared" si="4"/>
        <v>3883.98</v>
      </c>
      <c r="H10" s="39">
        <f t="shared" si="5"/>
        <v>819.47001683752046</v>
      </c>
      <c r="I10" s="33">
        <f>Production2!N10</f>
        <v>1940.1</v>
      </c>
      <c r="J10" s="33">
        <f>Production2!K10</f>
        <v>2015</v>
      </c>
      <c r="K10" s="18">
        <f t="shared" si="6"/>
        <v>744.5700168375206</v>
      </c>
      <c r="L10" s="39">
        <f t="shared" si="7"/>
        <v>0</v>
      </c>
      <c r="M10" s="1">
        <v>0</v>
      </c>
      <c r="N10" s="33">
        <f>CPP!D10</f>
        <v>0</v>
      </c>
      <c r="O10" s="1">
        <v>0</v>
      </c>
      <c r="P10" s="33">
        <f t="shared" si="0"/>
        <v>0</v>
      </c>
      <c r="Q10" s="9">
        <f t="shared" si="48"/>
        <v>0</v>
      </c>
      <c r="R10" s="39">
        <f t="shared" si="8"/>
        <v>0</v>
      </c>
      <c r="S10" s="1">
        <v>0</v>
      </c>
      <c r="T10" s="33">
        <f>CPP!E10</f>
        <v>0</v>
      </c>
      <c r="U10" s="26">
        <v>0</v>
      </c>
      <c r="V10" s="38">
        <f t="shared" si="9"/>
        <v>0</v>
      </c>
      <c r="W10" s="9">
        <f t="shared" si="10"/>
        <v>0</v>
      </c>
      <c r="X10" s="39">
        <f t="shared" si="11"/>
        <v>2028.5999999999981</v>
      </c>
      <c r="Y10" s="1">
        <v>0</v>
      </c>
      <c r="Z10" s="33">
        <f>CPP!H10</f>
        <v>0</v>
      </c>
      <c r="AA10" s="1">
        <v>225.56</v>
      </c>
      <c r="AB10" s="9">
        <f t="shared" si="12"/>
        <v>1803.0399999999981</v>
      </c>
      <c r="AC10" s="39">
        <f t="shared" si="13"/>
        <v>0</v>
      </c>
      <c r="AD10" s="1">
        <v>0</v>
      </c>
      <c r="AE10" s="1">
        <v>0</v>
      </c>
      <c r="AF10" s="9">
        <f t="shared" si="1"/>
        <v>0</v>
      </c>
      <c r="AG10" s="39">
        <f t="shared" si="14"/>
        <v>10121.949999999995</v>
      </c>
      <c r="AH10" s="1">
        <v>270.05</v>
      </c>
      <c r="AI10" s="1"/>
      <c r="AJ10" s="170">
        <f>CPP!G10</f>
        <v>120</v>
      </c>
      <c r="AK10" s="9">
        <f t="shared" si="2"/>
        <v>10271.999999999995</v>
      </c>
      <c r="AL10" s="129">
        <f t="shared" si="49"/>
        <v>0</v>
      </c>
      <c r="AM10" s="1">
        <v>0</v>
      </c>
      <c r="AN10" s="1">
        <v>0</v>
      </c>
      <c r="AO10" s="18">
        <f t="shared" si="15"/>
        <v>0</v>
      </c>
      <c r="AP10" s="129">
        <f t="shared" si="50"/>
        <v>0</v>
      </c>
      <c r="AQ10" s="1">
        <v>0</v>
      </c>
      <c r="AR10" s="1">
        <v>0</v>
      </c>
      <c r="AS10" s="171">
        <f>CPP!I10</f>
        <v>0</v>
      </c>
      <c r="AT10" s="129">
        <f t="shared" si="16"/>
        <v>0</v>
      </c>
      <c r="AU10" s="1">
        <f t="shared" si="51"/>
        <v>0</v>
      </c>
      <c r="AV10" s="1">
        <v>0</v>
      </c>
      <c r="AW10" s="1">
        <v>0</v>
      </c>
      <c r="AX10" s="170">
        <f>CPP!J10</f>
        <v>0</v>
      </c>
      <c r="AY10" s="1">
        <f t="shared" si="17"/>
        <v>0</v>
      </c>
      <c r="AZ10" s="1">
        <f t="shared" si="52"/>
        <v>0.286999999990248</v>
      </c>
      <c r="BA10" s="1">
        <v>0</v>
      </c>
      <c r="BB10" s="1">
        <v>0</v>
      </c>
      <c r="BC10" s="170">
        <f>CPP!K10</f>
        <v>0</v>
      </c>
      <c r="BD10" s="1">
        <f t="shared" si="18"/>
        <v>0.286999999990248</v>
      </c>
      <c r="BE10" s="1">
        <f t="shared" si="53"/>
        <v>0</v>
      </c>
      <c r="BF10" s="1">
        <v>0</v>
      </c>
      <c r="BG10" s="1">
        <v>0</v>
      </c>
      <c r="BH10" s="170">
        <f>CPP!L10</f>
        <v>0</v>
      </c>
      <c r="BI10" s="1">
        <f t="shared" si="19"/>
        <v>0</v>
      </c>
      <c r="BJ10" s="1">
        <f t="shared" si="54"/>
        <v>0</v>
      </c>
      <c r="BK10" s="1">
        <v>0</v>
      </c>
      <c r="BL10" s="1">
        <v>0</v>
      </c>
      <c r="BM10" s="170">
        <f>CPP!M10</f>
        <v>0</v>
      </c>
      <c r="BN10" s="1">
        <f t="shared" si="55"/>
        <v>0</v>
      </c>
      <c r="BO10" s="1">
        <f t="shared" si="20"/>
        <v>0</v>
      </c>
      <c r="BP10" s="1">
        <v>0</v>
      </c>
      <c r="BQ10" s="1">
        <v>0</v>
      </c>
      <c r="BR10" s="170">
        <f>CPP!N10</f>
        <v>0</v>
      </c>
      <c r="BS10" s="1">
        <f t="shared" si="21"/>
        <v>0</v>
      </c>
      <c r="BT10" s="1">
        <f t="shared" si="22"/>
        <v>0</v>
      </c>
      <c r="BU10" s="1">
        <v>0</v>
      </c>
      <c r="BV10" s="1">
        <v>0</v>
      </c>
      <c r="BW10" s="170">
        <f>CPP!O10</f>
        <v>0</v>
      </c>
      <c r="BX10" s="1">
        <f t="shared" si="23"/>
        <v>0</v>
      </c>
      <c r="BY10" s="174">
        <f t="shared" si="56"/>
        <v>0</v>
      </c>
      <c r="BZ10" s="1">
        <v>0</v>
      </c>
      <c r="CA10" s="1">
        <v>0</v>
      </c>
      <c r="CB10" s="170"/>
      <c r="CC10" s="26">
        <f t="shared" si="24"/>
        <v>0</v>
      </c>
      <c r="CD10" s="1">
        <f t="shared" si="57"/>
        <v>0</v>
      </c>
      <c r="CE10" s="1">
        <v>0</v>
      </c>
      <c r="CF10" s="1">
        <v>0</v>
      </c>
      <c r="CG10" s="170">
        <f>CPP!P10</f>
        <v>0</v>
      </c>
      <c r="CH10" s="26">
        <f t="shared" si="25"/>
        <v>0</v>
      </c>
      <c r="CI10" s="1">
        <f t="shared" si="58"/>
        <v>0</v>
      </c>
      <c r="CJ10" s="1">
        <v>0</v>
      </c>
      <c r="CK10" s="1">
        <v>0</v>
      </c>
      <c r="CL10" s="170">
        <f>CPP!Q10</f>
        <v>0</v>
      </c>
      <c r="CM10" s="1">
        <f t="shared" si="26"/>
        <v>0</v>
      </c>
      <c r="CN10" s="1">
        <f t="shared" si="59"/>
        <v>5.0000000000181899E-2</v>
      </c>
      <c r="CO10" s="1">
        <v>0</v>
      </c>
      <c r="CP10" s="1">
        <v>0</v>
      </c>
      <c r="CQ10" s="170">
        <f>CPP!R10</f>
        <v>0</v>
      </c>
      <c r="CR10" s="1">
        <f t="shared" si="27"/>
        <v>5.0000000000181899E-2</v>
      </c>
      <c r="CS10" s="129">
        <f t="shared" si="60"/>
        <v>0</v>
      </c>
      <c r="CT10" s="1">
        <v>0</v>
      </c>
      <c r="CU10" s="1">
        <v>0</v>
      </c>
      <c r="CV10" s="171">
        <f>CPP!S10</f>
        <v>0</v>
      </c>
      <c r="CW10" s="129">
        <f t="shared" si="28"/>
        <v>0</v>
      </c>
      <c r="CX10" s="129">
        <f t="shared" si="61"/>
        <v>0</v>
      </c>
      <c r="CY10" s="1">
        <v>0</v>
      </c>
      <c r="CZ10" s="1">
        <v>0</v>
      </c>
      <c r="DA10" s="171">
        <f>CPP!T10</f>
        <v>0</v>
      </c>
      <c r="DB10" s="129">
        <f t="shared" si="29"/>
        <v>0</v>
      </c>
      <c r="DC10" s="129">
        <f t="shared" si="62"/>
        <v>306</v>
      </c>
      <c r="DD10" s="1">
        <v>0</v>
      </c>
      <c r="DE10" s="1">
        <v>0</v>
      </c>
      <c r="DF10" s="171">
        <f>CPP!U10</f>
        <v>0</v>
      </c>
      <c r="DG10" s="129">
        <f t="shared" si="30"/>
        <v>306</v>
      </c>
      <c r="DH10" s="129">
        <f t="shared" si="63"/>
        <v>0</v>
      </c>
      <c r="DI10" s="1">
        <v>0</v>
      </c>
      <c r="DJ10" s="1">
        <v>0</v>
      </c>
      <c r="DK10" s="171">
        <f>CPP!V10</f>
        <v>0</v>
      </c>
      <c r="DL10" s="129">
        <f t="shared" si="31"/>
        <v>0</v>
      </c>
      <c r="DM10" s="129">
        <f t="shared" si="64"/>
        <v>0</v>
      </c>
      <c r="DN10" s="1">
        <v>0</v>
      </c>
      <c r="DO10" s="1">
        <v>0</v>
      </c>
      <c r="DP10" s="171">
        <f>CPP!W10</f>
        <v>0</v>
      </c>
      <c r="DQ10" s="129">
        <f t="shared" si="32"/>
        <v>0</v>
      </c>
      <c r="DR10" s="129">
        <f t="shared" si="65"/>
        <v>4058.3500000000022</v>
      </c>
      <c r="DS10" s="1">
        <v>0</v>
      </c>
      <c r="DT10" s="1">
        <v>0</v>
      </c>
      <c r="DU10" s="171">
        <f>CPP!X10</f>
        <v>0</v>
      </c>
      <c r="DV10" s="129">
        <f t="shared" si="33"/>
        <v>4058.3500000000022</v>
      </c>
      <c r="DW10" s="129">
        <f t="shared" si="66"/>
        <v>0</v>
      </c>
      <c r="DX10" s="1">
        <v>0</v>
      </c>
      <c r="DY10" s="1">
        <v>0</v>
      </c>
      <c r="DZ10" s="171">
        <f>CPP!Y10</f>
        <v>0</v>
      </c>
      <c r="EA10" s="129">
        <f t="shared" si="34"/>
        <v>0</v>
      </c>
      <c r="EB10" s="129">
        <f t="shared" si="35"/>
        <v>6393.2369999999901</v>
      </c>
      <c r="EC10" s="170">
        <f t="shared" si="36"/>
        <v>0</v>
      </c>
      <c r="ED10" s="170">
        <f t="shared" si="37"/>
        <v>225.56</v>
      </c>
      <c r="EE10" s="129">
        <f t="shared" si="38"/>
        <v>6167.6769999999897</v>
      </c>
      <c r="EF10" s="18">
        <f t="shared" si="39"/>
        <v>10121.999999999996</v>
      </c>
      <c r="EG10" s="170">
        <f t="shared" si="40"/>
        <v>270.05</v>
      </c>
      <c r="EH10" s="170">
        <f>CPP!D10+CPP!E10+CPP!F10+CPP!G10+CPP!H10+CPP!I10+CPP!J10+CPP!K10+CPP!L10+CPP!M10+CPP!N10+CPP!O10+CPP!P10+CPP!Q10+CPP!R10+CPP!S10+DA10+DF10+DK10+CPP!W10+DU10</f>
        <v>120</v>
      </c>
      <c r="EI10" s="18">
        <f>EF10+EG10-CPP!G10-CPP!E10-CPP!F10-CPP!P10-CPP!Q10-CL10-CQ10-DU10</f>
        <v>10272.049999999996</v>
      </c>
      <c r="EJ10" s="16">
        <f t="shared" si="41"/>
        <v>28193.790087715057</v>
      </c>
      <c r="EK10" s="1">
        <v>1300</v>
      </c>
      <c r="EL10" s="253">
        <f>'Daily CEM-1'!AG11+'Daily  CEM - 2'!AF11-EQ10</f>
        <v>1166.55400078</v>
      </c>
      <c r="EM10" s="9">
        <f t="shared" si="42"/>
        <v>28327.236086935056</v>
      </c>
      <c r="EN10" s="1">
        <v>0</v>
      </c>
      <c r="EO10" s="18">
        <f>ER9</f>
        <v>5306.1090080001359</v>
      </c>
      <c r="EP10" s="1">
        <v>0</v>
      </c>
      <c r="EQ10" s="1">
        <v>0</v>
      </c>
      <c r="ER10" s="17">
        <f>EO10+EP10-EQ10</f>
        <v>5306.1090080001359</v>
      </c>
      <c r="ES10">
        <f t="shared" si="44"/>
        <v>2151.69</v>
      </c>
      <c r="ET10">
        <v>2151.69</v>
      </c>
      <c r="EU10" s="51">
        <f t="shared" si="45"/>
        <v>1166.55400078</v>
      </c>
      <c r="EV10" s="51">
        <f t="shared" si="46"/>
        <v>1166.55400078</v>
      </c>
      <c r="EW10" s="51">
        <f>(EU10/Production2!CG10)*100</f>
        <v>77.000264077887792</v>
      </c>
      <c r="EX10">
        <v>77.000264077887792</v>
      </c>
      <c r="EY10">
        <f t="shared" si="47"/>
        <v>7700.0264077887796</v>
      </c>
    </row>
    <row r="11" spans="2:155" x14ac:dyDescent="0.25">
      <c r="B11" s="4">
        <v>9</v>
      </c>
      <c r="C11" s="39">
        <f t="shared" si="3"/>
        <v>3883.98</v>
      </c>
      <c r="D11" s="1">
        <v>0</v>
      </c>
      <c r="E11" s="269">
        <f>F11+'RAW MILL 2'!F11</f>
        <v>42</v>
      </c>
      <c r="F11" s="1">
        <v>42</v>
      </c>
      <c r="G11" s="9">
        <f t="shared" si="4"/>
        <v>3841.98</v>
      </c>
      <c r="H11" s="39">
        <f t="shared" si="5"/>
        <v>744.5700168375206</v>
      </c>
      <c r="I11" s="33">
        <f>Production2!N11</f>
        <v>1634.76</v>
      </c>
      <c r="J11" s="33">
        <f>Production2!K11</f>
        <v>1714.3</v>
      </c>
      <c r="K11" s="18">
        <f t="shared" si="6"/>
        <v>665.03001683752086</v>
      </c>
      <c r="L11" s="39">
        <f t="shared" si="7"/>
        <v>0</v>
      </c>
      <c r="M11" s="1">
        <v>0</v>
      </c>
      <c r="N11" s="33">
        <f>CPP!D11</f>
        <v>0</v>
      </c>
      <c r="O11" s="1">
        <v>0</v>
      </c>
      <c r="P11" s="33">
        <f t="shared" si="0"/>
        <v>0</v>
      </c>
      <c r="Q11" s="9">
        <f t="shared" si="48"/>
        <v>0</v>
      </c>
      <c r="R11" s="39">
        <f t="shared" si="8"/>
        <v>0</v>
      </c>
      <c r="S11" s="1">
        <v>0</v>
      </c>
      <c r="T11" s="33">
        <f>CPP!E11</f>
        <v>0</v>
      </c>
      <c r="U11" s="26">
        <v>0</v>
      </c>
      <c r="V11" s="38">
        <f t="shared" si="9"/>
        <v>0</v>
      </c>
      <c r="W11" s="9">
        <f t="shared" si="10"/>
        <v>0</v>
      </c>
      <c r="X11" s="39">
        <f t="shared" si="11"/>
        <v>1803.0399999999981</v>
      </c>
      <c r="Y11" s="1">
        <v>0</v>
      </c>
      <c r="Z11" s="33">
        <f>CPP!H11</f>
        <v>0</v>
      </c>
      <c r="AA11" s="1">
        <v>168</v>
      </c>
      <c r="AB11" s="9">
        <f t="shared" si="12"/>
        <v>1635.0399999999981</v>
      </c>
      <c r="AC11" s="39">
        <f t="shared" si="13"/>
        <v>0</v>
      </c>
      <c r="AD11" s="1">
        <v>0</v>
      </c>
      <c r="AE11" s="1">
        <v>0</v>
      </c>
      <c r="AF11" s="9">
        <f t="shared" si="1"/>
        <v>0</v>
      </c>
      <c r="AG11" s="39">
        <f t="shared" si="14"/>
        <v>10271.999999999995</v>
      </c>
      <c r="AH11" s="1">
        <v>0</v>
      </c>
      <c r="AI11" s="1"/>
      <c r="AJ11" s="170">
        <f>CPP!G11</f>
        <v>130</v>
      </c>
      <c r="AK11" s="9">
        <f t="shared" si="2"/>
        <v>10141.999999999995</v>
      </c>
      <c r="AL11" s="129">
        <f t="shared" si="49"/>
        <v>0</v>
      </c>
      <c r="AM11" s="1">
        <v>0</v>
      </c>
      <c r="AN11" s="1">
        <v>0</v>
      </c>
      <c r="AO11" s="18">
        <f t="shared" si="15"/>
        <v>0</v>
      </c>
      <c r="AP11" s="129">
        <f t="shared" si="50"/>
        <v>0</v>
      </c>
      <c r="AQ11" s="1">
        <v>0</v>
      </c>
      <c r="AR11" s="1">
        <v>0</v>
      </c>
      <c r="AS11" s="171">
        <f>CPP!I11</f>
        <v>0</v>
      </c>
      <c r="AT11" s="129">
        <f t="shared" si="16"/>
        <v>0</v>
      </c>
      <c r="AU11" s="1">
        <f t="shared" si="51"/>
        <v>0</v>
      </c>
      <c r="AV11" s="1">
        <v>0</v>
      </c>
      <c r="AW11" s="1">
        <v>0</v>
      </c>
      <c r="AX11" s="170">
        <f>CPP!J11</f>
        <v>0</v>
      </c>
      <c r="AY11" s="1">
        <f t="shared" si="17"/>
        <v>0</v>
      </c>
      <c r="AZ11" s="1">
        <f t="shared" si="52"/>
        <v>0.286999999990248</v>
      </c>
      <c r="BA11" s="1">
        <v>0</v>
      </c>
      <c r="BB11" s="1">
        <v>0</v>
      </c>
      <c r="BC11" s="170">
        <f>CPP!K11</f>
        <v>0</v>
      </c>
      <c r="BD11" s="1">
        <f t="shared" si="18"/>
        <v>0.286999999990248</v>
      </c>
      <c r="BE11" s="1">
        <f t="shared" si="53"/>
        <v>0</v>
      </c>
      <c r="BF11" s="1">
        <v>0</v>
      </c>
      <c r="BG11" s="1">
        <v>0</v>
      </c>
      <c r="BH11" s="170">
        <f>CPP!L11</f>
        <v>0</v>
      </c>
      <c r="BI11" s="1">
        <f t="shared" si="19"/>
        <v>0</v>
      </c>
      <c r="BJ11" s="1">
        <f t="shared" si="54"/>
        <v>0</v>
      </c>
      <c r="BK11" s="1">
        <v>0</v>
      </c>
      <c r="BL11" s="1">
        <v>0</v>
      </c>
      <c r="BM11" s="170">
        <f>CPP!M11</f>
        <v>0</v>
      </c>
      <c r="BN11" s="1">
        <f t="shared" si="55"/>
        <v>0</v>
      </c>
      <c r="BO11" s="1">
        <f t="shared" si="20"/>
        <v>0</v>
      </c>
      <c r="BP11" s="1">
        <v>0</v>
      </c>
      <c r="BQ11" s="1">
        <v>0</v>
      </c>
      <c r="BR11" s="170">
        <f>CPP!N11</f>
        <v>0</v>
      </c>
      <c r="BS11" s="1">
        <f t="shared" si="21"/>
        <v>0</v>
      </c>
      <c r="BT11" s="1">
        <f t="shared" si="22"/>
        <v>0</v>
      </c>
      <c r="BU11" s="1">
        <v>0</v>
      </c>
      <c r="BV11" s="1">
        <v>0</v>
      </c>
      <c r="BW11" s="170">
        <f>CPP!O11</f>
        <v>0</v>
      </c>
      <c r="BX11" s="1">
        <f t="shared" si="23"/>
        <v>0</v>
      </c>
      <c r="BY11" s="174">
        <f t="shared" si="56"/>
        <v>0</v>
      </c>
      <c r="BZ11" s="1">
        <v>0</v>
      </c>
      <c r="CA11" s="1">
        <v>0</v>
      </c>
      <c r="CB11" s="170"/>
      <c r="CC11" s="26">
        <f t="shared" si="24"/>
        <v>0</v>
      </c>
      <c r="CD11" s="1">
        <f t="shared" si="57"/>
        <v>0</v>
      </c>
      <c r="CE11" s="1">
        <v>0</v>
      </c>
      <c r="CF11" s="1">
        <v>0</v>
      </c>
      <c r="CG11" s="170">
        <f>CPP!P11</f>
        <v>0</v>
      </c>
      <c r="CH11" s="26">
        <f t="shared" si="25"/>
        <v>0</v>
      </c>
      <c r="CI11" s="1">
        <f t="shared" si="58"/>
        <v>0</v>
      </c>
      <c r="CJ11" s="1">
        <v>0</v>
      </c>
      <c r="CK11" s="1">
        <v>0</v>
      </c>
      <c r="CL11" s="170">
        <f>CPP!Q11</f>
        <v>0</v>
      </c>
      <c r="CM11" s="1">
        <f t="shared" si="26"/>
        <v>0</v>
      </c>
      <c r="CN11" s="1">
        <f t="shared" si="59"/>
        <v>5.0000000000181899E-2</v>
      </c>
      <c r="CO11" s="1">
        <v>0</v>
      </c>
      <c r="CP11" s="1">
        <v>0</v>
      </c>
      <c r="CQ11" s="170">
        <f>CPP!R11</f>
        <v>0</v>
      </c>
      <c r="CR11" s="1">
        <f t="shared" si="27"/>
        <v>5.0000000000181899E-2</v>
      </c>
      <c r="CS11" s="129">
        <f t="shared" si="60"/>
        <v>0</v>
      </c>
      <c r="CT11" s="1">
        <v>0</v>
      </c>
      <c r="CU11" s="1">
        <v>0</v>
      </c>
      <c r="CV11" s="171">
        <f>CPP!S11</f>
        <v>0</v>
      </c>
      <c r="CW11" s="129">
        <f t="shared" si="28"/>
        <v>0</v>
      </c>
      <c r="CX11" s="129">
        <f t="shared" si="61"/>
        <v>0</v>
      </c>
      <c r="CY11" s="1">
        <v>0</v>
      </c>
      <c r="CZ11" s="1">
        <v>0</v>
      </c>
      <c r="DA11" s="171">
        <f>CPP!T11</f>
        <v>0</v>
      </c>
      <c r="DB11" s="129">
        <f t="shared" si="29"/>
        <v>0</v>
      </c>
      <c r="DC11" s="129">
        <f t="shared" si="62"/>
        <v>306</v>
      </c>
      <c r="DD11" s="1">
        <v>0</v>
      </c>
      <c r="DE11" s="1">
        <v>0</v>
      </c>
      <c r="DF11" s="171">
        <f>CPP!U11</f>
        <v>0</v>
      </c>
      <c r="DG11" s="129">
        <f t="shared" si="30"/>
        <v>306</v>
      </c>
      <c r="DH11" s="129">
        <f t="shared" si="63"/>
        <v>0</v>
      </c>
      <c r="DI11" s="1">
        <v>0</v>
      </c>
      <c r="DJ11" s="1">
        <v>0</v>
      </c>
      <c r="DK11" s="171">
        <f>CPP!V11</f>
        <v>0</v>
      </c>
      <c r="DL11" s="129">
        <f t="shared" si="31"/>
        <v>0</v>
      </c>
      <c r="DM11" s="129">
        <f t="shared" si="64"/>
        <v>0</v>
      </c>
      <c r="DN11" s="1">
        <v>0</v>
      </c>
      <c r="DO11" s="1">
        <v>0</v>
      </c>
      <c r="DP11" s="171">
        <f>CPP!W11</f>
        <v>0</v>
      </c>
      <c r="DQ11" s="129">
        <f t="shared" si="32"/>
        <v>0</v>
      </c>
      <c r="DR11" s="129">
        <f t="shared" si="65"/>
        <v>4058.3500000000022</v>
      </c>
      <c r="DS11" s="1">
        <v>0</v>
      </c>
      <c r="DT11" s="1">
        <v>42</v>
      </c>
      <c r="DU11" s="171">
        <f>CPP!X11</f>
        <v>0</v>
      </c>
      <c r="DV11" s="129">
        <f>DR11+DS11-DT11-DU11</f>
        <v>4016.3500000000022</v>
      </c>
      <c r="DW11" s="129">
        <f t="shared" si="66"/>
        <v>0</v>
      </c>
      <c r="DX11" s="1">
        <v>0</v>
      </c>
      <c r="DY11" s="1">
        <v>0</v>
      </c>
      <c r="DZ11" s="171">
        <f>CPP!Y11</f>
        <v>0</v>
      </c>
      <c r="EA11" s="129">
        <f t="shared" si="34"/>
        <v>0</v>
      </c>
      <c r="EB11" s="129">
        <f t="shared" si="35"/>
        <v>6167.6769999999906</v>
      </c>
      <c r="EC11" s="170">
        <f t="shared" si="36"/>
        <v>0</v>
      </c>
      <c r="ED11" s="170">
        <f t="shared" si="37"/>
        <v>210</v>
      </c>
      <c r="EE11" s="129">
        <f t="shared" si="38"/>
        <v>5957.6769999999906</v>
      </c>
      <c r="EF11" s="18">
        <f t="shared" si="39"/>
        <v>10272.049999999996</v>
      </c>
      <c r="EG11" s="170">
        <f t="shared" si="40"/>
        <v>0</v>
      </c>
      <c r="EH11" s="170">
        <f>CPP!D11+CPP!E11+CPP!F11+CPP!G11+CPP!H11+CPP!I11+CPP!J11+CPP!K11+CPP!L11+CPP!M11+CPP!N11+CPP!O11+CPP!P11+CPP!Q11+CPP!R11+CPP!S11+DA11+DF11+DK11+CPP!W11+DU11</f>
        <v>130</v>
      </c>
      <c r="EI11" s="18">
        <f>EF11+EG11-CPP!G11-CPP!E11-CPP!F11-CPP!P11-CPP!Q11-CL11-CQ11-DU11</f>
        <v>10142.049999999996</v>
      </c>
      <c r="EJ11" s="16">
        <f t="shared" si="41"/>
        <v>28327.236086935056</v>
      </c>
      <c r="EK11" s="1">
        <v>1106</v>
      </c>
      <c r="EL11" s="253">
        <f>'Daily CEM-1'!AG12+'Daily  CEM - 2'!AF12-EQ11</f>
        <v>1912.3930001552999</v>
      </c>
      <c r="EM11" s="9">
        <f t="shared" si="42"/>
        <v>27520.843086779758</v>
      </c>
      <c r="EN11" s="1">
        <v>0</v>
      </c>
      <c r="EO11" s="18">
        <f>ER10</f>
        <v>5306.1090080001359</v>
      </c>
      <c r="EP11" s="1">
        <v>0</v>
      </c>
      <c r="EQ11" s="1">
        <v>0</v>
      </c>
      <c r="ER11" s="17">
        <f>EO11+EP11-EQ11</f>
        <v>5306.1090080001359</v>
      </c>
      <c r="ES11">
        <f t="shared" si="44"/>
        <v>688.04</v>
      </c>
      <c r="ET11">
        <v>688.04</v>
      </c>
      <c r="EU11" s="51">
        <f t="shared" si="45"/>
        <v>1912.3930001552999</v>
      </c>
      <c r="EV11" s="51">
        <f>EL11+EQ11</f>
        <v>1912.3930001552999</v>
      </c>
      <c r="EW11" s="51">
        <f>(EU11/Production2!CG11)*100</f>
        <v>76.100000006179854</v>
      </c>
      <c r="EX11">
        <v>76.100000006179854</v>
      </c>
      <c r="EY11">
        <f t="shared" si="47"/>
        <v>7610.0000006179853</v>
      </c>
    </row>
    <row r="12" spans="2:155" x14ac:dyDescent="0.25">
      <c r="B12" s="4">
        <v>10</v>
      </c>
      <c r="C12" s="39">
        <f t="shared" si="3"/>
        <v>3841.98</v>
      </c>
      <c r="D12" s="1">
        <v>0</v>
      </c>
      <c r="E12" s="269">
        <f>F12+'RAW MILL 2'!F12</f>
        <v>50</v>
      </c>
      <c r="F12" s="1">
        <v>50</v>
      </c>
      <c r="G12" s="9">
        <f t="shared" si="4"/>
        <v>3791.98</v>
      </c>
      <c r="H12" s="39">
        <f t="shared" si="5"/>
        <v>665.03001683752086</v>
      </c>
      <c r="I12" s="33">
        <f>Production2!N12</f>
        <v>1789.8</v>
      </c>
      <c r="J12" s="33">
        <f>Production2!K12</f>
        <v>1875.5</v>
      </c>
      <c r="K12" s="18">
        <f t="shared" si="6"/>
        <v>579.33001683752082</v>
      </c>
      <c r="L12" s="39">
        <f t="shared" si="7"/>
        <v>0</v>
      </c>
      <c r="M12" s="1">
        <v>0</v>
      </c>
      <c r="N12" s="33">
        <f>CPP!D12</f>
        <v>0</v>
      </c>
      <c r="O12" s="1">
        <v>0</v>
      </c>
      <c r="P12" s="33">
        <f t="shared" si="0"/>
        <v>0</v>
      </c>
      <c r="Q12" s="9">
        <f t="shared" si="48"/>
        <v>0</v>
      </c>
      <c r="R12" s="39">
        <f t="shared" si="8"/>
        <v>0</v>
      </c>
      <c r="S12" s="1">
        <v>0</v>
      </c>
      <c r="T12" s="33">
        <f>CPP!E12</f>
        <v>0</v>
      </c>
      <c r="U12" s="26">
        <v>0</v>
      </c>
      <c r="V12" s="38">
        <f t="shared" si="9"/>
        <v>0</v>
      </c>
      <c r="W12" s="9">
        <f t="shared" si="10"/>
        <v>0</v>
      </c>
      <c r="X12" s="39">
        <f t="shared" si="11"/>
        <v>1635.0399999999981</v>
      </c>
      <c r="Y12" s="1">
        <v>0</v>
      </c>
      <c r="Z12" s="33">
        <f>CPP!H12</f>
        <v>0</v>
      </c>
      <c r="AA12" s="1">
        <v>184</v>
      </c>
      <c r="AB12" s="9">
        <f t="shared" si="12"/>
        <v>1451.0399999999981</v>
      </c>
      <c r="AC12" s="39">
        <f t="shared" si="13"/>
        <v>0</v>
      </c>
      <c r="AD12" s="1">
        <v>0</v>
      </c>
      <c r="AE12" s="1">
        <v>0</v>
      </c>
      <c r="AF12" s="9">
        <f t="shared" si="1"/>
        <v>0</v>
      </c>
      <c r="AG12" s="39">
        <f t="shared" si="14"/>
        <v>10141.999999999995</v>
      </c>
      <c r="AH12" s="1">
        <v>0</v>
      </c>
      <c r="AI12" s="1"/>
      <c r="AJ12" s="170">
        <f>CPP!G12</f>
        <v>140</v>
      </c>
      <c r="AK12" s="9">
        <f>AG12+AH12-AJ12</f>
        <v>10001.999999999995</v>
      </c>
      <c r="AL12" s="129">
        <f t="shared" si="49"/>
        <v>0</v>
      </c>
      <c r="AM12" s="1">
        <v>0</v>
      </c>
      <c r="AN12" s="1">
        <v>0</v>
      </c>
      <c r="AO12" s="18">
        <f t="shared" si="15"/>
        <v>0</v>
      </c>
      <c r="AP12" s="129">
        <f t="shared" si="50"/>
        <v>0</v>
      </c>
      <c r="AQ12" s="1">
        <v>0</v>
      </c>
      <c r="AR12" s="1">
        <v>0</v>
      </c>
      <c r="AS12" s="171">
        <f>CPP!I12</f>
        <v>0</v>
      </c>
      <c r="AT12" s="129">
        <f t="shared" si="16"/>
        <v>0</v>
      </c>
      <c r="AU12" s="1">
        <f t="shared" si="51"/>
        <v>0</v>
      </c>
      <c r="AV12" s="1">
        <v>0</v>
      </c>
      <c r="AW12" s="1">
        <v>0</v>
      </c>
      <c r="AX12" s="170">
        <f>CPP!J12</f>
        <v>0</v>
      </c>
      <c r="AY12" s="1">
        <f t="shared" si="17"/>
        <v>0</v>
      </c>
      <c r="AZ12" s="1">
        <f t="shared" si="52"/>
        <v>0.286999999990248</v>
      </c>
      <c r="BA12" s="1">
        <v>0</v>
      </c>
      <c r="BB12" s="1">
        <v>0</v>
      </c>
      <c r="BC12" s="170">
        <f>CPP!K12</f>
        <v>0</v>
      </c>
      <c r="BD12" s="1">
        <f t="shared" si="18"/>
        <v>0.286999999990248</v>
      </c>
      <c r="BE12" s="1">
        <f t="shared" si="53"/>
        <v>0</v>
      </c>
      <c r="BF12" s="1">
        <v>0</v>
      </c>
      <c r="BG12" s="1">
        <v>0</v>
      </c>
      <c r="BH12" s="170">
        <f>CPP!L12</f>
        <v>0</v>
      </c>
      <c r="BI12" s="1">
        <f>BE12+BF12-BG12-BH12</f>
        <v>0</v>
      </c>
      <c r="BJ12" s="1">
        <f t="shared" si="54"/>
        <v>0</v>
      </c>
      <c r="BK12" s="1">
        <v>0</v>
      </c>
      <c r="BL12" s="1">
        <v>0</v>
      </c>
      <c r="BM12" s="170">
        <f>CPP!M12</f>
        <v>0</v>
      </c>
      <c r="BN12" s="1">
        <f t="shared" si="55"/>
        <v>0</v>
      </c>
      <c r="BO12" s="1">
        <f t="shared" si="20"/>
        <v>0</v>
      </c>
      <c r="BP12" s="1">
        <v>0</v>
      </c>
      <c r="BQ12" s="1">
        <v>0</v>
      </c>
      <c r="BR12" s="170">
        <f>CPP!N12</f>
        <v>0</v>
      </c>
      <c r="BS12" s="1">
        <f t="shared" si="21"/>
        <v>0</v>
      </c>
      <c r="BT12" s="1">
        <f t="shared" si="22"/>
        <v>0</v>
      </c>
      <c r="BU12" s="1">
        <v>0</v>
      </c>
      <c r="BV12" s="1">
        <v>0</v>
      </c>
      <c r="BW12" s="170">
        <f>CPP!O12</f>
        <v>0</v>
      </c>
      <c r="BX12" s="1">
        <f t="shared" si="23"/>
        <v>0</v>
      </c>
      <c r="BY12" s="174">
        <f t="shared" si="56"/>
        <v>0</v>
      </c>
      <c r="BZ12" s="1">
        <v>0</v>
      </c>
      <c r="CA12" s="1">
        <v>0</v>
      </c>
      <c r="CB12" s="170"/>
      <c r="CC12" s="26">
        <f t="shared" si="24"/>
        <v>0</v>
      </c>
      <c r="CD12" s="1">
        <f t="shared" si="57"/>
        <v>0</v>
      </c>
      <c r="CE12" s="1">
        <v>0</v>
      </c>
      <c r="CF12" s="1">
        <v>0</v>
      </c>
      <c r="CG12" s="170">
        <f>CPP!P12</f>
        <v>0</v>
      </c>
      <c r="CH12" s="26">
        <f t="shared" si="25"/>
        <v>0</v>
      </c>
      <c r="CI12" s="1">
        <f t="shared" si="58"/>
        <v>0</v>
      </c>
      <c r="CJ12" s="1">
        <v>0</v>
      </c>
      <c r="CK12" s="1">
        <v>0</v>
      </c>
      <c r="CL12" s="170">
        <f>CPP!Q12</f>
        <v>0</v>
      </c>
      <c r="CM12" s="1">
        <f t="shared" si="26"/>
        <v>0</v>
      </c>
      <c r="CN12" s="1">
        <f t="shared" si="59"/>
        <v>5.0000000000181899E-2</v>
      </c>
      <c r="CO12" s="1">
        <v>0</v>
      </c>
      <c r="CP12" s="1">
        <v>0</v>
      </c>
      <c r="CQ12" s="170">
        <f>CPP!R12</f>
        <v>0</v>
      </c>
      <c r="CR12" s="1">
        <f t="shared" si="27"/>
        <v>5.0000000000181899E-2</v>
      </c>
      <c r="CS12" s="129">
        <f t="shared" si="60"/>
        <v>0</v>
      </c>
      <c r="CT12" s="1">
        <v>0</v>
      </c>
      <c r="CU12" s="1">
        <v>0</v>
      </c>
      <c r="CV12" s="171">
        <f>CPP!S12</f>
        <v>0</v>
      </c>
      <c r="CW12" s="129">
        <f t="shared" si="28"/>
        <v>0</v>
      </c>
      <c r="CX12" s="129">
        <f t="shared" si="61"/>
        <v>0</v>
      </c>
      <c r="CY12" s="1">
        <v>0</v>
      </c>
      <c r="CZ12" s="1">
        <v>0</v>
      </c>
      <c r="DA12" s="171">
        <f>CPP!T12</f>
        <v>0</v>
      </c>
      <c r="DB12" s="129">
        <f t="shared" si="29"/>
        <v>0</v>
      </c>
      <c r="DC12" s="129">
        <f t="shared" si="62"/>
        <v>306</v>
      </c>
      <c r="DD12" s="1">
        <v>0</v>
      </c>
      <c r="DE12" s="1">
        <v>0</v>
      </c>
      <c r="DF12" s="171">
        <f>CPP!U12</f>
        <v>0</v>
      </c>
      <c r="DG12" s="129">
        <f t="shared" si="30"/>
        <v>306</v>
      </c>
      <c r="DH12" s="129">
        <f t="shared" si="63"/>
        <v>0</v>
      </c>
      <c r="DI12" s="1">
        <v>0</v>
      </c>
      <c r="DJ12" s="1">
        <v>0</v>
      </c>
      <c r="DK12" s="171">
        <f>CPP!V12</f>
        <v>0</v>
      </c>
      <c r="DL12" s="129">
        <f t="shared" si="31"/>
        <v>0</v>
      </c>
      <c r="DM12" s="129">
        <f t="shared" si="64"/>
        <v>0</v>
      </c>
      <c r="DN12" s="1">
        <v>0</v>
      </c>
      <c r="DO12" s="1">
        <v>0</v>
      </c>
      <c r="DP12" s="171">
        <f>CPP!W12</f>
        <v>0</v>
      </c>
      <c r="DQ12" s="129">
        <f t="shared" si="32"/>
        <v>0</v>
      </c>
      <c r="DR12" s="129">
        <f t="shared" si="65"/>
        <v>4016.3500000000022</v>
      </c>
      <c r="DS12" s="1">
        <v>0</v>
      </c>
      <c r="DT12" s="1">
        <v>46</v>
      </c>
      <c r="DU12" s="171">
        <f>CPP!X12</f>
        <v>0</v>
      </c>
      <c r="DV12" s="129">
        <f t="shared" si="33"/>
        <v>3970.3500000000022</v>
      </c>
      <c r="DW12" s="129">
        <f t="shared" si="66"/>
        <v>0</v>
      </c>
      <c r="DX12" s="1">
        <v>0</v>
      </c>
      <c r="DY12" s="1">
        <v>0</v>
      </c>
      <c r="DZ12" s="171">
        <f>CPP!Y12</f>
        <v>0</v>
      </c>
      <c r="EA12" s="129">
        <f t="shared" si="34"/>
        <v>0</v>
      </c>
      <c r="EB12" s="129">
        <f t="shared" si="35"/>
        <v>5957.6769999999906</v>
      </c>
      <c r="EC12" s="170">
        <f t="shared" si="36"/>
        <v>0</v>
      </c>
      <c r="ED12" s="170">
        <f t="shared" si="37"/>
        <v>230</v>
      </c>
      <c r="EE12" s="129">
        <f t="shared" si="38"/>
        <v>5727.6769999999906</v>
      </c>
      <c r="EF12" s="18">
        <f t="shared" si="39"/>
        <v>10142.049999999996</v>
      </c>
      <c r="EG12" s="170">
        <f t="shared" si="40"/>
        <v>0</v>
      </c>
      <c r="EH12" s="170">
        <f>CPP!D12+CPP!E12+CPP!F12+CPP!G12+CPP!H12+CPP!I12+CPP!J12+CPP!K12+CPP!L12+CPP!M12+CPP!N12+CPP!O12+CPP!P12+CPP!Q12+CPP!R12+CPP!S12+DA12+DF12+DK12+CPP!W12+DU12</f>
        <v>140</v>
      </c>
      <c r="EI12" s="18">
        <f>EF12+EG12-CPP!G12-CPP!E12-CPP!F12-CPP!P12-CPP!Q12-CL12-CQ12-DU12</f>
        <v>10002.049999999996</v>
      </c>
      <c r="EJ12" s="16">
        <f t="shared" si="41"/>
        <v>27520.843086779758</v>
      </c>
      <c r="EK12" s="1">
        <v>1210</v>
      </c>
      <c r="EL12" s="253">
        <f>'Daily CEM-1'!AG13+'Daily  CEM - 2'!AF13-EQ12</f>
        <v>1325.7700000000011</v>
      </c>
      <c r="EM12" s="9">
        <f t="shared" si="42"/>
        <v>27405.073086779757</v>
      </c>
      <c r="EN12" s="1">
        <v>0</v>
      </c>
      <c r="EO12" s="18">
        <f t="shared" si="67"/>
        <v>5306.1090080001359</v>
      </c>
      <c r="EP12" s="1">
        <v>0</v>
      </c>
      <c r="EQ12" s="1">
        <v>0</v>
      </c>
      <c r="ER12" s="17">
        <f t="shared" si="43"/>
        <v>5306.1090080001359</v>
      </c>
      <c r="ES12">
        <f t="shared" si="44"/>
        <v>1286.53</v>
      </c>
      <c r="ET12">
        <v>1286.53</v>
      </c>
      <c r="EU12" s="51">
        <f t="shared" si="45"/>
        <v>1325.7700000000011</v>
      </c>
      <c r="EV12" s="51">
        <f t="shared" si="46"/>
        <v>1325.7700000000011</v>
      </c>
      <c r="EW12" s="51">
        <f>(EU12/Production2!CG12)*100</f>
        <v>77.304373177842635</v>
      </c>
      <c r="EX12">
        <v>77.304373177842635</v>
      </c>
      <c r="EY12">
        <f t="shared" si="47"/>
        <v>7730.4373177842635</v>
      </c>
    </row>
    <row r="13" spans="2:155" x14ac:dyDescent="0.25">
      <c r="B13" s="4">
        <v>11</v>
      </c>
      <c r="C13" s="39">
        <f t="shared" si="3"/>
        <v>3791.98</v>
      </c>
      <c r="D13" s="1">
        <v>74.319999999999993</v>
      </c>
      <c r="E13" s="269">
        <f>F13+'RAW MILL 2'!F13</f>
        <v>48</v>
      </c>
      <c r="F13" s="1">
        <v>48</v>
      </c>
      <c r="G13" s="9">
        <f t="shared" si="4"/>
        <v>3818.3</v>
      </c>
      <c r="H13" s="39">
        <f t="shared" si="5"/>
        <v>579.33001683752082</v>
      </c>
      <c r="I13" s="33">
        <f>Production2!N13</f>
        <v>1810.44</v>
      </c>
      <c r="J13" s="33">
        <f>Production2!K13</f>
        <v>1720.5</v>
      </c>
      <c r="K13" s="18">
        <f t="shared" si="6"/>
        <v>669.27001683752087</v>
      </c>
      <c r="L13" s="39">
        <f t="shared" si="7"/>
        <v>0</v>
      </c>
      <c r="M13" s="1">
        <v>0</v>
      </c>
      <c r="N13" s="33">
        <f>CPP!D13</f>
        <v>0</v>
      </c>
      <c r="O13" s="1">
        <v>0</v>
      </c>
      <c r="P13" s="33">
        <f t="shared" si="0"/>
        <v>0</v>
      </c>
      <c r="Q13" s="9">
        <f t="shared" si="48"/>
        <v>0</v>
      </c>
      <c r="R13" s="39">
        <f t="shared" si="8"/>
        <v>0</v>
      </c>
      <c r="S13" s="1">
        <v>0</v>
      </c>
      <c r="T13" s="33">
        <f>CPP!E13</f>
        <v>0</v>
      </c>
      <c r="U13" s="26">
        <v>0</v>
      </c>
      <c r="V13" s="38">
        <f t="shared" si="9"/>
        <v>0</v>
      </c>
      <c r="W13" s="9">
        <f t="shared" si="10"/>
        <v>0</v>
      </c>
      <c r="X13" s="39">
        <f t="shared" si="11"/>
        <v>1451.0399999999981</v>
      </c>
      <c r="Y13" s="1">
        <v>0</v>
      </c>
      <c r="Z13" s="33">
        <f>CPP!H13</f>
        <v>0</v>
      </c>
      <c r="AA13" s="1">
        <v>180</v>
      </c>
      <c r="AB13" s="9">
        <f t="shared" si="12"/>
        <v>1271.0399999999981</v>
      </c>
      <c r="AC13" s="39">
        <f t="shared" si="13"/>
        <v>0</v>
      </c>
      <c r="AD13" s="1">
        <v>0</v>
      </c>
      <c r="AE13" s="1">
        <v>0</v>
      </c>
      <c r="AF13" s="9">
        <f t="shared" si="1"/>
        <v>0</v>
      </c>
      <c r="AG13" s="39">
        <f t="shared" si="14"/>
        <v>10001.999999999995</v>
      </c>
      <c r="AH13" s="1">
        <v>154.15</v>
      </c>
      <c r="AI13" s="1"/>
      <c r="AJ13" s="170">
        <f>CPP!G13</f>
        <v>138</v>
      </c>
      <c r="AK13" s="9">
        <f t="shared" si="2"/>
        <v>10018.149999999994</v>
      </c>
      <c r="AL13" s="129">
        <f t="shared" si="49"/>
        <v>0</v>
      </c>
      <c r="AM13" s="1">
        <v>0</v>
      </c>
      <c r="AN13" s="1">
        <v>0</v>
      </c>
      <c r="AO13" s="18">
        <f t="shared" si="15"/>
        <v>0</v>
      </c>
      <c r="AP13" s="129">
        <f t="shared" si="50"/>
        <v>0</v>
      </c>
      <c r="AQ13" s="1">
        <v>0</v>
      </c>
      <c r="AR13" s="1">
        <v>0</v>
      </c>
      <c r="AS13" s="171">
        <f>CPP!I13</f>
        <v>0</v>
      </c>
      <c r="AT13" s="129">
        <f t="shared" si="16"/>
        <v>0</v>
      </c>
      <c r="AU13" s="1">
        <f t="shared" si="51"/>
        <v>0</v>
      </c>
      <c r="AV13" s="1">
        <v>0</v>
      </c>
      <c r="AW13" s="1">
        <v>0</v>
      </c>
      <c r="AX13" s="170">
        <f>CPP!J13</f>
        <v>0</v>
      </c>
      <c r="AY13" s="1">
        <f t="shared" si="17"/>
        <v>0</v>
      </c>
      <c r="AZ13" s="1">
        <f t="shared" si="52"/>
        <v>0.286999999990248</v>
      </c>
      <c r="BA13" s="1">
        <v>0</v>
      </c>
      <c r="BB13" s="1">
        <v>0</v>
      </c>
      <c r="BC13" s="170">
        <f>CPP!K13</f>
        <v>0</v>
      </c>
      <c r="BD13" s="1">
        <f t="shared" si="18"/>
        <v>0.286999999990248</v>
      </c>
      <c r="BE13" s="1">
        <f t="shared" si="53"/>
        <v>0</v>
      </c>
      <c r="BF13" s="1">
        <v>0</v>
      </c>
      <c r="BG13" s="1">
        <v>0</v>
      </c>
      <c r="BH13" s="170">
        <f>CPP!L13</f>
        <v>0</v>
      </c>
      <c r="BI13" s="1">
        <f>BE13+BF13-BG13-BH13</f>
        <v>0</v>
      </c>
      <c r="BJ13" s="1">
        <f t="shared" si="54"/>
        <v>0</v>
      </c>
      <c r="BK13" s="1">
        <v>0</v>
      </c>
      <c r="BL13" s="1">
        <v>0</v>
      </c>
      <c r="BM13" s="170">
        <f>CPP!M13</f>
        <v>0</v>
      </c>
      <c r="BN13" s="1">
        <f t="shared" si="55"/>
        <v>0</v>
      </c>
      <c r="BO13" s="1">
        <f t="shared" si="20"/>
        <v>0</v>
      </c>
      <c r="BP13" s="1">
        <v>0</v>
      </c>
      <c r="BQ13" s="1">
        <v>0</v>
      </c>
      <c r="BR13" s="170">
        <f>CPP!N13</f>
        <v>0</v>
      </c>
      <c r="BS13" s="1">
        <f t="shared" si="21"/>
        <v>0</v>
      </c>
      <c r="BT13" s="1">
        <f t="shared" si="22"/>
        <v>0</v>
      </c>
      <c r="BU13" s="1">
        <v>0</v>
      </c>
      <c r="BV13" s="1">
        <v>0</v>
      </c>
      <c r="BW13" s="170">
        <f>CPP!O13</f>
        <v>0</v>
      </c>
      <c r="BX13" s="1">
        <f t="shared" si="23"/>
        <v>0</v>
      </c>
      <c r="BY13" s="174">
        <f t="shared" si="56"/>
        <v>0</v>
      </c>
      <c r="BZ13" s="1">
        <v>0</v>
      </c>
      <c r="CA13" s="1">
        <v>0</v>
      </c>
      <c r="CB13" s="170"/>
      <c r="CC13" s="26">
        <f t="shared" si="24"/>
        <v>0</v>
      </c>
      <c r="CD13" s="1">
        <f t="shared" si="57"/>
        <v>0</v>
      </c>
      <c r="CE13" s="1">
        <v>0</v>
      </c>
      <c r="CF13" s="1">
        <v>0</v>
      </c>
      <c r="CG13" s="170">
        <f>CPP!P13</f>
        <v>0</v>
      </c>
      <c r="CH13" s="26">
        <f t="shared" si="25"/>
        <v>0</v>
      </c>
      <c r="CI13" s="1">
        <f t="shared" si="58"/>
        <v>0</v>
      </c>
      <c r="CJ13" s="1">
        <v>0</v>
      </c>
      <c r="CK13" s="1">
        <v>0</v>
      </c>
      <c r="CL13" s="170">
        <f>CPP!Q13</f>
        <v>0</v>
      </c>
      <c r="CM13" s="1">
        <f t="shared" si="26"/>
        <v>0</v>
      </c>
      <c r="CN13" s="1">
        <f t="shared" si="59"/>
        <v>5.0000000000181899E-2</v>
      </c>
      <c r="CO13" s="1">
        <v>0</v>
      </c>
      <c r="CP13" s="1">
        <v>0</v>
      </c>
      <c r="CQ13" s="170">
        <f>CPP!R13</f>
        <v>0</v>
      </c>
      <c r="CR13" s="1">
        <f t="shared" si="27"/>
        <v>5.0000000000181899E-2</v>
      </c>
      <c r="CS13" s="129">
        <f t="shared" si="60"/>
        <v>0</v>
      </c>
      <c r="CT13" s="1">
        <v>0</v>
      </c>
      <c r="CU13" s="1">
        <v>0</v>
      </c>
      <c r="CV13" s="171">
        <f>CPP!S13</f>
        <v>0</v>
      </c>
      <c r="CW13" s="129">
        <f t="shared" si="28"/>
        <v>0</v>
      </c>
      <c r="CX13" s="129">
        <f t="shared" si="61"/>
        <v>0</v>
      </c>
      <c r="CY13" s="1">
        <v>0</v>
      </c>
      <c r="CZ13" s="1">
        <v>0</v>
      </c>
      <c r="DA13" s="171">
        <f>CPP!T13</f>
        <v>0</v>
      </c>
      <c r="DB13" s="129">
        <f t="shared" si="29"/>
        <v>0</v>
      </c>
      <c r="DC13" s="129">
        <f t="shared" si="62"/>
        <v>306</v>
      </c>
      <c r="DD13" s="1">
        <v>0</v>
      </c>
      <c r="DE13" s="1">
        <v>0</v>
      </c>
      <c r="DF13" s="171">
        <f>CPP!U13</f>
        <v>0</v>
      </c>
      <c r="DG13" s="129">
        <f t="shared" si="30"/>
        <v>306</v>
      </c>
      <c r="DH13" s="129">
        <f t="shared" si="63"/>
        <v>0</v>
      </c>
      <c r="DI13" s="1">
        <v>0</v>
      </c>
      <c r="DJ13" s="1">
        <v>0</v>
      </c>
      <c r="DK13" s="171">
        <f>CPP!V13</f>
        <v>0</v>
      </c>
      <c r="DL13" s="129">
        <f t="shared" si="31"/>
        <v>0</v>
      </c>
      <c r="DM13" s="129">
        <f t="shared" si="64"/>
        <v>0</v>
      </c>
      <c r="DN13" s="1">
        <v>0</v>
      </c>
      <c r="DO13" s="1">
        <v>0</v>
      </c>
      <c r="DP13" s="171">
        <f>CPP!W13</f>
        <v>0</v>
      </c>
      <c r="DQ13" s="129">
        <f t="shared" si="32"/>
        <v>0</v>
      </c>
      <c r="DR13" s="129">
        <f t="shared" si="65"/>
        <v>3970.3500000000022</v>
      </c>
      <c r="DS13" s="1">
        <v>0</v>
      </c>
      <c r="DT13" s="1">
        <v>45</v>
      </c>
      <c r="DU13" s="171">
        <f>CPP!X13</f>
        <v>0</v>
      </c>
      <c r="DV13" s="129">
        <f t="shared" si="33"/>
        <v>3925.3500000000022</v>
      </c>
      <c r="DW13" s="129">
        <f t="shared" si="66"/>
        <v>0</v>
      </c>
      <c r="DX13" s="1">
        <v>0</v>
      </c>
      <c r="DY13" s="1">
        <v>0</v>
      </c>
      <c r="DZ13" s="171">
        <f>CPP!Y13</f>
        <v>0</v>
      </c>
      <c r="EA13" s="129">
        <f t="shared" si="34"/>
        <v>0</v>
      </c>
      <c r="EB13" s="129">
        <f t="shared" si="35"/>
        <v>5727.6769999999906</v>
      </c>
      <c r="EC13" s="170">
        <f t="shared" si="36"/>
        <v>0</v>
      </c>
      <c r="ED13" s="170">
        <f t="shared" si="37"/>
        <v>225</v>
      </c>
      <c r="EE13" s="129">
        <f t="shared" si="38"/>
        <v>5502.6769999999906</v>
      </c>
      <c r="EF13" s="18">
        <f t="shared" si="39"/>
        <v>10002.049999999996</v>
      </c>
      <c r="EG13" s="170">
        <f t="shared" si="40"/>
        <v>154.15</v>
      </c>
      <c r="EH13" s="170">
        <f>CPP!D13+CPP!E13+CPP!F13+CPP!G13+CPP!H13+CPP!I13+CPP!J13+CPP!K13+CPP!L13+CPP!M13+CPP!N13+CPP!O13+CPP!P13+CPP!Q13+CPP!R13+CPP!S13+DA13+DF13+DK13+CPP!W13+DU13</f>
        <v>138</v>
      </c>
      <c r="EI13" s="18">
        <f>EF13+EG13-CPP!G13-CPP!E13-CPP!F13-CPP!P13-CPP!Q13-CL13-CQ13-DU13</f>
        <v>10018.199999999995</v>
      </c>
      <c r="EJ13" s="16">
        <f t="shared" si="41"/>
        <v>27405.073086779757</v>
      </c>
      <c r="EK13" s="1">
        <v>1110</v>
      </c>
      <c r="EL13" s="253">
        <f>'Daily CEM-1'!AG14+'Daily  CEM - 2'!AF14-EQ13</f>
        <v>1237.880000000001</v>
      </c>
      <c r="EM13" s="9">
        <f t="shared" si="42"/>
        <v>27277.193086779756</v>
      </c>
      <c r="EN13" s="1">
        <v>0</v>
      </c>
      <c r="EO13" s="18">
        <f t="shared" si="67"/>
        <v>5306.1090080001359</v>
      </c>
      <c r="EP13" s="1">
        <v>0</v>
      </c>
      <c r="EQ13" s="1">
        <v>0</v>
      </c>
      <c r="ER13" s="17">
        <f t="shared" si="43"/>
        <v>5306.1090080001359</v>
      </c>
      <c r="ES13">
        <f t="shared" si="44"/>
        <v>1675.23</v>
      </c>
      <c r="ET13">
        <v>1675.23</v>
      </c>
      <c r="EU13" s="51">
        <f t="shared" si="45"/>
        <v>1237.880000000001</v>
      </c>
      <c r="EV13" s="51">
        <f t="shared" si="46"/>
        <v>1237.880000000001</v>
      </c>
      <c r="EW13" s="51">
        <f>(EU13/Production2!CG13)*100</f>
        <v>76.31812577065358</v>
      </c>
      <c r="EX13">
        <v>76.31812577065358</v>
      </c>
      <c r="EY13">
        <f t="shared" si="47"/>
        <v>7631.8125770653578</v>
      </c>
    </row>
    <row r="14" spans="2:155" x14ac:dyDescent="0.25">
      <c r="B14" s="4">
        <v>12</v>
      </c>
      <c r="C14" s="39">
        <f t="shared" si="3"/>
        <v>3818.3</v>
      </c>
      <c r="D14" s="1">
        <v>0</v>
      </c>
      <c r="E14" s="269">
        <f>F14+'RAW MILL 2'!F14</f>
        <v>53</v>
      </c>
      <c r="F14" s="1">
        <v>53</v>
      </c>
      <c r="G14" s="9">
        <f t="shared" si="4"/>
        <v>3765.3</v>
      </c>
      <c r="H14" s="39">
        <f t="shared" si="5"/>
        <v>669.27001683752087</v>
      </c>
      <c r="I14" s="33">
        <f>Production2!N14</f>
        <v>1779.99</v>
      </c>
      <c r="J14" s="33">
        <f>Production2!K14</f>
        <v>1883.25</v>
      </c>
      <c r="K14" s="18">
        <f t="shared" si="6"/>
        <v>566.01001683752111</v>
      </c>
      <c r="L14" s="39">
        <f t="shared" si="7"/>
        <v>0</v>
      </c>
      <c r="M14" s="1">
        <v>0</v>
      </c>
      <c r="N14" s="33">
        <f>CPP!D14</f>
        <v>0</v>
      </c>
      <c r="O14" s="1">
        <v>0</v>
      </c>
      <c r="P14" s="33">
        <f t="shared" si="0"/>
        <v>0</v>
      </c>
      <c r="Q14" s="9">
        <f t="shared" si="48"/>
        <v>0</v>
      </c>
      <c r="R14" s="39">
        <f t="shared" si="8"/>
        <v>0</v>
      </c>
      <c r="S14" s="1">
        <v>0</v>
      </c>
      <c r="T14" s="33">
        <f>CPP!E14</f>
        <v>0</v>
      </c>
      <c r="U14" s="26">
        <v>0</v>
      </c>
      <c r="V14" s="38">
        <f t="shared" si="9"/>
        <v>0</v>
      </c>
      <c r="W14" s="9">
        <f t="shared" si="10"/>
        <v>0</v>
      </c>
      <c r="X14" s="39">
        <f t="shared" si="11"/>
        <v>1271.0399999999981</v>
      </c>
      <c r="Y14" s="1">
        <v>0</v>
      </c>
      <c r="Z14" s="33">
        <f>CPP!H14</f>
        <v>0</v>
      </c>
      <c r="AA14" s="1">
        <v>188</v>
      </c>
      <c r="AB14" s="9">
        <f t="shared" si="12"/>
        <v>1083.0399999999981</v>
      </c>
      <c r="AC14" s="39">
        <f t="shared" si="13"/>
        <v>0</v>
      </c>
      <c r="AD14" s="1">
        <v>0</v>
      </c>
      <c r="AE14" s="1">
        <v>0</v>
      </c>
      <c r="AF14" s="9">
        <f t="shared" si="1"/>
        <v>0</v>
      </c>
      <c r="AG14" s="39">
        <f t="shared" si="14"/>
        <v>10018.149999999994</v>
      </c>
      <c r="AH14" s="1">
        <v>59.3</v>
      </c>
      <c r="AI14" s="1"/>
      <c r="AJ14" s="170">
        <f>CPP!G14</f>
        <v>138</v>
      </c>
      <c r="AK14" s="9">
        <f t="shared" si="2"/>
        <v>9939.4499999999935</v>
      </c>
      <c r="AL14" s="129">
        <f t="shared" si="49"/>
        <v>0</v>
      </c>
      <c r="AM14" s="1">
        <v>0</v>
      </c>
      <c r="AN14" s="1">
        <v>0</v>
      </c>
      <c r="AO14" s="18">
        <f t="shared" si="15"/>
        <v>0</v>
      </c>
      <c r="AP14" s="129">
        <f t="shared" si="50"/>
        <v>0</v>
      </c>
      <c r="AQ14" s="1">
        <v>0</v>
      </c>
      <c r="AR14" s="1">
        <v>0</v>
      </c>
      <c r="AS14" s="171">
        <f>CPP!I14</f>
        <v>0</v>
      </c>
      <c r="AT14" s="129">
        <f t="shared" si="16"/>
        <v>0</v>
      </c>
      <c r="AU14" s="1">
        <f t="shared" si="51"/>
        <v>0</v>
      </c>
      <c r="AV14" s="1">
        <v>0</v>
      </c>
      <c r="AW14" s="1">
        <v>0</v>
      </c>
      <c r="AX14" s="170">
        <f>CPP!J14</f>
        <v>0</v>
      </c>
      <c r="AY14" s="1">
        <f t="shared" si="17"/>
        <v>0</v>
      </c>
      <c r="AZ14" s="1">
        <f t="shared" si="52"/>
        <v>0.286999999990248</v>
      </c>
      <c r="BA14" s="1">
        <v>0</v>
      </c>
      <c r="BB14" s="1">
        <v>0</v>
      </c>
      <c r="BC14" s="170">
        <f>CPP!K14</f>
        <v>0</v>
      </c>
      <c r="BD14" s="1">
        <f t="shared" si="18"/>
        <v>0.286999999990248</v>
      </c>
      <c r="BE14" s="1">
        <f t="shared" si="53"/>
        <v>0</v>
      </c>
      <c r="BF14" s="1">
        <v>0</v>
      </c>
      <c r="BG14" s="1">
        <v>0</v>
      </c>
      <c r="BH14" s="170">
        <f>CPP!L14</f>
        <v>0</v>
      </c>
      <c r="BI14" s="1">
        <f t="shared" si="19"/>
        <v>0</v>
      </c>
      <c r="BJ14" s="1">
        <f t="shared" si="54"/>
        <v>0</v>
      </c>
      <c r="BK14" s="1">
        <v>0</v>
      </c>
      <c r="BL14" s="1">
        <v>0</v>
      </c>
      <c r="BM14" s="170">
        <f>CPP!M14</f>
        <v>0</v>
      </c>
      <c r="BN14" s="1">
        <f t="shared" si="55"/>
        <v>0</v>
      </c>
      <c r="BO14" s="1">
        <f t="shared" si="20"/>
        <v>0</v>
      </c>
      <c r="BP14" s="1">
        <v>0</v>
      </c>
      <c r="BQ14" s="1">
        <v>0</v>
      </c>
      <c r="BR14" s="170">
        <f>CPP!N14</f>
        <v>0</v>
      </c>
      <c r="BS14" s="1">
        <f t="shared" si="21"/>
        <v>0</v>
      </c>
      <c r="BT14" s="1">
        <f t="shared" si="22"/>
        <v>0</v>
      </c>
      <c r="BU14" s="1">
        <v>0</v>
      </c>
      <c r="BV14" s="1">
        <v>0</v>
      </c>
      <c r="BW14" s="170">
        <f>CPP!O14</f>
        <v>0</v>
      </c>
      <c r="BX14" s="1">
        <f t="shared" si="23"/>
        <v>0</v>
      </c>
      <c r="BY14" s="174">
        <f t="shared" si="56"/>
        <v>0</v>
      </c>
      <c r="BZ14" s="1">
        <v>0</v>
      </c>
      <c r="CA14" s="1">
        <v>0</v>
      </c>
      <c r="CB14" s="170"/>
      <c r="CC14" s="26">
        <f t="shared" si="24"/>
        <v>0</v>
      </c>
      <c r="CD14" s="1">
        <f t="shared" si="57"/>
        <v>0</v>
      </c>
      <c r="CE14" s="1">
        <v>0</v>
      </c>
      <c r="CF14" s="1">
        <v>0</v>
      </c>
      <c r="CG14" s="170">
        <f>CPP!P14</f>
        <v>0</v>
      </c>
      <c r="CH14" s="26">
        <f t="shared" si="25"/>
        <v>0</v>
      </c>
      <c r="CI14" s="1">
        <f t="shared" si="58"/>
        <v>0</v>
      </c>
      <c r="CJ14" s="1">
        <v>0</v>
      </c>
      <c r="CK14" s="1">
        <v>0</v>
      </c>
      <c r="CL14" s="170">
        <f>CPP!Q14</f>
        <v>0</v>
      </c>
      <c r="CM14" s="1">
        <f t="shared" si="26"/>
        <v>0</v>
      </c>
      <c r="CN14" s="1">
        <f t="shared" si="59"/>
        <v>5.0000000000181899E-2</v>
      </c>
      <c r="CO14" s="1">
        <v>0</v>
      </c>
      <c r="CP14" s="1">
        <v>0</v>
      </c>
      <c r="CQ14" s="170">
        <f>CPP!R14</f>
        <v>0</v>
      </c>
      <c r="CR14" s="1">
        <f t="shared" si="27"/>
        <v>5.0000000000181899E-2</v>
      </c>
      <c r="CS14" s="129">
        <f t="shared" si="60"/>
        <v>0</v>
      </c>
      <c r="CT14" s="1">
        <v>0</v>
      </c>
      <c r="CU14" s="1">
        <v>0</v>
      </c>
      <c r="CV14" s="171">
        <f>CPP!S14</f>
        <v>0</v>
      </c>
      <c r="CW14" s="129">
        <f t="shared" si="28"/>
        <v>0</v>
      </c>
      <c r="CX14" s="129">
        <f t="shared" si="61"/>
        <v>0</v>
      </c>
      <c r="CY14" s="1">
        <v>0</v>
      </c>
      <c r="CZ14" s="1">
        <v>0</v>
      </c>
      <c r="DA14" s="171">
        <f>CPP!T14</f>
        <v>0</v>
      </c>
      <c r="DB14" s="129">
        <f t="shared" si="29"/>
        <v>0</v>
      </c>
      <c r="DC14" s="129">
        <f t="shared" si="62"/>
        <v>306</v>
      </c>
      <c r="DD14" s="1">
        <v>0</v>
      </c>
      <c r="DE14" s="1">
        <v>0</v>
      </c>
      <c r="DF14" s="171">
        <f>CPP!U14</f>
        <v>0</v>
      </c>
      <c r="DG14" s="129">
        <f t="shared" si="30"/>
        <v>306</v>
      </c>
      <c r="DH14" s="129">
        <f t="shared" si="63"/>
        <v>0</v>
      </c>
      <c r="DI14" s="1">
        <v>0</v>
      </c>
      <c r="DJ14" s="1">
        <v>0</v>
      </c>
      <c r="DK14" s="171">
        <f>CPP!V14</f>
        <v>0</v>
      </c>
      <c r="DL14" s="129">
        <f t="shared" si="31"/>
        <v>0</v>
      </c>
      <c r="DM14" s="129">
        <f t="shared" si="64"/>
        <v>0</v>
      </c>
      <c r="DN14" s="1">
        <v>0</v>
      </c>
      <c r="DO14" s="1">
        <v>0</v>
      </c>
      <c r="DP14" s="171">
        <f>CPP!W14</f>
        <v>0</v>
      </c>
      <c r="DQ14" s="129">
        <f t="shared" si="32"/>
        <v>0</v>
      </c>
      <c r="DR14" s="129">
        <f t="shared" si="65"/>
        <v>3925.3500000000022</v>
      </c>
      <c r="DS14" s="1">
        <v>0</v>
      </c>
      <c r="DT14" s="1">
        <v>47</v>
      </c>
      <c r="DU14" s="171">
        <f>CPP!X14</f>
        <v>0</v>
      </c>
      <c r="DV14" s="129">
        <f>DR14+DS14-DT14-DU14</f>
        <v>3878.3500000000022</v>
      </c>
      <c r="DW14" s="129">
        <f t="shared" si="66"/>
        <v>0</v>
      </c>
      <c r="DX14" s="1">
        <v>0</v>
      </c>
      <c r="DY14" s="1">
        <v>0</v>
      </c>
      <c r="DZ14" s="171">
        <f>CPP!Y14</f>
        <v>0</v>
      </c>
      <c r="EA14" s="129">
        <f t="shared" si="34"/>
        <v>0</v>
      </c>
      <c r="EB14" s="129">
        <f t="shared" si="35"/>
        <v>5502.6769999999906</v>
      </c>
      <c r="EC14" s="170">
        <f t="shared" si="36"/>
        <v>0</v>
      </c>
      <c r="ED14" s="170">
        <f t="shared" si="37"/>
        <v>235</v>
      </c>
      <c r="EE14" s="129">
        <f t="shared" si="38"/>
        <v>5267.6769999999906</v>
      </c>
      <c r="EF14" s="18">
        <f t="shared" si="39"/>
        <v>10018.199999999993</v>
      </c>
      <c r="EG14" s="170">
        <f t="shared" si="40"/>
        <v>59.3</v>
      </c>
      <c r="EH14" s="170">
        <f>CPP!D14+CPP!E14+CPP!F14+CPP!G14+CPP!H14+CPP!I14+CPP!J14+CPP!K14+CPP!L14+CPP!M14+CPP!N14+CPP!O14+CPP!P14+CPP!Q14+CPP!R14+CPP!S14+DA14+DF14+DK14+CPP!W14+DU14</f>
        <v>138</v>
      </c>
      <c r="EI14" s="18">
        <f>EF14+EG14-CPP!G14-CPP!E14-CPP!F14-CPP!P14-CPP!Q14-CL14-CQ14-DU14</f>
        <v>9939.4999999999927</v>
      </c>
      <c r="EJ14" s="16">
        <f t="shared" si="41"/>
        <v>27277.193086779756</v>
      </c>
      <c r="EK14" s="1">
        <v>1215</v>
      </c>
      <c r="EL14" s="253">
        <f>'Daily CEM-1'!AG15+'Daily  CEM - 2'!AF15-EQ14</f>
        <v>1092.3400000000001</v>
      </c>
      <c r="EM14" s="9">
        <f t="shared" si="42"/>
        <v>27399.853086779756</v>
      </c>
      <c r="EN14" s="1">
        <v>0</v>
      </c>
      <c r="EO14" s="18">
        <f t="shared" si="67"/>
        <v>5306.1090080001359</v>
      </c>
      <c r="EP14" s="1">
        <v>0</v>
      </c>
      <c r="EQ14" s="1">
        <v>0</v>
      </c>
      <c r="ER14" s="17">
        <f t="shared" si="43"/>
        <v>5306.1090080001359</v>
      </c>
      <c r="ES14">
        <f t="shared" si="44"/>
        <v>483.51</v>
      </c>
      <c r="ET14">
        <v>483.51</v>
      </c>
      <c r="EU14" s="51">
        <f t="shared" si="45"/>
        <v>1092.3400000000001</v>
      </c>
      <c r="EV14" s="51">
        <f t="shared" si="46"/>
        <v>1092.3400000000001</v>
      </c>
      <c r="EW14" s="51">
        <f>(EU14/Production2!CG14)*100</f>
        <v>74.81780821917809</v>
      </c>
      <c r="EX14">
        <v>74.81780821917809</v>
      </c>
    </row>
    <row r="15" spans="2:155" x14ac:dyDescent="0.25">
      <c r="B15" s="4">
        <v>13</v>
      </c>
      <c r="C15" s="39">
        <f t="shared" si="3"/>
        <v>3765.3</v>
      </c>
      <c r="D15" s="1">
        <v>0</v>
      </c>
      <c r="E15" s="269">
        <f>F15+'RAW MILL 2'!F15</f>
        <v>59</v>
      </c>
      <c r="F15" s="1">
        <v>59</v>
      </c>
      <c r="G15" s="9">
        <f t="shared" si="4"/>
        <v>3706.3</v>
      </c>
      <c r="H15" s="39">
        <f t="shared" si="5"/>
        <v>566.01001683752111</v>
      </c>
      <c r="I15" s="33">
        <f>Production2!N15</f>
        <v>2110.4699999999998</v>
      </c>
      <c r="J15" s="33">
        <f>Production2!K15</f>
        <v>1976.25</v>
      </c>
      <c r="K15" s="18">
        <f t="shared" si="6"/>
        <v>700.23001683752091</v>
      </c>
      <c r="L15" s="39">
        <f t="shared" si="7"/>
        <v>0</v>
      </c>
      <c r="M15" s="1">
        <v>0</v>
      </c>
      <c r="N15" s="33">
        <f>CPP!D15</f>
        <v>0</v>
      </c>
      <c r="O15" s="1">
        <v>0</v>
      </c>
      <c r="P15" s="33">
        <f t="shared" si="0"/>
        <v>0</v>
      </c>
      <c r="Q15" s="9">
        <f t="shared" si="48"/>
        <v>0</v>
      </c>
      <c r="R15" s="39">
        <f t="shared" si="8"/>
        <v>0</v>
      </c>
      <c r="S15" s="1">
        <v>0</v>
      </c>
      <c r="T15" s="33">
        <f>CPP!E15</f>
        <v>0</v>
      </c>
      <c r="U15" s="26">
        <v>0</v>
      </c>
      <c r="V15" s="38">
        <f t="shared" si="9"/>
        <v>0</v>
      </c>
      <c r="W15" s="9">
        <f t="shared" si="10"/>
        <v>0</v>
      </c>
      <c r="X15" s="39">
        <f t="shared" si="11"/>
        <v>1083.0399999999981</v>
      </c>
      <c r="Y15" s="1">
        <v>0</v>
      </c>
      <c r="Z15" s="33">
        <f>CPP!H15</f>
        <v>0</v>
      </c>
      <c r="AA15" s="1">
        <v>0</v>
      </c>
      <c r="AB15" s="9">
        <f t="shared" si="12"/>
        <v>1083.0399999999981</v>
      </c>
      <c r="AC15" s="39">
        <f t="shared" si="13"/>
        <v>0</v>
      </c>
      <c r="AD15" s="1">
        <v>0</v>
      </c>
      <c r="AE15" s="1">
        <v>0</v>
      </c>
      <c r="AF15" s="9">
        <f t="shared" si="1"/>
        <v>0</v>
      </c>
      <c r="AG15" s="39">
        <f t="shared" si="14"/>
        <v>9939.4499999999935</v>
      </c>
      <c r="AH15" s="1">
        <v>0</v>
      </c>
      <c r="AI15" s="1">
        <v>238</v>
      </c>
      <c r="AJ15" s="170">
        <f>CPP!G15</f>
        <v>142</v>
      </c>
      <c r="AK15" s="9">
        <f>AG15+AH15-AI15-AJ15</f>
        <v>9559.4499999999935</v>
      </c>
      <c r="AL15" s="129">
        <f t="shared" si="49"/>
        <v>0</v>
      </c>
      <c r="AM15" s="1">
        <v>0</v>
      </c>
      <c r="AN15" s="1">
        <v>0</v>
      </c>
      <c r="AO15" s="18">
        <f t="shared" si="15"/>
        <v>0</v>
      </c>
      <c r="AP15" s="129">
        <f t="shared" si="50"/>
        <v>0</v>
      </c>
      <c r="AQ15" s="1">
        <v>0</v>
      </c>
      <c r="AR15" s="1">
        <v>0</v>
      </c>
      <c r="AS15" s="171">
        <f>CPP!I15</f>
        <v>0</v>
      </c>
      <c r="AT15" s="129">
        <f t="shared" si="16"/>
        <v>0</v>
      </c>
      <c r="AU15" s="1">
        <f t="shared" si="51"/>
        <v>0</v>
      </c>
      <c r="AV15" s="1">
        <v>0</v>
      </c>
      <c r="AW15" s="1">
        <v>0</v>
      </c>
      <c r="AX15" s="170">
        <f>CPP!J15</f>
        <v>0</v>
      </c>
      <c r="AY15" s="1">
        <f t="shared" si="17"/>
        <v>0</v>
      </c>
      <c r="AZ15" s="1">
        <f t="shared" si="52"/>
        <v>0.286999999990248</v>
      </c>
      <c r="BA15" s="1">
        <v>0</v>
      </c>
      <c r="BB15" s="1">
        <v>0</v>
      </c>
      <c r="BC15" s="170">
        <f>CPP!K15</f>
        <v>0</v>
      </c>
      <c r="BD15" s="1">
        <f t="shared" si="18"/>
        <v>0.286999999990248</v>
      </c>
      <c r="BE15" s="1">
        <f t="shared" si="53"/>
        <v>0</v>
      </c>
      <c r="BF15" s="1">
        <v>0</v>
      </c>
      <c r="BG15" s="1">
        <v>0</v>
      </c>
      <c r="BH15" s="170">
        <f>CPP!L15</f>
        <v>0</v>
      </c>
      <c r="BI15" s="1">
        <f t="shared" si="19"/>
        <v>0</v>
      </c>
      <c r="BJ15" s="1">
        <f t="shared" si="54"/>
        <v>0</v>
      </c>
      <c r="BK15" s="1">
        <v>0</v>
      </c>
      <c r="BL15" s="1">
        <v>0</v>
      </c>
      <c r="BM15" s="170">
        <f>CPP!M15</f>
        <v>0</v>
      </c>
      <c r="BN15" s="1">
        <f t="shared" si="55"/>
        <v>0</v>
      </c>
      <c r="BO15" s="1">
        <f t="shared" si="20"/>
        <v>0</v>
      </c>
      <c r="BP15" s="1">
        <v>0</v>
      </c>
      <c r="BQ15" s="1">
        <v>0</v>
      </c>
      <c r="BR15" s="170">
        <f>CPP!N15</f>
        <v>0</v>
      </c>
      <c r="BS15" s="1">
        <f t="shared" si="21"/>
        <v>0</v>
      </c>
      <c r="BT15" s="1">
        <f t="shared" si="22"/>
        <v>0</v>
      </c>
      <c r="BU15" s="1">
        <v>0</v>
      </c>
      <c r="BV15" s="1">
        <v>0</v>
      </c>
      <c r="BW15" s="170">
        <f>CPP!O15</f>
        <v>0</v>
      </c>
      <c r="BX15" s="1">
        <f t="shared" si="23"/>
        <v>0</v>
      </c>
      <c r="BY15" s="174">
        <f t="shared" si="56"/>
        <v>0</v>
      </c>
      <c r="BZ15" s="1">
        <v>0</v>
      </c>
      <c r="CA15" s="1">
        <v>0</v>
      </c>
      <c r="CB15" s="170"/>
      <c r="CC15" s="26">
        <f t="shared" si="24"/>
        <v>0</v>
      </c>
      <c r="CD15" s="1">
        <f t="shared" si="57"/>
        <v>0</v>
      </c>
      <c r="CE15" s="1">
        <v>0</v>
      </c>
      <c r="CF15" s="1">
        <v>0</v>
      </c>
      <c r="CG15" s="170">
        <f>CPP!P15</f>
        <v>0</v>
      </c>
      <c r="CH15" s="26">
        <f t="shared" si="25"/>
        <v>0</v>
      </c>
      <c r="CI15" s="1">
        <f t="shared" si="58"/>
        <v>0</v>
      </c>
      <c r="CJ15" s="1">
        <v>0</v>
      </c>
      <c r="CK15" s="1">
        <v>0</v>
      </c>
      <c r="CL15" s="170">
        <f>CPP!Q15</f>
        <v>0</v>
      </c>
      <c r="CM15" s="1">
        <f t="shared" si="26"/>
        <v>0</v>
      </c>
      <c r="CN15" s="1">
        <f t="shared" si="59"/>
        <v>5.0000000000181899E-2</v>
      </c>
      <c r="CO15" s="1">
        <v>0</v>
      </c>
      <c r="CP15" s="1">
        <v>0</v>
      </c>
      <c r="CQ15" s="170">
        <f>CPP!R15</f>
        <v>0</v>
      </c>
      <c r="CR15" s="1">
        <f t="shared" si="27"/>
        <v>5.0000000000181899E-2</v>
      </c>
      <c r="CS15" s="129">
        <f t="shared" si="60"/>
        <v>0</v>
      </c>
      <c r="CT15" s="1">
        <v>0</v>
      </c>
      <c r="CU15" s="1">
        <v>0</v>
      </c>
      <c r="CV15" s="171">
        <f>CPP!S15</f>
        <v>0</v>
      </c>
      <c r="CW15" s="129">
        <f t="shared" si="28"/>
        <v>0</v>
      </c>
      <c r="CX15" s="129">
        <f t="shared" si="61"/>
        <v>0</v>
      </c>
      <c r="CY15" s="1">
        <v>0</v>
      </c>
      <c r="CZ15" s="1">
        <v>0</v>
      </c>
      <c r="DA15" s="171">
        <f>CPP!T15</f>
        <v>0</v>
      </c>
      <c r="DB15" s="129">
        <f t="shared" si="29"/>
        <v>0</v>
      </c>
      <c r="DC15" s="129">
        <f t="shared" si="62"/>
        <v>306</v>
      </c>
      <c r="DD15" s="1">
        <v>0</v>
      </c>
      <c r="DE15" s="1">
        <v>0</v>
      </c>
      <c r="DF15" s="171">
        <f>CPP!U15</f>
        <v>0</v>
      </c>
      <c r="DG15" s="129">
        <f t="shared" si="30"/>
        <v>306</v>
      </c>
      <c r="DH15" s="129">
        <f t="shared" si="63"/>
        <v>0</v>
      </c>
      <c r="DI15" s="1">
        <v>0</v>
      </c>
      <c r="DJ15" s="1">
        <v>0</v>
      </c>
      <c r="DK15" s="171">
        <f>CPP!V15</f>
        <v>0</v>
      </c>
      <c r="DL15" s="129">
        <f t="shared" si="31"/>
        <v>0</v>
      </c>
      <c r="DM15" s="129">
        <f t="shared" si="64"/>
        <v>0</v>
      </c>
      <c r="DN15" s="1">
        <v>0</v>
      </c>
      <c r="DO15" s="1">
        <v>0</v>
      </c>
      <c r="DP15" s="171">
        <f>CPP!W15</f>
        <v>0</v>
      </c>
      <c r="DQ15" s="129">
        <f t="shared" si="32"/>
        <v>0</v>
      </c>
      <c r="DR15" s="129">
        <f t="shared" si="65"/>
        <v>3878.3500000000022</v>
      </c>
      <c r="DS15" s="1">
        <v>0</v>
      </c>
      <c r="DT15" s="1">
        <v>0</v>
      </c>
      <c r="DU15" s="171">
        <f>CPP!X15</f>
        <v>0</v>
      </c>
      <c r="DV15" s="129">
        <f t="shared" si="33"/>
        <v>3878.3500000000022</v>
      </c>
      <c r="DW15" s="129">
        <f t="shared" si="66"/>
        <v>0</v>
      </c>
      <c r="DX15" s="1">
        <v>0</v>
      </c>
      <c r="DY15" s="1">
        <v>0</v>
      </c>
      <c r="DZ15" s="171">
        <f>CPP!Y15</f>
        <v>0</v>
      </c>
      <c r="EA15" s="129">
        <f t="shared" si="34"/>
        <v>0</v>
      </c>
      <c r="EB15" s="129">
        <f t="shared" si="35"/>
        <v>5267.6769999999906</v>
      </c>
      <c r="EC15" s="170">
        <f t="shared" si="36"/>
        <v>0</v>
      </c>
      <c r="ED15" s="170">
        <f>O15+AA15+AN15+AR15+AW15+BB15+BG15+BL15+BQ15+BV15+CA15+CU15+CZ15+DE15+DJ15+DO15+DY15+DT15+AI15</f>
        <v>238</v>
      </c>
      <c r="EE15" s="129">
        <f t="shared" si="38"/>
        <v>5029.6769999999906</v>
      </c>
      <c r="EF15" s="18">
        <f t="shared" si="39"/>
        <v>9939.4999999999927</v>
      </c>
      <c r="EG15" s="170">
        <f t="shared" si="40"/>
        <v>0</v>
      </c>
      <c r="EH15" s="170">
        <f>CPP!D15+CPP!E15+CPP!F15+CPP!G15+CPP!H15+CPP!I15+CPP!J15+CPP!K15+CPP!L15+CPP!M15+CPP!N15+CPP!O15+CPP!P15+CPP!Q15+CPP!R15+CPP!S15+DA15+DF15+DK15+CPP!W15+DU15</f>
        <v>142</v>
      </c>
      <c r="EI15" s="18">
        <f>EF15+EG15-CPP!G15-CPP!E15-CPP!F15-CPP!P15-CPP!Q15-CL15-CQ15-DU15</f>
        <v>9797.4999999999927</v>
      </c>
      <c r="EJ15" s="16">
        <f t="shared" si="41"/>
        <v>27399.853086779756</v>
      </c>
      <c r="EK15" s="1">
        <v>1275</v>
      </c>
      <c r="EL15" s="253">
        <f>'Daily CEM-1'!AG16+'Daily  CEM - 2'!AF16-EQ15</f>
        <v>1516.4100000000008</v>
      </c>
      <c r="EM15" s="9">
        <f t="shared" si="42"/>
        <v>27158.443086779756</v>
      </c>
      <c r="EN15" s="1">
        <v>0</v>
      </c>
      <c r="EO15" s="18">
        <f t="shared" si="67"/>
        <v>5306.1090080001359</v>
      </c>
      <c r="EP15" s="1">
        <v>0</v>
      </c>
      <c r="EQ15" s="1">
        <v>0</v>
      </c>
      <c r="ER15" s="17">
        <f t="shared" si="43"/>
        <v>5306.1090080001359</v>
      </c>
      <c r="ES15">
        <f t="shared" si="44"/>
        <v>0</v>
      </c>
      <c r="EU15" s="51">
        <f t="shared" si="45"/>
        <v>1516.4100000000008</v>
      </c>
      <c r="EV15" s="51">
        <f t="shared" si="46"/>
        <v>1516.4100000000008</v>
      </c>
      <c r="EW15" s="51">
        <f>(EU15/Production2!CG15)*100</f>
        <v>76.586363636363672</v>
      </c>
      <c r="EX15">
        <v>76.586363636363672</v>
      </c>
    </row>
    <row r="16" spans="2:155" x14ac:dyDescent="0.25">
      <c r="B16" s="4">
        <v>14</v>
      </c>
      <c r="C16" s="39">
        <f t="shared" si="3"/>
        <v>3706.3</v>
      </c>
      <c r="D16" s="1">
        <v>0</v>
      </c>
      <c r="E16" s="269">
        <f>F16+'RAW MILL 2'!F16</f>
        <v>57</v>
      </c>
      <c r="F16" s="1">
        <v>57</v>
      </c>
      <c r="G16" s="9">
        <f t="shared" si="4"/>
        <v>3649.3</v>
      </c>
      <c r="H16" s="39">
        <f t="shared" si="5"/>
        <v>700.23001683752091</v>
      </c>
      <c r="I16" s="33">
        <f>Production2!N16</f>
        <v>2041.11</v>
      </c>
      <c r="J16" s="33">
        <f>Production2!K16</f>
        <v>1937.5</v>
      </c>
      <c r="K16" s="18">
        <f t="shared" si="6"/>
        <v>803.84001683752103</v>
      </c>
      <c r="L16" s="39">
        <f t="shared" si="7"/>
        <v>0</v>
      </c>
      <c r="M16" s="1">
        <v>0</v>
      </c>
      <c r="N16" s="33">
        <f>CPP!D16</f>
        <v>0</v>
      </c>
      <c r="O16" s="1">
        <v>0</v>
      </c>
      <c r="P16" s="33">
        <f t="shared" si="0"/>
        <v>0</v>
      </c>
      <c r="Q16" s="9">
        <f t="shared" si="48"/>
        <v>0</v>
      </c>
      <c r="R16" s="39">
        <f t="shared" si="8"/>
        <v>0</v>
      </c>
      <c r="S16" s="1">
        <v>0</v>
      </c>
      <c r="T16" s="33">
        <f>CPP!E16</f>
        <v>0</v>
      </c>
      <c r="U16" s="26">
        <v>0</v>
      </c>
      <c r="V16" s="38">
        <f t="shared" si="9"/>
        <v>0</v>
      </c>
      <c r="W16" s="9">
        <f t="shared" si="10"/>
        <v>0</v>
      </c>
      <c r="X16" s="39">
        <f t="shared" si="11"/>
        <v>1083.0399999999981</v>
      </c>
      <c r="Y16" s="1">
        <v>0</v>
      </c>
      <c r="Z16" s="33">
        <f>CPP!H16</f>
        <v>0</v>
      </c>
      <c r="AA16" s="1">
        <v>0</v>
      </c>
      <c r="AB16" s="9">
        <f t="shared" si="12"/>
        <v>1083.0399999999981</v>
      </c>
      <c r="AC16" s="39">
        <f t="shared" si="13"/>
        <v>0</v>
      </c>
      <c r="AD16" s="1">
        <v>0</v>
      </c>
      <c r="AE16" s="1">
        <v>0</v>
      </c>
      <c r="AF16" s="9">
        <f t="shared" si="1"/>
        <v>0</v>
      </c>
      <c r="AG16" s="39">
        <f t="shared" si="14"/>
        <v>9559.4499999999935</v>
      </c>
      <c r="AH16" s="1">
        <v>0</v>
      </c>
      <c r="AI16" s="1">
        <v>240</v>
      </c>
      <c r="AJ16" s="170">
        <f>CPP!G16</f>
        <v>136</v>
      </c>
      <c r="AK16" s="9">
        <f t="shared" ref="AK16:AK33" si="68">AG16+AH16-AI16-AJ16</f>
        <v>9183.4499999999935</v>
      </c>
      <c r="AL16" s="129">
        <f t="shared" si="49"/>
        <v>0</v>
      </c>
      <c r="AM16" s="1">
        <v>0</v>
      </c>
      <c r="AN16" s="1">
        <v>0</v>
      </c>
      <c r="AO16" s="18">
        <f t="shared" si="15"/>
        <v>0</v>
      </c>
      <c r="AP16" s="129">
        <f t="shared" si="50"/>
        <v>0</v>
      </c>
      <c r="AQ16" s="1">
        <v>0</v>
      </c>
      <c r="AR16" s="1">
        <v>0</v>
      </c>
      <c r="AS16" s="171">
        <f>CPP!I16</f>
        <v>0</v>
      </c>
      <c r="AT16" s="129">
        <f t="shared" si="16"/>
        <v>0</v>
      </c>
      <c r="AU16" s="1">
        <f t="shared" si="51"/>
        <v>0</v>
      </c>
      <c r="AV16" s="1">
        <v>0</v>
      </c>
      <c r="AW16" s="1">
        <v>0</v>
      </c>
      <c r="AX16" s="170">
        <f>CPP!J16</f>
        <v>0</v>
      </c>
      <c r="AY16" s="1">
        <f t="shared" si="17"/>
        <v>0</v>
      </c>
      <c r="AZ16" s="1">
        <f t="shared" si="52"/>
        <v>0.286999999990248</v>
      </c>
      <c r="BA16" s="1">
        <v>0</v>
      </c>
      <c r="BB16" s="1">
        <v>0</v>
      </c>
      <c r="BC16" s="170">
        <f>CPP!K16</f>
        <v>0</v>
      </c>
      <c r="BD16" s="1">
        <f t="shared" si="18"/>
        <v>0.286999999990248</v>
      </c>
      <c r="BE16" s="1">
        <f t="shared" si="53"/>
        <v>0</v>
      </c>
      <c r="BF16" s="1">
        <v>0</v>
      </c>
      <c r="BG16" s="1">
        <v>0</v>
      </c>
      <c r="BH16" s="170">
        <f>CPP!L16</f>
        <v>0</v>
      </c>
      <c r="BI16" s="1">
        <f t="shared" si="19"/>
        <v>0</v>
      </c>
      <c r="BJ16" s="1">
        <f t="shared" si="54"/>
        <v>0</v>
      </c>
      <c r="BK16" s="1">
        <v>0</v>
      </c>
      <c r="BL16" s="1">
        <v>0</v>
      </c>
      <c r="BM16" s="170">
        <f>CPP!M16</f>
        <v>0</v>
      </c>
      <c r="BN16" s="1">
        <f t="shared" si="55"/>
        <v>0</v>
      </c>
      <c r="BO16" s="1">
        <f t="shared" si="20"/>
        <v>0</v>
      </c>
      <c r="BP16" s="1">
        <v>0</v>
      </c>
      <c r="BQ16" s="1">
        <v>0</v>
      </c>
      <c r="BR16" s="170">
        <f>CPP!N16</f>
        <v>0</v>
      </c>
      <c r="BS16" s="1">
        <f t="shared" si="21"/>
        <v>0</v>
      </c>
      <c r="BT16" s="1">
        <f t="shared" si="22"/>
        <v>0</v>
      </c>
      <c r="BU16" s="1">
        <v>0</v>
      </c>
      <c r="BV16" s="1">
        <v>0</v>
      </c>
      <c r="BW16" s="170">
        <f>CPP!O16</f>
        <v>0</v>
      </c>
      <c r="BX16" s="1">
        <f t="shared" si="23"/>
        <v>0</v>
      </c>
      <c r="BY16" s="174">
        <f t="shared" si="56"/>
        <v>0</v>
      </c>
      <c r="BZ16" s="1">
        <v>0</v>
      </c>
      <c r="CA16" s="1">
        <v>0</v>
      </c>
      <c r="CB16" s="170"/>
      <c r="CC16" s="26">
        <f t="shared" si="24"/>
        <v>0</v>
      </c>
      <c r="CD16" s="1">
        <f t="shared" si="57"/>
        <v>0</v>
      </c>
      <c r="CE16" s="1">
        <v>0</v>
      </c>
      <c r="CF16" s="1">
        <v>0</v>
      </c>
      <c r="CG16" s="170">
        <f>CPP!P16</f>
        <v>0</v>
      </c>
      <c r="CH16" s="26">
        <f t="shared" si="25"/>
        <v>0</v>
      </c>
      <c r="CI16" s="1">
        <f t="shared" si="58"/>
        <v>0</v>
      </c>
      <c r="CJ16" s="1">
        <v>0</v>
      </c>
      <c r="CK16" s="1">
        <v>0</v>
      </c>
      <c r="CL16" s="170">
        <f>CPP!Q16</f>
        <v>0</v>
      </c>
      <c r="CM16" s="1">
        <f t="shared" si="26"/>
        <v>0</v>
      </c>
      <c r="CN16" s="1">
        <f t="shared" si="59"/>
        <v>5.0000000000181899E-2</v>
      </c>
      <c r="CO16" s="1">
        <v>0</v>
      </c>
      <c r="CP16" s="1">
        <v>0</v>
      </c>
      <c r="CQ16" s="170">
        <f>CPP!R16</f>
        <v>0</v>
      </c>
      <c r="CR16" s="1">
        <f t="shared" si="27"/>
        <v>5.0000000000181899E-2</v>
      </c>
      <c r="CS16" s="129">
        <f t="shared" si="60"/>
        <v>0</v>
      </c>
      <c r="CT16" s="1">
        <v>0</v>
      </c>
      <c r="CU16" s="1">
        <v>0</v>
      </c>
      <c r="CV16" s="171">
        <f>CPP!S16</f>
        <v>0</v>
      </c>
      <c r="CW16" s="129">
        <f t="shared" si="28"/>
        <v>0</v>
      </c>
      <c r="CX16" s="129">
        <f t="shared" si="61"/>
        <v>0</v>
      </c>
      <c r="CY16" s="1">
        <v>0</v>
      </c>
      <c r="CZ16" s="1">
        <v>0</v>
      </c>
      <c r="DA16" s="171">
        <f>CPP!T16</f>
        <v>0</v>
      </c>
      <c r="DB16" s="129">
        <f t="shared" si="29"/>
        <v>0</v>
      </c>
      <c r="DC16" s="129">
        <f t="shared" si="62"/>
        <v>306</v>
      </c>
      <c r="DD16" s="1">
        <v>0</v>
      </c>
      <c r="DE16" s="1">
        <v>0</v>
      </c>
      <c r="DF16" s="171">
        <f>CPP!U16</f>
        <v>0</v>
      </c>
      <c r="DG16" s="129">
        <f t="shared" si="30"/>
        <v>306</v>
      </c>
      <c r="DH16" s="129">
        <f t="shared" si="63"/>
        <v>0</v>
      </c>
      <c r="DI16" s="1">
        <v>0</v>
      </c>
      <c r="DJ16" s="1">
        <v>0</v>
      </c>
      <c r="DK16" s="171">
        <f>CPP!V16</f>
        <v>0</v>
      </c>
      <c r="DL16" s="129">
        <f t="shared" si="31"/>
        <v>0</v>
      </c>
      <c r="DM16" s="129">
        <f t="shared" si="64"/>
        <v>0</v>
      </c>
      <c r="DN16" s="1">
        <v>0</v>
      </c>
      <c r="DO16" s="1">
        <v>0</v>
      </c>
      <c r="DP16" s="171">
        <f>CPP!W16</f>
        <v>0</v>
      </c>
      <c r="DQ16" s="129">
        <f t="shared" si="32"/>
        <v>0</v>
      </c>
      <c r="DR16" s="129">
        <f t="shared" si="65"/>
        <v>3878.3500000000022</v>
      </c>
      <c r="DS16" s="1">
        <v>0</v>
      </c>
      <c r="DT16" s="1">
        <v>0</v>
      </c>
      <c r="DU16" s="171">
        <f>CPP!X16</f>
        <v>0</v>
      </c>
      <c r="DV16" s="129">
        <f t="shared" si="33"/>
        <v>3878.3500000000022</v>
      </c>
      <c r="DW16" s="129">
        <f t="shared" si="66"/>
        <v>0</v>
      </c>
      <c r="DX16" s="1">
        <v>0</v>
      </c>
      <c r="DY16" s="1">
        <v>0</v>
      </c>
      <c r="DZ16" s="171">
        <f>CPP!Y16</f>
        <v>0</v>
      </c>
      <c r="EA16" s="129">
        <f t="shared" si="34"/>
        <v>0</v>
      </c>
      <c r="EB16" s="129">
        <f t="shared" si="35"/>
        <v>5267.6769999999906</v>
      </c>
      <c r="EC16" s="170">
        <f t="shared" si="36"/>
        <v>0</v>
      </c>
      <c r="ED16" s="170">
        <f t="shared" ref="ED16:ED33" si="69">O16+AA16+AN16+AR16+AW16+BB16+BG16+BL16+BQ16+BV16+CA16+CU16+CZ16+DE16+DJ16+DO16+DY16+DT16+AI16</f>
        <v>240</v>
      </c>
      <c r="EE16" s="129">
        <f t="shared" si="38"/>
        <v>5027.6769999999906</v>
      </c>
      <c r="EF16" s="18">
        <f t="shared" si="39"/>
        <v>9559.4999999999927</v>
      </c>
      <c r="EG16" s="170">
        <f t="shared" si="40"/>
        <v>0</v>
      </c>
      <c r="EH16" s="170">
        <f>CPP!D16+CPP!E16+CPP!F16+CPP!G16+CPP!H16+CPP!I16+CPP!J16+CPP!K16+CPP!L16+CPP!M16+CPP!N16+CPP!O16+CPP!P16+CPP!Q16+CPP!R16+CPP!S16+DA16+DF16+DK16+CPP!W16+DU16</f>
        <v>136</v>
      </c>
      <c r="EI16" s="18">
        <f>EF16+EG16-CPP!G16-CPP!E16-CPP!F16-CPP!P16-CPP!Q16-CL16-CQ16-DU16</f>
        <v>9423.4999999999927</v>
      </c>
      <c r="EJ16" s="16">
        <f t="shared" si="41"/>
        <v>27158.443086779756</v>
      </c>
      <c r="EK16" s="1">
        <v>1250</v>
      </c>
      <c r="EL16" s="253">
        <f>'Daily CEM-1'!AG17+'Daily  CEM - 2'!AF17-EQ16</f>
        <v>1477.58</v>
      </c>
      <c r="EM16" s="9">
        <f t="shared" si="42"/>
        <v>26930.863086779755</v>
      </c>
      <c r="EN16" s="1">
        <v>0</v>
      </c>
      <c r="EO16" s="18">
        <f t="shared" si="67"/>
        <v>5306.1090080001359</v>
      </c>
      <c r="EP16" s="1">
        <v>0</v>
      </c>
      <c r="EQ16" s="1">
        <v>0</v>
      </c>
      <c r="ER16" s="17">
        <f t="shared" si="43"/>
        <v>5306.1090080001359</v>
      </c>
      <c r="ES16">
        <f t="shared" si="44"/>
        <v>0</v>
      </c>
      <c r="EU16" s="51">
        <f t="shared" si="45"/>
        <v>1477.58</v>
      </c>
      <c r="EW16" s="51">
        <f>(EU16/Production2!CG16)*100</f>
        <v>75.618219037871029</v>
      </c>
      <c r="EX16">
        <v>75.618219037871029</v>
      </c>
    </row>
    <row r="17" spans="2:154" x14ac:dyDescent="0.25">
      <c r="B17" s="4">
        <v>15</v>
      </c>
      <c r="C17" s="39">
        <f t="shared" si="3"/>
        <v>3649.3</v>
      </c>
      <c r="D17" s="1">
        <v>0</v>
      </c>
      <c r="E17" s="269">
        <f>F17+'RAW MILL 2'!F17</f>
        <v>49</v>
      </c>
      <c r="F17" s="1">
        <v>49</v>
      </c>
      <c r="G17" s="9">
        <f t="shared" si="4"/>
        <v>3600.3</v>
      </c>
      <c r="H17" s="39">
        <f t="shared" si="5"/>
        <v>803.84001683752103</v>
      </c>
      <c r="I17" s="33">
        <f>Production2!N17</f>
        <v>1769.97</v>
      </c>
      <c r="J17" s="33">
        <f>Production2!K17</f>
        <v>1588.75</v>
      </c>
      <c r="K17" s="18">
        <f t="shared" si="6"/>
        <v>985.06001683752129</v>
      </c>
      <c r="L17" s="39">
        <f t="shared" si="7"/>
        <v>0</v>
      </c>
      <c r="M17" s="1">
        <v>0</v>
      </c>
      <c r="N17" s="33">
        <f>CPP!D17</f>
        <v>0</v>
      </c>
      <c r="O17" s="1">
        <v>0</v>
      </c>
      <c r="P17" s="33">
        <f t="shared" si="0"/>
        <v>0</v>
      </c>
      <c r="Q17" s="9">
        <f t="shared" si="48"/>
        <v>0</v>
      </c>
      <c r="R17" s="39">
        <f t="shared" si="8"/>
        <v>0</v>
      </c>
      <c r="S17" s="1">
        <v>0</v>
      </c>
      <c r="T17" s="33">
        <f>CPP!E17</f>
        <v>0</v>
      </c>
      <c r="U17" s="26">
        <v>0</v>
      </c>
      <c r="V17" s="38">
        <f t="shared" si="9"/>
        <v>0</v>
      </c>
      <c r="W17" s="9">
        <f t="shared" si="10"/>
        <v>0</v>
      </c>
      <c r="X17" s="39">
        <f t="shared" si="11"/>
        <v>1083.0399999999981</v>
      </c>
      <c r="Y17" s="1">
        <v>0</v>
      </c>
      <c r="Z17" s="33">
        <f>CPP!H17</f>
        <v>20</v>
      </c>
      <c r="AA17" s="1">
        <v>0</v>
      </c>
      <c r="AB17" s="9">
        <f t="shared" si="12"/>
        <v>1063.0399999999981</v>
      </c>
      <c r="AC17" s="39">
        <f t="shared" si="13"/>
        <v>0</v>
      </c>
      <c r="AD17" s="1">
        <v>0</v>
      </c>
      <c r="AE17" s="1">
        <v>0</v>
      </c>
      <c r="AF17" s="9">
        <f t="shared" si="1"/>
        <v>0</v>
      </c>
      <c r="AG17" s="39">
        <f t="shared" si="14"/>
        <v>9183.4499999999935</v>
      </c>
      <c r="AH17" s="1">
        <v>0</v>
      </c>
      <c r="AI17" s="1">
        <v>205.56</v>
      </c>
      <c r="AJ17" s="170">
        <f>CPP!G17</f>
        <v>113</v>
      </c>
      <c r="AK17" s="9">
        <f t="shared" si="68"/>
        <v>8864.889999999994</v>
      </c>
      <c r="AL17" s="129">
        <f t="shared" si="49"/>
        <v>0</v>
      </c>
      <c r="AM17" s="1">
        <v>0</v>
      </c>
      <c r="AN17" s="1">
        <v>0</v>
      </c>
      <c r="AO17" s="18">
        <f t="shared" si="15"/>
        <v>0</v>
      </c>
      <c r="AP17" s="129">
        <f t="shared" si="50"/>
        <v>0</v>
      </c>
      <c r="AQ17" s="1">
        <v>0</v>
      </c>
      <c r="AR17" s="1">
        <v>0</v>
      </c>
      <c r="AS17" s="171">
        <f>CPP!I17</f>
        <v>0</v>
      </c>
      <c r="AT17" s="129">
        <f t="shared" si="16"/>
        <v>0</v>
      </c>
      <c r="AU17" s="1">
        <f t="shared" si="51"/>
        <v>0</v>
      </c>
      <c r="AV17" s="1">
        <v>0</v>
      </c>
      <c r="AW17" s="1">
        <v>0</v>
      </c>
      <c r="AX17" s="170">
        <f>CPP!J17</f>
        <v>0</v>
      </c>
      <c r="AY17" s="1">
        <f t="shared" si="17"/>
        <v>0</v>
      </c>
      <c r="AZ17" s="1">
        <f t="shared" si="52"/>
        <v>0.286999999990248</v>
      </c>
      <c r="BA17" s="1">
        <v>0</v>
      </c>
      <c r="BB17" s="1">
        <v>0</v>
      </c>
      <c r="BC17" s="170">
        <f>CPP!K17</f>
        <v>0</v>
      </c>
      <c r="BD17" s="1">
        <f t="shared" si="18"/>
        <v>0.286999999990248</v>
      </c>
      <c r="BE17" s="1">
        <f t="shared" si="53"/>
        <v>0</v>
      </c>
      <c r="BF17" s="1">
        <v>0</v>
      </c>
      <c r="BG17" s="1">
        <v>0</v>
      </c>
      <c r="BH17" s="170">
        <f>CPP!L17</f>
        <v>0</v>
      </c>
      <c r="BI17" s="1">
        <f t="shared" si="19"/>
        <v>0</v>
      </c>
      <c r="BJ17" s="1">
        <f t="shared" si="54"/>
        <v>0</v>
      </c>
      <c r="BK17" s="1">
        <v>0</v>
      </c>
      <c r="BL17" s="1">
        <v>0</v>
      </c>
      <c r="BM17" s="170">
        <f>CPP!M17</f>
        <v>0</v>
      </c>
      <c r="BN17" s="1">
        <f t="shared" si="55"/>
        <v>0</v>
      </c>
      <c r="BO17" s="1">
        <f t="shared" si="20"/>
        <v>0</v>
      </c>
      <c r="BP17" s="1">
        <v>0</v>
      </c>
      <c r="BQ17" s="1">
        <v>0</v>
      </c>
      <c r="BR17" s="170">
        <f>CPP!N17</f>
        <v>0</v>
      </c>
      <c r="BS17" s="1">
        <f t="shared" si="21"/>
        <v>0</v>
      </c>
      <c r="BT17" s="1">
        <f t="shared" si="22"/>
        <v>0</v>
      </c>
      <c r="BU17" s="1">
        <v>0</v>
      </c>
      <c r="BV17" s="1">
        <v>0</v>
      </c>
      <c r="BW17" s="170">
        <f>CPP!O17</f>
        <v>0</v>
      </c>
      <c r="BX17" s="1">
        <f t="shared" si="23"/>
        <v>0</v>
      </c>
      <c r="BY17" s="174">
        <f t="shared" si="56"/>
        <v>0</v>
      </c>
      <c r="BZ17" s="1">
        <v>0</v>
      </c>
      <c r="CA17" s="1">
        <v>0</v>
      </c>
      <c r="CB17" s="170"/>
      <c r="CC17" s="26">
        <f t="shared" si="24"/>
        <v>0</v>
      </c>
      <c r="CD17" s="1">
        <f t="shared" si="57"/>
        <v>0</v>
      </c>
      <c r="CE17" s="1">
        <v>0</v>
      </c>
      <c r="CF17" s="1">
        <v>0</v>
      </c>
      <c r="CG17" s="170">
        <f>CPP!P17</f>
        <v>0</v>
      </c>
      <c r="CH17" s="26">
        <f t="shared" si="25"/>
        <v>0</v>
      </c>
      <c r="CI17" s="1">
        <f t="shared" si="58"/>
        <v>0</v>
      </c>
      <c r="CJ17" s="1">
        <v>0</v>
      </c>
      <c r="CK17" s="1">
        <v>0</v>
      </c>
      <c r="CL17" s="170">
        <f>CPP!Q17</f>
        <v>0</v>
      </c>
      <c r="CM17" s="1">
        <f t="shared" si="26"/>
        <v>0</v>
      </c>
      <c r="CN17" s="1">
        <f t="shared" si="59"/>
        <v>5.0000000000181899E-2</v>
      </c>
      <c r="CO17" s="1">
        <v>0</v>
      </c>
      <c r="CP17" s="1">
        <v>0</v>
      </c>
      <c r="CQ17" s="170">
        <f>CPP!R17</f>
        <v>0</v>
      </c>
      <c r="CR17" s="1">
        <f t="shared" si="27"/>
        <v>5.0000000000181899E-2</v>
      </c>
      <c r="CS17" s="129">
        <f t="shared" si="60"/>
        <v>0</v>
      </c>
      <c r="CT17" s="1">
        <v>0</v>
      </c>
      <c r="CU17" s="1">
        <v>0</v>
      </c>
      <c r="CV17" s="171">
        <f>CPP!S17</f>
        <v>0</v>
      </c>
      <c r="CW17" s="129">
        <f t="shared" si="28"/>
        <v>0</v>
      </c>
      <c r="CX17" s="129">
        <f t="shared" si="61"/>
        <v>0</v>
      </c>
      <c r="CY17" s="1">
        <v>0</v>
      </c>
      <c r="CZ17" s="1">
        <v>0</v>
      </c>
      <c r="DA17" s="171">
        <f>CPP!T17</f>
        <v>0</v>
      </c>
      <c r="DB17" s="129">
        <f t="shared" si="29"/>
        <v>0</v>
      </c>
      <c r="DC17" s="129">
        <f t="shared" si="62"/>
        <v>306</v>
      </c>
      <c r="DD17" s="1">
        <v>0</v>
      </c>
      <c r="DE17" s="1">
        <v>0</v>
      </c>
      <c r="DF17" s="171">
        <f>CPP!U17</f>
        <v>0</v>
      </c>
      <c r="DG17" s="129">
        <f t="shared" si="30"/>
        <v>306</v>
      </c>
      <c r="DH17" s="129">
        <f t="shared" si="63"/>
        <v>0</v>
      </c>
      <c r="DI17" s="1">
        <v>0</v>
      </c>
      <c r="DJ17" s="1">
        <v>0</v>
      </c>
      <c r="DK17" s="171">
        <f>CPP!V17</f>
        <v>0</v>
      </c>
      <c r="DL17" s="129">
        <f t="shared" si="31"/>
        <v>0</v>
      </c>
      <c r="DM17" s="129">
        <f t="shared" si="64"/>
        <v>0</v>
      </c>
      <c r="DN17" s="1">
        <v>0</v>
      </c>
      <c r="DO17" s="1">
        <v>0</v>
      </c>
      <c r="DP17" s="171">
        <f>CPP!W17</f>
        <v>0</v>
      </c>
      <c r="DQ17" s="129">
        <f t="shared" si="32"/>
        <v>0</v>
      </c>
      <c r="DR17" s="129">
        <f t="shared" si="65"/>
        <v>3878.3500000000022</v>
      </c>
      <c r="DS17" s="1">
        <v>0</v>
      </c>
      <c r="DT17" s="1">
        <v>0</v>
      </c>
      <c r="DU17" s="171">
        <f>CPP!X17</f>
        <v>0</v>
      </c>
      <c r="DV17" s="129">
        <f t="shared" si="33"/>
        <v>3878.3500000000022</v>
      </c>
      <c r="DW17" s="129">
        <f t="shared" si="66"/>
        <v>0</v>
      </c>
      <c r="DX17" s="1">
        <v>0</v>
      </c>
      <c r="DY17" s="1">
        <v>0</v>
      </c>
      <c r="DZ17" s="171">
        <f>CPP!Y17</f>
        <v>0</v>
      </c>
      <c r="EA17" s="129">
        <f t="shared" si="34"/>
        <v>0</v>
      </c>
      <c r="EB17" s="129">
        <f t="shared" si="35"/>
        <v>5267.6769999999906</v>
      </c>
      <c r="EC17" s="170">
        <f t="shared" si="36"/>
        <v>0</v>
      </c>
      <c r="ED17" s="170">
        <f t="shared" si="69"/>
        <v>205.56</v>
      </c>
      <c r="EE17" s="129">
        <f t="shared" si="38"/>
        <v>5042.1169999999902</v>
      </c>
      <c r="EF17" s="18">
        <f t="shared" si="39"/>
        <v>9183.4999999999927</v>
      </c>
      <c r="EG17" s="170">
        <f t="shared" si="40"/>
        <v>0</v>
      </c>
      <c r="EH17" s="170">
        <f>CPP!D17+CPP!E17+CPP!F17+CPP!G17+CPP!H17+CPP!I17+CPP!J17+CPP!K17+CPP!L17+CPP!M17+CPP!N17+CPP!O17+CPP!P17+CPP!Q17+CPP!R17+CPP!S17+DA17+DF17+DK17+CPP!W17+DU17</f>
        <v>133</v>
      </c>
      <c r="EI17" s="18">
        <f>EF17+EG17-CPP!G17-CPP!E17-CPP!F17-CPP!P17-CPP!Q17-CL17-CQ17-DU17</f>
        <v>9070.4999999999927</v>
      </c>
      <c r="EJ17" s="16">
        <f t="shared" si="41"/>
        <v>26930.863086779755</v>
      </c>
      <c r="EK17" s="1">
        <v>1025</v>
      </c>
      <c r="EL17" s="253">
        <f>'Daily CEM-1'!AG18+'Daily  CEM - 2'!AF18-EQ17</f>
        <v>1486.0980004</v>
      </c>
      <c r="EM17" s="9">
        <f t="shared" si="42"/>
        <v>26469.765086379753</v>
      </c>
      <c r="EN17" s="1">
        <v>0</v>
      </c>
      <c r="EO17" s="18">
        <f t="shared" si="67"/>
        <v>5306.1090080001359</v>
      </c>
      <c r="EP17" s="1">
        <v>0</v>
      </c>
      <c r="EQ17" s="1">
        <v>0</v>
      </c>
      <c r="ER17" s="17">
        <f>EO17+EP17-EQ17</f>
        <v>5306.1090080001359</v>
      </c>
      <c r="ES17">
        <f t="shared" si="44"/>
        <v>3202.87</v>
      </c>
      <c r="ET17">
        <v>3202.87</v>
      </c>
      <c r="EU17" s="51">
        <f t="shared" si="45"/>
        <v>1486.0980004</v>
      </c>
      <c r="EW17" s="51">
        <f>(EU17/Production2!CG17)*100</f>
        <v>76.999896393782379</v>
      </c>
      <c r="EX17">
        <v>76.999896393782379</v>
      </c>
    </row>
    <row r="18" spans="2:154" x14ac:dyDescent="0.25">
      <c r="B18" s="4">
        <v>16</v>
      </c>
      <c r="C18" s="39">
        <f t="shared" si="3"/>
        <v>3600.3</v>
      </c>
      <c r="D18" s="1">
        <v>0</v>
      </c>
      <c r="E18" s="269">
        <f>F18+'RAW MILL 2'!F18</f>
        <v>69</v>
      </c>
      <c r="F18" s="1">
        <v>69</v>
      </c>
      <c r="G18" s="9">
        <f t="shared" si="4"/>
        <v>3531.3</v>
      </c>
      <c r="H18" s="39">
        <f>K17</f>
        <v>985.06001683752129</v>
      </c>
      <c r="I18" s="33">
        <f>Production2!N18</f>
        <v>2494.17</v>
      </c>
      <c r="J18" s="33">
        <f>Production2!K18</f>
        <v>2197.9</v>
      </c>
      <c r="K18" s="18">
        <f t="shared" si="6"/>
        <v>1281.3300168375213</v>
      </c>
      <c r="L18" s="49">
        <f t="shared" si="7"/>
        <v>0</v>
      </c>
      <c r="M18" s="1">
        <v>0</v>
      </c>
      <c r="N18" s="33">
        <f>CPP!D18</f>
        <v>0</v>
      </c>
      <c r="O18" s="1">
        <v>0</v>
      </c>
      <c r="P18" s="33">
        <f t="shared" si="0"/>
        <v>0</v>
      </c>
      <c r="Q18" s="9">
        <f t="shared" si="48"/>
        <v>0</v>
      </c>
      <c r="R18" s="39">
        <f t="shared" si="8"/>
        <v>0</v>
      </c>
      <c r="S18" s="1">
        <v>0</v>
      </c>
      <c r="T18" s="33">
        <f>CPP!E18</f>
        <v>0</v>
      </c>
      <c r="U18" s="26">
        <v>0</v>
      </c>
      <c r="V18" s="38">
        <f t="shared" si="9"/>
        <v>0</v>
      </c>
      <c r="W18" s="9">
        <f t="shared" si="10"/>
        <v>0</v>
      </c>
      <c r="X18" s="39">
        <f t="shared" si="11"/>
        <v>1063.0399999999981</v>
      </c>
      <c r="Y18" s="1">
        <v>0</v>
      </c>
      <c r="Z18" s="33">
        <f>CPP!H18</f>
        <v>0</v>
      </c>
      <c r="AA18" s="1">
        <v>0</v>
      </c>
      <c r="AB18" s="9">
        <f t="shared" si="12"/>
        <v>1063.0399999999981</v>
      </c>
      <c r="AC18" s="39">
        <f t="shared" si="13"/>
        <v>0</v>
      </c>
      <c r="AD18" s="1">
        <v>0</v>
      </c>
      <c r="AE18" s="1">
        <v>0</v>
      </c>
      <c r="AF18" s="9">
        <f t="shared" si="1"/>
        <v>0</v>
      </c>
      <c r="AG18" s="39">
        <f t="shared" si="14"/>
        <v>8864.889999999994</v>
      </c>
      <c r="AH18" s="1">
        <v>0</v>
      </c>
      <c r="AI18" s="1">
        <v>264.44</v>
      </c>
      <c r="AJ18" s="170">
        <f>CPP!G18</f>
        <v>145</v>
      </c>
      <c r="AK18" s="9">
        <f t="shared" si="68"/>
        <v>8455.4499999999935</v>
      </c>
      <c r="AL18" s="129">
        <f t="shared" si="49"/>
        <v>0</v>
      </c>
      <c r="AM18" s="1">
        <v>0</v>
      </c>
      <c r="AN18" s="1">
        <v>0</v>
      </c>
      <c r="AO18" s="18">
        <f t="shared" si="15"/>
        <v>0</v>
      </c>
      <c r="AP18" s="129">
        <f t="shared" si="50"/>
        <v>0</v>
      </c>
      <c r="AQ18" s="1">
        <v>0</v>
      </c>
      <c r="AR18" s="1">
        <v>0</v>
      </c>
      <c r="AS18" s="171">
        <f>CPP!I18</f>
        <v>0</v>
      </c>
      <c r="AT18" s="129">
        <f t="shared" si="16"/>
        <v>0</v>
      </c>
      <c r="AU18" s="1">
        <f t="shared" si="51"/>
        <v>0</v>
      </c>
      <c r="AV18" s="1">
        <v>0</v>
      </c>
      <c r="AW18" s="1">
        <v>0</v>
      </c>
      <c r="AX18" s="170">
        <f>CPP!J18</f>
        <v>0</v>
      </c>
      <c r="AY18" s="1">
        <f t="shared" si="17"/>
        <v>0</v>
      </c>
      <c r="AZ18" s="1">
        <f t="shared" si="52"/>
        <v>0.286999999990248</v>
      </c>
      <c r="BA18" s="1">
        <v>0</v>
      </c>
      <c r="BB18" s="1">
        <v>0</v>
      </c>
      <c r="BC18" s="170">
        <f>CPP!K18</f>
        <v>0</v>
      </c>
      <c r="BD18" s="1">
        <f t="shared" si="18"/>
        <v>0.286999999990248</v>
      </c>
      <c r="BE18" s="1">
        <f t="shared" si="53"/>
        <v>0</v>
      </c>
      <c r="BF18" s="1">
        <v>0</v>
      </c>
      <c r="BG18" s="1">
        <v>0</v>
      </c>
      <c r="BH18" s="170">
        <f>CPP!L18</f>
        <v>0</v>
      </c>
      <c r="BI18" s="1">
        <f t="shared" si="19"/>
        <v>0</v>
      </c>
      <c r="BJ18" s="1">
        <f t="shared" si="54"/>
        <v>0</v>
      </c>
      <c r="BK18" s="1">
        <v>0</v>
      </c>
      <c r="BL18" s="1">
        <v>0</v>
      </c>
      <c r="BM18" s="170">
        <f>CPP!M18</f>
        <v>0</v>
      </c>
      <c r="BN18" s="1">
        <f t="shared" si="55"/>
        <v>0</v>
      </c>
      <c r="BO18" s="1">
        <f t="shared" si="20"/>
        <v>0</v>
      </c>
      <c r="BP18" s="1">
        <v>0</v>
      </c>
      <c r="BQ18" s="1">
        <v>0</v>
      </c>
      <c r="BR18" s="170">
        <f>CPP!N18</f>
        <v>0</v>
      </c>
      <c r="BS18" s="1">
        <f t="shared" si="21"/>
        <v>0</v>
      </c>
      <c r="BT18" s="1">
        <f t="shared" si="22"/>
        <v>0</v>
      </c>
      <c r="BU18" s="1">
        <v>0</v>
      </c>
      <c r="BV18" s="1">
        <v>0</v>
      </c>
      <c r="BW18" s="170">
        <f>CPP!O18</f>
        <v>0</v>
      </c>
      <c r="BX18" s="1">
        <f t="shared" si="23"/>
        <v>0</v>
      </c>
      <c r="BY18" s="174">
        <f t="shared" si="56"/>
        <v>0</v>
      </c>
      <c r="BZ18" s="1">
        <v>0</v>
      </c>
      <c r="CA18" s="1">
        <v>0</v>
      </c>
      <c r="CB18" s="170"/>
      <c r="CC18" s="26">
        <f t="shared" si="24"/>
        <v>0</v>
      </c>
      <c r="CD18" s="1">
        <f t="shared" si="57"/>
        <v>0</v>
      </c>
      <c r="CE18" s="1">
        <v>0</v>
      </c>
      <c r="CF18" s="1">
        <v>0</v>
      </c>
      <c r="CG18" s="170">
        <f>CPP!P18</f>
        <v>0</v>
      </c>
      <c r="CH18" s="26">
        <f t="shared" si="25"/>
        <v>0</v>
      </c>
      <c r="CI18" s="1">
        <f t="shared" si="58"/>
        <v>0</v>
      </c>
      <c r="CJ18" s="1">
        <v>0</v>
      </c>
      <c r="CK18" s="1">
        <v>0</v>
      </c>
      <c r="CL18" s="170">
        <f>CPP!Q18</f>
        <v>0</v>
      </c>
      <c r="CM18" s="1">
        <f t="shared" si="26"/>
        <v>0</v>
      </c>
      <c r="CN18" s="1">
        <f t="shared" si="59"/>
        <v>5.0000000000181899E-2</v>
      </c>
      <c r="CO18" s="1">
        <v>0</v>
      </c>
      <c r="CP18" s="1">
        <v>0</v>
      </c>
      <c r="CQ18" s="170">
        <f>CPP!R18</f>
        <v>0</v>
      </c>
      <c r="CR18" s="1">
        <f t="shared" si="27"/>
        <v>5.0000000000181899E-2</v>
      </c>
      <c r="CS18" s="129">
        <f t="shared" si="60"/>
        <v>0</v>
      </c>
      <c r="CT18" s="1">
        <v>0</v>
      </c>
      <c r="CU18" s="1">
        <v>0</v>
      </c>
      <c r="CV18" s="171">
        <f>CPP!S18</f>
        <v>0</v>
      </c>
      <c r="CW18" s="129">
        <f t="shared" si="28"/>
        <v>0</v>
      </c>
      <c r="CX18" s="129">
        <f t="shared" si="61"/>
        <v>0</v>
      </c>
      <c r="CY18" s="1">
        <v>0</v>
      </c>
      <c r="CZ18" s="1">
        <v>0</v>
      </c>
      <c r="DA18" s="171">
        <f>CPP!T18</f>
        <v>0</v>
      </c>
      <c r="DB18" s="129">
        <f t="shared" si="29"/>
        <v>0</v>
      </c>
      <c r="DC18" s="129">
        <f t="shared" si="62"/>
        <v>306</v>
      </c>
      <c r="DD18" s="1">
        <v>0</v>
      </c>
      <c r="DE18" s="1">
        <v>0</v>
      </c>
      <c r="DF18" s="171">
        <f>CPP!U18</f>
        <v>0</v>
      </c>
      <c r="DG18" s="129">
        <f t="shared" si="30"/>
        <v>306</v>
      </c>
      <c r="DH18" s="129">
        <f t="shared" si="63"/>
        <v>0</v>
      </c>
      <c r="DI18" s="1">
        <v>0</v>
      </c>
      <c r="DJ18" s="1">
        <v>0</v>
      </c>
      <c r="DK18" s="171">
        <f>CPP!V18</f>
        <v>0</v>
      </c>
      <c r="DL18" s="129">
        <f t="shared" si="31"/>
        <v>0</v>
      </c>
      <c r="DM18" s="129">
        <f t="shared" si="64"/>
        <v>0</v>
      </c>
      <c r="DN18" s="1">
        <v>0</v>
      </c>
      <c r="DO18" s="1">
        <v>0</v>
      </c>
      <c r="DP18" s="171">
        <f>CPP!W18</f>
        <v>0</v>
      </c>
      <c r="DQ18" s="129">
        <f t="shared" si="32"/>
        <v>0</v>
      </c>
      <c r="DR18" s="129">
        <f t="shared" si="65"/>
        <v>3878.3500000000022</v>
      </c>
      <c r="DS18" s="1">
        <v>0</v>
      </c>
      <c r="DT18" s="1">
        <v>0</v>
      </c>
      <c r="DU18" s="171">
        <f>CPP!X18</f>
        <v>0</v>
      </c>
      <c r="DV18" s="129">
        <f t="shared" si="33"/>
        <v>3878.3500000000022</v>
      </c>
      <c r="DW18" s="129">
        <f t="shared" si="66"/>
        <v>0</v>
      </c>
      <c r="DX18" s="1">
        <v>0</v>
      </c>
      <c r="DY18" s="1">
        <v>0</v>
      </c>
      <c r="DZ18" s="171">
        <f>CPP!Y18</f>
        <v>0</v>
      </c>
      <c r="EA18" s="129">
        <f t="shared" si="34"/>
        <v>0</v>
      </c>
      <c r="EB18" s="129">
        <f t="shared" si="35"/>
        <v>5247.6769999999906</v>
      </c>
      <c r="EC18" s="170">
        <f t="shared" si="36"/>
        <v>0</v>
      </c>
      <c r="ED18" s="170">
        <f t="shared" si="69"/>
        <v>264.44</v>
      </c>
      <c r="EE18" s="129">
        <f t="shared" si="38"/>
        <v>4983.236999999991</v>
      </c>
      <c r="EF18" s="18">
        <f t="shared" si="39"/>
        <v>8864.9399999999951</v>
      </c>
      <c r="EG18" s="170">
        <f t="shared" si="40"/>
        <v>0</v>
      </c>
      <c r="EH18" s="170">
        <f>CPP!D18+CPP!E18+CPP!F18+CPP!G18+CPP!H18+CPP!I18+CPP!J18+CPP!K18+CPP!L18+CPP!M18+CPP!N18+CPP!O18+CPP!P18+CPP!Q18+CPP!R18+CPP!S18+DA18+DF18+DK18+CPP!W18+DU18</f>
        <v>145</v>
      </c>
      <c r="EI18" s="18">
        <f>EF18+EG18-CPP!G18-CPP!E18-CPP!F18-CPP!P18-CPP!Q18-CL18-CQ18-DU18</f>
        <v>8719.9399999999951</v>
      </c>
      <c r="EJ18" s="16">
        <f t="shared" si="41"/>
        <v>26469.765086379753</v>
      </c>
      <c r="EK18" s="1">
        <v>1418</v>
      </c>
      <c r="EL18" s="253">
        <f>'Daily CEM-1'!AG19+'Daily  CEM - 2'!AF19-EQ18</f>
        <v>1609.442001273</v>
      </c>
      <c r="EM18" s="9">
        <f t="shared" si="42"/>
        <v>26278.323085106753</v>
      </c>
      <c r="EN18" s="1">
        <v>0</v>
      </c>
      <c r="EO18" s="18">
        <f>ER17</f>
        <v>5306.1090080001359</v>
      </c>
      <c r="EP18" s="1">
        <v>0</v>
      </c>
      <c r="EQ18" s="1">
        <v>0</v>
      </c>
      <c r="ER18" s="17">
        <f>EO18+EP18-EQ18</f>
        <v>5306.1090080001359</v>
      </c>
      <c r="ES18">
        <f t="shared" si="44"/>
        <v>789.98</v>
      </c>
      <c r="ET18">
        <v>789.98</v>
      </c>
      <c r="EU18" s="51">
        <f t="shared" si="45"/>
        <v>1609.442001273</v>
      </c>
      <c r="EW18" s="51">
        <f>(EU18/Production2!CG18)*100</f>
        <v>75.560657336760556</v>
      </c>
      <c r="EX18">
        <v>75.560657336760556</v>
      </c>
    </row>
    <row r="19" spans="2:154" s="321" customFormat="1" x14ac:dyDescent="0.25">
      <c r="B19" s="348">
        <v>17</v>
      </c>
      <c r="C19" s="349">
        <f t="shared" si="3"/>
        <v>3531.3</v>
      </c>
      <c r="D19" s="1">
        <v>0</v>
      </c>
      <c r="E19" s="350">
        <f>F19+'RAW MILL 2'!F19</f>
        <v>46</v>
      </c>
      <c r="F19" s="1">
        <v>44</v>
      </c>
      <c r="G19" s="351">
        <f t="shared" si="4"/>
        <v>3485.3</v>
      </c>
      <c r="H19" s="349">
        <f t="shared" si="5"/>
        <v>1281.3300168375213</v>
      </c>
      <c r="I19" s="352">
        <f>Production2!N19</f>
        <v>2306</v>
      </c>
      <c r="J19" s="352">
        <f>Production2!K19</f>
        <v>2573</v>
      </c>
      <c r="K19" s="18">
        <f t="shared" si="6"/>
        <v>1014.3300168375213</v>
      </c>
      <c r="L19" s="354">
        <f t="shared" si="7"/>
        <v>0</v>
      </c>
      <c r="M19" s="322">
        <v>0</v>
      </c>
      <c r="N19" s="352">
        <f>CPP!D19</f>
        <v>0</v>
      </c>
      <c r="O19" s="322">
        <v>0</v>
      </c>
      <c r="P19" s="352">
        <f t="shared" si="0"/>
        <v>0</v>
      </c>
      <c r="Q19" s="351">
        <f t="shared" si="48"/>
        <v>0</v>
      </c>
      <c r="R19" s="349">
        <f t="shared" si="8"/>
        <v>0</v>
      </c>
      <c r="S19" s="322">
        <v>0</v>
      </c>
      <c r="T19" s="352">
        <f>CPP!E19</f>
        <v>0</v>
      </c>
      <c r="U19" s="355">
        <v>0</v>
      </c>
      <c r="V19" s="356">
        <f t="shared" si="9"/>
        <v>0</v>
      </c>
      <c r="W19" s="351">
        <f t="shared" si="10"/>
        <v>0</v>
      </c>
      <c r="X19" s="349">
        <f t="shared" si="11"/>
        <v>1063.0399999999981</v>
      </c>
      <c r="Y19" s="1">
        <v>0</v>
      </c>
      <c r="Z19" s="352">
        <f>CPP!H19</f>
        <v>0</v>
      </c>
      <c r="AA19" s="1">
        <v>0</v>
      </c>
      <c r="AB19" s="351">
        <f t="shared" si="12"/>
        <v>1063.0399999999981</v>
      </c>
      <c r="AC19" s="349">
        <f t="shared" si="13"/>
        <v>0</v>
      </c>
      <c r="AD19" s="322">
        <v>0</v>
      </c>
      <c r="AE19" s="322">
        <v>0</v>
      </c>
      <c r="AF19" s="351">
        <f t="shared" si="1"/>
        <v>0</v>
      </c>
      <c r="AG19" s="349">
        <f t="shared" si="14"/>
        <v>8455.4499999999935</v>
      </c>
      <c r="AH19" s="1">
        <v>0</v>
      </c>
      <c r="AI19" s="1">
        <v>285</v>
      </c>
      <c r="AJ19" s="340">
        <f>CPP!G19</f>
        <v>146</v>
      </c>
      <c r="AK19" s="9">
        <f t="shared" si="68"/>
        <v>8024.4499999999935</v>
      </c>
      <c r="AL19" s="357">
        <f t="shared" si="49"/>
        <v>0</v>
      </c>
      <c r="AM19" s="322">
        <v>0</v>
      </c>
      <c r="AN19" s="322">
        <v>0</v>
      </c>
      <c r="AO19" s="353">
        <f t="shared" si="15"/>
        <v>0</v>
      </c>
      <c r="AP19" s="357">
        <f t="shared" si="50"/>
        <v>0</v>
      </c>
      <c r="AQ19" s="322">
        <v>0</v>
      </c>
      <c r="AR19" s="322">
        <v>0</v>
      </c>
      <c r="AS19" s="358">
        <f>CPP!I19</f>
        <v>0</v>
      </c>
      <c r="AT19" s="357">
        <f t="shared" si="16"/>
        <v>0</v>
      </c>
      <c r="AU19" s="322">
        <f t="shared" si="51"/>
        <v>0</v>
      </c>
      <c r="AV19" s="322">
        <v>0</v>
      </c>
      <c r="AW19" s="322">
        <v>0</v>
      </c>
      <c r="AX19" s="340">
        <f>CPP!J19</f>
        <v>0</v>
      </c>
      <c r="AY19" s="322">
        <f t="shared" si="17"/>
        <v>0</v>
      </c>
      <c r="AZ19" s="322">
        <f t="shared" si="52"/>
        <v>0.286999999990248</v>
      </c>
      <c r="BA19" s="1">
        <v>0</v>
      </c>
      <c r="BB19" s="1">
        <v>0</v>
      </c>
      <c r="BC19" s="340">
        <f>CPP!K19</f>
        <v>0</v>
      </c>
      <c r="BD19" s="322">
        <f t="shared" si="18"/>
        <v>0.286999999990248</v>
      </c>
      <c r="BE19" s="322">
        <f t="shared" si="53"/>
        <v>0</v>
      </c>
      <c r="BF19" s="322">
        <v>0</v>
      </c>
      <c r="BG19" s="322">
        <v>0</v>
      </c>
      <c r="BH19" s="340">
        <f>CPP!L19</f>
        <v>0</v>
      </c>
      <c r="BI19" s="322">
        <f t="shared" si="19"/>
        <v>0</v>
      </c>
      <c r="BJ19" s="322">
        <f t="shared" si="54"/>
        <v>0</v>
      </c>
      <c r="BK19" s="322">
        <v>0</v>
      </c>
      <c r="BL19" s="322">
        <v>0</v>
      </c>
      <c r="BM19" s="340">
        <f>CPP!M19</f>
        <v>0</v>
      </c>
      <c r="BN19" s="322">
        <f t="shared" si="55"/>
        <v>0</v>
      </c>
      <c r="BO19" s="322">
        <f t="shared" si="20"/>
        <v>0</v>
      </c>
      <c r="BP19" s="322">
        <v>0</v>
      </c>
      <c r="BQ19" s="322">
        <v>0</v>
      </c>
      <c r="BR19" s="340">
        <f>CPP!N19</f>
        <v>0</v>
      </c>
      <c r="BS19" s="322">
        <f t="shared" si="21"/>
        <v>0</v>
      </c>
      <c r="BT19" s="322">
        <f t="shared" si="22"/>
        <v>0</v>
      </c>
      <c r="BU19" s="322">
        <v>0</v>
      </c>
      <c r="BV19" s="322">
        <v>0</v>
      </c>
      <c r="BW19" s="340">
        <f>CPP!O19</f>
        <v>0</v>
      </c>
      <c r="BX19" s="322">
        <f t="shared" si="23"/>
        <v>0</v>
      </c>
      <c r="BY19" s="359">
        <f t="shared" si="56"/>
        <v>0</v>
      </c>
      <c r="BZ19" s="322">
        <v>0</v>
      </c>
      <c r="CA19" s="322">
        <v>0</v>
      </c>
      <c r="CB19" s="340"/>
      <c r="CC19" s="355">
        <f t="shared" si="24"/>
        <v>0</v>
      </c>
      <c r="CD19" s="322">
        <f t="shared" si="57"/>
        <v>0</v>
      </c>
      <c r="CE19" s="322">
        <v>0</v>
      </c>
      <c r="CF19" s="322">
        <v>0</v>
      </c>
      <c r="CG19" s="340">
        <f>CPP!P19</f>
        <v>0</v>
      </c>
      <c r="CH19" s="355">
        <f t="shared" si="25"/>
        <v>0</v>
      </c>
      <c r="CI19" s="322">
        <f t="shared" si="58"/>
        <v>0</v>
      </c>
      <c r="CJ19" s="322">
        <v>0</v>
      </c>
      <c r="CK19" s="322">
        <v>0</v>
      </c>
      <c r="CL19" s="340">
        <f>CPP!Q19</f>
        <v>0</v>
      </c>
      <c r="CM19" s="322">
        <f t="shared" si="26"/>
        <v>0</v>
      </c>
      <c r="CN19" s="322">
        <f t="shared" si="59"/>
        <v>5.0000000000181899E-2</v>
      </c>
      <c r="CO19" s="322">
        <v>0</v>
      </c>
      <c r="CP19" s="322">
        <v>0</v>
      </c>
      <c r="CQ19" s="340">
        <f>CPP!R19</f>
        <v>0</v>
      </c>
      <c r="CR19" s="322">
        <f t="shared" si="27"/>
        <v>5.0000000000181899E-2</v>
      </c>
      <c r="CS19" s="357">
        <f t="shared" si="60"/>
        <v>0</v>
      </c>
      <c r="CT19" s="322">
        <v>0</v>
      </c>
      <c r="CU19" s="322">
        <v>0</v>
      </c>
      <c r="CV19" s="358">
        <f>CPP!S19</f>
        <v>0</v>
      </c>
      <c r="CW19" s="357">
        <f t="shared" si="28"/>
        <v>0</v>
      </c>
      <c r="CX19" s="357">
        <f t="shared" si="61"/>
        <v>0</v>
      </c>
      <c r="CY19" s="322">
        <v>0</v>
      </c>
      <c r="CZ19" s="322">
        <v>0</v>
      </c>
      <c r="DA19" s="358">
        <f>CPP!T19</f>
        <v>0</v>
      </c>
      <c r="DB19" s="357">
        <f t="shared" si="29"/>
        <v>0</v>
      </c>
      <c r="DC19" s="357">
        <f t="shared" si="62"/>
        <v>306</v>
      </c>
      <c r="DD19" s="322">
        <v>0</v>
      </c>
      <c r="DE19" s="322">
        <v>0</v>
      </c>
      <c r="DF19" s="358">
        <f>CPP!U19</f>
        <v>0</v>
      </c>
      <c r="DG19" s="357">
        <f t="shared" si="30"/>
        <v>306</v>
      </c>
      <c r="DH19" s="357">
        <f t="shared" si="63"/>
        <v>0</v>
      </c>
      <c r="DI19" s="322">
        <v>0</v>
      </c>
      <c r="DJ19" s="322">
        <v>0</v>
      </c>
      <c r="DK19" s="358">
        <f>CPP!V19</f>
        <v>0</v>
      </c>
      <c r="DL19" s="357">
        <f t="shared" si="31"/>
        <v>0</v>
      </c>
      <c r="DM19" s="357">
        <f t="shared" si="64"/>
        <v>0</v>
      </c>
      <c r="DN19" s="322">
        <v>0</v>
      </c>
      <c r="DO19" s="322">
        <v>0</v>
      </c>
      <c r="DP19" s="358">
        <f>CPP!W19</f>
        <v>0</v>
      </c>
      <c r="DQ19" s="357">
        <f t="shared" si="32"/>
        <v>0</v>
      </c>
      <c r="DR19" s="357">
        <f t="shared" si="65"/>
        <v>3878.3500000000022</v>
      </c>
      <c r="DS19" s="1">
        <v>0</v>
      </c>
      <c r="DT19" s="1">
        <v>0</v>
      </c>
      <c r="DU19" s="358">
        <f>CPP!X19</f>
        <v>0</v>
      </c>
      <c r="DV19" s="357">
        <f t="shared" si="33"/>
        <v>3878.3500000000022</v>
      </c>
      <c r="DW19" s="357">
        <f t="shared" si="66"/>
        <v>0</v>
      </c>
      <c r="DX19" s="322">
        <v>0</v>
      </c>
      <c r="DY19" s="322">
        <v>0</v>
      </c>
      <c r="DZ19" s="358">
        <f>CPP!Y19</f>
        <v>0</v>
      </c>
      <c r="EA19" s="357">
        <f t="shared" si="34"/>
        <v>0</v>
      </c>
      <c r="EB19" s="129">
        <f t="shared" si="35"/>
        <v>5247.6769999999906</v>
      </c>
      <c r="EC19" s="170">
        <f t="shared" si="36"/>
        <v>0</v>
      </c>
      <c r="ED19" s="170">
        <f t="shared" si="69"/>
        <v>285</v>
      </c>
      <c r="EE19" s="129">
        <f t="shared" si="38"/>
        <v>4962.6769999999906</v>
      </c>
      <c r="EF19" s="18">
        <f t="shared" si="39"/>
        <v>8455.4999999999927</v>
      </c>
      <c r="EG19" s="170">
        <f t="shared" si="40"/>
        <v>0</v>
      </c>
      <c r="EH19" s="340">
        <f>CPP!D19+CPP!E19+CPP!F19+CPP!G19+CPP!H19+CPP!I19+CPP!J19+CPP!K19+CPP!L19+CPP!M19+CPP!N19+CPP!O19+CPP!P19+CPP!Q19+CPP!R19+CPP!S19+DA19+DF19+DK19+CPP!W19+DU19</f>
        <v>146</v>
      </c>
      <c r="EI19" s="353">
        <f>EF19+EG19-CPP!G19-CPP!E19-CPP!F19-CPP!P19-CPP!Q19-CL19-CQ19-DU19</f>
        <v>8309.4999999999927</v>
      </c>
      <c r="EJ19" s="360">
        <f t="shared" si="41"/>
        <v>26278.323085106753</v>
      </c>
      <c r="EK19" s="1">
        <v>1660</v>
      </c>
      <c r="EL19" s="361">
        <f>'Daily CEM-1'!AG20+'Daily  CEM - 2'!AF20-EQ19</f>
        <v>1122.7000000000003</v>
      </c>
      <c r="EM19" s="351">
        <f t="shared" si="42"/>
        <v>26815.623085106752</v>
      </c>
      <c r="EN19" s="322">
        <v>0</v>
      </c>
      <c r="EO19" s="353">
        <f t="shared" si="67"/>
        <v>5306.1090080001359</v>
      </c>
      <c r="EP19" s="1">
        <v>0</v>
      </c>
      <c r="EQ19" s="1">
        <v>0</v>
      </c>
      <c r="ER19" s="362">
        <f t="shared" si="43"/>
        <v>5306.1090080001359</v>
      </c>
      <c r="ES19" s="321">
        <f t="shared" si="44"/>
        <v>1597.29</v>
      </c>
      <c r="ET19" s="321">
        <v>1597.29</v>
      </c>
      <c r="EU19" s="363">
        <f t="shared" si="45"/>
        <v>1122.7000000000003</v>
      </c>
      <c r="EW19" s="51">
        <f>(EU19/Production2!CG19)*100</f>
        <v>71.967948717948744</v>
      </c>
      <c r="EX19" s="321">
        <v>71.967948717948744</v>
      </c>
    </row>
    <row r="20" spans="2:154" x14ac:dyDescent="0.25">
      <c r="B20" s="4">
        <v>18</v>
      </c>
      <c r="C20" s="39">
        <f t="shared" si="3"/>
        <v>3485.3</v>
      </c>
      <c r="D20" s="1">
        <v>0</v>
      </c>
      <c r="E20" s="269">
        <f>F20+'RAW MILL 2'!F20</f>
        <v>50</v>
      </c>
      <c r="F20" s="1">
        <v>46</v>
      </c>
      <c r="G20" s="9">
        <f t="shared" si="4"/>
        <v>3435.3</v>
      </c>
      <c r="H20" s="39">
        <f t="shared" si="5"/>
        <v>1014.3300168375213</v>
      </c>
      <c r="I20" s="33">
        <f>Production2!N20</f>
        <v>2320</v>
      </c>
      <c r="J20" s="33">
        <f>Production2!K20</f>
        <v>2340.5</v>
      </c>
      <c r="K20" s="18">
        <f t="shared" si="6"/>
        <v>993.83001683752127</v>
      </c>
      <c r="L20" s="49">
        <f t="shared" si="7"/>
        <v>0</v>
      </c>
      <c r="M20" s="1">
        <v>0</v>
      </c>
      <c r="N20" s="33">
        <f>CPP!D20</f>
        <v>0</v>
      </c>
      <c r="O20" s="1">
        <v>0</v>
      </c>
      <c r="P20" s="33">
        <f t="shared" si="0"/>
        <v>0</v>
      </c>
      <c r="Q20" s="9">
        <f t="shared" si="48"/>
        <v>0</v>
      </c>
      <c r="R20" s="39">
        <f t="shared" si="8"/>
        <v>0</v>
      </c>
      <c r="S20" s="1">
        <v>0</v>
      </c>
      <c r="T20" s="33">
        <f>CPP!E20</f>
        <v>0</v>
      </c>
      <c r="U20" s="26">
        <v>0</v>
      </c>
      <c r="V20" s="38">
        <f t="shared" si="9"/>
        <v>0</v>
      </c>
      <c r="W20" s="9">
        <f t="shared" si="10"/>
        <v>0</v>
      </c>
      <c r="X20" s="39">
        <f t="shared" si="11"/>
        <v>1063.0399999999981</v>
      </c>
      <c r="Y20" s="1">
        <v>0</v>
      </c>
      <c r="Z20" s="33">
        <f>CPP!H20</f>
        <v>0</v>
      </c>
      <c r="AA20" s="1">
        <v>0</v>
      </c>
      <c r="AB20" s="9">
        <f t="shared" si="12"/>
        <v>1063.0399999999981</v>
      </c>
      <c r="AC20" s="39">
        <f t="shared" si="13"/>
        <v>0</v>
      </c>
      <c r="AD20" s="1">
        <v>0</v>
      </c>
      <c r="AE20" s="1">
        <v>0</v>
      </c>
      <c r="AF20" s="9">
        <f t="shared" si="1"/>
        <v>0</v>
      </c>
      <c r="AG20" s="39">
        <f t="shared" si="14"/>
        <v>8024.4499999999935</v>
      </c>
      <c r="AH20" s="1">
        <v>97.5</v>
      </c>
      <c r="AI20" s="1">
        <v>258.89</v>
      </c>
      <c r="AJ20" s="170">
        <f>CPP!G20</f>
        <v>143</v>
      </c>
      <c r="AK20" s="9">
        <f t="shared" si="68"/>
        <v>7720.0599999999931</v>
      </c>
      <c r="AL20" s="129">
        <f t="shared" si="49"/>
        <v>0</v>
      </c>
      <c r="AM20" s="1">
        <v>0</v>
      </c>
      <c r="AN20" s="1">
        <v>0</v>
      </c>
      <c r="AO20" s="18">
        <f t="shared" si="15"/>
        <v>0</v>
      </c>
      <c r="AP20" s="129">
        <f t="shared" si="50"/>
        <v>0</v>
      </c>
      <c r="AQ20" s="1">
        <v>0</v>
      </c>
      <c r="AR20" s="1">
        <v>0</v>
      </c>
      <c r="AS20" s="171">
        <f>CPP!I20</f>
        <v>0</v>
      </c>
      <c r="AT20" s="129">
        <f t="shared" si="16"/>
        <v>0</v>
      </c>
      <c r="AU20" s="1">
        <f t="shared" si="51"/>
        <v>0</v>
      </c>
      <c r="AV20" s="1">
        <v>0</v>
      </c>
      <c r="AW20" s="1">
        <v>0</v>
      </c>
      <c r="AX20" s="170">
        <f>CPP!J20</f>
        <v>0</v>
      </c>
      <c r="AY20" s="1">
        <f t="shared" si="17"/>
        <v>0</v>
      </c>
      <c r="AZ20" s="1">
        <f t="shared" si="52"/>
        <v>0.286999999990248</v>
      </c>
      <c r="BA20" s="1">
        <v>0</v>
      </c>
      <c r="BB20" s="1">
        <v>0</v>
      </c>
      <c r="BC20" s="170">
        <f>CPP!K20</f>
        <v>0</v>
      </c>
      <c r="BD20" s="1">
        <f t="shared" si="18"/>
        <v>0.286999999990248</v>
      </c>
      <c r="BE20" s="1">
        <f t="shared" si="53"/>
        <v>0</v>
      </c>
      <c r="BF20" s="1">
        <v>0</v>
      </c>
      <c r="BG20" s="1">
        <v>0</v>
      </c>
      <c r="BH20" s="170">
        <f>CPP!L20</f>
        <v>0</v>
      </c>
      <c r="BI20" s="1">
        <f t="shared" si="19"/>
        <v>0</v>
      </c>
      <c r="BJ20" s="1">
        <f t="shared" si="54"/>
        <v>0</v>
      </c>
      <c r="BK20" s="1">
        <v>0</v>
      </c>
      <c r="BL20" s="1">
        <v>0</v>
      </c>
      <c r="BM20" s="170">
        <f>CPP!M20</f>
        <v>0</v>
      </c>
      <c r="BN20" s="1">
        <f t="shared" si="55"/>
        <v>0</v>
      </c>
      <c r="BO20" s="1">
        <f t="shared" si="20"/>
        <v>0</v>
      </c>
      <c r="BP20" s="1">
        <v>0</v>
      </c>
      <c r="BQ20" s="1">
        <v>0</v>
      </c>
      <c r="BR20" s="170">
        <f>CPP!N20</f>
        <v>0</v>
      </c>
      <c r="BS20" s="1">
        <f t="shared" si="21"/>
        <v>0</v>
      </c>
      <c r="BT20" s="1">
        <f t="shared" si="22"/>
        <v>0</v>
      </c>
      <c r="BU20" s="1">
        <v>0</v>
      </c>
      <c r="BV20" s="1">
        <v>0</v>
      </c>
      <c r="BW20" s="170">
        <f>CPP!O20</f>
        <v>0</v>
      </c>
      <c r="BX20" s="1">
        <f t="shared" si="23"/>
        <v>0</v>
      </c>
      <c r="BY20" s="174">
        <f t="shared" si="56"/>
        <v>0</v>
      </c>
      <c r="BZ20" s="1">
        <v>0</v>
      </c>
      <c r="CA20" s="1">
        <v>0</v>
      </c>
      <c r="CB20" s="170"/>
      <c r="CC20" s="26">
        <f t="shared" si="24"/>
        <v>0</v>
      </c>
      <c r="CD20" s="1">
        <f t="shared" si="57"/>
        <v>0</v>
      </c>
      <c r="CE20" s="1">
        <v>0</v>
      </c>
      <c r="CF20" s="1">
        <v>0</v>
      </c>
      <c r="CG20" s="170">
        <f>CPP!P20</f>
        <v>0</v>
      </c>
      <c r="CH20" s="26">
        <f t="shared" si="25"/>
        <v>0</v>
      </c>
      <c r="CI20" s="1">
        <f t="shared" si="58"/>
        <v>0</v>
      </c>
      <c r="CJ20" s="1">
        <v>0</v>
      </c>
      <c r="CK20" s="1">
        <v>0</v>
      </c>
      <c r="CL20" s="170">
        <f>CPP!Q20</f>
        <v>0</v>
      </c>
      <c r="CM20" s="1">
        <f t="shared" si="26"/>
        <v>0</v>
      </c>
      <c r="CN20" s="1">
        <f t="shared" si="59"/>
        <v>5.0000000000181899E-2</v>
      </c>
      <c r="CO20" s="1">
        <v>0</v>
      </c>
      <c r="CP20" s="1">
        <v>0</v>
      </c>
      <c r="CQ20" s="170">
        <f>CPP!R20</f>
        <v>0</v>
      </c>
      <c r="CR20" s="1">
        <f t="shared" si="27"/>
        <v>5.0000000000181899E-2</v>
      </c>
      <c r="CS20" s="129">
        <f t="shared" si="60"/>
        <v>0</v>
      </c>
      <c r="CT20" s="1">
        <v>0</v>
      </c>
      <c r="CU20" s="1">
        <v>0</v>
      </c>
      <c r="CV20" s="171">
        <f>CPP!S20</f>
        <v>0</v>
      </c>
      <c r="CW20" s="129">
        <f t="shared" si="28"/>
        <v>0</v>
      </c>
      <c r="CX20" s="129">
        <f t="shared" si="61"/>
        <v>0</v>
      </c>
      <c r="CY20" s="1">
        <v>0</v>
      </c>
      <c r="CZ20" s="1">
        <v>0</v>
      </c>
      <c r="DA20" s="171">
        <f>CPP!T20</f>
        <v>0</v>
      </c>
      <c r="DB20" s="129">
        <f t="shared" si="29"/>
        <v>0</v>
      </c>
      <c r="DC20" s="129">
        <f t="shared" si="62"/>
        <v>306</v>
      </c>
      <c r="DD20" s="1">
        <v>0</v>
      </c>
      <c r="DE20" s="1">
        <v>0</v>
      </c>
      <c r="DF20" s="171">
        <f>CPP!U20</f>
        <v>0</v>
      </c>
      <c r="DG20" s="129">
        <f t="shared" si="30"/>
        <v>306</v>
      </c>
      <c r="DH20" s="129">
        <f t="shared" si="63"/>
        <v>0</v>
      </c>
      <c r="DI20" s="1">
        <v>0</v>
      </c>
      <c r="DJ20" s="1">
        <v>0</v>
      </c>
      <c r="DK20" s="171">
        <f>CPP!V20</f>
        <v>0</v>
      </c>
      <c r="DL20" s="129">
        <f t="shared" si="31"/>
        <v>0</v>
      </c>
      <c r="DM20" s="129">
        <f t="shared" si="64"/>
        <v>0</v>
      </c>
      <c r="DN20" s="1">
        <v>0</v>
      </c>
      <c r="DO20" s="1">
        <v>0</v>
      </c>
      <c r="DP20" s="171">
        <f>CPP!W20</f>
        <v>0</v>
      </c>
      <c r="DQ20" s="129">
        <f t="shared" si="32"/>
        <v>0</v>
      </c>
      <c r="DR20" s="129">
        <f t="shared" si="65"/>
        <v>3878.3500000000022</v>
      </c>
      <c r="DS20" s="1">
        <v>0</v>
      </c>
      <c r="DT20" s="1">
        <v>0</v>
      </c>
      <c r="DU20" s="171">
        <f>CPP!X20</f>
        <v>0</v>
      </c>
      <c r="DV20" s="129">
        <f t="shared" si="33"/>
        <v>3878.3500000000022</v>
      </c>
      <c r="DW20" s="129">
        <f t="shared" si="66"/>
        <v>0</v>
      </c>
      <c r="DX20" s="1">
        <v>0</v>
      </c>
      <c r="DY20" s="1">
        <v>0</v>
      </c>
      <c r="DZ20" s="171">
        <f>CPP!Y20</f>
        <v>0</v>
      </c>
      <c r="EA20" s="129">
        <f t="shared" si="34"/>
        <v>0</v>
      </c>
      <c r="EB20" s="129">
        <f t="shared" si="35"/>
        <v>5247.6769999999906</v>
      </c>
      <c r="EC20" s="170">
        <f t="shared" si="36"/>
        <v>0</v>
      </c>
      <c r="ED20" s="170">
        <f t="shared" si="69"/>
        <v>258.89</v>
      </c>
      <c r="EE20" s="129">
        <f t="shared" si="38"/>
        <v>4988.7869999999903</v>
      </c>
      <c r="EF20" s="18">
        <f t="shared" si="39"/>
        <v>8024.4999999999936</v>
      </c>
      <c r="EG20" s="170">
        <f t="shared" si="40"/>
        <v>97.5</v>
      </c>
      <c r="EH20" s="170">
        <f>CPP!D20+CPP!E20+CPP!F20+CPP!G20+CPP!H20+CPP!I20+CPP!J20+CPP!K20+CPP!L20+CPP!M20+CPP!N20+CPP!O20+CPP!P20+CPP!Q20+CPP!R20+CPP!S20+DA20+DF20+DK20+CPP!W20+DU20</f>
        <v>143</v>
      </c>
      <c r="EI20" s="18">
        <f>EF20+EG20-CPP!G20-CPP!E20-CPP!F20-CPP!P20-CPP!Q20-CL20-CQ20-DU20</f>
        <v>7978.9999999999936</v>
      </c>
      <c r="EJ20" s="16">
        <f t="shared" si="41"/>
        <v>26815.623085106752</v>
      </c>
      <c r="EK20" s="1">
        <v>1510</v>
      </c>
      <c r="EL20" s="253">
        <f>'Daily CEM-1'!AG21+'Daily  CEM - 2'!AF21-EQ20</f>
        <v>919.13000000000079</v>
      </c>
      <c r="EM20" s="9">
        <f t="shared" si="42"/>
        <v>27406.493085106751</v>
      </c>
      <c r="EN20" s="1">
        <v>0</v>
      </c>
      <c r="EO20" s="18">
        <f t="shared" si="67"/>
        <v>5306.1090080001359</v>
      </c>
      <c r="EP20" s="1">
        <v>0</v>
      </c>
      <c r="EQ20" s="1">
        <v>0</v>
      </c>
      <c r="ER20" s="17">
        <f t="shared" si="43"/>
        <v>5306.1090080001359</v>
      </c>
      <c r="ES20">
        <f t="shared" si="44"/>
        <v>1322.99</v>
      </c>
      <c r="ET20">
        <v>1322.99</v>
      </c>
      <c r="EU20" s="51">
        <f t="shared" si="45"/>
        <v>919.13000000000079</v>
      </c>
      <c r="EW20" s="51">
        <f>(EU20/Production2!CG20)*100</f>
        <v>73.707297514033741</v>
      </c>
      <c r="EX20">
        <v>73.707297514033741</v>
      </c>
    </row>
    <row r="21" spans="2:154" s="321" customFormat="1" x14ac:dyDescent="0.25">
      <c r="B21" s="348">
        <v>19</v>
      </c>
      <c r="C21" s="349">
        <f t="shared" si="3"/>
        <v>3435.3</v>
      </c>
      <c r="D21" s="1">
        <v>0</v>
      </c>
      <c r="E21" s="269">
        <f>F21+'RAW MILL 2'!F21</f>
        <v>52</v>
      </c>
      <c r="F21" s="1">
        <v>49</v>
      </c>
      <c r="G21" s="351">
        <f t="shared" si="4"/>
        <v>3383.3</v>
      </c>
      <c r="H21" s="349">
        <f t="shared" si="5"/>
        <v>993.83001683752127</v>
      </c>
      <c r="I21" s="352">
        <f>Production2!N21</f>
        <v>2754</v>
      </c>
      <c r="J21" s="352">
        <f>Production2!K21</f>
        <v>2650.5</v>
      </c>
      <c r="K21" s="18">
        <f t="shared" si="6"/>
        <v>1097.3300168375213</v>
      </c>
      <c r="L21" s="354">
        <f t="shared" si="7"/>
        <v>0</v>
      </c>
      <c r="M21" s="322">
        <v>0</v>
      </c>
      <c r="N21" s="352">
        <f>CPP!D21</f>
        <v>0</v>
      </c>
      <c r="O21" s="322">
        <v>0</v>
      </c>
      <c r="P21" s="352">
        <f t="shared" si="0"/>
        <v>0</v>
      </c>
      <c r="Q21" s="351">
        <f t="shared" si="48"/>
        <v>0</v>
      </c>
      <c r="R21" s="349">
        <f t="shared" si="8"/>
        <v>0</v>
      </c>
      <c r="S21" s="322">
        <v>0</v>
      </c>
      <c r="T21" s="352">
        <f>CPP!E21</f>
        <v>0</v>
      </c>
      <c r="U21" s="355">
        <v>0</v>
      </c>
      <c r="V21" s="356">
        <f t="shared" si="9"/>
        <v>0</v>
      </c>
      <c r="W21" s="351">
        <f t="shared" si="10"/>
        <v>0</v>
      </c>
      <c r="X21" s="349">
        <f t="shared" si="11"/>
        <v>1063.0399999999981</v>
      </c>
      <c r="Y21" s="1">
        <v>0</v>
      </c>
      <c r="Z21" s="352">
        <f>CPP!H21</f>
        <v>0</v>
      </c>
      <c r="AA21" s="1">
        <v>0</v>
      </c>
      <c r="AB21" s="351">
        <f t="shared" si="12"/>
        <v>1063.0399999999981</v>
      </c>
      <c r="AC21" s="349">
        <f t="shared" si="13"/>
        <v>0</v>
      </c>
      <c r="AD21" s="322">
        <v>0</v>
      </c>
      <c r="AE21" s="322">
        <v>0</v>
      </c>
      <c r="AF21" s="351">
        <f t="shared" si="1"/>
        <v>0</v>
      </c>
      <c r="AG21" s="349">
        <f t="shared" si="14"/>
        <v>7720.0599999999931</v>
      </c>
      <c r="AH21" s="1">
        <v>0</v>
      </c>
      <c r="AI21" s="1">
        <v>294.44</v>
      </c>
      <c r="AJ21" s="340">
        <f>CPP!G21</f>
        <v>153</v>
      </c>
      <c r="AK21" s="9">
        <f t="shared" si="68"/>
        <v>7272.6199999999935</v>
      </c>
      <c r="AL21" s="357">
        <f t="shared" si="49"/>
        <v>0</v>
      </c>
      <c r="AM21" s="322">
        <v>0</v>
      </c>
      <c r="AN21" s="322">
        <v>0</v>
      </c>
      <c r="AO21" s="353">
        <f t="shared" si="15"/>
        <v>0</v>
      </c>
      <c r="AP21" s="357">
        <f t="shared" si="50"/>
        <v>0</v>
      </c>
      <c r="AQ21" s="322">
        <v>0</v>
      </c>
      <c r="AR21" s="322">
        <v>0</v>
      </c>
      <c r="AS21" s="358">
        <f>CPP!I21</f>
        <v>0</v>
      </c>
      <c r="AT21" s="357">
        <f t="shared" si="16"/>
        <v>0</v>
      </c>
      <c r="AU21" s="322">
        <f t="shared" si="51"/>
        <v>0</v>
      </c>
      <c r="AV21" s="322">
        <v>0</v>
      </c>
      <c r="AW21" s="322">
        <v>0</v>
      </c>
      <c r="AX21" s="340">
        <f>CPP!J21</f>
        <v>0</v>
      </c>
      <c r="AY21" s="322">
        <f t="shared" si="17"/>
        <v>0</v>
      </c>
      <c r="AZ21" s="322">
        <f t="shared" si="52"/>
        <v>0.286999999990248</v>
      </c>
      <c r="BA21" s="1">
        <v>0</v>
      </c>
      <c r="BB21" s="1">
        <v>0</v>
      </c>
      <c r="BC21" s="340">
        <f>CPP!K21</f>
        <v>0</v>
      </c>
      <c r="BD21" s="322">
        <f t="shared" si="18"/>
        <v>0.286999999990248</v>
      </c>
      <c r="BE21" s="322">
        <f t="shared" si="53"/>
        <v>0</v>
      </c>
      <c r="BF21" s="322">
        <v>0</v>
      </c>
      <c r="BG21" s="322">
        <v>0</v>
      </c>
      <c r="BH21" s="340">
        <f>CPP!L21</f>
        <v>0</v>
      </c>
      <c r="BI21" s="322">
        <f t="shared" si="19"/>
        <v>0</v>
      </c>
      <c r="BJ21" s="322">
        <f t="shared" si="54"/>
        <v>0</v>
      </c>
      <c r="BK21" s="322">
        <v>0</v>
      </c>
      <c r="BL21" s="322">
        <v>0</v>
      </c>
      <c r="BM21" s="340">
        <f>CPP!M21</f>
        <v>0</v>
      </c>
      <c r="BN21" s="322">
        <f t="shared" si="55"/>
        <v>0</v>
      </c>
      <c r="BO21" s="322">
        <f t="shared" si="20"/>
        <v>0</v>
      </c>
      <c r="BP21" s="322">
        <v>0</v>
      </c>
      <c r="BQ21" s="322">
        <v>0</v>
      </c>
      <c r="BR21" s="340">
        <f>CPP!N21</f>
        <v>0</v>
      </c>
      <c r="BS21" s="322">
        <f t="shared" si="21"/>
        <v>0</v>
      </c>
      <c r="BT21" s="322">
        <f t="shared" si="22"/>
        <v>0</v>
      </c>
      <c r="BU21" s="322">
        <v>0</v>
      </c>
      <c r="BV21" s="322">
        <v>0</v>
      </c>
      <c r="BW21" s="340">
        <f>CPP!O21</f>
        <v>0</v>
      </c>
      <c r="BX21" s="322">
        <f t="shared" si="23"/>
        <v>0</v>
      </c>
      <c r="BY21" s="359">
        <f t="shared" si="56"/>
        <v>0</v>
      </c>
      <c r="BZ21" s="322">
        <v>0</v>
      </c>
      <c r="CA21" s="322">
        <v>0</v>
      </c>
      <c r="CB21" s="340"/>
      <c r="CC21" s="355">
        <f t="shared" si="24"/>
        <v>0</v>
      </c>
      <c r="CD21" s="322">
        <f t="shared" si="57"/>
        <v>0</v>
      </c>
      <c r="CE21" s="322">
        <v>0</v>
      </c>
      <c r="CF21" s="322">
        <v>0</v>
      </c>
      <c r="CG21" s="340">
        <f>CPP!P21</f>
        <v>0</v>
      </c>
      <c r="CH21" s="355">
        <f t="shared" si="25"/>
        <v>0</v>
      </c>
      <c r="CI21" s="322">
        <f t="shared" si="58"/>
        <v>0</v>
      </c>
      <c r="CJ21" s="322">
        <v>0</v>
      </c>
      <c r="CK21" s="322">
        <v>0</v>
      </c>
      <c r="CL21" s="340">
        <f>CPP!Q21</f>
        <v>0</v>
      </c>
      <c r="CM21" s="322">
        <f t="shared" si="26"/>
        <v>0</v>
      </c>
      <c r="CN21" s="322">
        <f t="shared" si="59"/>
        <v>5.0000000000181899E-2</v>
      </c>
      <c r="CO21" s="322">
        <v>0</v>
      </c>
      <c r="CP21" s="322">
        <v>0</v>
      </c>
      <c r="CQ21" s="340">
        <f>CPP!R21</f>
        <v>0</v>
      </c>
      <c r="CR21" s="322">
        <f t="shared" si="27"/>
        <v>5.0000000000181899E-2</v>
      </c>
      <c r="CS21" s="357">
        <f t="shared" si="60"/>
        <v>0</v>
      </c>
      <c r="CT21" s="322">
        <v>0</v>
      </c>
      <c r="CU21" s="322">
        <v>0</v>
      </c>
      <c r="CV21" s="358">
        <f>CPP!S21</f>
        <v>0</v>
      </c>
      <c r="CW21" s="357">
        <f t="shared" si="28"/>
        <v>0</v>
      </c>
      <c r="CX21" s="357">
        <f t="shared" si="61"/>
        <v>0</v>
      </c>
      <c r="CY21" s="322">
        <v>0</v>
      </c>
      <c r="CZ21" s="322">
        <v>0</v>
      </c>
      <c r="DA21" s="358">
        <f>CPP!T21</f>
        <v>0</v>
      </c>
      <c r="DB21" s="357">
        <f t="shared" si="29"/>
        <v>0</v>
      </c>
      <c r="DC21" s="357">
        <f t="shared" si="62"/>
        <v>306</v>
      </c>
      <c r="DD21" s="322">
        <v>0</v>
      </c>
      <c r="DE21" s="322">
        <v>0</v>
      </c>
      <c r="DF21" s="358">
        <f>CPP!U21</f>
        <v>0</v>
      </c>
      <c r="DG21" s="357">
        <f t="shared" si="30"/>
        <v>306</v>
      </c>
      <c r="DH21" s="357">
        <f t="shared" si="63"/>
        <v>0</v>
      </c>
      <c r="DI21" s="322">
        <v>0</v>
      </c>
      <c r="DJ21" s="322">
        <v>0</v>
      </c>
      <c r="DK21" s="358">
        <f>CPP!V21</f>
        <v>0</v>
      </c>
      <c r="DL21" s="357">
        <f t="shared" si="31"/>
        <v>0</v>
      </c>
      <c r="DM21" s="357">
        <f t="shared" si="64"/>
        <v>0</v>
      </c>
      <c r="DN21" s="322">
        <v>0</v>
      </c>
      <c r="DO21" s="322">
        <v>0</v>
      </c>
      <c r="DP21" s="358">
        <f>CPP!W21</f>
        <v>0</v>
      </c>
      <c r="DQ21" s="357">
        <f t="shared" si="32"/>
        <v>0</v>
      </c>
      <c r="DR21" s="357">
        <f t="shared" si="65"/>
        <v>3878.3500000000022</v>
      </c>
      <c r="DS21" s="1">
        <v>0</v>
      </c>
      <c r="DT21" s="1">
        <v>0</v>
      </c>
      <c r="DU21" s="358">
        <f>CPP!X21</f>
        <v>0</v>
      </c>
      <c r="DV21" s="357">
        <f t="shared" si="33"/>
        <v>3878.3500000000022</v>
      </c>
      <c r="DW21" s="357">
        <f t="shared" si="66"/>
        <v>0</v>
      </c>
      <c r="DX21" s="322">
        <v>0</v>
      </c>
      <c r="DY21" s="322">
        <v>0</v>
      </c>
      <c r="DZ21" s="358">
        <f>CPP!Y21</f>
        <v>0</v>
      </c>
      <c r="EA21" s="357">
        <f t="shared" si="34"/>
        <v>0</v>
      </c>
      <c r="EB21" s="129">
        <f t="shared" si="35"/>
        <v>5247.6769999999906</v>
      </c>
      <c r="EC21" s="170">
        <f t="shared" si="36"/>
        <v>0</v>
      </c>
      <c r="ED21" s="170">
        <f t="shared" si="69"/>
        <v>294.44</v>
      </c>
      <c r="EE21" s="129">
        <f t="shared" si="38"/>
        <v>4953.236999999991</v>
      </c>
      <c r="EF21" s="18">
        <f t="shared" si="39"/>
        <v>7720.1099999999933</v>
      </c>
      <c r="EG21" s="170">
        <f t="shared" si="40"/>
        <v>0</v>
      </c>
      <c r="EH21" s="340">
        <f>CPP!D21+CPP!E21+CPP!F21+CPP!G21+CPP!H21+CPP!I21+CPP!J21+CPP!K21+CPP!L21+CPP!M21+CPP!N21+CPP!O21+CPP!P21+CPP!Q21+CPP!R21+CPP!S21+DA21+DF21+DK21+CPP!W21+DU21</f>
        <v>153</v>
      </c>
      <c r="EI21" s="353">
        <f>EF21+EG21-CPP!G21-CPP!E21-CPP!F21-CPP!P21-CPP!Q21-CL21-CQ21-DU21</f>
        <v>7567.1099999999933</v>
      </c>
      <c r="EJ21" s="360">
        <f t="shared" si="41"/>
        <v>27406.493085106751</v>
      </c>
      <c r="EK21" s="1">
        <v>1710</v>
      </c>
      <c r="EL21" s="361">
        <f>'Daily CEM-1'!AG22+'Daily  CEM - 2'!AF22-EQ21</f>
        <v>1103.7500000000007</v>
      </c>
      <c r="EM21" s="379">
        <f>EJ21+EK21-EL21-EN21</f>
        <v>28012.743085106751</v>
      </c>
      <c r="EN21" s="322">
        <v>0</v>
      </c>
      <c r="EO21" s="353">
        <f t="shared" si="67"/>
        <v>5306.1090080001359</v>
      </c>
      <c r="EP21" s="1">
        <v>0</v>
      </c>
      <c r="EQ21" s="1">
        <v>0</v>
      </c>
      <c r="ER21" s="362">
        <f t="shared" si="43"/>
        <v>5306.1090080001359</v>
      </c>
      <c r="ES21" s="321">
        <f t="shared" si="44"/>
        <v>1142.58</v>
      </c>
      <c r="ET21" s="321">
        <v>1142.58</v>
      </c>
      <c r="EU21" s="363">
        <f t="shared" si="45"/>
        <v>1103.7500000000007</v>
      </c>
      <c r="EW21" s="51">
        <f>(EU21/Production2!CG21)*100</f>
        <v>76.916376306620265</v>
      </c>
      <c r="EX21" s="321">
        <v>76.916376306620265</v>
      </c>
    </row>
    <row r="22" spans="2:154" s="397" customFormat="1" x14ac:dyDescent="0.25">
      <c r="B22" s="380">
        <v>20</v>
      </c>
      <c r="C22" s="381">
        <f t="shared" si="3"/>
        <v>3383.3</v>
      </c>
      <c r="D22" s="1">
        <v>0</v>
      </c>
      <c r="E22" s="269">
        <f>F22+'RAW MILL 2'!F22</f>
        <v>63</v>
      </c>
      <c r="F22" s="1">
        <v>59</v>
      </c>
      <c r="G22" s="384">
        <f t="shared" si="4"/>
        <v>3320.3</v>
      </c>
      <c r="H22" s="381">
        <f t="shared" si="5"/>
        <v>1097.3300168375213</v>
      </c>
      <c r="I22" s="385">
        <f>Production2!N22</f>
        <v>2651</v>
      </c>
      <c r="J22" s="385">
        <f>Production2!K22</f>
        <v>2797.75</v>
      </c>
      <c r="K22" s="18">
        <f t="shared" si="6"/>
        <v>950.58001683752127</v>
      </c>
      <c r="L22" s="387">
        <f t="shared" si="7"/>
        <v>0</v>
      </c>
      <c r="M22" s="382">
        <v>0</v>
      </c>
      <c r="N22" s="385">
        <f>CPP!D22</f>
        <v>0</v>
      </c>
      <c r="O22" s="382">
        <v>0</v>
      </c>
      <c r="P22" s="385">
        <f t="shared" si="0"/>
        <v>0</v>
      </c>
      <c r="Q22" s="384">
        <f t="shared" si="48"/>
        <v>0</v>
      </c>
      <c r="R22" s="381">
        <f t="shared" si="8"/>
        <v>0</v>
      </c>
      <c r="S22" s="382">
        <v>0</v>
      </c>
      <c r="T22" s="385">
        <f>CPP!E22</f>
        <v>0</v>
      </c>
      <c r="U22" s="388">
        <v>0</v>
      </c>
      <c r="V22" s="389">
        <f t="shared" si="9"/>
        <v>0</v>
      </c>
      <c r="W22" s="384">
        <f t="shared" si="10"/>
        <v>0</v>
      </c>
      <c r="X22" s="381">
        <f t="shared" si="11"/>
        <v>1063.0399999999981</v>
      </c>
      <c r="Y22" s="1">
        <v>0</v>
      </c>
      <c r="Z22" s="385">
        <f>CPP!H22</f>
        <v>0</v>
      </c>
      <c r="AA22" s="1">
        <v>0</v>
      </c>
      <c r="AB22" s="384">
        <f t="shared" si="12"/>
        <v>1063.0399999999981</v>
      </c>
      <c r="AC22" s="381">
        <f t="shared" si="13"/>
        <v>0</v>
      </c>
      <c r="AD22" s="382">
        <v>0</v>
      </c>
      <c r="AE22" s="382">
        <v>0</v>
      </c>
      <c r="AF22" s="384">
        <f t="shared" si="1"/>
        <v>0</v>
      </c>
      <c r="AG22" s="381">
        <f t="shared" si="14"/>
        <v>7272.6199999999935</v>
      </c>
      <c r="AH22" s="1">
        <v>64</v>
      </c>
      <c r="AI22" s="1">
        <v>311</v>
      </c>
      <c r="AJ22" s="390">
        <f>CPP!G22</f>
        <v>154</v>
      </c>
      <c r="AK22" s="9">
        <f t="shared" si="68"/>
        <v>6871.6199999999935</v>
      </c>
      <c r="AL22" s="391">
        <f t="shared" si="49"/>
        <v>0</v>
      </c>
      <c r="AM22" s="382">
        <v>0</v>
      </c>
      <c r="AN22" s="382">
        <v>0</v>
      </c>
      <c r="AO22" s="386">
        <f t="shared" si="15"/>
        <v>0</v>
      </c>
      <c r="AP22" s="391">
        <f t="shared" si="50"/>
        <v>0</v>
      </c>
      <c r="AQ22" s="382">
        <v>0</v>
      </c>
      <c r="AR22" s="382">
        <v>0</v>
      </c>
      <c r="AS22" s="392">
        <f>CPP!I22</f>
        <v>0</v>
      </c>
      <c r="AT22" s="391">
        <f t="shared" si="16"/>
        <v>0</v>
      </c>
      <c r="AU22" s="382">
        <f t="shared" si="51"/>
        <v>0</v>
      </c>
      <c r="AV22" s="382">
        <v>0</v>
      </c>
      <c r="AW22" s="382">
        <v>0</v>
      </c>
      <c r="AX22" s="390">
        <f>CPP!J22</f>
        <v>0</v>
      </c>
      <c r="AY22" s="382">
        <f t="shared" si="17"/>
        <v>0</v>
      </c>
      <c r="AZ22" s="382">
        <f t="shared" si="52"/>
        <v>0.286999999990248</v>
      </c>
      <c r="BA22" s="1">
        <v>0</v>
      </c>
      <c r="BB22" s="1">
        <v>0</v>
      </c>
      <c r="BC22" s="390">
        <f>CPP!K22</f>
        <v>0</v>
      </c>
      <c r="BD22" s="382">
        <f t="shared" si="18"/>
        <v>0.286999999990248</v>
      </c>
      <c r="BE22" s="382">
        <f t="shared" si="53"/>
        <v>0</v>
      </c>
      <c r="BF22" s="382">
        <v>0</v>
      </c>
      <c r="BG22" s="382">
        <v>0</v>
      </c>
      <c r="BH22" s="390">
        <f>CPP!L22</f>
        <v>0</v>
      </c>
      <c r="BI22" s="382">
        <f t="shared" si="19"/>
        <v>0</v>
      </c>
      <c r="BJ22" s="382">
        <f t="shared" si="54"/>
        <v>0</v>
      </c>
      <c r="BK22" s="382">
        <v>0</v>
      </c>
      <c r="BL22" s="382">
        <v>0</v>
      </c>
      <c r="BM22" s="390">
        <f>CPP!M22</f>
        <v>0</v>
      </c>
      <c r="BN22" s="382">
        <f t="shared" si="55"/>
        <v>0</v>
      </c>
      <c r="BO22" s="382">
        <f t="shared" si="20"/>
        <v>0</v>
      </c>
      <c r="BP22" s="382">
        <v>0</v>
      </c>
      <c r="BQ22" s="382">
        <v>0</v>
      </c>
      <c r="BR22" s="390">
        <f>CPP!N22</f>
        <v>0</v>
      </c>
      <c r="BS22" s="382">
        <f t="shared" si="21"/>
        <v>0</v>
      </c>
      <c r="BT22" s="382">
        <f t="shared" si="22"/>
        <v>0</v>
      </c>
      <c r="BU22" s="382">
        <v>0</v>
      </c>
      <c r="BV22" s="382">
        <v>0</v>
      </c>
      <c r="BW22" s="390">
        <f>CPP!O22</f>
        <v>0</v>
      </c>
      <c r="BX22" s="382">
        <f t="shared" si="23"/>
        <v>0</v>
      </c>
      <c r="BY22" s="393">
        <f t="shared" si="56"/>
        <v>0</v>
      </c>
      <c r="BZ22" s="382">
        <v>0</v>
      </c>
      <c r="CA22" s="382">
        <v>0</v>
      </c>
      <c r="CB22" s="390"/>
      <c r="CC22" s="388">
        <f t="shared" si="24"/>
        <v>0</v>
      </c>
      <c r="CD22" s="382">
        <f t="shared" si="57"/>
        <v>0</v>
      </c>
      <c r="CE22" s="382">
        <v>0</v>
      </c>
      <c r="CF22" s="382">
        <v>0</v>
      </c>
      <c r="CG22" s="390">
        <f>CPP!P22</f>
        <v>0</v>
      </c>
      <c r="CH22" s="388">
        <f t="shared" si="25"/>
        <v>0</v>
      </c>
      <c r="CI22" s="382">
        <f t="shared" si="58"/>
        <v>0</v>
      </c>
      <c r="CJ22" s="382">
        <v>0</v>
      </c>
      <c r="CK22" s="382">
        <v>0</v>
      </c>
      <c r="CL22" s="390">
        <f>CPP!Q22</f>
        <v>0</v>
      </c>
      <c r="CM22" s="382">
        <f t="shared" si="26"/>
        <v>0</v>
      </c>
      <c r="CN22" s="382">
        <f t="shared" si="59"/>
        <v>5.0000000000181899E-2</v>
      </c>
      <c r="CO22" s="382">
        <v>0</v>
      </c>
      <c r="CP22" s="382">
        <v>0</v>
      </c>
      <c r="CQ22" s="390">
        <f>CPP!R22</f>
        <v>0</v>
      </c>
      <c r="CR22" s="382">
        <f t="shared" si="27"/>
        <v>5.0000000000181899E-2</v>
      </c>
      <c r="CS22" s="391">
        <f t="shared" si="60"/>
        <v>0</v>
      </c>
      <c r="CT22" s="382">
        <v>0</v>
      </c>
      <c r="CU22" s="382">
        <v>0</v>
      </c>
      <c r="CV22" s="392">
        <f>CPP!S22</f>
        <v>0</v>
      </c>
      <c r="CW22" s="391">
        <f t="shared" si="28"/>
        <v>0</v>
      </c>
      <c r="CX22" s="391">
        <f t="shared" si="61"/>
        <v>0</v>
      </c>
      <c r="CY22" s="382">
        <v>0</v>
      </c>
      <c r="CZ22" s="382">
        <v>0</v>
      </c>
      <c r="DA22" s="392">
        <f>CPP!T22</f>
        <v>0</v>
      </c>
      <c r="DB22" s="391">
        <f t="shared" si="29"/>
        <v>0</v>
      </c>
      <c r="DC22" s="391">
        <f t="shared" si="62"/>
        <v>306</v>
      </c>
      <c r="DD22" s="382">
        <v>0</v>
      </c>
      <c r="DE22" s="382">
        <v>0</v>
      </c>
      <c r="DF22" s="392">
        <f>CPP!U22</f>
        <v>0</v>
      </c>
      <c r="DG22" s="391">
        <f t="shared" si="30"/>
        <v>306</v>
      </c>
      <c r="DH22" s="391">
        <f t="shared" si="63"/>
        <v>0</v>
      </c>
      <c r="DI22" s="382">
        <v>0</v>
      </c>
      <c r="DJ22" s="382">
        <v>0</v>
      </c>
      <c r="DK22" s="392">
        <f>CPP!V22</f>
        <v>0</v>
      </c>
      <c r="DL22" s="391">
        <f t="shared" si="31"/>
        <v>0</v>
      </c>
      <c r="DM22" s="391">
        <f t="shared" si="64"/>
        <v>0</v>
      </c>
      <c r="DN22" s="382">
        <v>0</v>
      </c>
      <c r="DO22" s="382">
        <v>0</v>
      </c>
      <c r="DP22" s="392">
        <f>CPP!W22</f>
        <v>0</v>
      </c>
      <c r="DQ22" s="391">
        <f t="shared" si="32"/>
        <v>0</v>
      </c>
      <c r="DR22" s="391">
        <f t="shared" si="65"/>
        <v>3878.3500000000022</v>
      </c>
      <c r="DS22" s="1">
        <v>0</v>
      </c>
      <c r="DT22" s="1">
        <v>0</v>
      </c>
      <c r="DU22" s="392">
        <f>CPP!X22</f>
        <v>0</v>
      </c>
      <c r="DV22" s="391">
        <f t="shared" si="33"/>
        <v>3878.3500000000022</v>
      </c>
      <c r="DW22" s="391">
        <f t="shared" si="66"/>
        <v>0</v>
      </c>
      <c r="DX22" s="382">
        <v>0</v>
      </c>
      <c r="DY22" s="382">
        <v>0</v>
      </c>
      <c r="DZ22" s="392">
        <f>CPP!Y22</f>
        <v>0</v>
      </c>
      <c r="EA22" s="391">
        <f t="shared" si="34"/>
        <v>0</v>
      </c>
      <c r="EB22" s="129">
        <f t="shared" si="35"/>
        <v>5247.6769999999906</v>
      </c>
      <c r="EC22" s="170">
        <f t="shared" si="36"/>
        <v>0</v>
      </c>
      <c r="ED22" s="170">
        <f t="shared" si="69"/>
        <v>311</v>
      </c>
      <c r="EE22" s="129">
        <f t="shared" si="38"/>
        <v>4936.6769999999906</v>
      </c>
      <c r="EF22" s="18">
        <f t="shared" si="39"/>
        <v>7272.6699999999937</v>
      </c>
      <c r="EG22" s="170">
        <f t="shared" si="40"/>
        <v>64</v>
      </c>
      <c r="EH22" s="390">
        <f>CPP!D22+CPP!E22+CPP!F22+CPP!G22+CPP!H22+CPP!I22+CPP!J22+CPP!K22+CPP!L22+CPP!M22+CPP!N22+CPP!O22+CPP!P22+CPP!Q22+CPP!R22+CPP!S22+DA22+DF22+DK22+CPP!W22+DU22</f>
        <v>154</v>
      </c>
      <c r="EI22" s="386">
        <f>EF22+EG22-CPP!G22-CPP!E22-CPP!F22-CPP!P22-CPP!Q22-CL22-CQ22-DU22</f>
        <v>7182.6699999999937</v>
      </c>
      <c r="EJ22" s="394">
        <f t="shared" si="41"/>
        <v>28012.743085106751</v>
      </c>
      <c r="EK22" s="1">
        <v>1805</v>
      </c>
      <c r="EL22" s="395">
        <f>'Daily CEM-1'!AG23+'Daily  CEM - 2'!AF23-EQ22</f>
        <v>2009.9400000000007</v>
      </c>
      <c r="EM22" s="384">
        <f t="shared" si="42"/>
        <v>27807.803085106749</v>
      </c>
      <c r="EN22" s="382">
        <v>0</v>
      </c>
      <c r="EO22" s="386">
        <f t="shared" si="67"/>
        <v>5306.1090080001359</v>
      </c>
      <c r="EP22" s="1">
        <v>0</v>
      </c>
      <c r="EQ22" s="1">
        <v>0</v>
      </c>
      <c r="ER22" s="396">
        <f t="shared" si="43"/>
        <v>5306.1090080001359</v>
      </c>
      <c r="ES22" s="397">
        <f t="shared" si="44"/>
        <v>1111.95</v>
      </c>
      <c r="ET22" s="397">
        <v>1111.95</v>
      </c>
      <c r="EU22" s="398">
        <f t="shared" si="45"/>
        <v>2009.9400000000007</v>
      </c>
      <c r="EW22" s="51">
        <f>(EU22/Production2!CG22)*100</f>
        <v>77.48419429452585</v>
      </c>
      <c r="EX22" s="397">
        <v>77.48419429452585</v>
      </c>
    </row>
    <row r="23" spans="2:154" s="321" customFormat="1" x14ac:dyDescent="0.25">
      <c r="B23" s="348">
        <v>21</v>
      </c>
      <c r="C23" s="349">
        <f t="shared" si="3"/>
        <v>3320.3</v>
      </c>
      <c r="D23" s="1">
        <v>59.62</v>
      </c>
      <c r="E23" s="269">
        <f>F23+'RAW MILL 2'!F23</f>
        <v>76</v>
      </c>
      <c r="F23" s="1">
        <v>70</v>
      </c>
      <c r="G23" s="351">
        <f t="shared" si="4"/>
        <v>3303.92</v>
      </c>
      <c r="H23" s="349">
        <f t="shared" si="5"/>
        <v>950.58001683752127</v>
      </c>
      <c r="I23" s="352">
        <f>Production2!N23</f>
        <v>2743</v>
      </c>
      <c r="J23" s="352">
        <f>Production2!K23</f>
        <v>2906.25</v>
      </c>
      <c r="K23" s="18">
        <f t="shared" si="6"/>
        <v>787.33001683752127</v>
      </c>
      <c r="L23" s="354">
        <f t="shared" si="7"/>
        <v>0</v>
      </c>
      <c r="M23" s="322">
        <v>0</v>
      </c>
      <c r="N23" s="352">
        <f>CPP!D23</f>
        <v>0</v>
      </c>
      <c r="O23" s="322">
        <v>0</v>
      </c>
      <c r="P23" s="352">
        <f t="shared" si="0"/>
        <v>0</v>
      </c>
      <c r="Q23" s="351">
        <f t="shared" si="48"/>
        <v>0</v>
      </c>
      <c r="R23" s="349">
        <f t="shared" si="8"/>
        <v>0</v>
      </c>
      <c r="S23" s="322">
        <v>0</v>
      </c>
      <c r="T23" s="352">
        <f>CPP!E23</f>
        <v>0</v>
      </c>
      <c r="U23" s="355">
        <v>0</v>
      </c>
      <c r="V23" s="356">
        <f t="shared" si="9"/>
        <v>0</v>
      </c>
      <c r="W23" s="351">
        <f>R23+S23-V23</f>
        <v>0</v>
      </c>
      <c r="X23" s="349">
        <f t="shared" si="11"/>
        <v>1063.0399999999981</v>
      </c>
      <c r="Y23" s="1">
        <v>0</v>
      </c>
      <c r="Z23" s="352">
        <f>CPP!H23</f>
        <v>0</v>
      </c>
      <c r="AA23" s="1">
        <v>0</v>
      </c>
      <c r="AB23" s="351">
        <f t="shared" si="12"/>
        <v>1063.0399999999981</v>
      </c>
      <c r="AC23" s="349">
        <f t="shared" si="13"/>
        <v>0</v>
      </c>
      <c r="AD23" s="322">
        <v>0</v>
      </c>
      <c r="AE23" s="322">
        <v>0</v>
      </c>
      <c r="AF23" s="351">
        <f t="shared" si="1"/>
        <v>0</v>
      </c>
      <c r="AG23" s="349">
        <f t="shared" si="14"/>
        <v>6871.6199999999935</v>
      </c>
      <c r="AH23" s="1">
        <v>32</v>
      </c>
      <c r="AI23" s="1">
        <v>295</v>
      </c>
      <c r="AJ23" s="340">
        <f>CPP!G23</f>
        <v>154</v>
      </c>
      <c r="AK23" s="9">
        <f t="shared" si="68"/>
        <v>6454.6199999999935</v>
      </c>
      <c r="AL23" s="357">
        <f t="shared" si="49"/>
        <v>0</v>
      </c>
      <c r="AM23" s="322">
        <v>0</v>
      </c>
      <c r="AN23" s="322">
        <v>0</v>
      </c>
      <c r="AO23" s="353">
        <f t="shared" si="15"/>
        <v>0</v>
      </c>
      <c r="AP23" s="357">
        <f t="shared" si="50"/>
        <v>0</v>
      </c>
      <c r="AQ23" s="322">
        <v>0</v>
      </c>
      <c r="AR23" s="322">
        <v>0</v>
      </c>
      <c r="AS23" s="358">
        <f>CPP!I23</f>
        <v>0</v>
      </c>
      <c r="AT23" s="357">
        <f t="shared" si="16"/>
        <v>0</v>
      </c>
      <c r="AU23" s="322">
        <f t="shared" si="51"/>
        <v>0</v>
      </c>
      <c r="AV23" s="322">
        <v>0</v>
      </c>
      <c r="AW23" s="322">
        <v>0</v>
      </c>
      <c r="AX23" s="340">
        <f>CPP!J23</f>
        <v>0</v>
      </c>
      <c r="AY23" s="322">
        <f t="shared" si="17"/>
        <v>0</v>
      </c>
      <c r="AZ23" s="322">
        <f t="shared" si="52"/>
        <v>0.286999999990248</v>
      </c>
      <c r="BA23" s="1">
        <v>0</v>
      </c>
      <c r="BB23" s="1">
        <v>0</v>
      </c>
      <c r="BC23" s="340">
        <f>CPP!K23</f>
        <v>0</v>
      </c>
      <c r="BD23" s="322">
        <f t="shared" si="18"/>
        <v>0.286999999990248</v>
      </c>
      <c r="BE23" s="322">
        <f t="shared" si="53"/>
        <v>0</v>
      </c>
      <c r="BF23" s="322">
        <v>0</v>
      </c>
      <c r="BG23" s="322">
        <v>0</v>
      </c>
      <c r="BH23" s="340">
        <f>CPP!L23</f>
        <v>0</v>
      </c>
      <c r="BI23" s="322">
        <f t="shared" si="19"/>
        <v>0</v>
      </c>
      <c r="BJ23" s="322">
        <f t="shared" si="54"/>
        <v>0</v>
      </c>
      <c r="BK23" s="322">
        <v>0</v>
      </c>
      <c r="BL23" s="322">
        <v>0</v>
      </c>
      <c r="BM23" s="340">
        <f>CPP!M23</f>
        <v>0</v>
      </c>
      <c r="BN23" s="322">
        <f t="shared" si="55"/>
        <v>0</v>
      </c>
      <c r="BO23" s="322">
        <f t="shared" si="20"/>
        <v>0</v>
      </c>
      <c r="BP23" s="322">
        <v>0</v>
      </c>
      <c r="BQ23" s="322">
        <v>0</v>
      </c>
      <c r="BR23" s="340">
        <f>CPP!N23</f>
        <v>0</v>
      </c>
      <c r="BS23" s="322">
        <f t="shared" si="21"/>
        <v>0</v>
      </c>
      <c r="BT23" s="322">
        <f t="shared" si="22"/>
        <v>0</v>
      </c>
      <c r="BU23" s="322">
        <v>0</v>
      </c>
      <c r="BV23" s="322">
        <v>0</v>
      </c>
      <c r="BW23" s="340">
        <f>CPP!O23</f>
        <v>0</v>
      </c>
      <c r="BX23" s="322">
        <f t="shared" si="23"/>
        <v>0</v>
      </c>
      <c r="BY23" s="359">
        <f t="shared" si="56"/>
        <v>0</v>
      </c>
      <c r="BZ23" s="322">
        <v>0</v>
      </c>
      <c r="CA23" s="322">
        <v>0</v>
      </c>
      <c r="CB23" s="340"/>
      <c r="CC23" s="355">
        <f t="shared" si="24"/>
        <v>0</v>
      </c>
      <c r="CD23" s="322">
        <f t="shared" si="57"/>
        <v>0</v>
      </c>
      <c r="CE23" s="322">
        <v>0</v>
      </c>
      <c r="CF23" s="322">
        <v>0</v>
      </c>
      <c r="CG23" s="340">
        <f>CPP!P23</f>
        <v>0</v>
      </c>
      <c r="CH23" s="355">
        <f t="shared" si="25"/>
        <v>0</v>
      </c>
      <c r="CI23" s="322">
        <f t="shared" si="58"/>
        <v>0</v>
      </c>
      <c r="CJ23" s="322">
        <v>0</v>
      </c>
      <c r="CK23" s="322">
        <v>0</v>
      </c>
      <c r="CL23" s="340">
        <f>CPP!Q23</f>
        <v>0</v>
      </c>
      <c r="CM23" s="322">
        <f t="shared" si="26"/>
        <v>0</v>
      </c>
      <c r="CN23" s="322">
        <f t="shared" si="59"/>
        <v>5.0000000000181899E-2</v>
      </c>
      <c r="CO23" s="322">
        <v>0</v>
      </c>
      <c r="CP23" s="322">
        <v>0</v>
      </c>
      <c r="CQ23" s="340">
        <f>CPP!R23</f>
        <v>0</v>
      </c>
      <c r="CR23" s="322">
        <f t="shared" si="27"/>
        <v>5.0000000000181899E-2</v>
      </c>
      <c r="CS23" s="357">
        <f t="shared" si="60"/>
        <v>0</v>
      </c>
      <c r="CT23" s="322">
        <v>0</v>
      </c>
      <c r="CU23" s="322">
        <v>0</v>
      </c>
      <c r="CV23" s="358">
        <f>CPP!S23</f>
        <v>0</v>
      </c>
      <c r="CW23" s="357">
        <f t="shared" si="28"/>
        <v>0</v>
      </c>
      <c r="CX23" s="357">
        <f t="shared" si="61"/>
        <v>0</v>
      </c>
      <c r="CY23" s="322">
        <v>0</v>
      </c>
      <c r="CZ23" s="322">
        <v>0</v>
      </c>
      <c r="DA23" s="358">
        <f>CPP!T23</f>
        <v>0</v>
      </c>
      <c r="DB23" s="357">
        <f t="shared" si="29"/>
        <v>0</v>
      </c>
      <c r="DC23" s="357">
        <f t="shared" si="62"/>
        <v>306</v>
      </c>
      <c r="DD23" s="322">
        <v>0</v>
      </c>
      <c r="DE23" s="322">
        <v>0</v>
      </c>
      <c r="DF23" s="358">
        <f>CPP!U23</f>
        <v>0</v>
      </c>
      <c r="DG23" s="357">
        <f t="shared" si="30"/>
        <v>306</v>
      </c>
      <c r="DH23" s="357">
        <f t="shared" si="63"/>
        <v>0</v>
      </c>
      <c r="DI23" s="322">
        <v>0</v>
      </c>
      <c r="DJ23" s="322">
        <v>0</v>
      </c>
      <c r="DK23" s="358">
        <f>CPP!V23</f>
        <v>0</v>
      </c>
      <c r="DL23" s="357">
        <f t="shared" si="31"/>
        <v>0</v>
      </c>
      <c r="DM23" s="357">
        <f t="shared" si="64"/>
        <v>0</v>
      </c>
      <c r="DN23" s="322">
        <v>0</v>
      </c>
      <c r="DO23" s="322">
        <v>0</v>
      </c>
      <c r="DP23" s="358">
        <f>CPP!W23</f>
        <v>0</v>
      </c>
      <c r="DQ23" s="357">
        <f t="shared" si="32"/>
        <v>0</v>
      </c>
      <c r="DR23" s="357">
        <f t="shared" si="65"/>
        <v>3878.3500000000022</v>
      </c>
      <c r="DS23" s="1">
        <v>0</v>
      </c>
      <c r="DT23" s="1">
        <v>0</v>
      </c>
      <c r="DU23" s="358">
        <f>CPP!X23</f>
        <v>0</v>
      </c>
      <c r="DV23" s="357">
        <f t="shared" si="33"/>
        <v>3878.3500000000022</v>
      </c>
      <c r="DW23" s="357">
        <f t="shared" si="66"/>
        <v>0</v>
      </c>
      <c r="DX23" s="322">
        <v>0</v>
      </c>
      <c r="DY23" s="322">
        <v>0</v>
      </c>
      <c r="DZ23" s="358">
        <f>CPP!Y23</f>
        <v>0</v>
      </c>
      <c r="EA23" s="357">
        <f t="shared" si="34"/>
        <v>0</v>
      </c>
      <c r="EB23" s="129">
        <f t="shared" si="35"/>
        <v>5247.6769999999906</v>
      </c>
      <c r="EC23" s="170">
        <f t="shared" si="36"/>
        <v>0</v>
      </c>
      <c r="ED23" s="170">
        <f t="shared" si="69"/>
        <v>295</v>
      </c>
      <c r="EE23" s="129">
        <f t="shared" si="38"/>
        <v>4952.6769999999906</v>
      </c>
      <c r="EF23" s="18">
        <f t="shared" si="39"/>
        <v>6871.6699999999937</v>
      </c>
      <c r="EG23" s="170">
        <f t="shared" si="40"/>
        <v>32</v>
      </c>
      <c r="EH23" s="340">
        <f>CPP!D23+CPP!E23+CPP!F23+CPP!G23+CPP!H23+CPP!I23+CPP!J23+CPP!K23+CPP!L23+CPP!M23+CPP!N23+CPP!O23+CPP!P23+CPP!Q23+CPP!R23+CPP!S23+DA23+DF23+DK23+CPP!W23+DU23</f>
        <v>154</v>
      </c>
      <c r="EI23" s="353">
        <f>EF23+EG23-CPP!G23-CPP!E23-CPP!F23-CPP!P23-CPP!Q23-CL23-CQ23-DU23</f>
        <v>6749.6699999999937</v>
      </c>
      <c r="EJ23" s="360">
        <f t="shared" si="41"/>
        <v>27807.803085106749</v>
      </c>
      <c r="EK23" s="1">
        <v>1875</v>
      </c>
      <c r="EL23" s="361">
        <f>'Daily CEM-1'!AG24+'Daily  CEM - 2'!AF24-EQ23</f>
        <v>2175.2599989260016</v>
      </c>
      <c r="EM23" s="351">
        <f t="shared" si="42"/>
        <v>27507.543086180747</v>
      </c>
      <c r="EN23" s="322">
        <v>0</v>
      </c>
      <c r="EO23" s="353">
        <f t="shared" si="67"/>
        <v>5306.1090080001359</v>
      </c>
      <c r="EP23" s="1">
        <v>0</v>
      </c>
      <c r="EQ23" s="1">
        <v>0</v>
      </c>
      <c r="ER23" s="362">
        <f t="shared" si="43"/>
        <v>5306.1090080001359</v>
      </c>
      <c r="ES23" s="321">
        <f t="shared" si="44"/>
        <v>0</v>
      </c>
      <c r="EU23" s="363">
        <f t="shared" si="45"/>
        <v>2175.2599989260016</v>
      </c>
      <c r="EW23" s="51">
        <f>(EU23/Production2!CG23)*100</f>
        <v>76.9458789857093</v>
      </c>
      <c r="EX23" s="321">
        <v>76.9458789857093</v>
      </c>
    </row>
    <row r="24" spans="2:154" s="321" customFormat="1" x14ac:dyDescent="0.25">
      <c r="B24" s="348">
        <v>22</v>
      </c>
      <c r="C24" s="349">
        <f t="shared" si="3"/>
        <v>3303.92</v>
      </c>
      <c r="D24" s="1">
        <v>0</v>
      </c>
      <c r="E24" s="269">
        <f>F24+'RAW MILL 2'!F24</f>
        <v>59</v>
      </c>
      <c r="F24" s="1">
        <v>56</v>
      </c>
      <c r="G24" s="351">
        <f t="shared" si="4"/>
        <v>3244.92</v>
      </c>
      <c r="H24" s="349">
        <f t="shared" si="5"/>
        <v>787.33001683752127</v>
      </c>
      <c r="I24" s="352">
        <f>Production2!N24</f>
        <v>2166</v>
      </c>
      <c r="J24" s="352">
        <f>Production2!K24</f>
        <v>2464.5</v>
      </c>
      <c r="K24" s="18">
        <f t="shared" si="6"/>
        <v>488.83001683752127</v>
      </c>
      <c r="L24" s="354">
        <f t="shared" si="7"/>
        <v>0</v>
      </c>
      <c r="M24" s="322">
        <v>0</v>
      </c>
      <c r="N24" s="352">
        <f>CPP!D24</f>
        <v>0</v>
      </c>
      <c r="O24" s="322">
        <v>0</v>
      </c>
      <c r="P24" s="352">
        <f t="shared" si="0"/>
        <v>0</v>
      </c>
      <c r="Q24" s="351">
        <f t="shared" si="48"/>
        <v>0</v>
      </c>
      <c r="R24" s="349">
        <f t="shared" si="8"/>
        <v>0</v>
      </c>
      <c r="S24" s="322">
        <v>0</v>
      </c>
      <c r="T24" s="352">
        <f>CPP!E24</f>
        <v>0</v>
      </c>
      <c r="U24" s="355">
        <v>0</v>
      </c>
      <c r="V24" s="356">
        <f t="shared" si="9"/>
        <v>0</v>
      </c>
      <c r="W24" s="351">
        <f t="shared" si="10"/>
        <v>0</v>
      </c>
      <c r="X24" s="349">
        <f t="shared" si="11"/>
        <v>1063.0399999999981</v>
      </c>
      <c r="Y24" s="1">
        <v>0</v>
      </c>
      <c r="Z24" s="352">
        <f>CPP!H24</f>
        <v>0</v>
      </c>
      <c r="AA24" s="1">
        <v>0</v>
      </c>
      <c r="AB24" s="351">
        <f t="shared" si="12"/>
        <v>1063.0399999999981</v>
      </c>
      <c r="AC24" s="349">
        <f t="shared" si="13"/>
        <v>0</v>
      </c>
      <c r="AD24" s="322">
        <v>0</v>
      </c>
      <c r="AE24" s="322">
        <v>0</v>
      </c>
      <c r="AF24" s="351">
        <f t="shared" si="1"/>
        <v>0</v>
      </c>
      <c r="AG24" s="349">
        <f t="shared" si="14"/>
        <v>6454.6199999999935</v>
      </c>
      <c r="AH24" s="1">
        <v>30.05</v>
      </c>
      <c r="AI24" s="1">
        <v>272.22000000000003</v>
      </c>
      <c r="AJ24" s="340">
        <f>CPP!G24</f>
        <v>136</v>
      </c>
      <c r="AK24" s="9">
        <f t="shared" si="68"/>
        <v>6076.4499999999935</v>
      </c>
      <c r="AL24" s="357">
        <f t="shared" si="49"/>
        <v>0</v>
      </c>
      <c r="AM24" s="322">
        <v>0</v>
      </c>
      <c r="AN24" s="322">
        <v>0</v>
      </c>
      <c r="AO24" s="353">
        <f t="shared" si="15"/>
        <v>0</v>
      </c>
      <c r="AP24" s="357">
        <f t="shared" si="50"/>
        <v>0</v>
      </c>
      <c r="AQ24" s="322">
        <v>0</v>
      </c>
      <c r="AR24" s="322">
        <v>0</v>
      </c>
      <c r="AS24" s="358">
        <f>CPP!I24</f>
        <v>0</v>
      </c>
      <c r="AT24" s="357">
        <f t="shared" si="16"/>
        <v>0</v>
      </c>
      <c r="AU24" s="322">
        <f t="shared" si="51"/>
        <v>0</v>
      </c>
      <c r="AV24" s="322">
        <v>0</v>
      </c>
      <c r="AW24" s="322">
        <v>0</v>
      </c>
      <c r="AX24" s="340">
        <f>CPP!J24</f>
        <v>0</v>
      </c>
      <c r="AY24" s="322">
        <f t="shared" si="17"/>
        <v>0</v>
      </c>
      <c r="AZ24" s="322">
        <f t="shared" si="52"/>
        <v>0.286999999990248</v>
      </c>
      <c r="BA24" s="1">
        <v>0</v>
      </c>
      <c r="BB24" s="1">
        <v>0</v>
      </c>
      <c r="BC24" s="340">
        <f>CPP!K24</f>
        <v>0</v>
      </c>
      <c r="BD24" s="322">
        <f t="shared" si="18"/>
        <v>0.286999999990248</v>
      </c>
      <c r="BE24" s="322">
        <f t="shared" si="53"/>
        <v>0</v>
      </c>
      <c r="BF24" s="322">
        <v>0</v>
      </c>
      <c r="BG24" s="322">
        <v>0</v>
      </c>
      <c r="BH24" s="340">
        <f>CPP!L24</f>
        <v>0</v>
      </c>
      <c r="BI24" s="322">
        <f t="shared" si="19"/>
        <v>0</v>
      </c>
      <c r="BJ24" s="322">
        <f t="shared" si="54"/>
        <v>0</v>
      </c>
      <c r="BK24" s="322">
        <v>0</v>
      </c>
      <c r="BL24" s="322">
        <v>0</v>
      </c>
      <c r="BM24" s="340">
        <f>CPP!M24</f>
        <v>0</v>
      </c>
      <c r="BN24" s="322">
        <f t="shared" si="55"/>
        <v>0</v>
      </c>
      <c r="BO24" s="322">
        <f t="shared" si="20"/>
        <v>0</v>
      </c>
      <c r="BP24" s="322">
        <v>0</v>
      </c>
      <c r="BQ24" s="322">
        <v>0</v>
      </c>
      <c r="BR24" s="340">
        <f>CPP!N24</f>
        <v>0</v>
      </c>
      <c r="BS24" s="322">
        <f>BO24+BP24-BQ24-BR24</f>
        <v>0</v>
      </c>
      <c r="BT24" s="322">
        <f t="shared" si="22"/>
        <v>0</v>
      </c>
      <c r="BU24" s="322">
        <v>0</v>
      </c>
      <c r="BV24" s="322">
        <v>0</v>
      </c>
      <c r="BW24" s="340">
        <f>CPP!O24</f>
        <v>0</v>
      </c>
      <c r="BX24" s="322">
        <f t="shared" si="23"/>
        <v>0</v>
      </c>
      <c r="BY24" s="359">
        <f t="shared" si="56"/>
        <v>0</v>
      </c>
      <c r="BZ24" s="322">
        <v>0</v>
      </c>
      <c r="CA24" s="322">
        <v>0</v>
      </c>
      <c r="CB24" s="340"/>
      <c r="CC24" s="355">
        <f t="shared" si="24"/>
        <v>0</v>
      </c>
      <c r="CD24" s="322">
        <f t="shared" si="57"/>
        <v>0</v>
      </c>
      <c r="CE24" s="322">
        <v>0</v>
      </c>
      <c r="CF24" s="322">
        <v>0</v>
      </c>
      <c r="CG24" s="340">
        <f>CPP!P24</f>
        <v>0</v>
      </c>
      <c r="CH24" s="355">
        <f t="shared" si="25"/>
        <v>0</v>
      </c>
      <c r="CI24" s="322">
        <f t="shared" si="58"/>
        <v>0</v>
      </c>
      <c r="CJ24" s="322">
        <v>0</v>
      </c>
      <c r="CK24" s="322">
        <v>0</v>
      </c>
      <c r="CL24" s="340">
        <f>CPP!Q24</f>
        <v>0</v>
      </c>
      <c r="CM24" s="322">
        <f t="shared" si="26"/>
        <v>0</v>
      </c>
      <c r="CN24" s="322">
        <f t="shared" si="59"/>
        <v>5.0000000000181899E-2</v>
      </c>
      <c r="CO24" s="322">
        <v>0</v>
      </c>
      <c r="CP24" s="322">
        <v>0</v>
      </c>
      <c r="CQ24" s="340">
        <f>CPP!R24</f>
        <v>0</v>
      </c>
      <c r="CR24" s="322">
        <f t="shared" si="27"/>
        <v>5.0000000000181899E-2</v>
      </c>
      <c r="CS24" s="357">
        <f t="shared" si="60"/>
        <v>0</v>
      </c>
      <c r="CT24" s="322">
        <v>0</v>
      </c>
      <c r="CU24" s="322">
        <v>0</v>
      </c>
      <c r="CV24" s="358">
        <f>CPP!S24</f>
        <v>0</v>
      </c>
      <c r="CW24" s="357">
        <f t="shared" si="28"/>
        <v>0</v>
      </c>
      <c r="CX24" s="357">
        <f t="shared" si="61"/>
        <v>0</v>
      </c>
      <c r="CY24" s="322">
        <v>0</v>
      </c>
      <c r="CZ24" s="322">
        <v>0</v>
      </c>
      <c r="DA24" s="358">
        <f>CPP!T24</f>
        <v>0</v>
      </c>
      <c r="DB24" s="357">
        <f t="shared" si="29"/>
        <v>0</v>
      </c>
      <c r="DC24" s="357">
        <f t="shared" si="62"/>
        <v>306</v>
      </c>
      <c r="DD24" s="322">
        <v>0</v>
      </c>
      <c r="DE24" s="322">
        <v>0</v>
      </c>
      <c r="DF24" s="358">
        <f>CPP!U24</f>
        <v>0</v>
      </c>
      <c r="DG24" s="357">
        <f t="shared" si="30"/>
        <v>306</v>
      </c>
      <c r="DH24" s="357">
        <f t="shared" si="63"/>
        <v>0</v>
      </c>
      <c r="DI24" s="322">
        <v>0</v>
      </c>
      <c r="DJ24" s="322">
        <v>0</v>
      </c>
      <c r="DK24" s="358">
        <f>CPP!V24</f>
        <v>0</v>
      </c>
      <c r="DL24" s="357">
        <f t="shared" si="31"/>
        <v>0</v>
      </c>
      <c r="DM24" s="357">
        <f t="shared" si="64"/>
        <v>0</v>
      </c>
      <c r="DN24" s="322">
        <v>0</v>
      </c>
      <c r="DO24" s="322">
        <v>0</v>
      </c>
      <c r="DP24" s="358">
        <f>CPP!W24</f>
        <v>0</v>
      </c>
      <c r="DQ24" s="357">
        <f t="shared" si="32"/>
        <v>0</v>
      </c>
      <c r="DR24" s="357">
        <f t="shared" si="65"/>
        <v>3878.3500000000022</v>
      </c>
      <c r="DS24" s="1">
        <v>0</v>
      </c>
      <c r="DT24" s="1">
        <v>0</v>
      </c>
      <c r="DU24" s="358">
        <f>CPP!X24</f>
        <v>0</v>
      </c>
      <c r="DV24" s="357">
        <f t="shared" si="33"/>
        <v>3878.3500000000022</v>
      </c>
      <c r="DW24" s="357">
        <f t="shared" si="66"/>
        <v>0</v>
      </c>
      <c r="DX24" s="322">
        <v>0</v>
      </c>
      <c r="DY24" s="322">
        <v>0</v>
      </c>
      <c r="DZ24" s="358">
        <f>CPP!Y24</f>
        <v>0</v>
      </c>
      <c r="EA24" s="357">
        <f t="shared" si="34"/>
        <v>0</v>
      </c>
      <c r="EB24" s="129">
        <f t="shared" si="35"/>
        <v>5247.6769999999906</v>
      </c>
      <c r="EC24" s="170">
        <f t="shared" si="36"/>
        <v>0</v>
      </c>
      <c r="ED24" s="170">
        <f t="shared" si="69"/>
        <v>272.22000000000003</v>
      </c>
      <c r="EE24" s="129">
        <f t="shared" si="38"/>
        <v>4975.4569999999903</v>
      </c>
      <c r="EF24" s="18">
        <f t="shared" si="39"/>
        <v>6454.6699999999937</v>
      </c>
      <c r="EG24" s="170">
        <f t="shared" si="40"/>
        <v>30.05</v>
      </c>
      <c r="EH24" s="340">
        <f>CPP!D24+CPP!E24+CPP!F24+CPP!G24+CPP!H24+CPP!I24+CPP!J24+CPP!K24+CPP!L24+CPP!M24+CPP!N24+CPP!O24+CPP!P24+CPP!Q24+CPP!R24+CPP!S24+DA24+DF24+DK24+CPP!W24+DU24</f>
        <v>136</v>
      </c>
      <c r="EI24" s="353">
        <f>EF24+EG24-CPP!G24-CPP!E24-CPP!F24-CPP!P24-CPP!Q24-CL24-CQ24-DU24</f>
        <v>6348.7199999999939</v>
      </c>
      <c r="EJ24" s="360">
        <f t="shared" si="41"/>
        <v>27507.543086180747</v>
      </c>
      <c r="EK24" s="1">
        <v>1590</v>
      </c>
      <c r="EL24" s="361">
        <f>'Daily CEM-1'!AG25+'Daily  CEM - 2'!AF25-EQ24</f>
        <v>1725.2450013759999</v>
      </c>
      <c r="EM24" s="351">
        <f t="shared" si="42"/>
        <v>27372.298084804748</v>
      </c>
      <c r="EN24" s="322">
        <v>0</v>
      </c>
      <c r="EO24" s="353">
        <f t="shared" si="67"/>
        <v>5306.1090080001359</v>
      </c>
      <c r="EP24" s="1">
        <v>0</v>
      </c>
      <c r="EQ24" s="1">
        <v>0</v>
      </c>
      <c r="ER24" s="362">
        <f t="shared" si="43"/>
        <v>5306.1090080001359</v>
      </c>
      <c r="ES24" s="321">
        <f t="shared" si="44"/>
        <v>2278.44</v>
      </c>
      <c r="ET24" s="321">
        <v>2278.44</v>
      </c>
      <c r="EU24" s="363">
        <f t="shared" si="45"/>
        <v>1725.2450013759999</v>
      </c>
      <c r="EW24" s="51">
        <f>(EU24/Production2!CG24)*100</f>
        <v>76.848329682672599</v>
      </c>
      <c r="EX24" s="321">
        <v>76.848329682672599</v>
      </c>
    </row>
    <row r="25" spans="2:154" s="321" customFormat="1" ht="13.5" customHeight="1" x14ac:dyDescent="0.25">
      <c r="B25" s="348">
        <v>23</v>
      </c>
      <c r="C25" s="349">
        <f t="shared" si="3"/>
        <v>3244.92</v>
      </c>
      <c r="D25" s="1">
        <v>0</v>
      </c>
      <c r="E25" s="269">
        <f>F25+'RAW MILL 2'!F25</f>
        <v>58</v>
      </c>
      <c r="F25" s="1">
        <v>54</v>
      </c>
      <c r="G25" s="351">
        <f t="shared" si="4"/>
        <v>3186.92</v>
      </c>
      <c r="H25" s="349">
        <f t="shared" si="5"/>
        <v>488.83001683752127</v>
      </c>
      <c r="I25" s="352">
        <f>Production2!N25</f>
        <v>2102</v>
      </c>
      <c r="J25" s="352">
        <f>Production2!K25</f>
        <v>2077</v>
      </c>
      <c r="K25" s="18">
        <f t="shared" si="6"/>
        <v>513.83001683752127</v>
      </c>
      <c r="L25" s="354">
        <f t="shared" si="7"/>
        <v>0</v>
      </c>
      <c r="M25" s="322">
        <v>0</v>
      </c>
      <c r="N25" s="352">
        <f>CPP!D25</f>
        <v>0</v>
      </c>
      <c r="O25" s="322">
        <v>0</v>
      </c>
      <c r="P25" s="352">
        <f t="shared" si="0"/>
        <v>0</v>
      </c>
      <c r="Q25" s="351">
        <f t="shared" si="48"/>
        <v>0</v>
      </c>
      <c r="R25" s="349">
        <f t="shared" si="8"/>
        <v>0</v>
      </c>
      <c r="S25" s="322">
        <v>0</v>
      </c>
      <c r="T25" s="352">
        <f>CPP!E25</f>
        <v>0</v>
      </c>
      <c r="U25" s="355">
        <v>0</v>
      </c>
      <c r="V25" s="356">
        <f t="shared" si="9"/>
        <v>0</v>
      </c>
      <c r="W25" s="351">
        <f t="shared" si="10"/>
        <v>0</v>
      </c>
      <c r="X25" s="349">
        <f t="shared" si="11"/>
        <v>1063.0399999999981</v>
      </c>
      <c r="Y25" s="1">
        <v>0</v>
      </c>
      <c r="Z25" s="352">
        <f>CPP!H25</f>
        <v>0</v>
      </c>
      <c r="AA25" s="1">
        <v>0</v>
      </c>
      <c r="AB25" s="351">
        <f t="shared" si="12"/>
        <v>1063.0399999999981</v>
      </c>
      <c r="AC25" s="349">
        <f t="shared" si="13"/>
        <v>0</v>
      </c>
      <c r="AD25" s="322">
        <v>0</v>
      </c>
      <c r="AE25" s="322">
        <v>0</v>
      </c>
      <c r="AF25" s="351">
        <f t="shared" si="1"/>
        <v>0</v>
      </c>
      <c r="AG25" s="349">
        <f t="shared" si="14"/>
        <v>6076.4499999999935</v>
      </c>
      <c r="AH25" s="1">
        <v>0</v>
      </c>
      <c r="AI25" s="1">
        <v>234.44</v>
      </c>
      <c r="AJ25" s="340">
        <f>CPP!G25</f>
        <v>142</v>
      </c>
      <c r="AK25" s="9">
        <f t="shared" si="68"/>
        <v>5700.0099999999939</v>
      </c>
      <c r="AL25" s="357">
        <f t="shared" si="49"/>
        <v>0</v>
      </c>
      <c r="AM25" s="322">
        <v>0</v>
      </c>
      <c r="AN25" s="322">
        <v>0</v>
      </c>
      <c r="AO25" s="353">
        <f t="shared" si="15"/>
        <v>0</v>
      </c>
      <c r="AP25" s="357">
        <f t="shared" si="50"/>
        <v>0</v>
      </c>
      <c r="AQ25" s="322">
        <v>0</v>
      </c>
      <c r="AR25" s="322">
        <v>0</v>
      </c>
      <c r="AS25" s="358">
        <f>CPP!I25</f>
        <v>0</v>
      </c>
      <c r="AT25" s="357">
        <f t="shared" si="16"/>
        <v>0</v>
      </c>
      <c r="AU25" s="322">
        <f t="shared" si="51"/>
        <v>0</v>
      </c>
      <c r="AV25" s="322">
        <v>0</v>
      </c>
      <c r="AW25" s="322">
        <v>0</v>
      </c>
      <c r="AX25" s="340">
        <f>CPP!J25</f>
        <v>0</v>
      </c>
      <c r="AY25" s="322">
        <f t="shared" si="17"/>
        <v>0</v>
      </c>
      <c r="AZ25" s="322">
        <f t="shared" si="52"/>
        <v>0.286999999990248</v>
      </c>
      <c r="BA25" s="1">
        <v>0</v>
      </c>
      <c r="BB25" s="1">
        <v>0</v>
      </c>
      <c r="BC25" s="340">
        <f>CPP!K25</f>
        <v>0</v>
      </c>
      <c r="BD25" s="322">
        <f t="shared" si="18"/>
        <v>0.286999999990248</v>
      </c>
      <c r="BE25" s="322">
        <f t="shared" si="53"/>
        <v>0</v>
      </c>
      <c r="BF25" s="322">
        <v>0</v>
      </c>
      <c r="BG25" s="322">
        <v>0</v>
      </c>
      <c r="BH25" s="340">
        <f>CPP!L25</f>
        <v>0</v>
      </c>
      <c r="BI25" s="322">
        <f t="shared" si="19"/>
        <v>0</v>
      </c>
      <c r="BJ25" s="322">
        <f t="shared" si="54"/>
        <v>0</v>
      </c>
      <c r="BK25" s="322">
        <v>0</v>
      </c>
      <c r="BL25" s="322">
        <v>0</v>
      </c>
      <c r="BM25" s="340">
        <f>CPP!M25</f>
        <v>0</v>
      </c>
      <c r="BN25" s="322">
        <f t="shared" si="55"/>
        <v>0</v>
      </c>
      <c r="BO25" s="322">
        <f t="shared" si="20"/>
        <v>0</v>
      </c>
      <c r="BP25" s="322">
        <v>0</v>
      </c>
      <c r="BQ25" s="322">
        <v>0</v>
      </c>
      <c r="BR25" s="340">
        <f>CPP!N25</f>
        <v>0</v>
      </c>
      <c r="BS25" s="322">
        <f t="shared" si="21"/>
        <v>0</v>
      </c>
      <c r="BT25" s="322">
        <f t="shared" si="22"/>
        <v>0</v>
      </c>
      <c r="BU25" s="322">
        <v>0</v>
      </c>
      <c r="BV25" s="322">
        <v>0</v>
      </c>
      <c r="BW25" s="340">
        <f>CPP!O25</f>
        <v>0</v>
      </c>
      <c r="BX25" s="322">
        <f t="shared" si="23"/>
        <v>0</v>
      </c>
      <c r="BY25" s="359">
        <f t="shared" si="56"/>
        <v>0</v>
      </c>
      <c r="BZ25" s="322">
        <v>0</v>
      </c>
      <c r="CA25" s="322">
        <v>0</v>
      </c>
      <c r="CB25" s="340"/>
      <c r="CC25" s="355">
        <f t="shared" si="24"/>
        <v>0</v>
      </c>
      <c r="CD25" s="322">
        <f t="shared" si="57"/>
        <v>0</v>
      </c>
      <c r="CE25" s="322">
        <v>0</v>
      </c>
      <c r="CF25" s="322">
        <v>0</v>
      </c>
      <c r="CG25" s="340">
        <f>CPP!P25</f>
        <v>0</v>
      </c>
      <c r="CH25" s="355">
        <f t="shared" si="25"/>
        <v>0</v>
      </c>
      <c r="CI25" s="322">
        <f t="shared" si="58"/>
        <v>0</v>
      </c>
      <c r="CJ25" s="322">
        <v>0</v>
      </c>
      <c r="CK25" s="322">
        <v>0</v>
      </c>
      <c r="CL25" s="340">
        <f>CPP!Q25</f>
        <v>0</v>
      </c>
      <c r="CM25" s="322">
        <f t="shared" si="26"/>
        <v>0</v>
      </c>
      <c r="CN25" s="322">
        <f t="shared" si="59"/>
        <v>5.0000000000181899E-2</v>
      </c>
      <c r="CO25" s="322">
        <v>0</v>
      </c>
      <c r="CP25" s="322">
        <v>0</v>
      </c>
      <c r="CQ25" s="340">
        <f>CPP!R25</f>
        <v>0</v>
      </c>
      <c r="CR25" s="322">
        <f t="shared" si="27"/>
        <v>5.0000000000181899E-2</v>
      </c>
      <c r="CS25" s="357">
        <f t="shared" si="60"/>
        <v>0</v>
      </c>
      <c r="CT25" s="322">
        <v>0</v>
      </c>
      <c r="CU25" s="322">
        <v>0</v>
      </c>
      <c r="CV25" s="358">
        <f>CPP!S25</f>
        <v>0</v>
      </c>
      <c r="CW25" s="357">
        <f t="shared" si="28"/>
        <v>0</v>
      </c>
      <c r="CX25" s="357">
        <f t="shared" si="61"/>
        <v>0</v>
      </c>
      <c r="CY25" s="322">
        <v>0</v>
      </c>
      <c r="CZ25" s="322">
        <v>0</v>
      </c>
      <c r="DA25" s="358">
        <f>CPP!T25</f>
        <v>0</v>
      </c>
      <c r="DB25" s="357">
        <f t="shared" si="29"/>
        <v>0</v>
      </c>
      <c r="DC25" s="357">
        <f t="shared" si="62"/>
        <v>306</v>
      </c>
      <c r="DD25" s="322">
        <v>0</v>
      </c>
      <c r="DE25" s="322">
        <v>0</v>
      </c>
      <c r="DF25" s="358">
        <f>CPP!U25</f>
        <v>0</v>
      </c>
      <c r="DG25" s="357">
        <f t="shared" si="30"/>
        <v>306</v>
      </c>
      <c r="DH25" s="357">
        <f t="shared" si="63"/>
        <v>0</v>
      </c>
      <c r="DI25" s="322">
        <v>0</v>
      </c>
      <c r="DJ25" s="322">
        <v>0</v>
      </c>
      <c r="DK25" s="358">
        <f>CPP!V25</f>
        <v>0</v>
      </c>
      <c r="DL25" s="357">
        <f t="shared" si="31"/>
        <v>0</v>
      </c>
      <c r="DM25" s="357">
        <f t="shared" si="64"/>
        <v>0</v>
      </c>
      <c r="DN25" s="322">
        <v>0</v>
      </c>
      <c r="DO25" s="322">
        <v>0</v>
      </c>
      <c r="DP25" s="358">
        <f>CPP!W25</f>
        <v>0</v>
      </c>
      <c r="DQ25" s="357">
        <f t="shared" si="32"/>
        <v>0</v>
      </c>
      <c r="DR25" s="357">
        <f t="shared" si="65"/>
        <v>3878.3500000000022</v>
      </c>
      <c r="DS25" s="1">
        <v>0</v>
      </c>
      <c r="DT25" s="1">
        <v>0</v>
      </c>
      <c r="DU25" s="358">
        <f>CPP!X25</f>
        <v>0</v>
      </c>
      <c r="DV25" s="357">
        <f t="shared" si="33"/>
        <v>3878.3500000000022</v>
      </c>
      <c r="DW25" s="357">
        <f t="shared" si="66"/>
        <v>0</v>
      </c>
      <c r="DX25" s="322">
        <v>0</v>
      </c>
      <c r="DY25" s="322">
        <v>0</v>
      </c>
      <c r="DZ25" s="358">
        <f>CPP!Y25</f>
        <v>0</v>
      </c>
      <c r="EA25" s="357">
        <f t="shared" si="34"/>
        <v>0</v>
      </c>
      <c r="EB25" s="129">
        <f t="shared" si="35"/>
        <v>5247.6769999999906</v>
      </c>
      <c r="EC25" s="170">
        <f t="shared" si="36"/>
        <v>0</v>
      </c>
      <c r="ED25" s="170">
        <f t="shared" si="69"/>
        <v>234.44</v>
      </c>
      <c r="EE25" s="129">
        <f t="shared" si="38"/>
        <v>5013.236999999991</v>
      </c>
      <c r="EF25" s="18">
        <f t="shared" si="39"/>
        <v>6076.4999999999936</v>
      </c>
      <c r="EG25" s="170">
        <f t="shared" si="40"/>
        <v>0</v>
      </c>
      <c r="EH25" s="340">
        <f>CPP!D25+CPP!E25+CPP!F25+CPP!G25+CPP!H25+CPP!I25+CPP!J25+CPP!K25+CPP!L25+CPP!M25+CPP!N25+CPP!O25+CPP!P25+CPP!Q25+CPP!R25+CPP!S25+DA25+DF25+DK25+CPP!W25+DU25+DZ25</f>
        <v>142</v>
      </c>
      <c r="EI25" s="353">
        <f>EF25+EG25-CPP!G25-CPP!E25-CPP!F25-CPP!P25-CPP!Q25-CL25-CQ25-DU25</f>
        <v>5934.4999999999936</v>
      </c>
      <c r="EJ25" s="360">
        <f t="shared" si="41"/>
        <v>27372.298084804748</v>
      </c>
      <c r="EK25" s="1">
        <v>1340</v>
      </c>
      <c r="EL25" s="361">
        <f>'Daily CEM-1'!AG26+'Daily  CEM - 2'!AF26-EQ25</f>
        <v>1591.9830015507</v>
      </c>
      <c r="EM25" s="351">
        <f t="shared" si="42"/>
        <v>27120.315083254049</v>
      </c>
      <c r="EN25" s="322">
        <v>0</v>
      </c>
      <c r="EO25" s="353">
        <f t="shared" si="67"/>
        <v>5306.1090080001359</v>
      </c>
      <c r="EP25" s="1">
        <v>0</v>
      </c>
      <c r="EQ25" s="1">
        <v>0</v>
      </c>
      <c r="ER25" s="362">
        <f t="shared" si="43"/>
        <v>5306.1090080001359</v>
      </c>
      <c r="ES25" s="321">
        <f t="shared" si="44"/>
        <v>633.94000000000005</v>
      </c>
      <c r="ET25" s="321">
        <v>633.94000000000005</v>
      </c>
      <c r="EU25" s="363">
        <f t="shared" si="45"/>
        <v>1591.9830015507</v>
      </c>
      <c r="EW25" s="51">
        <f>(EU25/Production2!CG25)*100</f>
        <v>76.354100793798565</v>
      </c>
      <c r="EX25" s="321">
        <v>76.354100793798565</v>
      </c>
    </row>
    <row r="26" spans="2:154" s="321" customFormat="1" x14ac:dyDescent="0.25">
      <c r="B26" s="348">
        <v>24</v>
      </c>
      <c r="C26" s="349">
        <f t="shared" si="3"/>
        <v>3186.92</v>
      </c>
      <c r="D26" s="1">
        <v>0</v>
      </c>
      <c r="E26" s="269">
        <f>F26+'RAW MILL 2'!F26</f>
        <v>94</v>
      </c>
      <c r="F26" s="1">
        <v>90</v>
      </c>
      <c r="G26" s="351">
        <f t="shared" si="4"/>
        <v>3092.92</v>
      </c>
      <c r="H26" s="349">
        <f t="shared" si="5"/>
        <v>513.83001683752127</v>
      </c>
      <c r="I26" s="352">
        <f>Production2!N26</f>
        <v>2890</v>
      </c>
      <c r="J26" s="352">
        <f>Production2!K26</f>
        <v>2802.4</v>
      </c>
      <c r="K26" s="18">
        <f t="shared" si="6"/>
        <v>601.43001683752118</v>
      </c>
      <c r="L26" s="354">
        <f t="shared" si="7"/>
        <v>0</v>
      </c>
      <c r="M26" s="322">
        <v>0</v>
      </c>
      <c r="N26" s="352">
        <f>CPP!D26</f>
        <v>0</v>
      </c>
      <c r="O26" s="322">
        <v>0</v>
      </c>
      <c r="P26" s="352">
        <f t="shared" si="0"/>
        <v>0</v>
      </c>
      <c r="Q26" s="351">
        <f t="shared" si="48"/>
        <v>0</v>
      </c>
      <c r="R26" s="349">
        <f t="shared" si="8"/>
        <v>0</v>
      </c>
      <c r="S26" s="322">
        <v>0</v>
      </c>
      <c r="T26" s="352">
        <f>CPP!E26</f>
        <v>0</v>
      </c>
      <c r="U26" s="355">
        <v>0</v>
      </c>
      <c r="V26" s="356">
        <f t="shared" si="9"/>
        <v>0</v>
      </c>
      <c r="W26" s="351">
        <f t="shared" si="10"/>
        <v>0</v>
      </c>
      <c r="X26" s="349">
        <f t="shared" si="11"/>
        <v>1063.0399999999981</v>
      </c>
      <c r="Y26" s="1">
        <v>0</v>
      </c>
      <c r="Z26" s="352">
        <f>CPP!H26</f>
        <v>0</v>
      </c>
      <c r="AA26" s="1">
        <v>0</v>
      </c>
      <c r="AB26" s="351">
        <f t="shared" si="12"/>
        <v>1063.0399999999981</v>
      </c>
      <c r="AC26" s="349">
        <f t="shared" si="13"/>
        <v>0</v>
      </c>
      <c r="AD26" s="322">
        <v>0</v>
      </c>
      <c r="AE26" s="322">
        <v>0</v>
      </c>
      <c r="AF26" s="351">
        <f t="shared" si="1"/>
        <v>0</v>
      </c>
      <c r="AG26" s="349">
        <f t="shared" si="14"/>
        <v>5700.0099999999939</v>
      </c>
      <c r="AH26" s="1">
        <v>0</v>
      </c>
      <c r="AI26" s="1">
        <v>305.56</v>
      </c>
      <c r="AJ26" s="340">
        <f>CPP!G26</f>
        <v>160</v>
      </c>
      <c r="AK26" s="9">
        <f>AG26+AH26-AI26-AJ26</f>
        <v>5234.4499999999935</v>
      </c>
      <c r="AL26" s="357">
        <f t="shared" si="49"/>
        <v>0</v>
      </c>
      <c r="AM26" s="322">
        <v>0</v>
      </c>
      <c r="AN26" s="322">
        <v>0</v>
      </c>
      <c r="AO26" s="353">
        <f t="shared" si="15"/>
        <v>0</v>
      </c>
      <c r="AP26" s="357">
        <f t="shared" si="50"/>
        <v>0</v>
      </c>
      <c r="AQ26" s="322">
        <v>0</v>
      </c>
      <c r="AR26" s="322">
        <v>0</v>
      </c>
      <c r="AS26" s="358">
        <f>CPP!I26</f>
        <v>0</v>
      </c>
      <c r="AT26" s="357">
        <f t="shared" si="16"/>
        <v>0</v>
      </c>
      <c r="AU26" s="322">
        <f t="shared" si="51"/>
        <v>0</v>
      </c>
      <c r="AV26" s="322">
        <v>0</v>
      </c>
      <c r="AW26" s="322">
        <v>0</v>
      </c>
      <c r="AX26" s="340">
        <f>CPP!J26</f>
        <v>0</v>
      </c>
      <c r="AY26" s="322">
        <f t="shared" si="17"/>
        <v>0</v>
      </c>
      <c r="AZ26" s="322">
        <f t="shared" si="52"/>
        <v>0.286999999990248</v>
      </c>
      <c r="BA26" s="1">
        <v>0</v>
      </c>
      <c r="BB26" s="1">
        <v>0</v>
      </c>
      <c r="BC26" s="340">
        <f>CPP!K26</f>
        <v>0</v>
      </c>
      <c r="BD26" s="322">
        <f t="shared" si="18"/>
        <v>0.286999999990248</v>
      </c>
      <c r="BE26" s="322">
        <f t="shared" si="53"/>
        <v>0</v>
      </c>
      <c r="BF26" s="322">
        <v>0</v>
      </c>
      <c r="BG26" s="322">
        <v>0</v>
      </c>
      <c r="BH26" s="340">
        <f>CPP!L26</f>
        <v>0</v>
      </c>
      <c r="BI26" s="322">
        <f t="shared" si="19"/>
        <v>0</v>
      </c>
      <c r="BJ26" s="322">
        <f t="shared" si="54"/>
        <v>0</v>
      </c>
      <c r="BK26" s="322">
        <v>0</v>
      </c>
      <c r="BL26" s="322">
        <v>0</v>
      </c>
      <c r="BM26" s="340">
        <f>CPP!M26</f>
        <v>0</v>
      </c>
      <c r="BN26" s="322">
        <f t="shared" si="55"/>
        <v>0</v>
      </c>
      <c r="BO26" s="322">
        <f t="shared" si="20"/>
        <v>0</v>
      </c>
      <c r="BP26" s="322">
        <v>0</v>
      </c>
      <c r="BQ26" s="322">
        <v>0</v>
      </c>
      <c r="BR26" s="340">
        <f>CPP!N26</f>
        <v>0</v>
      </c>
      <c r="BS26" s="322">
        <f t="shared" si="21"/>
        <v>0</v>
      </c>
      <c r="BT26" s="322">
        <f t="shared" si="22"/>
        <v>0</v>
      </c>
      <c r="BU26" s="322">
        <v>0</v>
      </c>
      <c r="BV26" s="322">
        <v>0</v>
      </c>
      <c r="BW26" s="340">
        <f>CPP!O26</f>
        <v>0</v>
      </c>
      <c r="BX26" s="322">
        <f t="shared" si="23"/>
        <v>0</v>
      </c>
      <c r="BY26" s="359">
        <f t="shared" si="56"/>
        <v>0</v>
      </c>
      <c r="BZ26" s="322">
        <v>0</v>
      </c>
      <c r="CA26" s="322">
        <v>0</v>
      </c>
      <c r="CB26" s="340"/>
      <c r="CC26" s="355">
        <f t="shared" si="24"/>
        <v>0</v>
      </c>
      <c r="CD26" s="322">
        <f t="shared" si="57"/>
        <v>0</v>
      </c>
      <c r="CE26" s="322">
        <v>0</v>
      </c>
      <c r="CF26" s="322">
        <v>0</v>
      </c>
      <c r="CG26" s="340">
        <f>CPP!P26</f>
        <v>0</v>
      </c>
      <c r="CH26" s="355">
        <f t="shared" si="25"/>
        <v>0</v>
      </c>
      <c r="CI26" s="322">
        <f t="shared" si="58"/>
        <v>0</v>
      </c>
      <c r="CJ26" s="322">
        <v>0</v>
      </c>
      <c r="CK26" s="322">
        <v>0</v>
      </c>
      <c r="CL26" s="340">
        <f>CPP!Q26</f>
        <v>0</v>
      </c>
      <c r="CM26" s="322">
        <f t="shared" si="26"/>
        <v>0</v>
      </c>
      <c r="CN26" s="322">
        <f t="shared" si="59"/>
        <v>5.0000000000181899E-2</v>
      </c>
      <c r="CO26" s="322">
        <v>0</v>
      </c>
      <c r="CP26" s="322">
        <v>0</v>
      </c>
      <c r="CQ26" s="340">
        <f>CPP!R26</f>
        <v>0</v>
      </c>
      <c r="CR26" s="322">
        <f t="shared" si="27"/>
        <v>5.0000000000181899E-2</v>
      </c>
      <c r="CS26" s="357">
        <f t="shared" si="60"/>
        <v>0</v>
      </c>
      <c r="CT26" s="322">
        <v>0</v>
      </c>
      <c r="CU26" s="322">
        <v>0</v>
      </c>
      <c r="CV26" s="358">
        <f>CPP!S26</f>
        <v>0</v>
      </c>
      <c r="CW26" s="357">
        <f t="shared" si="28"/>
        <v>0</v>
      </c>
      <c r="CX26" s="357">
        <f t="shared" si="61"/>
        <v>0</v>
      </c>
      <c r="CY26" s="322">
        <v>0</v>
      </c>
      <c r="CZ26" s="322">
        <v>0</v>
      </c>
      <c r="DA26" s="358">
        <f>CPP!T26</f>
        <v>0</v>
      </c>
      <c r="DB26" s="357">
        <f t="shared" si="29"/>
        <v>0</v>
      </c>
      <c r="DC26" s="357">
        <f t="shared" si="62"/>
        <v>306</v>
      </c>
      <c r="DD26" s="322">
        <v>0</v>
      </c>
      <c r="DE26" s="322">
        <v>0</v>
      </c>
      <c r="DF26" s="358">
        <f>CPP!U26</f>
        <v>0</v>
      </c>
      <c r="DG26" s="357">
        <f t="shared" si="30"/>
        <v>306</v>
      </c>
      <c r="DH26" s="357">
        <f t="shared" si="63"/>
        <v>0</v>
      </c>
      <c r="DI26" s="322">
        <v>0</v>
      </c>
      <c r="DJ26" s="322">
        <v>0</v>
      </c>
      <c r="DK26" s="358">
        <f>CPP!V26</f>
        <v>0</v>
      </c>
      <c r="DL26" s="357">
        <f t="shared" si="31"/>
        <v>0</v>
      </c>
      <c r="DM26" s="357">
        <f t="shared" si="64"/>
        <v>0</v>
      </c>
      <c r="DN26" s="322">
        <v>0</v>
      </c>
      <c r="DO26" s="322">
        <v>0</v>
      </c>
      <c r="DP26" s="358">
        <f>CPP!W26</f>
        <v>0</v>
      </c>
      <c r="DQ26" s="357">
        <f t="shared" si="32"/>
        <v>0</v>
      </c>
      <c r="DR26" s="357">
        <f t="shared" si="65"/>
        <v>3878.3500000000022</v>
      </c>
      <c r="DS26" s="1">
        <v>0</v>
      </c>
      <c r="DT26" s="1">
        <v>0</v>
      </c>
      <c r="DU26" s="358">
        <f>CPP!X26</f>
        <v>0</v>
      </c>
      <c r="DV26" s="357">
        <f t="shared" si="33"/>
        <v>3878.3500000000022</v>
      </c>
      <c r="DW26" s="357">
        <f t="shared" si="66"/>
        <v>0</v>
      </c>
      <c r="DX26" s="322">
        <v>0</v>
      </c>
      <c r="DY26" s="322">
        <v>0</v>
      </c>
      <c r="DZ26" s="358">
        <f>CPP!Y26</f>
        <v>0</v>
      </c>
      <c r="EA26" s="357">
        <f t="shared" si="34"/>
        <v>0</v>
      </c>
      <c r="EB26" s="129">
        <f t="shared" si="35"/>
        <v>5247.6769999999906</v>
      </c>
      <c r="EC26" s="170">
        <f t="shared" si="36"/>
        <v>0</v>
      </c>
      <c r="ED26" s="170">
        <f t="shared" si="69"/>
        <v>305.56</v>
      </c>
      <c r="EE26" s="129">
        <f t="shared" si="38"/>
        <v>4942.1169999999902</v>
      </c>
      <c r="EF26" s="18">
        <f t="shared" si="39"/>
        <v>5700.059999999994</v>
      </c>
      <c r="EG26" s="170">
        <f t="shared" si="40"/>
        <v>0</v>
      </c>
      <c r="EH26" s="340">
        <f>CPP!D26+CPP!E26+CPP!F26+CPP!G26+CPP!H26+CPP!I26+CPP!J26+CPP!K26+CPP!L26+CPP!M26+CPP!N26+CPP!O26+CPP!P26+CPP!Q26+CPP!R26+CPP!S26+DA26+DF26+DK26+CPP!W26+DU26</f>
        <v>160</v>
      </c>
      <c r="EI26" s="353">
        <f>EF26+EG26-CPP!G26-CPP!E26-CPP!F26-CPP!P26-CPP!Q26-CL26-CQ26-DU26</f>
        <v>5540.059999999994</v>
      </c>
      <c r="EJ26" s="360">
        <f t="shared" si="41"/>
        <v>27120.315083254049</v>
      </c>
      <c r="EK26" s="1">
        <v>1808</v>
      </c>
      <c r="EL26" s="361">
        <f>'Daily CEM-1'!AG27+'Daily  CEM - 2'!AF27-EQ26</f>
        <v>1981.3500000000013</v>
      </c>
      <c r="EM26" s="351">
        <f t="shared" si="42"/>
        <v>26946.965083254046</v>
      </c>
      <c r="EN26" s="322">
        <v>0</v>
      </c>
      <c r="EO26" s="353">
        <f t="shared" si="67"/>
        <v>5306.1090080001359</v>
      </c>
      <c r="EP26" s="1">
        <v>0</v>
      </c>
      <c r="EQ26" s="1">
        <v>0</v>
      </c>
      <c r="ER26" s="362">
        <f t="shared" si="43"/>
        <v>5306.1090080001359</v>
      </c>
      <c r="ES26" s="321">
        <f t="shared" si="44"/>
        <v>1236.4000000000001</v>
      </c>
      <c r="ET26" s="321">
        <v>1236.4000000000001</v>
      </c>
      <c r="EU26" s="363">
        <f t="shared" si="45"/>
        <v>1981.3500000000013</v>
      </c>
      <c r="EW26" s="51">
        <f>(EU26/Production2!CG26)*100</f>
        <v>77.245614035087769</v>
      </c>
      <c r="EX26" s="321">
        <v>77.245614035087769</v>
      </c>
    </row>
    <row r="27" spans="2:154" s="321" customFormat="1" x14ac:dyDescent="0.25">
      <c r="B27" s="348">
        <v>25</v>
      </c>
      <c r="C27" s="349">
        <f t="shared" si="3"/>
        <v>3092.92</v>
      </c>
      <c r="D27" s="1">
        <v>0</v>
      </c>
      <c r="E27" s="269">
        <f>F27+'RAW MILL 2'!F27</f>
        <v>75</v>
      </c>
      <c r="F27" s="1">
        <v>75</v>
      </c>
      <c r="G27" s="351">
        <f t="shared" si="4"/>
        <v>3017.92</v>
      </c>
      <c r="H27" s="349">
        <f t="shared" si="5"/>
        <v>601.43001683752118</v>
      </c>
      <c r="I27" s="352">
        <f>Production2!N27</f>
        <v>2425.0500000000002</v>
      </c>
      <c r="J27" s="352">
        <f>Production2!K27</f>
        <v>2929.5</v>
      </c>
      <c r="K27" s="18">
        <f t="shared" si="6"/>
        <v>96.980016837521362</v>
      </c>
      <c r="L27" s="354">
        <f t="shared" si="7"/>
        <v>0</v>
      </c>
      <c r="M27" s="322">
        <v>0</v>
      </c>
      <c r="N27" s="352">
        <f>CPP!D27</f>
        <v>0</v>
      </c>
      <c r="O27" s="322">
        <v>0</v>
      </c>
      <c r="P27" s="352">
        <f>N27+O27</f>
        <v>0</v>
      </c>
      <c r="Q27" s="351">
        <f t="shared" si="48"/>
        <v>0</v>
      </c>
      <c r="R27" s="349">
        <f t="shared" si="8"/>
        <v>0</v>
      </c>
      <c r="S27" s="322">
        <v>0</v>
      </c>
      <c r="T27" s="352">
        <f>CPP!E27</f>
        <v>0</v>
      </c>
      <c r="U27" s="355">
        <v>0</v>
      </c>
      <c r="V27" s="356">
        <f t="shared" si="9"/>
        <v>0</v>
      </c>
      <c r="W27" s="351">
        <f t="shared" si="10"/>
        <v>0</v>
      </c>
      <c r="X27" s="349">
        <f t="shared" si="11"/>
        <v>1063.0399999999981</v>
      </c>
      <c r="Y27" s="1">
        <v>0</v>
      </c>
      <c r="Z27" s="352">
        <f>CPP!H27</f>
        <v>0</v>
      </c>
      <c r="AA27" s="1">
        <v>0</v>
      </c>
      <c r="AB27" s="351">
        <f t="shared" si="12"/>
        <v>1063.0399999999981</v>
      </c>
      <c r="AC27" s="349">
        <f t="shared" si="13"/>
        <v>0</v>
      </c>
      <c r="AD27" s="322">
        <v>0</v>
      </c>
      <c r="AE27" s="322">
        <v>0</v>
      </c>
      <c r="AF27" s="351">
        <f>AC27+AD27-AE27</f>
        <v>0</v>
      </c>
      <c r="AG27" s="349">
        <f t="shared" si="14"/>
        <v>5234.4499999999935</v>
      </c>
      <c r="AH27" s="1">
        <v>451.9</v>
      </c>
      <c r="AI27" s="1">
        <v>285</v>
      </c>
      <c r="AJ27" s="340">
        <f>CPP!G27</f>
        <v>144</v>
      </c>
      <c r="AK27" s="9">
        <f t="shared" si="68"/>
        <v>5257.3499999999931</v>
      </c>
      <c r="AL27" s="357">
        <f t="shared" si="49"/>
        <v>0</v>
      </c>
      <c r="AM27" s="322">
        <v>0</v>
      </c>
      <c r="AN27" s="322">
        <v>0</v>
      </c>
      <c r="AO27" s="353">
        <f t="shared" si="15"/>
        <v>0</v>
      </c>
      <c r="AP27" s="357">
        <f t="shared" si="50"/>
        <v>0</v>
      </c>
      <c r="AQ27" s="322">
        <v>0</v>
      </c>
      <c r="AR27" s="322">
        <v>0</v>
      </c>
      <c r="AS27" s="358">
        <f>CPP!I27</f>
        <v>0</v>
      </c>
      <c r="AT27" s="357">
        <f t="shared" si="16"/>
        <v>0</v>
      </c>
      <c r="AU27" s="322">
        <f t="shared" si="51"/>
        <v>0</v>
      </c>
      <c r="AV27" s="322">
        <v>0</v>
      </c>
      <c r="AW27" s="322">
        <v>0</v>
      </c>
      <c r="AX27" s="340">
        <f>CPP!J27</f>
        <v>0</v>
      </c>
      <c r="AY27" s="322">
        <f t="shared" si="17"/>
        <v>0</v>
      </c>
      <c r="AZ27" s="322">
        <f t="shared" si="52"/>
        <v>0.286999999990248</v>
      </c>
      <c r="BA27" s="1">
        <v>0</v>
      </c>
      <c r="BB27" s="1">
        <v>0</v>
      </c>
      <c r="BC27" s="340">
        <f>CPP!K27</f>
        <v>0</v>
      </c>
      <c r="BD27" s="322">
        <f t="shared" si="18"/>
        <v>0.286999999990248</v>
      </c>
      <c r="BE27" s="322">
        <f t="shared" si="53"/>
        <v>0</v>
      </c>
      <c r="BF27" s="322">
        <v>0</v>
      </c>
      <c r="BG27" s="322">
        <v>0</v>
      </c>
      <c r="BH27" s="340">
        <f>CPP!L27</f>
        <v>0</v>
      </c>
      <c r="BI27" s="322">
        <f t="shared" si="19"/>
        <v>0</v>
      </c>
      <c r="BJ27" s="322">
        <f t="shared" si="54"/>
        <v>0</v>
      </c>
      <c r="BK27" s="322">
        <v>0</v>
      </c>
      <c r="BL27" s="322">
        <v>0</v>
      </c>
      <c r="BM27" s="340">
        <f>CPP!M27</f>
        <v>0</v>
      </c>
      <c r="BN27" s="322">
        <f t="shared" si="55"/>
        <v>0</v>
      </c>
      <c r="BO27" s="322">
        <f t="shared" si="20"/>
        <v>0</v>
      </c>
      <c r="BP27" s="322">
        <v>0</v>
      </c>
      <c r="BQ27" s="322">
        <v>0</v>
      </c>
      <c r="BR27" s="340">
        <f>CPP!N27</f>
        <v>0</v>
      </c>
      <c r="BS27" s="322">
        <f t="shared" si="21"/>
        <v>0</v>
      </c>
      <c r="BT27" s="322">
        <f t="shared" si="22"/>
        <v>0</v>
      </c>
      <c r="BU27" s="322">
        <v>0</v>
      </c>
      <c r="BV27" s="322">
        <v>0</v>
      </c>
      <c r="BW27" s="340">
        <f>CPP!O27</f>
        <v>0</v>
      </c>
      <c r="BX27" s="322">
        <f t="shared" si="23"/>
        <v>0</v>
      </c>
      <c r="BY27" s="359">
        <f t="shared" si="56"/>
        <v>0</v>
      </c>
      <c r="BZ27" s="322">
        <v>0</v>
      </c>
      <c r="CA27" s="322">
        <v>0</v>
      </c>
      <c r="CB27" s="340"/>
      <c r="CC27" s="355">
        <f t="shared" si="24"/>
        <v>0</v>
      </c>
      <c r="CD27" s="322">
        <f t="shared" si="57"/>
        <v>0</v>
      </c>
      <c r="CE27" s="322">
        <v>0</v>
      </c>
      <c r="CF27" s="322">
        <v>0</v>
      </c>
      <c r="CG27" s="340">
        <f>CPP!P27</f>
        <v>0</v>
      </c>
      <c r="CH27" s="355">
        <f t="shared" si="25"/>
        <v>0</v>
      </c>
      <c r="CI27" s="322">
        <f t="shared" si="58"/>
        <v>0</v>
      </c>
      <c r="CJ27" s="322">
        <v>0</v>
      </c>
      <c r="CK27" s="322">
        <v>0</v>
      </c>
      <c r="CL27" s="340">
        <f>CPP!Q27</f>
        <v>0</v>
      </c>
      <c r="CM27" s="322">
        <f t="shared" si="26"/>
        <v>0</v>
      </c>
      <c r="CN27" s="322">
        <f t="shared" si="59"/>
        <v>5.0000000000181899E-2</v>
      </c>
      <c r="CO27" s="322">
        <v>0</v>
      </c>
      <c r="CP27" s="322">
        <v>0</v>
      </c>
      <c r="CQ27" s="340">
        <f>CPP!R27</f>
        <v>0</v>
      </c>
      <c r="CR27" s="322">
        <f t="shared" si="27"/>
        <v>5.0000000000181899E-2</v>
      </c>
      <c r="CS27" s="357">
        <f t="shared" si="60"/>
        <v>0</v>
      </c>
      <c r="CT27" s="322">
        <v>0</v>
      </c>
      <c r="CU27" s="322">
        <v>0</v>
      </c>
      <c r="CV27" s="358">
        <f>CPP!S27</f>
        <v>0</v>
      </c>
      <c r="CW27" s="357">
        <f t="shared" si="28"/>
        <v>0</v>
      </c>
      <c r="CX27" s="357">
        <f t="shared" si="61"/>
        <v>0</v>
      </c>
      <c r="CY27" s="322">
        <v>0</v>
      </c>
      <c r="CZ27" s="322">
        <v>0</v>
      </c>
      <c r="DA27" s="358">
        <f>CPP!T27</f>
        <v>0</v>
      </c>
      <c r="DB27" s="357">
        <f t="shared" si="29"/>
        <v>0</v>
      </c>
      <c r="DC27" s="357">
        <f t="shared" si="62"/>
        <v>306</v>
      </c>
      <c r="DD27" s="322">
        <v>0</v>
      </c>
      <c r="DE27" s="322">
        <v>0</v>
      </c>
      <c r="DF27" s="358">
        <f>CPP!U27</f>
        <v>0</v>
      </c>
      <c r="DG27" s="357">
        <f t="shared" si="30"/>
        <v>306</v>
      </c>
      <c r="DH27" s="357">
        <f t="shared" si="63"/>
        <v>0</v>
      </c>
      <c r="DI27" s="322">
        <v>0</v>
      </c>
      <c r="DJ27" s="322">
        <v>0</v>
      </c>
      <c r="DK27" s="358">
        <f>CPP!V27</f>
        <v>0</v>
      </c>
      <c r="DL27" s="357">
        <f t="shared" si="31"/>
        <v>0</v>
      </c>
      <c r="DM27" s="357">
        <f t="shared" si="64"/>
        <v>0</v>
      </c>
      <c r="DN27" s="322">
        <v>0</v>
      </c>
      <c r="DO27" s="322">
        <v>0</v>
      </c>
      <c r="DP27" s="358">
        <f>CPP!W27</f>
        <v>0</v>
      </c>
      <c r="DQ27" s="357">
        <f t="shared" si="32"/>
        <v>0</v>
      </c>
      <c r="DR27" s="357">
        <f t="shared" si="65"/>
        <v>3878.3500000000022</v>
      </c>
      <c r="DS27" s="1">
        <v>0</v>
      </c>
      <c r="DT27" s="1">
        <v>0</v>
      </c>
      <c r="DU27" s="358">
        <f>CPP!X27</f>
        <v>0</v>
      </c>
      <c r="DV27" s="357">
        <f t="shared" si="33"/>
        <v>3878.3500000000022</v>
      </c>
      <c r="DW27" s="357">
        <f t="shared" si="66"/>
        <v>0</v>
      </c>
      <c r="DX27" s="322">
        <v>0</v>
      </c>
      <c r="DY27" s="322">
        <v>0</v>
      </c>
      <c r="DZ27" s="358">
        <f>CPP!Y27</f>
        <v>0</v>
      </c>
      <c r="EA27" s="357">
        <f t="shared" si="34"/>
        <v>0</v>
      </c>
      <c r="EB27" s="129">
        <f t="shared" si="35"/>
        <v>5247.6769999999906</v>
      </c>
      <c r="EC27" s="170">
        <f t="shared" si="36"/>
        <v>0</v>
      </c>
      <c r="ED27" s="170">
        <f t="shared" si="69"/>
        <v>285</v>
      </c>
      <c r="EE27" s="129">
        <f t="shared" si="38"/>
        <v>4962.6769999999906</v>
      </c>
      <c r="EF27" s="18">
        <f t="shared" si="39"/>
        <v>5234.4999999999936</v>
      </c>
      <c r="EG27" s="170">
        <f t="shared" si="40"/>
        <v>451.9</v>
      </c>
      <c r="EH27" s="340">
        <f>CPP!D27+CPP!E27+CPP!F27+CPP!G27+CPP!H27+CPP!I27+CPP!J27+CPP!K27+CPP!L27+CPP!M27+CPP!N27+CPP!O27+CPP!P27+CPP!Q27+CPP!R27+CPP!S27+DA27+DF27+DK27+CPP!W27+DU27</f>
        <v>144</v>
      </c>
      <c r="EI27" s="353">
        <f>EF27+EG27-CPP!G27-CPP!E27-CPP!F27-CPP!P27-CPP!Q27-CL27-CQ27-DU27</f>
        <v>5542.3999999999933</v>
      </c>
      <c r="EJ27" s="360">
        <f t="shared" si="41"/>
        <v>26946.965083254046</v>
      </c>
      <c r="EK27" s="1">
        <v>1890</v>
      </c>
      <c r="EL27" s="361">
        <f>'Daily CEM-1'!AG28+'Daily  CEM - 2'!AF28-EQ27</f>
        <v>1664.920000000001</v>
      </c>
      <c r="EM27" s="351">
        <f t="shared" si="42"/>
        <v>27172.045083254045</v>
      </c>
      <c r="EN27" s="322">
        <v>0</v>
      </c>
      <c r="EO27" s="353">
        <f t="shared" si="67"/>
        <v>5306.1090080001359</v>
      </c>
      <c r="EP27" s="1">
        <v>0</v>
      </c>
      <c r="EQ27" s="1">
        <v>0</v>
      </c>
      <c r="ER27" s="362">
        <f t="shared" si="43"/>
        <v>5306.1090080001359</v>
      </c>
      <c r="ES27" s="321">
        <f t="shared" si="44"/>
        <v>1370.76</v>
      </c>
      <c r="ET27" s="321">
        <v>1370.76</v>
      </c>
      <c r="EU27" s="363">
        <f t="shared" si="45"/>
        <v>1664.920000000001</v>
      </c>
      <c r="EW27" s="51">
        <f>(EU27/Production2!CG27)*100</f>
        <v>77.151065801668267</v>
      </c>
      <c r="EX27" s="321">
        <v>77.151065801668267</v>
      </c>
    </row>
    <row r="28" spans="2:154" s="321" customFormat="1" x14ac:dyDescent="0.25">
      <c r="B28" s="348">
        <v>26</v>
      </c>
      <c r="C28" s="349">
        <f t="shared" ref="C28:C33" si="70">G27</f>
        <v>3017.92</v>
      </c>
      <c r="D28" s="1">
        <v>0</v>
      </c>
      <c r="E28" s="350">
        <f>F28+'RAW MILL 2'!F28</f>
        <v>53</v>
      </c>
      <c r="F28" s="1">
        <v>53</v>
      </c>
      <c r="G28" s="351">
        <f t="shared" si="4"/>
        <v>2964.92</v>
      </c>
      <c r="H28" s="349">
        <f t="shared" ref="H28:H33" si="71">K27</f>
        <v>96.980016837521362</v>
      </c>
      <c r="I28" s="352">
        <f>Production2!N28</f>
        <v>1681.89</v>
      </c>
      <c r="J28" s="352">
        <f>Production2!K28</f>
        <v>2438.15</v>
      </c>
      <c r="K28" s="18">
        <f t="shared" si="6"/>
        <v>-659.27998316247863</v>
      </c>
      <c r="L28" s="354">
        <f t="shared" ref="L28:L33" si="72">Q27</f>
        <v>0</v>
      </c>
      <c r="M28" s="322">
        <v>0</v>
      </c>
      <c r="N28" s="352">
        <f>CPP!D28</f>
        <v>0</v>
      </c>
      <c r="O28" s="322">
        <v>0</v>
      </c>
      <c r="P28" s="352">
        <f t="shared" ref="P28:P33" si="73">N28+O28</f>
        <v>0</v>
      </c>
      <c r="Q28" s="351">
        <f t="shared" si="48"/>
        <v>0</v>
      </c>
      <c r="R28" s="349">
        <f t="shared" ref="R28:R33" si="74">W27</f>
        <v>0</v>
      </c>
      <c r="S28" s="322">
        <v>0</v>
      </c>
      <c r="T28" s="352">
        <f>CPP!E28</f>
        <v>0</v>
      </c>
      <c r="U28" s="355">
        <v>0</v>
      </c>
      <c r="V28" s="356">
        <f t="shared" si="9"/>
        <v>0</v>
      </c>
      <c r="W28" s="351">
        <f t="shared" si="10"/>
        <v>0</v>
      </c>
      <c r="X28" s="349">
        <f t="shared" ref="X28:X33" si="75">AB27</f>
        <v>1063.0399999999981</v>
      </c>
      <c r="Y28" s="1">
        <v>0</v>
      </c>
      <c r="Z28" s="352">
        <f>CPP!H28</f>
        <v>0</v>
      </c>
      <c r="AA28" s="1">
        <v>0</v>
      </c>
      <c r="AB28" s="351">
        <f t="shared" si="12"/>
        <v>1063.0399999999981</v>
      </c>
      <c r="AC28" s="349">
        <f t="shared" si="13"/>
        <v>0</v>
      </c>
      <c r="AD28" s="322">
        <v>0</v>
      </c>
      <c r="AE28" s="322">
        <v>0</v>
      </c>
      <c r="AF28" s="351">
        <f t="shared" ref="AF28:AF33" si="76">AC28+AD28-AE28</f>
        <v>0</v>
      </c>
      <c r="AG28" s="349">
        <f t="shared" si="14"/>
        <v>5257.3499999999931</v>
      </c>
      <c r="AH28" s="1">
        <v>60.05</v>
      </c>
      <c r="AI28" s="1">
        <v>273.33</v>
      </c>
      <c r="AJ28" s="340">
        <f>CPP!G28</f>
        <v>134</v>
      </c>
      <c r="AK28" s="9">
        <f t="shared" si="68"/>
        <v>4910.0699999999933</v>
      </c>
      <c r="AL28" s="357">
        <f t="shared" si="49"/>
        <v>0</v>
      </c>
      <c r="AM28" s="322">
        <v>0</v>
      </c>
      <c r="AN28" s="322">
        <v>0</v>
      </c>
      <c r="AO28" s="353">
        <f t="shared" si="15"/>
        <v>0</v>
      </c>
      <c r="AP28" s="357">
        <f t="shared" si="50"/>
        <v>0</v>
      </c>
      <c r="AQ28" s="322">
        <v>0</v>
      </c>
      <c r="AR28" s="322">
        <v>0</v>
      </c>
      <c r="AS28" s="358">
        <f>CPP!I28</f>
        <v>0</v>
      </c>
      <c r="AT28" s="357">
        <f t="shared" si="16"/>
        <v>0</v>
      </c>
      <c r="AU28" s="322">
        <f t="shared" si="51"/>
        <v>0</v>
      </c>
      <c r="AV28" s="322">
        <v>0</v>
      </c>
      <c r="AW28" s="322">
        <v>0</v>
      </c>
      <c r="AX28" s="340">
        <f>CPP!J28</f>
        <v>0</v>
      </c>
      <c r="AY28" s="322">
        <f t="shared" si="17"/>
        <v>0</v>
      </c>
      <c r="AZ28" s="322">
        <f t="shared" si="52"/>
        <v>0.286999999990248</v>
      </c>
      <c r="BA28" s="1">
        <v>128.22</v>
      </c>
      <c r="BB28" s="1">
        <v>0</v>
      </c>
      <c r="BC28" s="340">
        <f>CPP!K28</f>
        <v>0</v>
      </c>
      <c r="BD28" s="322">
        <f t="shared" si="18"/>
        <v>128.50699999999026</v>
      </c>
      <c r="BE28" s="322">
        <f t="shared" si="53"/>
        <v>0</v>
      </c>
      <c r="BF28" s="322">
        <v>0</v>
      </c>
      <c r="BG28" s="322">
        <v>0</v>
      </c>
      <c r="BH28" s="340">
        <f>CPP!L28</f>
        <v>0</v>
      </c>
      <c r="BI28" s="322">
        <f t="shared" si="19"/>
        <v>0</v>
      </c>
      <c r="BJ28" s="322">
        <f t="shared" si="54"/>
        <v>0</v>
      </c>
      <c r="BK28" s="322">
        <v>0</v>
      </c>
      <c r="BL28" s="322">
        <v>0</v>
      </c>
      <c r="BM28" s="340">
        <f>CPP!M28</f>
        <v>0</v>
      </c>
      <c r="BN28" s="322">
        <f t="shared" si="55"/>
        <v>0</v>
      </c>
      <c r="BO28" s="322">
        <f t="shared" si="20"/>
        <v>0</v>
      </c>
      <c r="BP28" s="322">
        <v>0</v>
      </c>
      <c r="BQ28" s="322">
        <v>0</v>
      </c>
      <c r="BR28" s="340">
        <f>CPP!N28</f>
        <v>0</v>
      </c>
      <c r="BS28" s="322">
        <f t="shared" si="21"/>
        <v>0</v>
      </c>
      <c r="BT28" s="322">
        <f t="shared" si="22"/>
        <v>0</v>
      </c>
      <c r="BU28" s="322">
        <v>0</v>
      </c>
      <c r="BV28" s="322">
        <v>0</v>
      </c>
      <c r="BW28" s="340">
        <f>CPP!O28</f>
        <v>0</v>
      </c>
      <c r="BX28" s="322">
        <f t="shared" si="23"/>
        <v>0</v>
      </c>
      <c r="BY28" s="359">
        <f t="shared" si="56"/>
        <v>0</v>
      </c>
      <c r="BZ28" s="322">
        <v>0</v>
      </c>
      <c r="CA28" s="322">
        <v>0</v>
      </c>
      <c r="CB28" s="340"/>
      <c r="CC28" s="355">
        <f t="shared" si="24"/>
        <v>0</v>
      </c>
      <c r="CD28" s="322">
        <f t="shared" si="57"/>
        <v>0</v>
      </c>
      <c r="CE28" s="322">
        <v>0</v>
      </c>
      <c r="CF28" s="322">
        <v>0</v>
      </c>
      <c r="CG28" s="340">
        <f>CPP!P28</f>
        <v>0</v>
      </c>
      <c r="CH28" s="355">
        <f t="shared" si="25"/>
        <v>0</v>
      </c>
      <c r="CI28" s="322">
        <f t="shared" si="58"/>
        <v>0</v>
      </c>
      <c r="CJ28" s="322">
        <v>0</v>
      </c>
      <c r="CK28" s="322">
        <v>0</v>
      </c>
      <c r="CL28" s="340">
        <f>CPP!Q28</f>
        <v>0</v>
      </c>
      <c r="CM28" s="322">
        <f t="shared" si="26"/>
        <v>0</v>
      </c>
      <c r="CN28" s="322">
        <f t="shared" si="59"/>
        <v>5.0000000000181899E-2</v>
      </c>
      <c r="CO28" s="322">
        <v>0</v>
      </c>
      <c r="CP28" s="322">
        <v>0</v>
      </c>
      <c r="CQ28" s="340">
        <f>CPP!R28</f>
        <v>0</v>
      </c>
      <c r="CR28" s="322">
        <f t="shared" si="27"/>
        <v>5.0000000000181899E-2</v>
      </c>
      <c r="CS28" s="357">
        <f t="shared" si="60"/>
        <v>0</v>
      </c>
      <c r="CT28" s="322">
        <v>0</v>
      </c>
      <c r="CU28" s="322">
        <v>0</v>
      </c>
      <c r="CV28" s="358">
        <f>CPP!S28</f>
        <v>0</v>
      </c>
      <c r="CW28" s="357">
        <f t="shared" si="28"/>
        <v>0</v>
      </c>
      <c r="CX28" s="357">
        <f t="shared" si="61"/>
        <v>0</v>
      </c>
      <c r="CY28" s="322">
        <v>0</v>
      </c>
      <c r="CZ28" s="322">
        <v>0</v>
      </c>
      <c r="DA28" s="358">
        <f>CPP!T28</f>
        <v>0</v>
      </c>
      <c r="DB28" s="357">
        <f t="shared" si="29"/>
        <v>0</v>
      </c>
      <c r="DC28" s="357">
        <f t="shared" si="62"/>
        <v>306</v>
      </c>
      <c r="DD28" s="322">
        <v>0</v>
      </c>
      <c r="DE28" s="322">
        <v>0</v>
      </c>
      <c r="DF28" s="358">
        <f>CPP!U28</f>
        <v>0</v>
      </c>
      <c r="DG28" s="357">
        <f t="shared" si="30"/>
        <v>306</v>
      </c>
      <c r="DH28" s="357">
        <f t="shared" si="63"/>
        <v>0</v>
      </c>
      <c r="DI28" s="322">
        <v>0</v>
      </c>
      <c r="DJ28" s="322">
        <v>0</v>
      </c>
      <c r="DK28" s="358">
        <f>CPP!V28</f>
        <v>0</v>
      </c>
      <c r="DL28" s="357">
        <f t="shared" si="31"/>
        <v>0</v>
      </c>
      <c r="DM28" s="357">
        <f t="shared" si="64"/>
        <v>0</v>
      </c>
      <c r="DN28" s="322">
        <v>0</v>
      </c>
      <c r="DO28" s="322">
        <v>0</v>
      </c>
      <c r="DP28" s="358">
        <f>CPP!W28</f>
        <v>0</v>
      </c>
      <c r="DQ28" s="357">
        <f t="shared" si="32"/>
        <v>0</v>
      </c>
      <c r="DR28" s="357">
        <f t="shared" si="65"/>
        <v>3878.3500000000022</v>
      </c>
      <c r="DS28" s="1">
        <v>0</v>
      </c>
      <c r="DT28" s="1">
        <v>0</v>
      </c>
      <c r="DU28" s="358">
        <f>CPP!X28</f>
        <v>0</v>
      </c>
      <c r="DV28" s="357">
        <f t="shared" si="33"/>
        <v>3878.3500000000022</v>
      </c>
      <c r="DW28" s="357">
        <f t="shared" si="66"/>
        <v>0</v>
      </c>
      <c r="DX28" s="322">
        <v>0</v>
      </c>
      <c r="DY28" s="322">
        <v>0</v>
      </c>
      <c r="DZ28" s="358">
        <f>CPP!Y28</f>
        <v>0</v>
      </c>
      <c r="EA28" s="357">
        <f t="shared" si="34"/>
        <v>0</v>
      </c>
      <c r="EB28" s="129">
        <f t="shared" si="35"/>
        <v>5247.6769999999906</v>
      </c>
      <c r="EC28" s="170">
        <f t="shared" si="36"/>
        <v>128.22</v>
      </c>
      <c r="ED28" s="170">
        <f t="shared" si="69"/>
        <v>273.33</v>
      </c>
      <c r="EE28" s="129">
        <f t="shared" si="38"/>
        <v>5102.5669999999909</v>
      </c>
      <c r="EF28" s="18">
        <f t="shared" si="39"/>
        <v>5257.3999999999933</v>
      </c>
      <c r="EG28" s="170">
        <f t="shared" si="40"/>
        <v>60.05</v>
      </c>
      <c r="EH28" s="340">
        <f>CPP!D28+CPP!E28+CPP!F28+CPP!G28+CPP!H28+CPP!I28+CPP!J28+CPP!K28+CPP!L28+CPP!M28+CPP!N28+CPP!O28+CPP!P28+CPP!Q28+CPP!R28+CPP!S28+DA28+DF28+DK28+CPP!W28+DU28</f>
        <v>134</v>
      </c>
      <c r="EI28" s="353">
        <f>EF28+EG28-CPP!G28-CPP!E28-CPP!F28-CPP!P28-CPP!Q28-CL28-CQ28-DU28</f>
        <v>5183.4499999999935</v>
      </c>
      <c r="EJ28" s="360">
        <f t="shared" ref="EJ28:EJ33" si="77">EM27</f>
        <v>27172.045083254045</v>
      </c>
      <c r="EK28" s="1">
        <v>1573</v>
      </c>
      <c r="EL28" s="361">
        <f>'Daily CEM-1'!AG29+'Daily  CEM - 2'!AF29-EQ28</f>
        <v>2147.6020004236398</v>
      </c>
      <c r="EM28" s="351">
        <f t="shared" si="42"/>
        <v>26597.443082830403</v>
      </c>
      <c r="EN28" s="322">
        <v>0</v>
      </c>
      <c r="EO28" s="353">
        <f t="shared" si="67"/>
        <v>5306.1090080001359</v>
      </c>
      <c r="EP28" s="1">
        <v>0</v>
      </c>
      <c r="EQ28" s="1">
        <v>0</v>
      </c>
      <c r="ER28" s="362">
        <f>EO28+EP28-EQ28</f>
        <v>5306.1090080001359</v>
      </c>
      <c r="ES28" s="321">
        <f t="shared" si="44"/>
        <v>594.78</v>
      </c>
      <c r="ET28" s="321">
        <v>594.78</v>
      </c>
      <c r="EU28" s="363">
        <f t="shared" si="45"/>
        <v>2147.6020004236398</v>
      </c>
      <c r="EW28">
        <f>EU28/Production2!CG28</f>
        <v>0.77030200876027255</v>
      </c>
    </row>
    <row r="29" spans="2:154" x14ac:dyDescent="0.25">
      <c r="B29" s="4">
        <v>27</v>
      </c>
      <c r="C29" s="39">
        <f t="shared" si="70"/>
        <v>2964.92</v>
      </c>
      <c r="D29" s="1">
        <v>0</v>
      </c>
      <c r="E29" s="269">
        <f>F29+'RAW MILL 2'!F29</f>
        <v>64</v>
      </c>
      <c r="F29" s="1">
        <v>64</v>
      </c>
      <c r="G29" s="9">
        <f t="shared" si="4"/>
        <v>2900.92</v>
      </c>
      <c r="H29" s="39">
        <f t="shared" si="71"/>
        <v>-659.27998316247863</v>
      </c>
      <c r="I29" s="33">
        <f>Production2!N29</f>
        <v>2863.02</v>
      </c>
      <c r="J29" s="33">
        <f>Production2!K29</f>
        <v>2573</v>
      </c>
      <c r="K29" s="18">
        <f t="shared" si="6"/>
        <v>-369.25998316247842</v>
      </c>
      <c r="L29" s="49">
        <f t="shared" si="72"/>
        <v>0</v>
      </c>
      <c r="M29" s="1">
        <v>0</v>
      </c>
      <c r="N29" s="33">
        <f>CPP!D29</f>
        <v>0</v>
      </c>
      <c r="O29" s="1">
        <v>0</v>
      </c>
      <c r="P29" s="33">
        <f t="shared" si="73"/>
        <v>0</v>
      </c>
      <c r="Q29" s="9">
        <f t="shared" si="48"/>
        <v>0</v>
      </c>
      <c r="R29" s="39">
        <f t="shared" si="74"/>
        <v>0</v>
      </c>
      <c r="S29" s="1">
        <v>0</v>
      </c>
      <c r="T29" s="33">
        <f>CPP!E29</f>
        <v>0</v>
      </c>
      <c r="U29" s="26">
        <v>0</v>
      </c>
      <c r="V29" s="38">
        <f t="shared" si="9"/>
        <v>0</v>
      </c>
      <c r="W29" s="9">
        <f t="shared" si="10"/>
        <v>0</v>
      </c>
      <c r="X29" s="39">
        <f t="shared" si="75"/>
        <v>1063.0399999999981</v>
      </c>
      <c r="Y29" s="1">
        <v>0</v>
      </c>
      <c r="Z29" s="33">
        <f>CPP!H29</f>
        <v>0</v>
      </c>
      <c r="AA29" s="1">
        <v>0</v>
      </c>
      <c r="AB29" s="9">
        <f t="shared" si="12"/>
        <v>1063.0399999999981</v>
      </c>
      <c r="AC29" s="39">
        <f t="shared" si="13"/>
        <v>0</v>
      </c>
      <c r="AD29" s="1">
        <v>0</v>
      </c>
      <c r="AE29" s="1">
        <v>0</v>
      </c>
      <c r="AF29" s="9">
        <f t="shared" si="76"/>
        <v>0</v>
      </c>
      <c r="AG29" s="39">
        <f t="shared" si="14"/>
        <v>4910.0699999999933</v>
      </c>
      <c r="AH29" s="1">
        <v>0</v>
      </c>
      <c r="AI29" s="1">
        <v>290</v>
      </c>
      <c r="AJ29" s="170">
        <f>CPP!G29</f>
        <v>148</v>
      </c>
      <c r="AK29" s="9">
        <f t="shared" si="68"/>
        <v>4472.0699999999933</v>
      </c>
      <c r="AL29" s="129">
        <f t="shared" si="49"/>
        <v>0</v>
      </c>
      <c r="AM29" s="1">
        <v>0</v>
      </c>
      <c r="AN29" s="1">
        <v>0</v>
      </c>
      <c r="AO29" s="18">
        <f t="shared" si="15"/>
        <v>0</v>
      </c>
      <c r="AP29" s="129">
        <f t="shared" si="50"/>
        <v>0</v>
      </c>
      <c r="AQ29" s="1">
        <v>0</v>
      </c>
      <c r="AR29" s="1">
        <v>0</v>
      </c>
      <c r="AS29" s="171">
        <f>CPP!I29</f>
        <v>0</v>
      </c>
      <c r="AT29" s="129">
        <f t="shared" si="16"/>
        <v>0</v>
      </c>
      <c r="AU29" s="1">
        <f t="shared" si="51"/>
        <v>0</v>
      </c>
      <c r="AV29" s="1">
        <v>0</v>
      </c>
      <c r="AW29" s="1">
        <v>0</v>
      </c>
      <c r="AX29" s="170">
        <f>CPP!J29</f>
        <v>0</v>
      </c>
      <c r="AY29" s="1">
        <f t="shared" si="17"/>
        <v>0</v>
      </c>
      <c r="AZ29" s="1">
        <f t="shared" si="52"/>
        <v>128.50699999999026</v>
      </c>
      <c r="BA29" s="1">
        <v>0</v>
      </c>
      <c r="BB29" s="1">
        <v>0</v>
      </c>
      <c r="BC29" s="170">
        <f>CPP!K29</f>
        <v>0</v>
      </c>
      <c r="BD29" s="1">
        <f t="shared" si="18"/>
        <v>128.50699999999026</v>
      </c>
      <c r="BE29" s="1">
        <f t="shared" si="53"/>
        <v>0</v>
      </c>
      <c r="BF29" s="1">
        <v>0</v>
      </c>
      <c r="BG29" s="1">
        <v>0</v>
      </c>
      <c r="BH29" s="170">
        <f>CPP!L29</f>
        <v>0</v>
      </c>
      <c r="BI29" s="1">
        <f t="shared" si="19"/>
        <v>0</v>
      </c>
      <c r="BJ29" s="1">
        <f t="shared" si="54"/>
        <v>0</v>
      </c>
      <c r="BK29" s="1">
        <v>0</v>
      </c>
      <c r="BL29" s="1">
        <v>0</v>
      </c>
      <c r="BM29" s="170">
        <f>CPP!M29</f>
        <v>0</v>
      </c>
      <c r="BN29" s="1">
        <f t="shared" si="55"/>
        <v>0</v>
      </c>
      <c r="BO29" s="1">
        <f t="shared" si="20"/>
        <v>0</v>
      </c>
      <c r="BP29" s="1">
        <v>0</v>
      </c>
      <c r="BQ29" s="1">
        <v>0</v>
      </c>
      <c r="BR29" s="170">
        <f>CPP!N29</f>
        <v>0</v>
      </c>
      <c r="BS29" s="1">
        <f t="shared" si="21"/>
        <v>0</v>
      </c>
      <c r="BT29" s="1">
        <f t="shared" si="22"/>
        <v>0</v>
      </c>
      <c r="BU29" s="1">
        <v>0</v>
      </c>
      <c r="BV29" s="1">
        <v>0</v>
      </c>
      <c r="BW29" s="170">
        <f>CPP!O29</f>
        <v>0</v>
      </c>
      <c r="BX29" s="1">
        <f t="shared" si="23"/>
        <v>0</v>
      </c>
      <c r="BY29" s="174">
        <f t="shared" si="56"/>
        <v>0</v>
      </c>
      <c r="BZ29" s="1">
        <v>0</v>
      </c>
      <c r="CA29" s="1">
        <v>0</v>
      </c>
      <c r="CB29" s="170"/>
      <c r="CC29" s="26">
        <f t="shared" si="24"/>
        <v>0</v>
      </c>
      <c r="CD29" s="1">
        <f t="shared" si="57"/>
        <v>0</v>
      </c>
      <c r="CE29" s="1">
        <v>0</v>
      </c>
      <c r="CF29" s="1">
        <v>0</v>
      </c>
      <c r="CG29" s="170">
        <f>CPP!P29</f>
        <v>0</v>
      </c>
      <c r="CH29" s="26">
        <f t="shared" si="25"/>
        <v>0</v>
      </c>
      <c r="CI29" s="1">
        <f t="shared" si="58"/>
        <v>0</v>
      </c>
      <c r="CJ29" s="1">
        <v>0</v>
      </c>
      <c r="CK29" s="1">
        <v>0</v>
      </c>
      <c r="CL29" s="170">
        <f>CPP!Q29</f>
        <v>0</v>
      </c>
      <c r="CM29" s="1">
        <f t="shared" si="26"/>
        <v>0</v>
      </c>
      <c r="CN29" s="1">
        <f t="shared" si="59"/>
        <v>5.0000000000181899E-2</v>
      </c>
      <c r="CO29" s="1">
        <v>0</v>
      </c>
      <c r="CP29" s="1">
        <v>0</v>
      </c>
      <c r="CQ29" s="170">
        <f>CPP!R29</f>
        <v>0</v>
      </c>
      <c r="CR29" s="1">
        <f t="shared" si="27"/>
        <v>5.0000000000181899E-2</v>
      </c>
      <c r="CS29" s="129">
        <f t="shared" si="60"/>
        <v>0</v>
      </c>
      <c r="CT29" s="1">
        <v>0</v>
      </c>
      <c r="CU29" s="1">
        <v>0</v>
      </c>
      <c r="CV29" s="171">
        <f>CPP!S29</f>
        <v>0</v>
      </c>
      <c r="CW29" s="129">
        <f t="shared" si="28"/>
        <v>0</v>
      </c>
      <c r="CX29" s="129">
        <f t="shared" si="61"/>
        <v>0</v>
      </c>
      <c r="CY29" s="1">
        <v>0</v>
      </c>
      <c r="CZ29" s="1">
        <v>0</v>
      </c>
      <c r="DA29" s="171">
        <f>CPP!T29</f>
        <v>0</v>
      </c>
      <c r="DB29" s="129">
        <f t="shared" si="29"/>
        <v>0</v>
      </c>
      <c r="DC29" s="129">
        <f t="shared" si="62"/>
        <v>306</v>
      </c>
      <c r="DD29" s="1">
        <v>0</v>
      </c>
      <c r="DE29" s="1">
        <v>0</v>
      </c>
      <c r="DF29" s="171">
        <f>CPP!U29</f>
        <v>0</v>
      </c>
      <c r="DG29" s="129">
        <f t="shared" si="30"/>
        <v>306</v>
      </c>
      <c r="DH29" s="129">
        <f t="shared" si="63"/>
        <v>0</v>
      </c>
      <c r="DI29" s="1">
        <v>0</v>
      </c>
      <c r="DJ29" s="1">
        <v>0</v>
      </c>
      <c r="DK29" s="171">
        <f>CPP!V29</f>
        <v>0</v>
      </c>
      <c r="DL29" s="129">
        <f t="shared" si="31"/>
        <v>0</v>
      </c>
      <c r="DM29" s="129">
        <f t="shared" si="64"/>
        <v>0</v>
      </c>
      <c r="DN29" s="1">
        <v>0</v>
      </c>
      <c r="DO29" s="1">
        <v>0</v>
      </c>
      <c r="DP29" s="171">
        <f>CPP!W29</f>
        <v>0</v>
      </c>
      <c r="DQ29" s="129">
        <f t="shared" si="32"/>
        <v>0</v>
      </c>
      <c r="DR29" s="129">
        <f t="shared" si="65"/>
        <v>3878.3500000000022</v>
      </c>
      <c r="DS29" s="1">
        <v>0</v>
      </c>
      <c r="DT29" s="1">
        <v>0</v>
      </c>
      <c r="DU29" s="171">
        <f>CPP!X29</f>
        <v>0</v>
      </c>
      <c r="DV29" s="129">
        <f t="shared" si="33"/>
        <v>3878.3500000000022</v>
      </c>
      <c r="DW29" s="129">
        <f t="shared" si="66"/>
        <v>0</v>
      </c>
      <c r="DX29" s="1">
        <v>0</v>
      </c>
      <c r="DY29" s="1">
        <v>0</v>
      </c>
      <c r="DZ29" s="171">
        <f>CPP!Y29</f>
        <v>0</v>
      </c>
      <c r="EA29" s="129">
        <f t="shared" si="34"/>
        <v>0</v>
      </c>
      <c r="EB29" s="129">
        <f t="shared" si="35"/>
        <v>5375.8969999999908</v>
      </c>
      <c r="EC29" s="170">
        <f t="shared" si="36"/>
        <v>0</v>
      </c>
      <c r="ED29" s="170">
        <f t="shared" si="69"/>
        <v>290</v>
      </c>
      <c r="EE29" s="129">
        <f t="shared" si="38"/>
        <v>5085.8969999999908</v>
      </c>
      <c r="EF29" s="18">
        <f t="shared" si="39"/>
        <v>4910.1199999999935</v>
      </c>
      <c r="EG29" s="170">
        <f t="shared" si="40"/>
        <v>0</v>
      </c>
      <c r="EH29" s="170">
        <f>CPP!D29+CPP!E29+CPP!F29+CPP!G29+CPP!H29+CPP!I29+CPP!J29+CPP!K29+CPP!L29+CPP!M29+CPP!N29+CPP!O29+CPP!P29+CPP!Q29+CPP!R29+CPP!S29+DA29+DF29+DK29+CPP!W29+DU29</f>
        <v>148</v>
      </c>
      <c r="EI29" s="18">
        <f>EF29+EG29-CPP!G29-CPP!E29-CPP!F29-CPP!P29-CPP!Q29-CL29-CQ29-DU29</f>
        <v>4762.1199999999935</v>
      </c>
      <c r="EJ29" s="16">
        <f t="shared" si="77"/>
        <v>26597.443082830403</v>
      </c>
      <c r="EK29" s="1">
        <v>1660</v>
      </c>
      <c r="EL29" s="253">
        <f>'Daily CEM-1'!AG30+'Daily  CEM - 2'!AF30-EQ29</f>
        <v>1961.6000000000017</v>
      </c>
      <c r="EM29" s="9">
        <f t="shared" si="42"/>
        <v>26295.843082830401</v>
      </c>
      <c r="EN29" s="1">
        <v>0</v>
      </c>
      <c r="EO29" s="18">
        <f t="shared" si="67"/>
        <v>5306.1090080001359</v>
      </c>
      <c r="EP29" s="1">
        <v>0</v>
      </c>
      <c r="EQ29" s="1">
        <v>0</v>
      </c>
      <c r="ER29" s="17">
        <f t="shared" si="43"/>
        <v>5306.1090080001359</v>
      </c>
      <c r="ES29">
        <f t="shared" si="44"/>
        <v>748.68</v>
      </c>
      <c r="ET29">
        <v>748.68</v>
      </c>
      <c r="EU29" s="51">
        <f t="shared" si="45"/>
        <v>1961.6000000000017</v>
      </c>
      <c r="EW29">
        <f>EU29/Production2!CG29</f>
        <v>0.74870229007633649</v>
      </c>
    </row>
    <row r="30" spans="2:154" x14ac:dyDescent="0.25">
      <c r="B30" s="4">
        <v>28</v>
      </c>
      <c r="C30" s="39">
        <f t="shared" si="70"/>
        <v>2900.92</v>
      </c>
      <c r="D30" s="1">
        <v>0</v>
      </c>
      <c r="E30" s="269">
        <f>F30+'RAW MILL 2'!F30</f>
        <v>66</v>
      </c>
      <c r="F30" s="1">
        <v>66</v>
      </c>
      <c r="G30" s="9">
        <f t="shared" si="4"/>
        <v>2834.92</v>
      </c>
      <c r="H30" s="39">
        <f t="shared" si="71"/>
        <v>-369.25998316247842</v>
      </c>
      <c r="I30" s="33">
        <f>Production2!N30</f>
        <v>2974.68</v>
      </c>
      <c r="J30" s="33">
        <f>Production2!K30</f>
        <v>2828.75</v>
      </c>
      <c r="K30" s="18">
        <f t="shared" si="6"/>
        <v>-223.32998316247858</v>
      </c>
      <c r="L30" s="49">
        <f t="shared" si="72"/>
        <v>0</v>
      </c>
      <c r="M30" s="1">
        <v>0</v>
      </c>
      <c r="N30" s="33">
        <f>CPP!D30</f>
        <v>0</v>
      </c>
      <c r="O30" s="1">
        <v>0</v>
      </c>
      <c r="P30" s="33">
        <f t="shared" si="73"/>
        <v>0</v>
      </c>
      <c r="Q30" s="9">
        <f t="shared" si="48"/>
        <v>0</v>
      </c>
      <c r="R30" s="39">
        <f t="shared" si="74"/>
        <v>0</v>
      </c>
      <c r="S30" s="1">
        <v>0</v>
      </c>
      <c r="T30" s="33">
        <f>CPP!E30</f>
        <v>0</v>
      </c>
      <c r="U30" s="26">
        <v>0</v>
      </c>
      <c r="V30" s="38">
        <f t="shared" si="9"/>
        <v>0</v>
      </c>
      <c r="W30" s="9">
        <f t="shared" si="10"/>
        <v>0</v>
      </c>
      <c r="X30" s="39">
        <f t="shared" si="75"/>
        <v>1063.0399999999981</v>
      </c>
      <c r="Y30" s="1">
        <v>0</v>
      </c>
      <c r="Z30" s="33">
        <f>CPP!H30</f>
        <v>0</v>
      </c>
      <c r="AA30" s="1">
        <v>0</v>
      </c>
      <c r="AB30" s="9">
        <f t="shared" si="12"/>
        <v>1063.0399999999981</v>
      </c>
      <c r="AC30" s="39">
        <f t="shared" si="13"/>
        <v>0</v>
      </c>
      <c r="AD30" s="1">
        <v>0</v>
      </c>
      <c r="AE30" s="1">
        <v>0</v>
      </c>
      <c r="AF30" s="9">
        <f t="shared" si="76"/>
        <v>0</v>
      </c>
      <c r="AG30" s="39">
        <f t="shared" si="14"/>
        <v>4472.0699999999933</v>
      </c>
      <c r="AH30" s="1">
        <v>30</v>
      </c>
      <c r="AI30" s="1"/>
      <c r="AJ30" s="170">
        <f>CPP!G30</f>
        <v>154</v>
      </c>
      <c r="AK30" s="9">
        <f>AG30+AH30-AI30-AJ30</f>
        <v>4348.0699999999933</v>
      </c>
      <c r="AL30" s="129">
        <f t="shared" si="49"/>
        <v>0</v>
      </c>
      <c r="AM30" s="1">
        <v>0</v>
      </c>
      <c r="AN30" s="1">
        <v>0</v>
      </c>
      <c r="AO30" s="18">
        <f t="shared" si="15"/>
        <v>0</v>
      </c>
      <c r="AP30" s="129">
        <f t="shared" si="50"/>
        <v>0</v>
      </c>
      <c r="AQ30" s="1">
        <v>0</v>
      </c>
      <c r="AR30" s="1">
        <v>0</v>
      </c>
      <c r="AS30" s="171">
        <f>CPP!I30</f>
        <v>0</v>
      </c>
      <c r="AT30" s="129">
        <f t="shared" si="16"/>
        <v>0</v>
      </c>
      <c r="AU30" s="1">
        <f t="shared" si="51"/>
        <v>0</v>
      </c>
      <c r="AV30" s="1">
        <v>0</v>
      </c>
      <c r="AW30" s="1">
        <v>0</v>
      </c>
      <c r="AX30" s="170">
        <f>CPP!J30</f>
        <v>0</v>
      </c>
      <c r="AY30" s="1">
        <f t="shared" si="17"/>
        <v>0</v>
      </c>
      <c r="AZ30" s="1">
        <f t="shared" si="52"/>
        <v>128.50699999999026</v>
      </c>
      <c r="BA30" s="1">
        <v>283.52</v>
      </c>
      <c r="BB30" s="1">
        <v>0</v>
      </c>
      <c r="BC30" s="170">
        <f>CPP!K30</f>
        <v>0</v>
      </c>
      <c r="BD30" s="1">
        <f t="shared" si="18"/>
        <v>412.02699999999027</v>
      </c>
      <c r="BE30" s="1">
        <f t="shared" si="53"/>
        <v>0</v>
      </c>
      <c r="BF30" s="1">
        <v>0</v>
      </c>
      <c r="BG30" s="1">
        <v>0</v>
      </c>
      <c r="BH30" s="170">
        <f>CPP!L30</f>
        <v>0</v>
      </c>
      <c r="BI30" s="1">
        <f t="shared" si="19"/>
        <v>0</v>
      </c>
      <c r="BJ30" s="1">
        <f t="shared" si="54"/>
        <v>0</v>
      </c>
      <c r="BK30" s="1">
        <v>0</v>
      </c>
      <c r="BL30" s="1">
        <v>0</v>
      </c>
      <c r="BM30" s="170">
        <f>CPP!M30</f>
        <v>0</v>
      </c>
      <c r="BN30" s="1">
        <f t="shared" si="55"/>
        <v>0</v>
      </c>
      <c r="BO30" s="1">
        <f t="shared" si="20"/>
        <v>0</v>
      </c>
      <c r="BP30" s="1">
        <v>0</v>
      </c>
      <c r="BQ30" s="1">
        <v>0</v>
      </c>
      <c r="BR30" s="170">
        <f>CPP!N30</f>
        <v>0</v>
      </c>
      <c r="BS30" s="1">
        <f t="shared" si="21"/>
        <v>0</v>
      </c>
      <c r="BT30" s="1">
        <f t="shared" si="22"/>
        <v>0</v>
      </c>
      <c r="BU30" s="1">
        <v>0</v>
      </c>
      <c r="BV30" s="1">
        <v>0</v>
      </c>
      <c r="BW30" s="170">
        <f>CPP!O30</f>
        <v>0</v>
      </c>
      <c r="BX30" s="1">
        <f t="shared" si="23"/>
        <v>0</v>
      </c>
      <c r="BY30" s="174">
        <f t="shared" si="56"/>
        <v>0</v>
      </c>
      <c r="BZ30" s="1">
        <v>0</v>
      </c>
      <c r="CA30" s="1">
        <v>0</v>
      </c>
      <c r="CB30" s="170"/>
      <c r="CC30" s="26">
        <f t="shared" si="24"/>
        <v>0</v>
      </c>
      <c r="CD30" s="1">
        <f t="shared" si="57"/>
        <v>0</v>
      </c>
      <c r="CE30" s="1">
        <v>0</v>
      </c>
      <c r="CF30" s="1">
        <v>0</v>
      </c>
      <c r="CG30" s="170">
        <f>CPP!P30</f>
        <v>0</v>
      </c>
      <c r="CH30" s="26">
        <f t="shared" si="25"/>
        <v>0</v>
      </c>
      <c r="CI30" s="1">
        <f t="shared" si="58"/>
        <v>0</v>
      </c>
      <c r="CJ30" s="1">
        <v>0</v>
      </c>
      <c r="CK30" s="1">
        <v>0</v>
      </c>
      <c r="CL30" s="170">
        <f>CPP!Q30</f>
        <v>0</v>
      </c>
      <c r="CM30" s="1">
        <f t="shared" si="26"/>
        <v>0</v>
      </c>
      <c r="CN30" s="1">
        <f t="shared" si="59"/>
        <v>5.0000000000181899E-2</v>
      </c>
      <c r="CO30" s="1">
        <v>0</v>
      </c>
      <c r="CP30" s="1">
        <v>0</v>
      </c>
      <c r="CQ30" s="170">
        <f>CPP!R30</f>
        <v>0</v>
      </c>
      <c r="CR30" s="1">
        <f t="shared" si="27"/>
        <v>5.0000000000181899E-2</v>
      </c>
      <c r="CS30" s="129">
        <f t="shared" si="60"/>
        <v>0</v>
      </c>
      <c r="CT30" s="1">
        <v>0</v>
      </c>
      <c r="CU30" s="1">
        <v>0</v>
      </c>
      <c r="CV30" s="171">
        <f>CPP!S30</f>
        <v>0</v>
      </c>
      <c r="CW30" s="129">
        <f t="shared" si="28"/>
        <v>0</v>
      </c>
      <c r="CX30" s="129">
        <f t="shared" si="61"/>
        <v>0</v>
      </c>
      <c r="CY30" s="1">
        <v>0</v>
      </c>
      <c r="CZ30" s="1">
        <v>0</v>
      </c>
      <c r="DA30" s="171">
        <f>CPP!T30</f>
        <v>0</v>
      </c>
      <c r="DB30" s="129">
        <f t="shared" si="29"/>
        <v>0</v>
      </c>
      <c r="DC30" s="129">
        <f t="shared" si="62"/>
        <v>306</v>
      </c>
      <c r="DD30" s="1">
        <v>0</v>
      </c>
      <c r="DE30" s="1">
        <v>298.89</v>
      </c>
      <c r="DF30" s="171">
        <f>CPP!U30</f>
        <v>0</v>
      </c>
      <c r="DG30" s="129">
        <f t="shared" si="30"/>
        <v>7.1100000000000136</v>
      </c>
      <c r="DH30" s="129">
        <f t="shared" si="63"/>
        <v>0</v>
      </c>
      <c r="DI30" s="1">
        <v>0</v>
      </c>
      <c r="DJ30" s="1">
        <v>0</v>
      </c>
      <c r="DK30" s="171">
        <f>CPP!V30</f>
        <v>0</v>
      </c>
      <c r="DL30" s="129">
        <f t="shared" si="31"/>
        <v>0</v>
      </c>
      <c r="DM30" s="129">
        <f t="shared" si="64"/>
        <v>0</v>
      </c>
      <c r="DN30" s="1">
        <v>0</v>
      </c>
      <c r="DO30" s="1">
        <v>0</v>
      </c>
      <c r="DP30" s="171">
        <f>CPP!W30</f>
        <v>0</v>
      </c>
      <c r="DQ30" s="129">
        <f t="shared" si="32"/>
        <v>0</v>
      </c>
      <c r="DR30" s="129">
        <f t="shared" si="65"/>
        <v>3878.3500000000022</v>
      </c>
      <c r="DS30" s="1">
        <v>0</v>
      </c>
      <c r="DT30" s="1">
        <v>0</v>
      </c>
      <c r="DU30" s="171">
        <f>CPP!X30</f>
        <v>0</v>
      </c>
      <c r="DV30" s="129">
        <f t="shared" si="33"/>
        <v>3878.3500000000022</v>
      </c>
      <c r="DW30" s="129">
        <f t="shared" si="66"/>
        <v>0</v>
      </c>
      <c r="DX30" s="1">
        <v>0</v>
      </c>
      <c r="DY30" s="1">
        <v>0</v>
      </c>
      <c r="DZ30" s="171">
        <f>CPP!Y30</f>
        <v>0</v>
      </c>
      <c r="EA30" s="129">
        <f t="shared" si="34"/>
        <v>0</v>
      </c>
      <c r="EB30" s="129">
        <f t="shared" si="35"/>
        <v>5375.8969999999908</v>
      </c>
      <c r="EC30" s="170">
        <f t="shared" si="36"/>
        <v>283.52</v>
      </c>
      <c r="ED30" s="170">
        <f t="shared" si="69"/>
        <v>298.89</v>
      </c>
      <c r="EE30" s="129">
        <f t="shared" si="38"/>
        <v>5360.52699999999</v>
      </c>
      <c r="EF30" s="18">
        <f t="shared" si="39"/>
        <v>4472.1199999999935</v>
      </c>
      <c r="EG30" s="170">
        <f t="shared" si="40"/>
        <v>30</v>
      </c>
      <c r="EH30" s="170">
        <f>CPP!D30+CPP!E30+CPP!F30+CPP!G30+CPP!H30+CPP!I30+CPP!J30+CPP!K30+CPP!L30+CPP!M30+CPP!N30+CPP!O30+CPP!P30+CPP!Q30+CPP!R30+CPP!S30+DA30+DF30+DK30+CPP!W30+DU30</f>
        <v>154</v>
      </c>
      <c r="EI30" s="18">
        <f>EF30+EG30-CPP!G30-CPP!E30-CPP!F30-CPP!P30-CPP!Q30-CL30-CQ30-DU30</f>
        <v>4348.1199999999935</v>
      </c>
      <c r="EJ30" s="16">
        <f t="shared" si="77"/>
        <v>26295.843082830401</v>
      </c>
      <c r="EK30" s="1">
        <v>1825</v>
      </c>
      <c r="EL30" s="253">
        <f>'Daily CEM-1'!AG31+'Daily  CEM - 2'!AF31-EQ30</f>
        <v>1383.8199998775724</v>
      </c>
      <c r="EM30" s="9">
        <f t="shared" si="42"/>
        <v>26737.02308295283</v>
      </c>
      <c r="EN30" s="1">
        <v>0</v>
      </c>
      <c r="EO30" s="18">
        <f t="shared" si="67"/>
        <v>5306.1090080001359</v>
      </c>
      <c r="EP30" s="1">
        <v>0</v>
      </c>
      <c r="EQ30" s="1">
        <v>0</v>
      </c>
      <c r="ER30" s="17">
        <f t="shared" si="43"/>
        <v>5306.1090080001359</v>
      </c>
      <c r="ES30">
        <f t="shared" si="44"/>
        <v>0</v>
      </c>
      <c r="EU30" s="51">
        <f t="shared" si="45"/>
        <v>1383.8199998775724</v>
      </c>
      <c r="EW30">
        <f>EU30/Production2!CG30</f>
        <v>0.77222098207453815</v>
      </c>
    </row>
    <row r="31" spans="2:154" x14ac:dyDescent="0.25">
      <c r="B31" s="4">
        <v>29</v>
      </c>
      <c r="C31" s="39">
        <f t="shared" si="70"/>
        <v>2834.92</v>
      </c>
      <c r="D31" s="1">
        <v>0</v>
      </c>
      <c r="E31" s="269">
        <f>F31+'RAW MILL 2'!F31</f>
        <v>59</v>
      </c>
      <c r="F31" s="1">
        <v>59</v>
      </c>
      <c r="G31" s="9">
        <f t="shared" si="4"/>
        <v>2775.92</v>
      </c>
      <c r="H31" s="39">
        <f t="shared" si="71"/>
        <v>-223.32998316247858</v>
      </c>
      <c r="I31" s="33">
        <f>Production2!N31</f>
        <v>2652.27</v>
      </c>
      <c r="J31" s="33">
        <f>Production2!K31</f>
        <v>2867.5</v>
      </c>
      <c r="K31" s="18">
        <f t="shared" si="6"/>
        <v>-438.5599831624786</v>
      </c>
      <c r="L31" s="49">
        <f t="shared" si="72"/>
        <v>0</v>
      </c>
      <c r="M31" s="1">
        <v>0</v>
      </c>
      <c r="N31" s="33">
        <f>CPP!D31</f>
        <v>0</v>
      </c>
      <c r="O31" s="1">
        <v>0</v>
      </c>
      <c r="P31" s="33">
        <f t="shared" si="73"/>
        <v>0</v>
      </c>
      <c r="Q31" s="9">
        <f t="shared" si="48"/>
        <v>0</v>
      </c>
      <c r="R31" s="39">
        <f t="shared" si="74"/>
        <v>0</v>
      </c>
      <c r="S31" s="1">
        <v>0</v>
      </c>
      <c r="T31" s="33">
        <f>CPP!E31</f>
        <v>0</v>
      </c>
      <c r="U31" s="26">
        <v>0</v>
      </c>
      <c r="V31" s="38">
        <f t="shared" si="9"/>
        <v>0</v>
      </c>
      <c r="W31" s="9">
        <f t="shared" si="10"/>
        <v>0</v>
      </c>
      <c r="X31" s="39">
        <f t="shared" si="75"/>
        <v>1063.0399999999981</v>
      </c>
      <c r="Y31" s="1">
        <v>0</v>
      </c>
      <c r="Z31" s="33">
        <f>CPP!H31</f>
        <v>0</v>
      </c>
      <c r="AA31" s="1">
        <v>0</v>
      </c>
      <c r="AB31" s="9">
        <f t="shared" si="12"/>
        <v>1063.0399999999981</v>
      </c>
      <c r="AC31" s="39">
        <f t="shared" si="13"/>
        <v>0</v>
      </c>
      <c r="AD31" s="1">
        <v>0</v>
      </c>
      <c r="AE31" s="1">
        <v>0</v>
      </c>
      <c r="AF31" s="9">
        <f t="shared" si="76"/>
        <v>0</v>
      </c>
      <c r="AG31" s="39">
        <f t="shared" si="14"/>
        <v>4348.0699999999933</v>
      </c>
      <c r="AH31" s="1">
        <v>64.55</v>
      </c>
      <c r="AI31" s="1"/>
      <c r="AJ31" s="170">
        <f>CPP!G31</f>
        <v>142</v>
      </c>
      <c r="AK31" s="9">
        <f t="shared" si="68"/>
        <v>4270.6199999999935</v>
      </c>
      <c r="AL31" s="129">
        <f t="shared" si="49"/>
        <v>0</v>
      </c>
      <c r="AM31" s="1">
        <v>0</v>
      </c>
      <c r="AN31" s="1">
        <v>0</v>
      </c>
      <c r="AO31" s="18">
        <f t="shared" si="15"/>
        <v>0</v>
      </c>
      <c r="AP31" s="129">
        <f t="shared" si="50"/>
        <v>0</v>
      </c>
      <c r="AQ31" s="1">
        <v>0</v>
      </c>
      <c r="AR31" s="1">
        <v>0</v>
      </c>
      <c r="AS31" s="171">
        <f>CPP!I31</f>
        <v>0</v>
      </c>
      <c r="AT31" s="129">
        <f t="shared" si="16"/>
        <v>0</v>
      </c>
      <c r="AU31" s="1">
        <f t="shared" si="51"/>
        <v>0</v>
      </c>
      <c r="AV31" s="1">
        <v>0</v>
      </c>
      <c r="AW31" s="1">
        <v>0</v>
      </c>
      <c r="AX31" s="170">
        <f>CPP!J31</f>
        <v>0</v>
      </c>
      <c r="AY31" s="1">
        <f t="shared" si="17"/>
        <v>0</v>
      </c>
      <c r="AZ31" s="1">
        <f t="shared" si="52"/>
        <v>412.02699999999027</v>
      </c>
      <c r="BA31" s="1">
        <v>0</v>
      </c>
      <c r="BB31" s="1">
        <v>0</v>
      </c>
      <c r="BC31" s="170">
        <f>CPP!K31</f>
        <v>0</v>
      </c>
      <c r="BD31" s="1">
        <f t="shared" si="18"/>
        <v>412.02699999999027</v>
      </c>
      <c r="BE31" s="1">
        <f t="shared" si="53"/>
        <v>0</v>
      </c>
      <c r="BF31" s="1">
        <v>0</v>
      </c>
      <c r="BG31" s="1">
        <v>0</v>
      </c>
      <c r="BH31" s="170">
        <f>CPP!L31</f>
        <v>0</v>
      </c>
      <c r="BI31" s="1">
        <f t="shared" si="19"/>
        <v>0</v>
      </c>
      <c r="BJ31" s="1">
        <f t="shared" si="54"/>
        <v>0</v>
      </c>
      <c r="BK31" s="1">
        <v>0</v>
      </c>
      <c r="BL31" s="1">
        <v>0</v>
      </c>
      <c r="BM31" s="170">
        <f>CPP!M31</f>
        <v>0</v>
      </c>
      <c r="BN31" s="1">
        <f t="shared" si="55"/>
        <v>0</v>
      </c>
      <c r="BO31" s="1">
        <f t="shared" si="20"/>
        <v>0</v>
      </c>
      <c r="BP31" s="1">
        <v>0</v>
      </c>
      <c r="BQ31" s="1">
        <v>0</v>
      </c>
      <c r="BR31" s="170">
        <f>CPP!N31</f>
        <v>0</v>
      </c>
      <c r="BS31" s="1">
        <f t="shared" si="21"/>
        <v>0</v>
      </c>
      <c r="BT31" s="1">
        <f t="shared" si="22"/>
        <v>0</v>
      </c>
      <c r="BU31" s="1">
        <v>0</v>
      </c>
      <c r="BV31" s="1">
        <v>0</v>
      </c>
      <c r="BW31" s="170">
        <f>CPP!O31</f>
        <v>0</v>
      </c>
      <c r="BX31" s="1">
        <f t="shared" si="23"/>
        <v>0</v>
      </c>
      <c r="BY31" s="174">
        <f t="shared" si="56"/>
        <v>0</v>
      </c>
      <c r="BZ31" s="1">
        <v>0</v>
      </c>
      <c r="CA31" s="1">
        <v>0</v>
      </c>
      <c r="CB31" s="170"/>
      <c r="CC31" s="26">
        <f t="shared" si="24"/>
        <v>0</v>
      </c>
      <c r="CD31" s="1">
        <f t="shared" si="57"/>
        <v>0</v>
      </c>
      <c r="CE31" s="1">
        <v>0</v>
      </c>
      <c r="CF31" s="1">
        <v>0</v>
      </c>
      <c r="CG31" s="170">
        <f>CPP!P31</f>
        <v>0</v>
      </c>
      <c r="CH31" s="26">
        <f t="shared" si="25"/>
        <v>0</v>
      </c>
      <c r="CI31" s="1">
        <f t="shared" si="58"/>
        <v>0</v>
      </c>
      <c r="CJ31" s="1">
        <v>0</v>
      </c>
      <c r="CK31" s="1">
        <v>0</v>
      </c>
      <c r="CL31" s="170">
        <f>CPP!Q31</f>
        <v>0</v>
      </c>
      <c r="CM31" s="1">
        <f t="shared" si="26"/>
        <v>0</v>
      </c>
      <c r="CN31" s="1">
        <f t="shared" si="59"/>
        <v>5.0000000000181899E-2</v>
      </c>
      <c r="CO31" s="1">
        <v>0</v>
      </c>
      <c r="CP31" s="1">
        <v>0</v>
      </c>
      <c r="CQ31" s="170">
        <f>CPP!R31</f>
        <v>0</v>
      </c>
      <c r="CR31" s="1">
        <f t="shared" si="27"/>
        <v>5.0000000000181899E-2</v>
      </c>
      <c r="CS31" s="129">
        <f t="shared" si="60"/>
        <v>0</v>
      </c>
      <c r="CT31" s="1">
        <v>0</v>
      </c>
      <c r="CU31" s="1">
        <v>0</v>
      </c>
      <c r="CV31" s="171">
        <f>CPP!S31</f>
        <v>0</v>
      </c>
      <c r="CW31" s="129">
        <f t="shared" si="28"/>
        <v>0</v>
      </c>
      <c r="CX31" s="129">
        <f t="shared" si="61"/>
        <v>0</v>
      </c>
      <c r="CY31" s="1">
        <v>0</v>
      </c>
      <c r="CZ31" s="1">
        <v>0</v>
      </c>
      <c r="DA31" s="171">
        <f>CPP!T31</f>
        <v>0</v>
      </c>
      <c r="DB31" s="129">
        <f t="shared" si="29"/>
        <v>0</v>
      </c>
      <c r="DC31" s="129">
        <f t="shared" si="62"/>
        <v>7.1100000000000136</v>
      </c>
      <c r="DD31" s="1">
        <v>0</v>
      </c>
      <c r="DE31" s="1">
        <v>0</v>
      </c>
      <c r="DF31" s="171">
        <f>CPP!U31</f>
        <v>0</v>
      </c>
      <c r="DG31" s="129">
        <f t="shared" si="30"/>
        <v>7.1100000000000136</v>
      </c>
      <c r="DH31" s="129">
        <f t="shared" si="63"/>
        <v>0</v>
      </c>
      <c r="DI31" s="1">
        <v>0</v>
      </c>
      <c r="DJ31" s="1">
        <v>0</v>
      </c>
      <c r="DK31" s="171">
        <f>CPP!V31</f>
        <v>0</v>
      </c>
      <c r="DL31" s="129">
        <f t="shared" si="31"/>
        <v>0</v>
      </c>
      <c r="DM31" s="129">
        <f t="shared" si="64"/>
        <v>0</v>
      </c>
      <c r="DN31" s="1">
        <v>122</v>
      </c>
      <c r="DO31" s="1">
        <v>0</v>
      </c>
      <c r="DP31" s="171">
        <f>CPP!W31</f>
        <v>0</v>
      </c>
      <c r="DQ31" s="129">
        <f t="shared" si="32"/>
        <v>122</v>
      </c>
      <c r="DR31" s="129">
        <f t="shared" si="65"/>
        <v>3878.3500000000022</v>
      </c>
      <c r="DS31" s="1">
        <v>0</v>
      </c>
      <c r="DT31" s="1">
        <v>306.67</v>
      </c>
      <c r="DU31" s="171">
        <f>CPP!X31</f>
        <v>0</v>
      </c>
      <c r="DV31" s="129">
        <f t="shared" si="33"/>
        <v>3571.6800000000021</v>
      </c>
      <c r="DW31" s="129">
        <f t="shared" si="66"/>
        <v>0</v>
      </c>
      <c r="DX31" s="1">
        <v>0</v>
      </c>
      <c r="DY31" s="1">
        <v>0</v>
      </c>
      <c r="DZ31" s="171">
        <f>CPP!Y31</f>
        <v>0</v>
      </c>
      <c r="EA31" s="129">
        <f t="shared" si="34"/>
        <v>0</v>
      </c>
      <c r="EB31" s="129">
        <f t="shared" si="35"/>
        <v>5360.5269999999909</v>
      </c>
      <c r="EC31" s="170">
        <f t="shared" si="36"/>
        <v>122</v>
      </c>
      <c r="ED31" s="170">
        <f t="shared" si="69"/>
        <v>306.67</v>
      </c>
      <c r="EE31" s="129">
        <f t="shared" si="38"/>
        <v>5175.8569999999909</v>
      </c>
      <c r="EF31" s="18">
        <f t="shared" si="39"/>
        <v>4348.1199999999935</v>
      </c>
      <c r="EG31" s="170">
        <f t="shared" si="40"/>
        <v>64.55</v>
      </c>
      <c r="EH31" s="170">
        <f>CPP!D31+CPP!E31+CPP!F31+CPP!G31+CPP!H31+CPP!I31+CPP!J31+CPP!K31+CPP!L31+CPP!M31+CPP!N31+CPP!O31+CPP!P31+CPP!Q31+CPP!R31+CPP!S31+DA31+DF31+DK31+CPP!W31+DU31</f>
        <v>142</v>
      </c>
      <c r="EI31" s="18">
        <f>EF31+EG31-CPP!G31-CPP!E31-CPP!F31-CPP!P31-CPP!Q31-CL31-CQ31-DU31</f>
        <v>4270.6699999999937</v>
      </c>
      <c r="EJ31" s="16">
        <f t="shared" si="77"/>
        <v>26737.02308295283</v>
      </c>
      <c r="EK31" s="1">
        <v>1850</v>
      </c>
      <c r="EL31" s="253">
        <f>'Daily CEM-1'!AG32+'Daily  CEM - 2'!AF32-EQ31</f>
        <v>1717.2739972009001</v>
      </c>
      <c r="EM31" s="9">
        <f t="shared" si="42"/>
        <v>26869.74908575193</v>
      </c>
      <c r="EN31" s="1">
        <v>0</v>
      </c>
      <c r="EO31" s="18">
        <f t="shared" si="67"/>
        <v>5306.1090080001359</v>
      </c>
      <c r="EP31" s="1">
        <v>0</v>
      </c>
      <c r="EQ31" s="1">
        <v>0</v>
      </c>
      <c r="ER31" s="17">
        <f t="shared" si="43"/>
        <v>5306.1090080001359</v>
      </c>
      <c r="ES31">
        <f t="shared" si="44"/>
        <v>1198.24</v>
      </c>
      <c r="ET31">
        <v>1198.24</v>
      </c>
      <c r="EU31" s="51">
        <f t="shared" si="45"/>
        <v>1717.2739972009001</v>
      </c>
    </row>
    <row r="32" spans="2:154" x14ac:dyDescent="0.25">
      <c r="B32" s="4">
        <v>30</v>
      </c>
      <c r="C32" s="39">
        <f t="shared" si="70"/>
        <v>2775.92</v>
      </c>
      <c r="D32" s="1">
        <v>0</v>
      </c>
      <c r="E32" s="269">
        <f>F32+'RAW MILL 2'!F32</f>
        <v>78</v>
      </c>
      <c r="F32" s="1">
        <v>77</v>
      </c>
      <c r="G32" s="9">
        <f t="shared" si="4"/>
        <v>2697.92</v>
      </c>
      <c r="H32" s="39">
        <f t="shared" si="71"/>
        <v>-438.5599831624786</v>
      </c>
      <c r="I32" s="33">
        <f>Production2!N32</f>
        <v>3098</v>
      </c>
      <c r="J32" s="33">
        <f>Production2!K32</f>
        <v>2969.8</v>
      </c>
      <c r="K32" s="18">
        <f t="shared" si="6"/>
        <v>-310.35998316247878</v>
      </c>
      <c r="L32" s="49">
        <f t="shared" si="72"/>
        <v>0</v>
      </c>
      <c r="M32" s="1">
        <v>0</v>
      </c>
      <c r="N32" s="33">
        <f>CPP!D32</f>
        <v>0</v>
      </c>
      <c r="O32" s="1">
        <v>0</v>
      </c>
      <c r="P32" s="33">
        <f t="shared" si="73"/>
        <v>0</v>
      </c>
      <c r="Q32" s="9">
        <f t="shared" si="48"/>
        <v>0</v>
      </c>
      <c r="R32" s="39">
        <f t="shared" si="74"/>
        <v>0</v>
      </c>
      <c r="S32" s="1">
        <v>0</v>
      </c>
      <c r="T32" s="33">
        <f>CPP!E32</f>
        <v>0</v>
      </c>
      <c r="U32" s="26">
        <v>0</v>
      </c>
      <c r="V32" s="38">
        <f t="shared" si="9"/>
        <v>0</v>
      </c>
      <c r="W32" s="9">
        <f t="shared" si="10"/>
        <v>0</v>
      </c>
      <c r="X32" s="39">
        <f t="shared" si="75"/>
        <v>1063.0399999999981</v>
      </c>
      <c r="Y32" s="1">
        <v>0</v>
      </c>
      <c r="Z32" s="33">
        <f>CPP!H32</f>
        <v>0</v>
      </c>
      <c r="AA32" s="1">
        <v>0</v>
      </c>
      <c r="AB32" s="9">
        <f t="shared" si="12"/>
        <v>1063.0399999999981</v>
      </c>
      <c r="AC32" s="39">
        <f t="shared" si="13"/>
        <v>0</v>
      </c>
      <c r="AD32" s="1">
        <v>0</v>
      </c>
      <c r="AE32" s="1">
        <v>0</v>
      </c>
      <c r="AF32" s="9">
        <f t="shared" si="76"/>
        <v>0</v>
      </c>
      <c r="AG32" s="39">
        <f t="shared" si="14"/>
        <v>4270.6199999999935</v>
      </c>
      <c r="AH32" s="1">
        <v>93.05</v>
      </c>
      <c r="AI32" s="1"/>
      <c r="AJ32" s="170">
        <f>CPP!G32</f>
        <v>155</v>
      </c>
      <c r="AK32" s="9">
        <f>AG32+AH32-AI32-AJ32</f>
        <v>4208.6699999999937</v>
      </c>
      <c r="AL32" s="129">
        <f t="shared" si="49"/>
        <v>0</v>
      </c>
      <c r="AM32" s="1">
        <v>0</v>
      </c>
      <c r="AN32" s="1">
        <v>0</v>
      </c>
      <c r="AO32" s="18">
        <f t="shared" si="15"/>
        <v>0</v>
      </c>
      <c r="AP32" s="129">
        <f t="shared" si="50"/>
        <v>0</v>
      </c>
      <c r="AQ32" s="1">
        <v>0</v>
      </c>
      <c r="AR32" s="1">
        <v>0</v>
      </c>
      <c r="AS32" s="171">
        <f>CPP!I32</f>
        <v>0</v>
      </c>
      <c r="AT32" s="129">
        <f t="shared" si="16"/>
        <v>0</v>
      </c>
      <c r="AU32" s="1">
        <f t="shared" si="51"/>
        <v>0</v>
      </c>
      <c r="AV32" s="1">
        <v>0</v>
      </c>
      <c r="AW32" s="1">
        <v>0</v>
      </c>
      <c r="AX32" s="170">
        <f>CPP!J32</f>
        <v>0</v>
      </c>
      <c r="AY32" s="1">
        <f t="shared" si="17"/>
        <v>0</v>
      </c>
      <c r="AZ32" s="1">
        <f t="shared" si="52"/>
        <v>412.02699999999027</v>
      </c>
      <c r="BA32" s="1">
        <v>0</v>
      </c>
      <c r="BB32" s="1">
        <v>0</v>
      </c>
      <c r="BC32" s="170">
        <f>CPP!K32</f>
        <v>0</v>
      </c>
      <c r="BD32" s="1">
        <f t="shared" si="18"/>
        <v>412.02699999999027</v>
      </c>
      <c r="BE32" s="1">
        <f t="shared" si="53"/>
        <v>0</v>
      </c>
      <c r="BF32" s="1">
        <v>0</v>
      </c>
      <c r="BG32" s="1">
        <v>0</v>
      </c>
      <c r="BH32" s="170">
        <f>CPP!L32</f>
        <v>0</v>
      </c>
      <c r="BI32" s="1">
        <f t="shared" si="19"/>
        <v>0</v>
      </c>
      <c r="BJ32" s="1">
        <f t="shared" si="54"/>
        <v>0</v>
      </c>
      <c r="BK32" s="1">
        <v>0</v>
      </c>
      <c r="BL32" s="1">
        <v>0</v>
      </c>
      <c r="BM32" s="170">
        <f>CPP!M32</f>
        <v>0</v>
      </c>
      <c r="BN32" s="1">
        <f t="shared" si="55"/>
        <v>0</v>
      </c>
      <c r="BO32" s="1">
        <f t="shared" si="20"/>
        <v>0</v>
      </c>
      <c r="BP32" s="1">
        <v>0</v>
      </c>
      <c r="BQ32" s="1">
        <v>0</v>
      </c>
      <c r="BR32" s="170">
        <f>CPP!N32</f>
        <v>0</v>
      </c>
      <c r="BS32" s="1">
        <f t="shared" si="21"/>
        <v>0</v>
      </c>
      <c r="BT32" s="1">
        <f t="shared" si="22"/>
        <v>0</v>
      </c>
      <c r="BU32" s="1">
        <v>0</v>
      </c>
      <c r="BV32" s="1">
        <v>0</v>
      </c>
      <c r="BW32" s="170">
        <f>CPP!O32</f>
        <v>0</v>
      </c>
      <c r="BX32" s="1">
        <f t="shared" si="23"/>
        <v>0</v>
      </c>
      <c r="BY32" s="174">
        <f t="shared" si="56"/>
        <v>0</v>
      </c>
      <c r="BZ32" s="1">
        <v>0</v>
      </c>
      <c r="CA32" s="1">
        <v>0</v>
      </c>
      <c r="CB32" s="170"/>
      <c r="CC32" s="26">
        <f t="shared" si="24"/>
        <v>0</v>
      </c>
      <c r="CD32" s="1">
        <f t="shared" si="57"/>
        <v>0</v>
      </c>
      <c r="CE32" s="1">
        <v>0</v>
      </c>
      <c r="CF32" s="1">
        <v>0</v>
      </c>
      <c r="CG32" s="170">
        <f>CPP!P32</f>
        <v>0</v>
      </c>
      <c r="CH32" s="26">
        <f t="shared" si="25"/>
        <v>0</v>
      </c>
      <c r="CI32" s="1">
        <f t="shared" si="58"/>
        <v>0</v>
      </c>
      <c r="CJ32" s="1">
        <v>0</v>
      </c>
      <c r="CK32" s="1">
        <v>0</v>
      </c>
      <c r="CL32" s="170">
        <f>CPP!Q32</f>
        <v>0</v>
      </c>
      <c r="CM32" s="1">
        <f t="shared" si="26"/>
        <v>0</v>
      </c>
      <c r="CN32" s="1">
        <f t="shared" si="59"/>
        <v>5.0000000000181899E-2</v>
      </c>
      <c r="CO32" s="1">
        <v>0</v>
      </c>
      <c r="CP32" s="1">
        <v>0</v>
      </c>
      <c r="CQ32" s="170">
        <f>CPP!R32</f>
        <v>0</v>
      </c>
      <c r="CR32" s="1">
        <f t="shared" si="27"/>
        <v>5.0000000000181899E-2</v>
      </c>
      <c r="CS32" s="129">
        <f t="shared" si="60"/>
        <v>0</v>
      </c>
      <c r="CT32" s="1">
        <v>0</v>
      </c>
      <c r="CU32" s="1">
        <v>0</v>
      </c>
      <c r="CV32" s="171">
        <f>CPP!S32</f>
        <v>0</v>
      </c>
      <c r="CW32" s="129">
        <f t="shared" si="28"/>
        <v>0</v>
      </c>
      <c r="CX32" s="129">
        <f t="shared" si="61"/>
        <v>0</v>
      </c>
      <c r="CY32" s="1">
        <v>0</v>
      </c>
      <c r="CZ32" s="1">
        <v>0</v>
      </c>
      <c r="DA32" s="171">
        <f>CPP!T32</f>
        <v>0</v>
      </c>
      <c r="DB32" s="129">
        <f t="shared" si="29"/>
        <v>0</v>
      </c>
      <c r="DC32" s="129">
        <f t="shared" si="62"/>
        <v>7.1100000000000136</v>
      </c>
      <c r="DD32" s="1">
        <v>0</v>
      </c>
      <c r="DE32" s="1">
        <v>0</v>
      </c>
      <c r="DF32" s="171">
        <f>CPP!U32</f>
        <v>0</v>
      </c>
      <c r="DG32" s="129">
        <f t="shared" si="30"/>
        <v>7.1100000000000136</v>
      </c>
      <c r="DH32" s="129">
        <f t="shared" si="63"/>
        <v>0</v>
      </c>
      <c r="DI32" s="1">
        <v>0</v>
      </c>
      <c r="DJ32" s="1">
        <v>0</v>
      </c>
      <c r="DK32" s="171">
        <f>CPP!V32</f>
        <v>0</v>
      </c>
      <c r="DL32" s="129">
        <f t="shared" si="31"/>
        <v>0</v>
      </c>
      <c r="DM32" s="129">
        <f t="shared" si="64"/>
        <v>122</v>
      </c>
      <c r="DN32" s="1">
        <v>90</v>
      </c>
      <c r="DO32" s="1">
        <v>0</v>
      </c>
      <c r="DP32" s="171">
        <f>CPP!W32</f>
        <v>0</v>
      </c>
      <c r="DQ32" s="129">
        <f t="shared" si="32"/>
        <v>212</v>
      </c>
      <c r="DR32" s="129">
        <f t="shared" si="65"/>
        <v>3571.6800000000021</v>
      </c>
      <c r="DS32" s="1">
        <v>0</v>
      </c>
      <c r="DT32" s="1">
        <v>310</v>
      </c>
      <c r="DU32" s="171">
        <f>CPP!X32</f>
        <v>0</v>
      </c>
      <c r="DV32" s="129">
        <f t="shared" si="33"/>
        <v>3261.6800000000021</v>
      </c>
      <c r="DW32" s="129">
        <f t="shared" si="66"/>
        <v>0</v>
      </c>
      <c r="DX32" s="1">
        <v>0</v>
      </c>
      <c r="DY32" s="1">
        <v>0</v>
      </c>
      <c r="DZ32" s="171">
        <f>CPP!Y32</f>
        <v>0</v>
      </c>
      <c r="EA32" s="129">
        <f t="shared" si="34"/>
        <v>0</v>
      </c>
      <c r="EB32" s="129">
        <f t="shared" si="35"/>
        <v>5175.8569999999909</v>
      </c>
      <c r="EC32" s="170">
        <f t="shared" si="36"/>
        <v>90</v>
      </c>
      <c r="ED32" s="170">
        <f t="shared" si="69"/>
        <v>310</v>
      </c>
      <c r="EE32" s="129">
        <f t="shared" si="38"/>
        <v>4955.8569999999909</v>
      </c>
      <c r="EF32" s="18">
        <f t="shared" si="39"/>
        <v>4270.6699999999937</v>
      </c>
      <c r="EG32" s="170">
        <f t="shared" si="40"/>
        <v>93.05</v>
      </c>
      <c r="EH32" s="170">
        <f>CPP!D32+CPP!E32+CPP!F32+CPP!G32+CPP!H32+CPP!I32+CPP!J32+CPP!K32+CPP!L32+CPP!M32+CPP!N32+CPP!O32+CPP!P32+CPP!Q32+CPP!R32+CPP!S32+DA32+DF32+DK32+CPP!W32+DU32</f>
        <v>155</v>
      </c>
      <c r="EI32" s="18">
        <f>EF32+EG32-CPP!G32-CPP!E32-CPP!F32-CPP!P32-CPP!Q32-CL32-CQ32-DU32</f>
        <v>4208.7199999999939</v>
      </c>
      <c r="EJ32" s="16">
        <f t="shared" si="77"/>
        <v>26869.74908575193</v>
      </c>
      <c r="EK32" s="1">
        <v>1916</v>
      </c>
      <c r="EL32" s="253">
        <f>'Daily CEM-1'!AG33+'Daily  CEM - 2'!AF33-EQ32</f>
        <v>2423.8400000000011</v>
      </c>
      <c r="EM32" s="9">
        <f t="shared" si="42"/>
        <v>26361.90908575193</v>
      </c>
      <c r="EN32" s="1">
        <v>0</v>
      </c>
      <c r="EO32" s="18">
        <f t="shared" si="67"/>
        <v>5306.1090080001359</v>
      </c>
      <c r="EP32" s="1">
        <v>0</v>
      </c>
      <c r="EQ32" s="1">
        <v>0</v>
      </c>
      <c r="ER32" s="431">
        <f>EO32+EP32-EQ32</f>
        <v>5306.1090080001359</v>
      </c>
      <c r="ES32">
        <f t="shared" si="44"/>
        <v>479.81</v>
      </c>
      <c r="ET32">
        <v>479.81</v>
      </c>
      <c r="EU32" s="51">
        <f t="shared" si="45"/>
        <v>2423.8400000000011</v>
      </c>
    </row>
    <row r="33" spans="2:168" s="160" customFormat="1" x14ac:dyDescent="0.25">
      <c r="B33" s="155">
        <v>31</v>
      </c>
      <c r="C33" s="156">
        <f t="shared" si="70"/>
        <v>2697.92</v>
      </c>
      <c r="D33" s="1">
        <v>0</v>
      </c>
      <c r="E33" s="269">
        <f>F33+'RAW MILL 2'!F33</f>
        <v>50</v>
      </c>
      <c r="F33" s="1">
        <v>47</v>
      </c>
      <c r="G33" s="9">
        <f t="shared" si="4"/>
        <v>2647.92</v>
      </c>
      <c r="H33" s="156">
        <f t="shared" si="71"/>
        <v>-310.35998316247878</v>
      </c>
      <c r="I33" s="157">
        <f>Production2!N33</f>
        <v>2967</v>
      </c>
      <c r="J33" s="157">
        <f>Production2!K33</f>
        <v>3022.5</v>
      </c>
      <c r="K33" s="18">
        <f t="shared" si="6"/>
        <v>-365.85998316247878</v>
      </c>
      <c r="L33" s="161">
        <f t="shared" si="72"/>
        <v>0</v>
      </c>
      <c r="M33" s="1">
        <v>0</v>
      </c>
      <c r="N33" s="157">
        <f>CPP!D33</f>
        <v>0</v>
      </c>
      <c r="O33" s="1">
        <v>0</v>
      </c>
      <c r="P33" s="157">
        <f t="shared" si="73"/>
        <v>0</v>
      </c>
      <c r="Q33" s="158">
        <f t="shared" si="48"/>
        <v>0</v>
      </c>
      <c r="R33" s="156">
        <f t="shared" si="74"/>
        <v>0</v>
      </c>
      <c r="S33" s="1">
        <v>0</v>
      </c>
      <c r="T33" s="157">
        <f>CPP!E33</f>
        <v>0</v>
      </c>
      <c r="U33" s="159">
        <v>0</v>
      </c>
      <c r="V33" s="159">
        <f t="shared" si="9"/>
        <v>0</v>
      </c>
      <c r="W33" s="158">
        <f t="shared" si="10"/>
        <v>0</v>
      </c>
      <c r="X33" s="156">
        <f t="shared" si="75"/>
        <v>1063.0399999999981</v>
      </c>
      <c r="Y33" s="1">
        <v>0</v>
      </c>
      <c r="Z33" s="157">
        <f>CPP!H33</f>
        <v>0</v>
      </c>
      <c r="AA33" s="1">
        <v>0</v>
      </c>
      <c r="AB33" s="158">
        <f t="shared" si="12"/>
        <v>1063.0399999999981</v>
      </c>
      <c r="AC33" s="156">
        <f t="shared" si="13"/>
        <v>0</v>
      </c>
      <c r="AD33" s="1">
        <v>0</v>
      </c>
      <c r="AE33" s="1">
        <v>0</v>
      </c>
      <c r="AF33" s="158">
        <f t="shared" si="76"/>
        <v>0</v>
      </c>
      <c r="AG33" s="156">
        <f t="shared" si="14"/>
        <v>4208.6699999999937</v>
      </c>
      <c r="AH33" s="1">
        <v>0</v>
      </c>
      <c r="AI33" s="1"/>
      <c r="AJ33" s="170">
        <f>CPP!G33</f>
        <v>160</v>
      </c>
      <c r="AK33" s="9">
        <f t="shared" si="68"/>
        <v>4048.6699999999937</v>
      </c>
      <c r="AL33" s="129">
        <f t="shared" si="49"/>
        <v>0</v>
      </c>
      <c r="AM33" s="1">
        <v>0</v>
      </c>
      <c r="AN33" s="1">
        <v>0</v>
      </c>
      <c r="AO33" s="18">
        <f t="shared" si="15"/>
        <v>0</v>
      </c>
      <c r="AP33" s="129">
        <f t="shared" si="50"/>
        <v>0</v>
      </c>
      <c r="AQ33" s="1">
        <v>0</v>
      </c>
      <c r="AR33" s="1">
        <v>0</v>
      </c>
      <c r="AS33" s="171">
        <f>CPP!I33</f>
        <v>0</v>
      </c>
      <c r="AT33" s="129">
        <f t="shared" si="16"/>
        <v>0</v>
      </c>
      <c r="AU33" s="1">
        <f t="shared" si="51"/>
        <v>0</v>
      </c>
      <c r="AV33" s="1">
        <v>0</v>
      </c>
      <c r="AW33" s="1">
        <v>0</v>
      </c>
      <c r="AX33" s="170">
        <f>CPP!J33</f>
        <v>0</v>
      </c>
      <c r="AY33" s="1">
        <f t="shared" si="17"/>
        <v>0</v>
      </c>
      <c r="AZ33" s="1">
        <f t="shared" si="52"/>
        <v>412.02699999999027</v>
      </c>
      <c r="BA33" s="1">
        <v>0</v>
      </c>
      <c r="BB33" s="1">
        <v>0</v>
      </c>
      <c r="BC33" s="170">
        <f>CPP!K33</f>
        <v>0</v>
      </c>
      <c r="BD33" s="1">
        <f t="shared" si="18"/>
        <v>412.02699999999027</v>
      </c>
      <c r="BE33" s="1">
        <f t="shared" si="53"/>
        <v>0</v>
      </c>
      <c r="BF33" s="1">
        <v>0</v>
      </c>
      <c r="BG33" s="1">
        <v>0</v>
      </c>
      <c r="BH33" s="170">
        <f>CPP!L33</f>
        <v>0</v>
      </c>
      <c r="BI33" s="1">
        <f t="shared" si="19"/>
        <v>0</v>
      </c>
      <c r="BJ33" s="1">
        <f t="shared" si="54"/>
        <v>0</v>
      </c>
      <c r="BK33" s="1">
        <v>0</v>
      </c>
      <c r="BL33" s="1">
        <v>0</v>
      </c>
      <c r="BM33" s="170">
        <f>CPP!M33</f>
        <v>0</v>
      </c>
      <c r="BN33" s="1">
        <f t="shared" si="55"/>
        <v>0</v>
      </c>
      <c r="BO33" s="1">
        <f t="shared" si="20"/>
        <v>0</v>
      </c>
      <c r="BP33" s="1">
        <v>0</v>
      </c>
      <c r="BQ33" s="1">
        <v>0</v>
      </c>
      <c r="BR33" s="170">
        <f>CPP!N33</f>
        <v>0</v>
      </c>
      <c r="BS33" s="1">
        <f t="shared" si="21"/>
        <v>0</v>
      </c>
      <c r="BT33" s="1">
        <f t="shared" si="22"/>
        <v>0</v>
      </c>
      <c r="BU33" s="1">
        <v>0</v>
      </c>
      <c r="BV33" s="1">
        <v>0</v>
      </c>
      <c r="BW33" s="170">
        <f>CPP!O33</f>
        <v>0</v>
      </c>
      <c r="BX33" s="1">
        <f t="shared" si="23"/>
        <v>0</v>
      </c>
      <c r="BY33" s="174">
        <f t="shared" si="56"/>
        <v>0</v>
      </c>
      <c r="BZ33" s="157">
        <v>0</v>
      </c>
      <c r="CA33" s="1">
        <v>0</v>
      </c>
      <c r="CB33" s="170"/>
      <c r="CC33" s="26">
        <f t="shared" si="24"/>
        <v>0</v>
      </c>
      <c r="CD33" s="1">
        <f t="shared" si="57"/>
        <v>0</v>
      </c>
      <c r="CE33" s="1">
        <v>0</v>
      </c>
      <c r="CF33" s="1">
        <v>0</v>
      </c>
      <c r="CG33" s="170">
        <f>CPP!P33</f>
        <v>0</v>
      </c>
      <c r="CH33" s="26">
        <f t="shared" si="25"/>
        <v>0</v>
      </c>
      <c r="CI33" s="1">
        <f t="shared" si="58"/>
        <v>0</v>
      </c>
      <c r="CJ33" s="1">
        <v>0</v>
      </c>
      <c r="CK33" s="1">
        <v>0</v>
      </c>
      <c r="CL33" s="170">
        <f>CPP!Q33</f>
        <v>0</v>
      </c>
      <c r="CM33" s="1">
        <f t="shared" si="26"/>
        <v>0</v>
      </c>
      <c r="CN33" s="1">
        <f t="shared" si="59"/>
        <v>5.0000000000181899E-2</v>
      </c>
      <c r="CO33" s="1">
        <v>0</v>
      </c>
      <c r="CP33" s="1">
        <v>0</v>
      </c>
      <c r="CQ33" s="170">
        <f>CPP!R33</f>
        <v>0</v>
      </c>
      <c r="CR33" s="1">
        <f t="shared" si="27"/>
        <v>5.0000000000181899E-2</v>
      </c>
      <c r="CS33" s="129">
        <f t="shared" si="60"/>
        <v>0</v>
      </c>
      <c r="CT33" s="1">
        <v>0</v>
      </c>
      <c r="CU33" s="1">
        <v>0</v>
      </c>
      <c r="CV33" s="171">
        <f>CPP!S33</f>
        <v>0</v>
      </c>
      <c r="CW33" s="129">
        <f t="shared" si="28"/>
        <v>0</v>
      </c>
      <c r="CX33" s="129">
        <f t="shared" si="61"/>
        <v>0</v>
      </c>
      <c r="CY33" s="1">
        <v>0</v>
      </c>
      <c r="CZ33" s="1">
        <v>0</v>
      </c>
      <c r="DA33" s="171">
        <f>CPP!T33</f>
        <v>0</v>
      </c>
      <c r="DB33" s="129">
        <f t="shared" si="29"/>
        <v>0</v>
      </c>
      <c r="DC33" s="129">
        <f t="shared" si="62"/>
        <v>7.1100000000000136</v>
      </c>
      <c r="DD33" s="1">
        <v>0</v>
      </c>
      <c r="DE33" s="1">
        <v>0</v>
      </c>
      <c r="DF33" s="171">
        <f>CPP!U33</f>
        <v>0</v>
      </c>
      <c r="DG33" s="129">
        <f t="shared" si="30"/>
        <v>7.1100000000000136</v>
      </c>
      <c r="DH33" s="129">
        <f t="shared" si="63"/>
        <v>0</v>
      </c>
      <c r="DI33" s="1">
        <v>0</v>
      </c>
      <c r="DJ33" s="1">
        <v>0</v>
      </c>
      <c r="DK33" s="171">
        <f>CPP!V33</f>
        <v>0</v>
      </c>
      <c r="DL33" s="129">
        <f t="shared" si="31"/>
        <v>0</v>
      </c>
      <c r="DM33" s="129">
        <f t="shared" si="64"/>
        <v>212</v>
      </c>
      <c r="DN33" s="1">
        <v>0</v>
      </c>
      <c r="DO33" s="1">
        <v>0</v>
      </c>
      <c r="DP33" s="171">
        <f>CPP!W33</f>
        <v>0</v>
      </c>
      <c r="DQ33" s="129">
        <f t="shared" si="32"/>
        <v>212</v>
      </c>
      <c r="DR33" s="129">
        <f t="shared" si="65"/>
        <v>3261.6800000000021</v>
      </c>
      <c r="DS33" s="1">
        <v>0</v>
      </c>
      <c r="DT33" s="1">
        <v>327.78</v>
      </c>
      <c r="DU33" s="171">
        <f>CPP!X33</f>
        <v>0</v>
      </c>
      <c r="DV33" s="129">
        <f t="shared" si="33"/>
        <v>2933.9000000000024</v>
      </c>
      <c r="DW33" s="129">
        <f t="shared" si="66"/>
        <v>0</v>
      </c>
      <c r="DX33" s="1">
        <v>0</v>
      </c>
      <c r="DY33" s="1">
        <v>0</v>
      </c>
      <c r="DZ33" s="171">
        <f>CPP!Y33</f>
        <v>0</v>
      </c>
      <c r="EA33" s="129">
        <f t="shared" si="34"/>
        <v>0</v>
      </c>
      <c r="EB33" s="129">
        <f t="shared" si="35"/>
        <v>4955.8569999999909</v>
      </c>
      <c r="EC33" s="170">
        <f t="shared" si="36"/>
        <v>0</v>
      </c>
      <c r="ED33" s="170">
        <f t="shared" si="69"/>
        <v>327.78</v>
      </c>
      <c r="EE33" s="129">
        <f t="shared" si="38"/>
        <v>4628.0769999999911</v>
      </c>
      <c r="EF33" s="18">
        <f t="shared" si="39"/>
        <v>4208.7199999999939</v>
      </c>
      <c r="EG33" s="170">
        <f t="shared" si="40"/>
        <v>0</v>
      </c>
      <c r="EH33" s="170">
        <f>CPP!D33+CPP!E33+CPP!F33+CPP!G33+CPP!H33+CPP!I33+CPP!J33+CPP!K33+CPP!L33+CPP!M33+CPP!N33+CPP!O33+CPP!P33+CPP!Q33+CPP!R33+CPP!S33+DA33+DF33+DK33+CPP!W33+DU33</f>
        <v>160</v>
      </c>
      <c r="EI33" s="18">
        <f>EF33+EG33-CPP!G33-CPP!E33-CPP!F33-CPP!P33-CPP!Q33-CL33-CQ33-DU33</f>
        <v>4048.7199999999939</v>
      </c>
      <c r="EJ33" s="156">
        <f t="shared" si="77"/>
        <v>26361.90908575193</v>
      </c>
      <c r="EK33" s="1">
        <v>1950</v>
      </c>
      <c r="EL33" s="253">
        <f>'Daily CEM-1'!AG34+'Daily  CEM - 2'!AF34-EQ33</f>
        <v>2366.0999999902515</v>
      </c>
      <c r="EM33" s="656">
        <f>EJ33+EK33-EL33-EN33</f>
        <v>25945.809085761677</v>
      </c>
      <c r="EN33" s="157">
        <v>0</v>
      </c>
      <c r="EO33" s="18">
        <f t="shared" si="67"/>
        <v>5306.1090080001359</v>
      </c>
      <c r="EP33" s="1">
        <v>0</v>
      </c>
      <c r="EQ33" s="1">
        <v>0</v>
      </c>
      <c r="ER33" s="17">
        <f t="shared" si="43"/>
        <v>5306.1090080001359</v>
      </c>
    </row>
    <row r="34" spans="2:168" ht="15.75" thickBot="1" x14ac:dyDescent="0.3">
      <c r="B34" s="5" t="s">
        <v>26</v>
      </c>
      <c r="C34" s="8"/>
      <c r="D34" s="8">
        <f>SUM(D3:D33)</f>
        <v>347.58000000000004</v>
      </c>
      <c r="E34" s="308">
        <f>SUM(E3:E33)</f>
        <v>1698</v>
      </c>
      <c r="F34" s="8"/>
      <c r="G34" s="10"/>
      <c r="H34" s="8">
        <f t="shared" ref="H34:L34" si="78">SUM(H3:H32)</f>
        <v>23776.350505125622</v>
      </c>
      <c r="I34" s="8">
        <f>SUM(I3:I33)</f>
        <v>67428.44</v>
      </c>
      <c r="J34" s="8">
        <f>SUM(J3:J33)</f>
        <v>69790.3</v>
      </c>
      <c r="K34" s="8">
        <f t="shared" si="78"/>
        <v>21469.990505125625</v>
      </c>
      <c r="L34" s="8">
        <f t="shared" si="78"/>
        <v>0</v>
      </c>
      <c r="M34" s="8">
        <f>SUM(M3:M33)</f>
        <v>0</v>
      </c>
      <c r="N34" s="8">
        <f>SUM(N3:N33)</f>
        <v>0</v>
      </c>
      <c r="O34" s="8">
        <f>SUM(O3:O33)</f>
        <v>0</v>
      </c>
      <c r="P34" s="41">
        <f>SUM(P3:P33)</f>
        <v>0</v>
      </c>
      <c r="Q34" s="41">
        <f t="shared" ref="Q34:CC34" si="79">SUM(Q3:Q33)</f>
        <v>0</v>
      </c>
      <c r="R34" s="41">
        <f t="shared" si="79"/>
        <v>0</v>
      </c>
      <c r="S34" s="41">
        <f t="shared" si="79"/>
        <v>0</v>
      </c>
      <c r="T34" s="41">
        <f t="shared" si="79"/>
        <v>0</v>
      </c>
      <c r="U34" s="41">
        <f t="shared" si="79"/>
        <v>0</v>
      </c>
      <c r="V34" s="41">
        <f t="shared" si="79"/>
        <v>0</v>
      </c>
      <c r="W34" s="41">
        <f t="shared" si="79"/>
        <v>0</v>
      </c>
      <c r="X34" s="41">
        <f t="shared" si="79"/>
        <v>49161.619999999981</v>
      </c>
      <c r="Y34" s="8">
        <f>SUM(Y3:Y33)</f>
        <v>0</v>
      </c>
      <c r="Z34" s="41">
        <f t="shared" si="79"/>
        <v>408</v>
      </c>
      <c r="AA34" s="41">
        <f t="shared" si="79"/>
        <v>2192.79</v>
      </c>
      <c r="AB34" s="41">
        <f t="shared" si="79"/>
        <v>46560.829999999965</v>
      </c>
      <c r="AC34" s="41">
        <f t="shared" si="79"/>
        <v>0</v>
      </c>
      <c r="AD34" s="41">
        <f t="shared" si="79"/>
        <v>0</v>
      </c>
      <c r="AE34" s="41">
        <f t="shared" si="79"/>
        <v>0</v>
      </c>
      <c r="AF34" s="41">
        <f t="shared" si="79"/>
        <v>0</v>
      </c>
      <c r="AG34" s="41"/>
      <c r="AH34" s="242">
        <f>SUM(AH3:AH33)</f>
        <v>1985.8999999999999</v>
      </c>
      <c r="AI34" s="242"/>
      <c r="AJ34" s="41">
        <f t="shared" si="79"/>
        <v>3895</v>
      </c>
      <c r="AK34" s="41"/>
      <c r="AL34" s="41">
        <f t="shared" si="79"/>
        <v>0</v>
      </c>
      <c r="AM34" s="41">
        <f t="shared" si="79"/>
        <v>0</v>
      </c>
      <c r="AN34" s="41">
        <f t="shared" si="79"/>
        <v>0</v>
      </c>
      <c r="AO34" s="41">
        <f t="shared" si="79"/>
        <v>0</v>
      </c>
      <c r="AP34" s="41">
        <f t="shared" si="79"/>
        <v>0</v>
      </c>
      <c r="AQ34" s="41">
        <f t="shared" si="79"/>
        <v>0</v>
      </c>
      <c r="AR34" s="41">
        <f t="shared" si="79"/>
        <v>0</v>
      </c>
      <c r="AS34" s="41">
        <f t="shared" si="79"/>
        <v>0</v>
      </c>
      <c r="AT34" s="41">
        <f t="shared" si="79"/>
        <v>0</v>
      </c>
      <c r="AU34" s="41">
        <f t="shared" si="79"/>
        <v>0</v>
      </c>
      <c r="AV34" s="41">
        <f t="shared" si="79"/>
        <v>0</v>
      </c>
      <c r="AW34" s="41">
        <f t="shared" si="79"/>
        <v>0</v>
      </c>
      <c r="AX34" s="41">
        <f t="shared" si="79"/>
        <v>0</v>
      </c>
      <c r="AY34" s="41">
        <f t="shared" si="79"/>
        <v>0</v>
      </c>
      <c r="AZ34" s="41">
        <f t="shared" si="79"/>
        <v>1500.5569999996976</v>
      </c>
      <c r="BA34" s="185">
        <f t="shared" si="79"/>
        <v>411.74</v>
      </c>
      <c r="BB34" s="185">
        <f t="shared" si="79"/>
        <v>0</v>
      </c>
      <c r="BC34" s="41">
        <f t="shared" si="79"/>
        <v>0</v>
      </c>
      <c r="BD34" s="41">
        <f t="shared" si="79"/>
        <v>1912.2969999996978</v>
      </c>
      <c r="BE34" s="41">
        <f t="shared" si="79"/>
        <v>0</v>
      </c>
      <c r="BF34" s="41">
        <f t="shared" si="79"/>
        <v>0</v>
      </c>
      <c r="BG34" s="41">
        <f t="shared" si="79"/>
        <v>0</v>
      </c>
      <c r="BH34" s="41">
        <f t="shared" si="79"/>
        <v>0</v>
      </c>
      <c r="BI34" s="41"/>
      <c r="BJ34" s="41"/>
      <c r="BK34" s="41">
        <f t="shared" si="79"/>
        <v>0</v>
      </c>
      <c r="BL34" s="41">
        <f t="shared" si="79"/>
        <v>0</v>
      </c>
      <c r="BM34" s="41">
        <f t="shared" si="79"/>
        <v>0</v>
      </c>
      <c r="BN34" s="41"/>
      <c r="BO34" s="41"/>
      <c r="BP34" s="41">
        <f t="shared" si="79"/>
        <v>0</v>
      </c>
      <c r="BQ34" s="41">
        <f t="shared" si="79"/>
        <v>0</v>
      </c>
      <c r="BR34" s="41">
        <f t="shared" si="79"/>
        <v>0</v>
      </c>
      <c r="BS34" s="41"/>
      <c r="BT34" s="41">
        <f t="shared" si="79"/>
        <v>0</v>
      </c>
      <c r="BU34" s="41">
        <f t="shared" si="79"/>
        <v>0</v>
      </c>
      <c r="BV34" s="41">
        <f t="shared" si="79"/>
        <v>0</v>
      </c>
      <c r="BW34" s="41">
        <f t="shared" si="79"/>
        <v>0</v>
      </c>
      <c r="BX34" s="41"/>
      <c r="BY34" s="41"/>
      <c r="BZ34" s="41">
        <f t="shared" si="79"/>
        <v>0</v>
      </c>
      <c r="CA34" s="41">
        <f t="shared" si="79"/>
        <v>0</v>
      </c>
      <c r="CB34" s="41">
        <f t="shared" si="79"/>
        <v>0</v>
      </c>
      <c r="CC34" s="41">
        <f t="shared" si="79"/>
        <v>0</v>
      </c>
      <c r="CD34" s="41"/>
      <c r="CE34" s="41"/>
      <c r="CF34" s="41"/>
      <c r="CG34" s="41"/>
      <c r="CH34" s="179"/>
      <c r="CI34" s="14"/>
      <c r="CJ34" s="14"/>
      <c r="CK34" s="14"/>
      <c r="CL34" s="14"/>
      <c r="CM34" s="14"/>
      <c r="CN34" s="14"/>
      <c r="CO34" s="14">
        <f>SUM(CO3:CO33)</f>
        <v>0</v>
      </c>
      <c r="CP34" s="14">
        <f t="shared" ref="CP34:CQ34" si="80">SUM(CP3:CP33)</f>
        <v>0</v>
      </c>
      <c r="CQ34" s="14">
        <f t="shared" si="80"/>
        <v>0</v>
      </c>
      <c r="CR34" s="14"/>
      <c r="CS34" s="181"/>
      <c r="CT34" s="181">
        <f>SUM(CT3:CT33)</f>
        <v>0</v>
      </c>
      <c r="CU34" s="181">
        <f t="shared" ref="CU34:CV34" si="81">SUM(CU3:CU33)</f>
        <v>0</v>
      </c>
      <c r="CV34" s="181">
        <f t="shared" si="81"/>
        <v>0</v>
      </c>
      <c r="CW34" s="181"/>
      <c r="CX34" s="181"/>
      <c r="CY34" s="181">
        <f>SUM(CY3:CY33)</f>
        <v>0</v>
      </c>
      <c r="CZ34" s="181">
        <f t="shared" ref="CZ34:DA34" si="82">SUM(CZ3:CZ33)</f>
        <v>0</v>
      </c>
      <c r="DA34" s="181">
        <f t="shared" si="82"/>
        <v>0</v>
      </c>
      <c r="DB34" s="181"/>
      <c r="DC34" s="181"/>
      <c r="DD34" s="181">
        <f>SUM(DD3:DD33)</f>
        <v>0</v>
      </c>
      <c r="DE34" s="181">
        <f t="shared" ref="DE34:DF34" si="83">SUM(DE3:DE33)</f>
        <v>298.89</v>
      </c>
      <c r="DF34" s="181">
        <f t="shared" si="83"/>
        <v>0</v>
      </c>
      <c r="DG34" s="181"/>
      <c r="DH34" s="181"/>
      <c r="DI34" s="181">
        <f>SUM(DI3:DI33)</f>
        <v>0</v>
      </c>
      <c r="DJ34" s="181">
        <f t="shared" ref="DJ34:DK34" si="84">SUM(DJ3:DJ33)</f>
        <v>0</v>
      </c>
      <c r="DK34" s="181">
        <f t="shared" si="84"/>
        <v>0</v>
      </c>
      <c r="DL34" s="181"/>
      <c r="DM34" s="181"/>
      <c r="DN34" s="181">
        <f>SUM(DN3:DN33)</f>
        <v>212</v>
      </c>
      <c r="DO34" s="181">
        <f t="shared" ref="DO34:DP34" si="85">SUM(DO3:DO33)</f>
        <v>0</v>
      </c>
      <c r="DP34" s="181">
        <f t="shared" si="85"/>
        <v>0</v>
      </c>
      <c r="DQ34" s="181"/>
      <c r="DR34" s="181"/>
      <c r="DS34" s="298">
        <f>SUM(DS3:DS33)</f>
        <v>0</v>
      </c>
      <c r="DT34" s="181">
        <f t="shared" ref="DT34:DU34" si="86">SUM(DT3:DT33)</f>
        <v>1336.45</v>
      </c>
      <c r="DU34" s="181">
        <f t="shared" si="86"/>
        <v>0</v>
      </c>
      <c r="DV34" s="181"/>
      <c r="DW34" s="181"/>
      <c r="DX34" s="181">
        <f>SUM(DX3:DX33)</f>
        <v>0</v>
      </c>
      <c r="DY34" s="181">
        <f t="shared" ref="DY34:DZ34" si="87">SUM(DY3:DY33)</f>
        <v>0</v>
      </c>
      <c r="DZ34" s="181">
        <f t="shared" si="87"/>
        <v>0</v>
      </c>
      <c r="EA34" s="181"/>
      <c r="EB34" s="180"/>
      <c r="EC34" s="41">
        <f t="shared" ref="EC34:EN34" si="88">SUM(EC3:EC33)</f>
        <v>623.74</v>
      </c>
      <c r="ED34" s="41">
        <f t="shared" si="88"/>
        <v>7881.01</v>
      </c>
      <c r="EE34" s="41">
        <f t="shared" si="88"/>
        <v>174105.75699999978</v>
      </c>
      <c r="EF34" s="41">
        <f t="shared" si="88"/>
        <v>247331.61999999985</v>
      </c>
      <c r="EG34" s="41">
        <f t="shared" si="88"/>
        <v>1985.8999999999999</v>
      </c>
      <c r="EH34" s="41">
        <f t="shared" si="88"/>
        <v>4303</v>
      </c>
      <c r="EI34" s="41">
        <f t="shared" si="88"/>
        <v>245422.51999999984</v>
      </c>
      <c r="EJ34" s="41">
        <f t="shared" si="88"/>
        <v>835982.17966174055</v>
      </c>
      <c r="EK34" s="41">
        <f t="shared" si="88"/>
        <v>45026</v>
      </c>
      <c r="EL34" s="242">
        <f>SUM(EL3:EL33)</f>
        <v>43999.851001978779</v>
      </c>
      <c r="EM34" s="41">
        <f t="shared" si="88"/>
        <v>837008.32865976181</v>
      </c>
      <c r="EN34" s="41">
        <f t="shared" si="88"/>
        <v>0</v>
      </c>
      <c r="EO34" s="181"/>
      <c r="EP34" s="15">
        <f>SUM(EP3:EP33)</f>
        <v>150.78</v>
      </c>
      <c r="EQ34" s="15">
        <f>SUM(EQ3:EQ33)</f>
        <v>0</v>
      </c>
    </row>
    <row r="35" spans="2:168" x14ac:dyDescent="0.25">
      <c r="B35" t="s">
        <v>27</v>
      </c>
      <c r="D35" s="17">
        <f>D36+SUM(D3:D33)</f>
        <v>417.28000000000003</v>
      </c>
      <c r="E35" s="268">
        <f>E36+SUM(E3:E33)</f>
        <v>3135</v>
      </c>
      <c r="F35" s="17"/>
      <c r="I35" s="17">
        <f>I36+SUM(I3:I33)</f>
        <v>126285.59</v>
      </c>
      <c r="J35" s="17">
        <f>J36+SUM(J3:J33)</f>
        <v>132565.29999999999</v>
      </c>
      <c r="M35" s="17">
        <f>M36+SUM(M3:M33)</f>
        <v>0</v>
      </c>
      <c r="N35" s="17">
        <f>N36+SUM(N3:N33)</f>
        <v>0</v>
      </c>
      <c r="O35" s="17">
        <f>O36+SUM(O3:O33)</f>
        <v>0</v>
      </c>
      <c r="P35" s="17">
        <f>P36+SUM(P3:P33)</f>
        <v>0</v>
      </c>
      <c r="Q35" s="17"/>
      <c r="R35" s="17"/>
      <c r="S35" s="17">
        <f>S36+SUM(S3:S33)</f>
        <v>0</v>
      </c>
      <c r="T35" s="17">
        <f>T36+SUM(T3:T33)</f>
        <v>0</v>
      </c>
      <c r="U35" s="17"/>
      <c r="V35" s="17">
        <f>SUM(V3:V33)+V36</f>
        <v>0</v>
      </c>
      <c r="W35" s="17"/>
      <c r="X35" s="17"/>
      <c r="Y35" s="17">
        <f>Y36+SUM(Y3:Y33)</f>
        <v>0</v>
      </c>
      <c r="Z35" s="17"/>
      <c r="AA35" s="17">
        <f>AA36+SUM(AA3:AA33)</f>
        <v>7623.8399999999992</v>
      </c>
      <c r="AB35" s="17"/>
      <c r="AC35" s="17"/>
      <c r="AD35" s="17">
        <f>AD36+SUM(AD3:AD33)</f>
        <v>0</v>
      </c>
      <c r="AE35" s="17">
        <f>AE36+SUM(AE3:AE33)</f>
        <v>0</v>
      </c>
      <c r="AF35" s="17"/>
      <c r="AG35" s="17"/>
      <c r="AH35" s="17">
        <f>AH36+SUM(AH3:AH33)</f>
        <v>2140.9499999999998</v>
      </c>
      <c r="AI35" s="17"/>
      <c r="AJ35" s="17">
        <f>AJ36+SUM(AJ3:AJ33)</f>
        <v>6825</v>
      </c>
      <c r="AK35" s="17"/>
      <c r="AL35" s="17">
        <f t="shared" ref="AL35:AO35" si="89">AL36+SUM(AL3:AL33)</f>
        <v>0</v>
      </c>
      <c r="AM35" s="17">
        <f t="shared" si="89"/>
        <v>0</v>
      </c>
      <c r="AN35" s="17">
        <f t="shared" si="89"/>
        <v>0</v>
      </c>
      <c r="AO35" s="17">
        <f t="shared" si="89"/>
        <v>0</v>
      </c>
      <c r="AP35" s="17">
        <f t="shared" ref="AP35:EN35" si="90">AP36+SUM(AP3:AP33)</f>
        <v>0</v>
      </c>
      <c r="AQ35" s="17">
        <f t="shared" si="90"/>
        <v>0</v>
      </c>
      <c r="AR35" s="17">
        <f t="shared" si="90"/>
        <v>0</v>
      </c>
      <c r="AS35" s="17">
        <f t="shared" si="90"/>
        <v>0</v>
      </c>
      <c r="AT35" s="17"/>
      <c r="AU35" s="17">
        <f t="shared" si="90"/>
        <v>0</v>
      </c>
      <c r="AV35" s="17">
        <f t="shared" si="90"/>
        <v>0</v>
      </c>
      <c r="AW35" s="17">
        <f t="shared" si="90"/>
        <v>0</v>
      </c>
      <c r="AX35" s="17">
        <f t="shared" si="90"/>
        <v>0</v>
      </c>
      <c r="AY35" s="17">
        <f t="shared" si="90"/>
        <v>0</v>
      </c>
      <c r="AZ35" s="17"/>
      <c r="BA35" s="17">
        <f t="shared" si="90"/>
        <v>411.74</v>
      </c>
      <c r="BB35" s="17">
        <f t="shared" si="90"/>
        <v>0</v>
      </c>
      <c r="BC35" s="17">
        <f t="shared" si="90"/>
        <v>0</v>
      </c>
      <c r="BD35" s="17"/>
      <c r="BE35" s="17">
        <f t="shared" si="90"/>
        <v>0</v>
      </c>
      <c r="BF35" s="17">
        <f t="shared" si="90"/>
        <v>0</v>
      </c>
      <c r="BG35" s="17">
        <f t="shared" si="90"/>
        <v>0</v>
      </c>
      <c r="BH35" s="17">
        <f t="shared" si="90"/>
        <v>0</v>
      </c>
      <c r="BI35" s="17"/>
      <c r="BJ35" s="17"/>
      <c r="BK35" s="17">
        <f t="shared" si="90"/>
        <v>0</v>
      </c>
      <c r="BL35" s="17">
        <f t="shared" si="90"/>
        <v>0</v>
      </c>
      <c r="BM35" s="17">
        <f t="shared" si="90"/>
        <v>0</v>
      </c>
      <c r="BN35" s="17"/>
      <c r="BO35" s="17"/>
      <c r="BP35" s="17">
        <f t="shared" si="90"/>
        <v>0</v>
      </c>
      <c r="BQ35" s="17">
        <f t="shared" si="90"/>
        <v>0</v>
      </c>
      <c r="BR35" s="17">
        <f t="shared" si="90"/>
        <v>0</v>
      </c>
      <c r="BS35" s="17"/>
      <c r="BT35" s="17"/>
      <c r="BU35" s="17">
        <f t="shared" si="90"/>
        <v>0</v>
      </c>
      <c r="BV35" s="17">
        <f t="shared" si="90"/>
        <v>0</v>
      </c>
      <c r="BW35" s="17">
        <f t="shared" si="90"/>
        <v>0</v>
      </c>
      <c r="BX35" s="17"/>
      <c r="BY35" s="17"/>
      <c r="BZ35" s="17">
        <f t="shared" si="90"/>
        <v>0</v>
      </c>
      <c r="CA35" s="17">
        <f>CA36+SUM(CA3:CA33)</f>
        <v>0</v>
      </c>
      <c r="CB35" s="17">
        <f t="shared" si="90"/>
        <v>0</v>
      </c>
      <c r="CC35" s="17"/>
      <c r="CD35" s="17"/>
      <c r="CE35" s="17">
        <f t="shared" si="90"/>
        <v>0</v>
      </c>
      <c r="CF35" s="17">
        <f t="shared" si="90"/>
        <v>0</v>
      </c>
      <c r="CG35" s="17">
        <f t="shared" si="90"/>
        <v>0</v>
      </c>
      <c r="CH35" s="17"/>
      <c r="CI35" s="17"/>
      <c r="CJ35" s="17">
        <f t="shared" si="90"/>
        <v>0</v>
      </c>
      <c r="CK35" s="17">
        <f t="shared" si="90"/>
        <v>0</v>
      </c>
      <c r="CL35" s="17">
        <f t="shared" si="90"/>
        <v>0</v>
      </c>
      <c r="CM35" s="17"/>
      <c r="CN35" s="17"/>
      <c r="CO35" s="17">
        <f t="shared" ref="CO35:CV35" si="91">CO36+SUM(CO3:CO33)</f>
        <v>0</v>
      </c>
      <c r="CP35" s="17">
        <f t="shared" si="91"/>
        <v>0</v>
      </c>
      <c r="CQ35" s="17">
        <f t="shared" si="91"/>
        <v>0</v>
      </c>
      <c r="CR35" s="17"/>
      <c r="CS35" s="17"/>
      <c r="CT35" s="17">
        <f t="shared" si="91"/>
        <v>0</v>
      </c>
      <c r="CU35" s="17">
        <f t="shared" si="91"/>
        <v>0</v>
      </c>
      <c r="CV35" s="17">
        <f t="shared" si="91"/>
        <v>0</v>
      </c>
      <c r="CW35" s="17"/>
      <c r="CX35" s="17"/>
      <c r="CY35" s="17">
        <f t="shared" ref="CY35:DA35" si="92">CY36+SUM(CY3:CY33)</f>
        <v>0</v>
      </c>
      <c r="CZ35" s="17">
        <f t="shared" si="92"/>
        <v>0</v>
      </c>
      <c r="DA35" s="17">
        <f t="shared" si="92"/>
        <v>0</v>
      </c>
      <c r="DB35" s="17"/>
      <c r="DC35" s="17"/>
      <c r="DD35" s="17">
        <f t="shared" ref="DD35:DF35" si="93">DD36+SUM(DD3:DD33)</f>
        <v>0</v>
      </c>
      <c r="DE35" s="17">
        <f t="shared" si="93"/>
        <v>298.89</v>
      </c>
      <c r="DF35" s="17">
        <f t="shared" si="93"/>
        <v>0</v>
      </c>
      <c r="DG35" s="17"/>
      <c r="DH35" s="17"/>
      <c r="DI35" s="17">
        <f t="shared" ref="DI35:DK35" si="94">DI36+SUM(DI3:DI33)</f>
        <v>0</v>
      </c>
      <c r="DJ35" s="17">
        <f t="shared" si="94"/>
        <v>0</v>
      </c>
      <c r="DK35" s="17">
        <f t="shared" si="94"/>
        <v>0</v>
      </c>
      <c r="DL35" s="17"/>
      <c r="DM35" s="17"/>
      <c r="DN35" s="17">
        <f t="shared" ref="DN35:DP35" si="95">DN36+SUM(DN3:DN33)</f>
        <v>212</v>
      </c>
      <c r="DO35" s="17">
        <f t="shared" si="95"/>
        <v>0</v>
      </c>
      <c r="DP35" s="17">
        <f t="shared" si="95"/>
        <v>0</v>
      </c>
      <c r="DQ35" s="17"/>
      <c r="DR35" s="17"/>
      <c r="DS35" s="17">
        <f t="shared" ref="DS35:DU35" si="96">DS36+SUM(DS3:DS33)</f>
        <v>181.5</v>
      </c>
      <c r="DT35" s="17">
        <f t="shared" si="96"/>
        <v>2741.7</v>
      </c>
      <c r="DU35" s="17">
        <f t="shared" si="96"/>
        <v>20</v>
      </c>
      <c r="DV35" s="17"/>
      <c r="DW35" s="17"/>
      <c r="DX35" s="17">
        <f t="shared" ref="DX35:DZ35" si="97">DX36+SUM(DX3:DX33)</f>
        <v>0</v>
      </c>
      <c r="DY35" s="17">
        <f t="shared" si="97"/>
        <v>0</v>
      </c>
      <c r="DZ35" s="17">
        <f t="shared" si="97"/>
        <v>0</v>
      </c>
      <c r="EA35" s="17"/>
      <c r="EB35" s="17"/>
      <c r="EC35" s="17">
        <f t="shared" si="90"/>
        <v>805.24</v>
      </c>
      <c r="ED35" s="17">
        <f t="shared" si="90"/>
        <v>14717.310000000001</v>
      </c>
      <c r="EE35" s="17"/>
      <c r="EF35" s="17"/>
      <c r="EG35">
        <f t="shared" si="90"/>
        <v>2140.9499999999998</v>
      </c>
      <c r="EH35">
        <f t="shared" si="90"/>
        <v>8172</v>
      </c>
      <c r="EI35" s="17"/>
      <c r="EJ35" s="17"/>
      <c r="EK35" s="17">
        <f>EK36+SUM(EK3:EK33)</f>
        <v>85526</v>
      </c>
      <c r="EL35" s="17">
        <f t="shared" si="90"/>
        <v>62861.73101386505</v>
      </c>
      <c r="EM35" s="17"/>
      <c r="EN35" s="17">
        <f t="shared" si="90"/>
        <v>0</v>
      </c>
      <c r="EP35" s="17">
        <f t="shared" ref="EP35:EQ35" si="98">EP36+SUM(EP3:EP33)</f>
        <v>13390.660000000003</v>
      </c>
      <c r="EQ35" s="17">
        <f t="shared" si="98"/>
        <v>16934.099999999999</v>
      </c>
    </row>
    <row r="36" spans="2:168" x14ac:dyDescent="0.25">
      <c r="B36" t="s">
        <v>27</v>
      </c>
      <c r="D36" s="17">
        <v>69.7</v>
      </c>
      <c r="E36" s="268">
        <v>1437</v>
      </c>
      <c r="F36" s="17"/>
      <c r="I36" s="17">
        <v>58857.15</v>
      </c>
      <c r="J36" s="268">
        <v>62775</v>
      </c>
      <c r="M36" s="17">
        <v>0</v>
      </c>
      <c r="N36" s="17">
        <v>0</v>
      </c>
      <c r="O36" s="17">
        <v>0</v>
      </c>
      <c r="P36" s="17">
        <v>0</v>
      </c>
      <c r="Q36" s="17"/>
      <c r="R36" s="17"/>
      <c r="S36" s="17">
        <v>0</v>
      </c>
      <c r="T36" s="17">
        <v>0</v>
      </c>
      <c r="U36" s="17"/>
      <c r="V36" s="17">
        <v>0</v>
      </c>
      <c r="W36" s="17"/>
      <c r="X36" s="17"/>
      <c r="Y36" s="17">
        <v>0</v>
      </c>
      <c r="Z36" s="268"/>
      <c r="AA36" s="17">
        <v>5431.0499999999993</v>
      </c>
      <c r="AB36" s="17"/>
      <c r="AC36" s="17"/>
      <c r="AD36" s="17">
        <v>0</v>
      </c>
      <c r="AE36" s="17">
        <v>0</v>
      </c>
      <c r="AF36" s="17"/>
      <c r="AG36" s="17"/>
      <c r="AH36" s="17">
        <v>155.05000000000001</v>
      </c>
      <c r="AI36" s="17"/>
      <c r="AJ36" s="268">
        <v>2930</v>
      </c>
      <c r="AK36" s="17"/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/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/>
      <c r="BA36" s="17">
        <v>0</v>
      </c>
      <c r="BB36" s="268">
        <v>0</v>
      </c>
      <c r="BC36" s="17">
        <v>0</v>
      </c>
      <c r="BD36" s="17"/>
      <c r="BE36" s="17">
        <v>0</v>
      </c>
      <c r="BF36" s="17">
        <v>0</v>
      </c>
      <c r="BG36" s="17">
        <v>0</v>
      </c>
      <c r="BH36" s="17">
        <v>0</v>
      </c>
      <c r="BI36" s="17"/>
      <c r="BJ36" s="17"/>
      <c r="BK36" s="17">
        <v>0</v>
      </c>
      <c r="BL36" s="17">
        <v>0</v>
      </c>
      <c r="BM36" s="17">
        <v>0</v>
      </c>
      <c r="BN36" s="17"/>
      <c r="BO36" s="17"/>
      <c r="BP36" s="17">
        <v>0</v>
      </c>
      <c r="BQ36" s="17">
        <v>0</v>
      </c>
      <c r="BR36" s="17">
        <v>0</v>
      </c>
      <c r="BS36" s="17"/>
      <c r="BT36" s="17"/>
      <c r="BU36" s="17">
        <v>0</v>
      </c>
      <c r="BV36" s="17">
        <v>0</v>
      </c>
      <c r="BW36" s="17">
        <v>0</v>
      </c>
      <c r="BX36" s="17"/>
      <c r="BY36" s="17"/>
      <c r="BZ36" s="17">
        <v>0</v>
      </c>
      <c r="CA36" s="17">
        <v>0</v>
      </c>
      <c r="CB36" s="17">
        <v>0</v>
      </c>
      <c r="CC36" s="17"/>
      <c r="CD36" s="17"/>
      <c r="CE36" s="17">
        <v>0</v>
      </c>
      <c r="CF36" s="17">
        <v>0</v>
      </c>
      <c r="CG36" s="17">
        <v>0</v>
      </c>
      <c r="CH36" s="17"/>
      <c r="CI36" s="17"/>
      <c r="CJ36" s="17">
        <v>0</v>
      </c>
      <c r="CK36" s="17">
        <v>0</v>
      </c>
      <c r="CL36" s="17">
        <v>0</v>
      </c>
      <c r="CM36" s="17"/>
      <c r="CN36" s="17"/>
      <c r="CO36" s="17">
        <v>0</v>
      </c>
      <c r="CP36" s="17">
        <v>0</v>
      </c>
      <c r="CQ36" s="17">
        <v>0</v>
      </c>
      <c r="CR36" s="17"/>
      <c r="CS36" s="17"/>
      <c r="CT36" s="17">
        <v>0</v>
      </c>
      <c r="CU36" s="17">
        <v>0</v>
      </c>
      <c r="CV36" s="17">
        <v>0</v>
      </c>
      <c r="CW36" s="17"/>
      <c r="CX36" s="17"/>
      <c r="CY36" s="17">
        <v>0</v>
      </c>
      <c r="CZ36" s="17">
        <v>0</v>
      </c>
      <c r="DA36" s="17">
        <v>0</v>
      </c>
      <c r="DB36" s="17"/>
      <c r="DC36" s="17"/>
      <c r="DD36" s="17">
        <v>0</v>
      </c>
      <c r="DE36" s="17">
        <v>0</v>
      </c>
      <c r="DF36" s="17">
        <v>0</v>
      </c>
      <c r="DG36" s="17"/>
      <c r="DH36" s="17"/>
      <c r="DI36" s="17">
        <v>0</v>
      </c>
      <c r="DJ36" s="17">
        <v>0</v>
      </c>
      <c r="DK36" s="17">
        <v>0</v>
      </c>
      <c r="DL36" s="17"/>
      <c r="DM36" s="17"/>
      <c r="DN36" s="17">
        <v>0</v>
      </c>
      <c r="DO36" s="17">
        <v>0</v>
      </c>
      <c r="DP36" s="17">
        <v>0</v>
      </c>
      <c r="DQ36" s="17"/>
      <c r="DR36" s="17"/>
      <c r="DS36" s="17">
        <v>181.5</v>
      </c>
      <c r="DT36" s="17">
        <v>1405.25</v>
      </c>
      <c r="DU36" s="17">
        <v>20</v>
      </c>
      <c r="DV36" s="17"/>
      <c r="DW36" s="17"/>
      <c r="DX36" s="17">
        <v>0</v>
      </c>
      <c r="DY36" s="17">
        <v>0</v>
      </c>
      <c r="DZ36" s="17">
        <v>0</v>
      </c>
      <c r="EA36" s="17"/>
      <c r="EB36" s="17"/>
      <c r="EC36" s="17">
        <v>181.5</v>
      </c>
      <c r="ED36" s="17">
        <v>6836.3</v>
      </c>
      <c r="EE36" s="17"/>
      <c r="EF36" s="17"/>
      <c r="EG36">
        <v>155.05000000000001</v>
      </c>
      <c r="EH36">
        <v>3869</v>
      </c>
      <c r="EI36" s="17"/>
      <c r="EJ36" s="17"/>
      <c r="EK36" s="17">
        <v>40500</v>
      </c>
      <c r="EL36" s="17">
        <v>18861.880011886271</v>
      </c>
      <c r="EM36" s="17"/>
      <c r="EN36" s="17">
        <v>0</v>
      </c>
      <c r="EP36" s="17">
        <v>13239.880000000003</v>
      </c>
      <c r="EQ36" s="17">
        <v>16934.099999999999</v>
      </c>
    </row>
    <row r="39" spans="2:168" x14ac:dyDescent="0.25">
      <c r="E39" s="309"/>
      <c r="F39" s="50"/>
      <c r="FD39" s="321"/>
      <c r="FF39" s="321"/>
      <c r="FG39" s="397"/>
      <c r="FH39" s="321"/>
      <c r="FI39" s="321"/>
      <c r="FJ39" s="321"/>
      <c r="FK39" s="321"/>
      <c r="FL39" s="321"/>
    </row>
    <row r="40" spans="2:168" x14ac:dyDescent="0.25">
      <c r="E40" s="310"/>
      <c r="F40" s="51"/>
    </row>
  </sheetData>
  <mergeCells count="29">
    <mergeCell ref="BO1:BR1"/>
    <mergeCell ref="BY1:CC1"/>
    <mergeCell ref="CD1:CH1"/>
    <mergeCell ref="CI1:CM1"/>
    <mergeCell ref="CN1:CR1"/>
    <mergeCell ref="CS1:CW1"/>
    <mergeCell ref="DC1:DG1"/>
    <mergeCell ref="BT1:BX1"/>
    <mergeCell ref="C1:G1"/>
    <mergeCell ref="H1:K1"/>
    <mergeCell ref="L1:Q1"/>
    <mergeCell ref="R1:W1"/>
    <mergeCell ref="X1:AB1"/>
    <mergeCell ref="AG1:AK1"/>
    <mergeCell ref="AC1:AF1"/>
    <mergeCell ref="AL1:AO1"/>
    <mergeCell ref="AP1:AT1"/>
    <mergeCell ref="AU1:AY1"/>
    <mergeCell ref="AZ1:BD1"/>
    <mergeCell ref="BE1:BI1"/>
    <mergeCell ref="BJ1:BN1"/>
    <mergeCell ref="EP1:EQ1"/>
    <mergeCell ref="DR1:DV1"/>
    <mergeCell ref="DM1:DQ1"/>
    <mergeCell ref="DH1:DL1"/>
    <mergeCell ref="CX1:DB1"/>
    <mergeCell ref="DW1:EA1"/>
    <mergeCell ref="EB1:EE1"/>
    <mergeCell ref="EF1:EI1"/>
  </mergeCells>
  <pageMargins left="0.7" right="0.7" top="0.75" bottom="0.75" header="0.3" footer="0.3"/>
  <pageSetup paperSize="1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B081-62FC-413D-9FF7-770CCF207CDB}">
  <dimension ref="B1:G39"/>
  <sheetViews>
    <sheetView zoomScale="60" zoomScaleNormal="60" workbookViewId="0">
      <pane ySplit="2" topLeftCell="A3" activePane="bottomLeft" state="frozen"/>
      <selection pane="bottomLeft" activeCell="G3" sqref="G3:G33"/>
    </sheetView>
  </sheetViews>
  <sheetFormatPr defaultRowHeight="15" x14ac:dyDescent="0.25"/>
  <cols>
    <col min="1" max="1" width="3.85546875" customWidth="1"/>
    <col min="2" max="2" width="19.140625" customWidth="1"/>
    <col min="3" max="4" width="12.7109375" bestFit="1" customWidth="1"/>
    <col min="5" max="5" width="15.140625" bestFit="1" customWidth="1"/>
    <col min="6" max="6" width="15.140625" customWidth="1"/>
    <col min="7" max="7" width="12.7109375" bestFit="1" customWidth="1"/>
  </cols>
  <sheetData>
    <row r="1" spans="2:7" x14ac:dyDescent="0.25">
      <c r="B1" s="3" t="s">
        <v>310</v>
      </c>
      <c r="C1" s="299" t="s">
        <v>29</v>
      </c>
      <c r="D1" s="299" t="s">
        <v>30</v>
      </c>
      <c r="E1" s="299" t="s">
        <v>31</v>
      </c>
      <c r="F1" s="299" t="s">
        <v>32</v>
      </c>
      <c r="G1" s="299" t="s">
        <v>33</v>
      </c>
    </row>
    <row r="2" spans="2:7" x14ac:dyDescent="0.25">
      <c r="B2" s="4" t="s">
        <v>9</v>
      </c>
      <c r="C2" s="1" t="s">
        <v>34</v>
      </c>
      <c r="D2" s="1" t="s">
        <v>34</v>
      </c>
      <c r="E2" s="1" t="s">
        <v>34</v>
      </c>
      <c r="F2" s="1" t="s">
        <v>34</v>
      </c>
      <c r="G2" s="1" t="s">
        <v>35</v>
      </c>
    </row>
    <row r="3" spans="2:7" x14ac:dyDescent="0.25">
      <c r="B3" s="4">
        <v>1</v>
      </c>
      <c r="C3" s="1">
        <v>0</v>
      </c>
      <c r="D3" s="1">
        <v>0</v>
      </c>
      <c r="E3" s="1">
        <v>0</v>
      </c>
      <c r="F3" s="1">
        <v>0</v>
      </c>
      <c r="G3" s="1">
        <f>SUM(C3:F3)</f>
        <v>0</v>
      </c>
    </row>
    <row r="4" spans="2:7" x14ac:dyDescent="0.25">
      <c r="B4" s="4">
        <v>2</v>
      </c>
      <c r="C4" s="1">
        <v>130</v>
      </c>
      <c r="D4" s="1">
        <v>7</v>
      </c>
      <c r="E4" s="1">
        <v>1</v>
      </c>
      <c r="F4" s="1">
        <v>3</v>
      </c>
      <c r="G4" s="1">
        <f t="shared" ref="G4:G33" si="0">SUM(C4:F4)</f>
        <v>141</v>
      </c>
    </row>
    <row r="5" spans="2:7" x14ac:dyDescent="0.25">
      <c r="B5" s="4">
        <v>3</v>
      </c>
      <c r="C5" s="1">
        <v>188</v>
      </c>
      <c r="D5" s="1">
        <v>6</v>
      </c>
      <c r="E5" s="1">
        <v>1</v>
      </c>
      <c r="F5" s="1">
        <v>4</v>
      </c>
      <c r="G5" s="1">
        <f t="shared" si="0"/>
        <v>199</v>
      </c>
    </row>
    <row r="6" spans="2:7" x14ac:dyDescent="0.25">
      <c r="B6" s="4">
        <v>4</v>
      </c>
      <c r="C6" s="1">
        <v>101</v>
      </c>
      <c r="D6" s="1">
        <v>2</v>
      </c>
      <c r="E6" s="1">
        <v>1</v>
      </c>
      <c r="F6" s="1">
        <v>2</v>
      </c>
      <c r="G6" s="1">
        <f t="shared" si="0"/>
        <v>106</v>
      </c>
    </row>
    <row r="7" spans="2:7" x14ac:dyDescent="0.25">
      <c r="B7" s="4">
        <v>5</v>
      </c>
      <c r="C7" s="1">
        <v>84</v>
      </c>
      <c r="D7" s="1">
        <v>2</v>
      </c>
      <c r="E7" s="1">
        <v>0</v>
      </c>
      <c r="F7" s="1">
        <v>2</v>
      </c>
      <c r="G7" s="1">
        <f t="shared" si="0"/>
        <v>88</v>
      </c>
    </row>
    <row r="8" spans="2:7" x14ac:dyDescent="0.25">
      <c r="B8" s="4">
        <v>6</v>
      </c>
      <c r="C8" s="1">
        <v>0</v>
      </c>
      <c r="D8" s="1">
        <v>0</v>
      </c>
      <c r="E8" s="1">
        <v>0</v>
      </c>
      <c r="F8" s="1">
        <v>0</v>
      </c>
      <c r="G8" s="1">
        <f t="shared" si="0"/>
        <v>0</v>
      </c>
    </row>
    <row r="9" spans="2:7" x14ac:dyDescent="0.25">
      <c r="B9" s="4">
        <v>7</v>
      </c>
      <c r="C9" s="1">
        <v>0</v>
      </c>
      <c r="D9" s="1">
        <v>0</v>
      </c>
      <c r="E9" s="1">
        <v>0</v>
      </c>
      <c r="F9" s="1">
        <v>0</v>
      </c>
      <c r="G9" s="1">
        <f t="shared" si="0"/>
        <v>0</v>
      </c>
    </row>
    <row r="10" spans="2:7" x14ac:dyDescent="0.25">
      <c r="B10" s="4">
        <v>8</v>
      </c>
      <c r="C10" s="1">
        <v>0</v>
      </c>
      <c r="D10" s="1">
        <v>0</v>
      </c>
      <c r="E10" s="1">
        <v>0</v>
      </c>
      <c r="F10" s="1">
        <v>0</v>
      </c>
      <c r="G10" s="1">
        <f t="shared" si="0"/>
        <v>0</v>
      </c>
    </row>
    <row r="11" spans="2:7" x14ac:dyDescent="0.25">
      <c r="B11" s="4">
        <v>9</v>
      </c>
      <c r="C11" s="1">
        <v>0</v>
      </c>
      <c r="D11" s="1">
        <v>0</v>
      </c>
      <c r="E11" s="1">
        <v>0</v>
      </c>
      <c r="F11" s="1">
        <v>0</v>
      </c>
      <c r="G11" s="1">
        <f t="shared" si="0"/>
        <v>0</v>
      </c>
    </row>
    <row r="12" spans="2:7" x14ac:dyDescent="0.25">
      <c r="B12" s="4">
        <v>10</v>
      </c>
      <c r="C12" s="1">
        <v>0</v>
      </c>
      <c r="D12" s="1">
        <v>0</v>
      </c>
      <c r="E12" s="1">
        <v>0</v>
      </c>
      <c r="F12" s="1">
        <v>0</v>
      </c>
      <c r="G12" s="1">
        <f t="shared" si="0"/>
        <v>0</v>
      </c>
    </row>
    <row r="13" spans="2:7" ht="17.25" customHeight="1" x14ac:dyDescent="0.25">
      <c r="B13" s="4">
        <v>11</v>
      </c>
      <c r="C13" s="1">
        <v>0</v>
      </c>
      <c r="D13" s="1">
        <v>0</v>
      </c>
      <c r="E13" s="1">
        <v>0</v>
      </c>
      <c r="F13" s="1">
        <v>0</v>
      </c>
      <c r="G13" s="1">
        <f t="shared" si="0"/>
        <v>0</v>
      </c>
    </row>
    <row r="14" spans="2:7" x14ac:dyDescent="0.25">
      <c r="B14" s="4">
        <v>12</v>
      </c>
      <c r="C14" s="1">
        <v>0</v>
      </c>
      <c r="D14" s="1">
        <v>0</v>
      </c>
      <c r="E14" s="1">
        <v>0</v>
      </c>
      <c r="F14" s="1">
        <v>0</v>
      </c>
      <c r="G14" s="1">
        <f t="shared" si="0"/>
        <v>0</v>
      </c>
    </row>
    <row r="15" spans="2:7" x14ac:dyDescent="0.25">
      <c r="B15" s="4">
        <v>13</v>
      </c>
      <c r="C15" s="1">
        <v>0</v>
      </c>
      <c r="D15" s="1">
        <v>0</v>
      </c>
      <c r="E15" s="1">
        <v>0</v>
      </c>
      <c r="F15" s="1">
        <v>0</v>
      </c>
      <c r="G15" s="1">
        <f t="shared" si="0"/>
        <v>0</v>
      </c>
    </row>
    <row r="16" spans="2:7" x14ac:dyDescent="0.25">
      <c r="B16" s="4">
        <v>14</v>
      </c>
      <c r="C16" s="1">
        <v>0</v>
      </c>
      <c r="D16" s="1">
        <v>0</v>
      </c>
      <c r="E16" s="1">
        <v>0</v>
      </c>
      <c r="F16" s="1">
        <v>0</v>
      </c>
      <c r="G16" s="1">
        <f t="shared" si="0"/>
        <v>0</v>
      </c>
    </row>
    <row r="17" spans="2:7" x14ac:dyDescent="0.25">
      <c r="B17" s="4">
        <v>15</v>
      </c>
      <c r="C17" s="1">
        <v>0</v>
      </c>
      <c r="D17" s="1">
        <v>0</v>
      </c>
      <c r="E17" s="1">
        <v>0</v>
      </c>
      <c r="F17" s="1">
        <v>0</v>
      </c>
      <c r="G17" s="1">
        <f t="shared" si="0"/>
        <v>0</v>
      </c>
    </row>
    <row r="18" spans="2:7" x14ac:dyDescent="0.25">
      <c r="B18" s="4">
        <v>16</v>
      </c>
      <c r="C18" s="1">
        <v>0</v>
      </c>
      <c r="D18" s="1">
        <v>0</v>
      </c>
      <c r="E18" s="1">
        <v>0</v>
      </c>
      <c r="F18" s="1">
        <v>0</v>
      </c>
      <c r="G18" s="1">
        <f t="shared" si="0"/>
        <v>0</v>
      </c>
    </row>
    <row r="19" spans="2:7" x14ac:dyDescent="0.25">
      <c r="B19" s="4">
        <v>17</v>
      </c>
      <c r="C19" s="1">
        <v>99</v>
      </c>
      <c r="D19" s="1">
        <v>3</v>
      </c>
      <c r="E19" s="1">
        <v>0</v>
      </c>
      <c r="F19" s="1">
        <v>2</v>
      </c>
      <c r="G19" s="1">
        <f t="shared" si="0"/>
        <v>104</v>
      </c>
    </row>
    <row r="20" spans="2:7" x14ac:dyDescent="0.25">
      <c r="B20" s="4">
        <v>18</v>
      </c>
      <c r="C20" s="1">
        <v>210</v>
      </c>
      <c r="D20" s="1">
        <v>7</v>
      </c>
      <c r="E20" s="1">
        <v>0</v>
      </c>
      <c r="F20" s="1">
        <v>4</v>
      </c>
      <c r="G20" s="1">
        <f t="shared" si="0"/>
        <v>221</v>
      </c>
    </row>
    <row r="21" spans="2:7" x14ac:dyDescent="0.25">
      <c r="B21" s="4">
        <v>19</v>
      </c>
      <c r="C21" s="1">
        <v>155</v>
      </c>
      <c r="D21" s="1">
        <v>3</v>
      </c>
      <c r="E21" s="1">
        <v>0</v>
      </c>
      <c r="F21" s="1">
        <v>3</v>
      </c>
      <c r="G21" s="1">
        <f t="shared" si="0"/>
        <v>161</v>
      </c>
    </row>
    <row r="22" spans="2:7" x14ac:dyDescent="0.25">
      <c r="B22" s="4">
        <v>20</v>
      </c>
      <c r="C22" s="1">
        <v>209</v>
      </c>
      <c r="D22" s="1">
        <v>3</v>
      </c>
      <c r="E22" s="1">
        <v>0</v>
      </c>
      <c r="F22" s="1">
        <v>4</v>
      </c>
      <c r="G22" s="1">
        <f t="shared" si="0"/>
        <v>216</v>
      </c>
    </row>
    <row r="23" spans="2:7" x14ac:dyDescent="0.25">
      <c r="B23" s="4">
        <v>21</v>
      </c>
      <c r="C23" s="1">
        <v>233</v>
      </c>
      <c r="D23" s="1">
        <v>5</v>
      </c>
      <c r="E23" s="1">
        <v>0</v>
      </c>
      <c r="F23" s="1">
        <v>6</v>
      </c>
      <c r="G23" s="1">
        <f t="shared" si="0"/>
        <v>244</v>
      </c>
    </row>
    <row r="24" spans="2:7" x14ac:dyDescent="0.25">
      <c r="B24" s="4">
        <v>22</v>
      </c>
      <c r="C24" s="1">
        <v>103</v>
      </c>
      <c r="D24" s="1">
        <v>2</v>
      </c>
      <c r="E24" s="1">
        <v>0</v>
      </c>
      <c r="F24" s="1">
        <v>3</v>
      </c>
      <c r="G24" s="1">
        <f t="shared" si="0"/>
        <v>108</v>
      </c>
    </row>
    <row r="25" spans="2:7" x14ac:dyDescent="0.25">
      <c r="B25" s="4">
        <v>23</v>
      </c>
      <c r="C25" s="1">
        <v>163</v>
      </c>
      <c r="D25" s="1">
        <v>4</v>
      </c>
      <c r="E25" s="1">
        <v>0</v>
      </c>
      <c r="F25" s="1">
        <v>4</v>
      </c>
      <c r="G25" s="1">
        <f t="shared" si="0"/>
        <v>171</v>
      </c>
    </row>
    <row r="26" spans="2:7" x14ac:dyDescent="0.25">
      <c r="B26" s="4">
        <v>24</v>
      </c>
      <c r="C26" s="1">
        <v>120</v>
      </c>
      <c r="D26" s="1">
        <v>4</v>
      </c>
      <c r="E26" s="1">
        <v>0</v>
      </c>
      <c r="F26" s="1">
        <v>4</v>
      </c>
      <c r="G26" s="1">
        <f t="shared" si="0"/>
        <v>128</v>
      </c>
    </row>
    <row r="27" spans="2:7" x14ac:dyDescent="0.25">
      <c r="B27" s="4">
        <v>25</v>
      </c>
      <c r="C27" s="1">
        <v>0</v>
      </c>
      <c r="D27" s="1">
        <v>0</v>
      </c>
      <c r="E27" s="1">
        <v>0</v>
      </c>
      <c r="F27" s="1">
        <v>0</v>
      </c>
      <c r="G27" s="1">
        <f t="shared" si="0"/>
        <v>0</v>
      </c>
    </row>
    <row r="28" spans="2:7" x14ac:dyDescent="0.25">
      <c r="B28" s="4">
        <v>26</v>
      </c>
      <c r="C28" s="1">
        <v>0</v>
      </c>
      <c r="D28" s="1">
        <v>0</v>
      </c>
      <c r="E28" s="1">
        <v>0</v>
      </c>
      <c r="F28" s="1">
        <v>0</v>
      </c>
      <c r="G28" s="1">
        <f t="shared" si="0"/>
        <v>0</v>
      </c>
    </row>
    <row r="29" spans="2:7" x14ac:dyDescent="0.25">
      <c r="B29" s="4">
        <v>27</v>
      </c>
      <c r="C29" s="1">
        <v>0</v>
      </c>
      <c r="D29" s="1">
        <v>0</v>
      </c>
      <c r="E29" s="1">
        <v>0</v>
      </c>
      <c r="F29" s="1">
        <v>0</v>
      </c>
      <c r="G29" s="1">
        <f t="shared" si="0"/>
        <v>0</v>
      </c>
    </row>
    <row r="30" spans="2:7" x14ac:dyDescent="0.25">
      <c r="B30" s="4">
        <v>28</v>
      </c>
      <c r="C30" s="1">
        <v>0</v>
      </c>
      <c r="D30" s="1">
        <v>0</v>
      </c>
      <c r="E30" s="1">
        <v>0</v>
      </c>
      <c r="F30" s="1">
        <v>0</v>
      </c>
      <c r="G30" s="1">
        <f t="shared" si="0"/>
        <v>0</v>
      </c>
    </row>
    <row r="31" spans="2:7" x14ac:dyDescent="0.25">
      <c r="B31" s="4">
        <v>29</v>
      </c>
      <c r="C31" s="1">
        <v>0</v>
      </c>
      <c r="D31" s="1">
        <v>0</v>
      </c>
      <c r="E31" s="1">
        <v>0</v>
      </c>
      <c r="F31" s="1">
        <v>0</v>
      </c>
      <c r="G31" s="1">
        <f t="shared" si="0"/>
        <v>0</v>
      </c>
    </row>
    <row r="32" spans="2:7" x14ac:dyDescent="0.25">
      <c r="B32" s="4">
        <v>30</v>
      </c>
      <c r="C32" s="1">
        <v>9</v>
      </c>
      <c r="D32" s="1">
        <v>1</v>
      </c>
      <c r="E32" s="1">
        <v>0</v>
      </c>
      <c r="F32" s="1">
        <v>1</v>
      </c>
      <c r="G32" s="1">
        <f t="shared" si="0"/>
        <v>11</v>
      </c>
    </row>
    <row r="33" spans="2:7" s="160" customFormat="1" x14ac:dyDescent="0.25">
      <c r="B33" s="155">
        <v>31</v>
      </c>
      <c r="C33" s="1">
        <v>199</v>
      </c>
      <c r="D33" s="1">
        <v>6</v>
      </c>
      <c r="E33" s="1">
        <v>0</v>
      </c>
      <c r="F33" s="1">
        <v>3</v>
      </c>
      <c r="G33" s="1">
        <f t="shared" si="0"/>
        <v>208</v>
      </c>
    </row>
    <row r="34" spans="2:7" ht="15.75" thickBot="1" x14ac:dyDescent="0.3">
      <c r="B34" s="5" t="s">
        <v>26</v>
      </c>
      <c r="C34" s="8">
        <f>SUM(C3:C33)</f>
        <v>2003</v>
      </c>
      <c r="D34" s="8">
        <f>SUM(D3:D33)</f>
        <v>55</v>
      </c>
      <c r="E34" s="8">
        <f>SUM(E3:E33)</f>
        <v>3</v>
      </c>
      <c r="F34" s="8"/>
      <c r="G34" s="8">
        <f>SUM(G3:G33)</f>
        <v>2106</v>
      </c>
    </row>
    <row r="35" spans="2:7" x14ac:dyDescent="0.25">
      <c r="B35" t="s">
        <v>27</v>
      </c>
      <c r="C35" s="17">
        <f>C36+SUM(C3:C33)</f>
        <v>5869</v>
      </c>
      <c r="D35" s="17">
        <f>D36+SUM(D3:D33)</f>
        <v>92</v>
      </c>
      <c r="E35" s="17">
        <f>E36+SUM(E3:E33)</f>
        <v>33</v>
      </c>
      <c r="F35" s="17"/>
      <c r="G35" s="17">
        <f>G36+SUM(G3:G33)</f>
        <v>6121</v>
      </c>
    </row>
    <row r="36" spans="2:7" x14ac:dyDescent="0.25">
      <c r="B36" t="s">
        <v>27</v>
      </c>
      <c r="C36" s="17">
        <v>3866</v>
      </c>
      <c r="D36" s="17">
        <v>37</v>
      </c>
      <c r="E36" s="17">
        <v>30</v>
      </c>
      <c r="F36" s="17"/>
      <c r="G36" s="17">
        <v>4015</v>
      </c>
    </row>
    <row r="39" spans="2:7" x14ac:dyDescent="0.25">
      <c r="D39" t="e">
        <f>C36+D36+#REF!+#REF!+Cement!Q36+Cement!V36</f>
        <v>#REF!</v>
      </c>
      <c r="E39" t="e">
        <f>#REF!+E36+#REF!+#REF!+Cement!R36+Cement!W36</f>
        <v>#REF!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AK36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U36" sqref="U36"/>
    </sheetView>
  </sheetViews>
  <sheetFormatPr defaultRowHeight="15" x14ac:dyDescent="0.25"/>
  <cols>
    <col min="1" max="1" width="3.85546875" customWidth="1"/>
    <col min="2" max="2" width="8.140625" customWidth="1"/>
    <col min="3" max="3" width="16.28515625" bestFit="1" customWidth="1"/>
    <col min="4" max="4" width="12.7109375" bestFit="1" customWidth="1"/>
    <col min="5" max="5" width="15.140625" bestFit="1" customWidth="1"/>
    <col min="6" max="6" width="15.140625" customWidth="1"/>
    <col min="7" max="7" width="15.5703125" bestFit="1" customWidth="1"/>
    <col min="8" max="8" width="16.28515625" bestFit="1" customWidth="1"/>
    <col min="9" max="9" width="12.7109375" bestFit="1" customWidth="1"/>
    <col min="10" max="10" width="15.140625" bestFit="1" customWidth="1"/>
    <col min="11" max="11" width="15.5703125" bestFit="1" customWidth="1"/>
    <col min="12" max="12" width="16.28515625" bestFit="1" customWidth="1"/>
    <col min="13" max="13" width="12.7109375" bestFit="1" customWidth="1"/>
    <col min="14" max="14" width="15.140625" bestFit="1" customWidth="1"/>
    <col min="15" max="15" width="15.5703125" bestFit="1" customWidth="1"/>
    <col min="16" max="16" width="16.28515625" bestFit="1" customWidth="1"/>
    <col min="17" max="17" width="12.7109375" bestFit="1" customWidth="1"/>
    <col min="18" max="18" width="15.140625" bestFit="1" customWidth="1"/>
    <col min="19" max="19" width="15.140625" customWidth="1"/>
    <col min="20" max="20" width="15.5703125" bestFit="1" customWidth="1"/>
    <col min="21" max="21" width="16.28515625" bestFit="1" customWidth="1"/>
    <col min="22" max="22" width="12.7109375" bestFit="1" customWidth="1"/>
    <col min="23" max="23" width="15.140625" bestFit="1" customWidth="1"/>
    <col min="24" max="24" width="15.5703125" bestFit="1" customWidth="1"/>
    <col min="25" max="25" width="16.28515625" bestFit="1" customWidth="1"/>
    <col min="26" max="26" width="12.7109375" bestFit="1" customWidth="1"/>
    <col min="27" max="27" width="15.140625" bestFit="1" customWidth="1"/>
    <col min="28" max="28" width="15.5703125" bestFit="1" customWidth="1"/>
    <col min="29" max="33" width="15.5703125" customWidth="1"/>
    <col min="36" max="36" width="11" bestFit="1" customWidth="1"/>
    <col min="37" max="37" width="13.5703125" bestFit="1" customWidth="1"/>
  </cols>
  <sheetData>
    <row r="1" spans="2:37" x14ac:dyDescent="0.25">
      <c r="B1" s="3" t="s">
        <v>28</v>
      </c>
      <c r="C1" s="657" t="s">
        <v>78</v>
      </c>
      <c r="D1" s="658"/>
      <c r="E1" s="658"/>
      <c r="F1" s="660"/>
      <c r="G1" s="659"/>
      <c r="H1" s="657" t="s">
        <v>252</v>
      </c>
      <c r="I1" s="658"/>
      <c r="J1" s="658"/>
      <c r="K1" s="659"/>
      <c r="L1" s="657" t="s">
        <v>323</v>
      </c>
      <c r="M1" s="658"/>
      <c r="N1" s="658"/>
      <c r="O1" s="659"/>
      <c r="P1" s="657" t="s">
        <v>79</v>
      </c>
      <c r="Q1" s="658"/>
      <c r="R1" s="658"/>
      <c r="S1" s="660"/>
      <c r="T1" s="659"/>
      <c r="U1" s="657" t="s">
        <v>5</v>
      </c>
      <c r="V1" s="658"/>
      <c r="W1" s="658"/>
      <c r="X1" s="659"/>
      <c r="Y1" s="657" t="s">
        <v>80</v>
      </c>
      <c r="Z1" s="658"/>
      <c r="AA1" s="658"/>
      <c r="AB1" s="659"/>
      <c r="AC1" s="657" t="s">
        <v>81</v>
      </c>
      <c r="AD1" s="658"/>
      <c r="AE1" s="658"/>
      <c r="AF1" s="659"/>
      <c r="AG1" s="25"/>
      <c r="AH1" s="1" t="s">
        <v>8</v>
      </c>
      <c r="AI1" s="1"/>
    </row>
    <row r="2" spans="2:37" x14ac:dyDescent="0.25">
      <c r="B2" s="4" t="s">
        <v>9</v>
      </c>
      <c r="C2" s="6" t="s">
        <v>10</v>
      </c>
      <c r="D2" s="192" t="s">
        <v>11</v>
      </c>
      <c r="E2" s="1" t="s">
        <v>326</v>
      </c>
      <c r="F2" s="26" t="s">
        <v>327</v>
      </c>
      <c r="G2" s="7" t="s">
        <v>14</v>
      </c>
      <c r="H2" s="6" t="s">
        <v>10</v>
      </c>
      <c r="I2" s="1" t="s">
        <v>11</v>
      </c>
      <c r="J2" s="1" t="s">
        <v>15</v>
      </c>
      <c r="K2" s="7" t="s">
        <v>14</v>
      </c>
      <c r="L2" s="6" t="s">
        <v>10</v>
      </c>
      <c r="M2" s="1" t="s">
        <v>11</v>
      </c>
      <c r="N2" s="1" t="s">
        <v>15</v>
      </c>
      <c r="O2" s="7" t="s">
        <v>14</v>
      </c>
      <c r="P2" s="6" t="s">
        <v>10</v>
      </c>
      <c r="Q2" s="1" t="s">
        <v>11</v>
      </c>
      <c r="R2" s="1" t="s">
        <v>324</v>
      </c>
      <c r="S2" s="26" t="s">
        <v>325</v>
      </c>
      <c r="T2" s="7" t="s">
        <v>14</v>
      </c>
      <c r="U2" s="6" t="s">
        <v>10</v>
      </c>
      <c r="V2" s="1" t="s">
        <v>11</v>
      </c>
      <c r="W2" s="1" t="s">
        <v>15</v>
      </c>
      <c r="X2" s="7" t="s">
        <v>14</v>
      </c>
      <c r="Y2" s="6" t="s">
        <v>10</v>
      </c>
      <c r="Z2" s="1" t="s">
        <v>11</v>
      </c>
      <c r="AA2" s="1" t="s">
        <v>15</v>
      </c>
      <c r="AB2" s="7" t="s">
        <v>14</v>
      </c>
      <c r="AC2" s="6" t="s">
        <v>10</v>
      </c>
      <c r="AD2" s="1" t="s">
        <v>11</v>
      </c>
      <c r="AE2" s="1" t="s">
        <v>15</v>
      </c>
      <c r="AF2" s="7" t="s">
        <v>14</v>
      </c>
      <c r="AG2" s="26"/>
      <c r="AH2" s="1"/>
      <c r="AI2" s="1"/>
    </row>
    <row r="3" spans="2:37" x14ac:dyDescent="0.25">
      <c r="B3" s="4">
        <v>1</v>
      </c>
      <c r="C3" s="39">
        <v>7077.0800635982805</v>
      </c>
      <c r="D3" s="1">
        <v>0</v>
      </c>
      <c r="E3" s="34">
        <f>'Daily CEM-1'!AI4+'Daily  CEM - 2'!AH4</f>
        <v>54</v>
      </c>
      <c r="F3" s="615">
        <f>E3</f>
        <v>54</v>
      </c>
      <c r="G3" s="46">
        <f>C3+D3-F3</f>
        <v>7023.0800635982805</v>
      </c>
      <c r="H3" s="9">
        <v>0.23999999999796273</v>
      </c>
      <c r="I3" s="1">
        <v>0</v>
      </c>
      <c r="J3" s="34">
        <v>0</v>
      </c>
      <c r="K3" s="9">
        <f t="shared" ref="K3:K26" si="0">H3+I3-J3</f>
        <v>0.23999999999796273</v>
      </c>
      <c r="L3" s="39">
        <v>0</v>
      </c>
      <c r="M3" s="1">
        <v>0</v>
      </c>
      <c r="N3" s="34">
        <v>0</v>
      </c>
      <c r="O3" s="9">
        <v>0</v>
      </c>
      <c r="P3" s="200"/>
      <c r="Q3" s="1">
        <v>0</v>
      </c>
      <c r="R3" s="34">
        <f>'Daily CEM-1'!AH4+'Daily  CEM - 2'!AG4</f>
        <v>217.99999982700001</v>
      </c>
      <c r="S3" s="615">
        <f>R3</f>
        <v>217.99999982700001</v>
      </c>
      <c r="T3" s="202"/>
      <c r="U3" s="39">
        <v>0</v>
      </c>
      <c r="V3" s="1">
        <v>0</v>
      </c>
      <c r="W3" s="35">
        <v>0</v>
      </c>
      <c r="X3" s="40">
        <f t="shared" ref="X3:X33" si="1">U3+V3-W3</f>
        <v>0</v>
      </c>
      <c r="Y3" s="39">
        <v>0</v>
      </c>
      <c r="Z3" s="1">
        <v>0</v>
      </c>
      <c r="AA3" s="35">
        <v>0</v>
      </c>
      <c r="AB3" s="40">
        <f>Y3+Z3-AA3</f>
        <v>0</v>
      </c>
      <c r="AC3" s="39">
        <v>0</v>
      </c>
      <c r="AD3" s="1" t="e">
        <f>AE3</f>
        <v>#REF!</v>
      </c>
      <c r="AE3" s="33" t="e">
        <f>'Daily CEM-1'!#REF!</f>
        <v>#REF!</v>
      </c>
      <c r="AF3" s="9" t="e">
        <f>AC3+AD3-AE3</f>
        <v>#REF!</v>
      </c>
      <c r="AG3" s="27"/>
      <c r="AH3" s="14" t="e">
        <f>E3+R3+Clinker!EL3+AE3</f>
        <v>#REF!</v>
      </c>
      <c r="AI3" s="1"/>
      <c r="AJ3" s="52">
        <f t="shared" ref="AJ3:AJ33" si="2">R3+W3</f>
        <v>217.99999982700001</v>
      </c>
      <c r="AK3" s="52"/>
    </row>
    <row r="4" spans="2:37" x14ac:dyDescent="0.25">
      <c r="B4" s="4">
        <v>2</v>
      </c>
      <c r="C4" s="39">
        <f t="shared" ref="C4:C27" si="3">G3</f>
        <v>7023.0800635982805</v>
      </c>
      <c r="D4" s="1">
        <v>0</v>
      </c>
      <c r="E4" s="34">
        <f>'Daily CEM-1'!AI5+'Daily  CEM - 2'!AH5</f>
        <v>58.499999951999996</v>
      </c>
      <c r="F4" s="615">
        <f t="shared" ref="F4:F8" si="4">E4</f>
        <v>58.499999951999996</v>
      </c>
      <c r="G4" s="46">
        <f t="shared" ref="G4:G33" si="5">C4+D4-F4</f>
        <v>6964.5800636462809</v>
      </c>
      <c r="H4" s="39">
        <f t="shared" ref="H4:H27" si="6">K3</f>
        <v>0.23999999999796273</v>
      </c>
      <c r="I4" s="1">
        <v>0</v>
      </c>
      <c r="J4" s="34">
        <v>0</v>
      </c>
      <c r="K4" s="9">
        <f t="shared" si="0"/>
        <v>0.23999999999796273</v>
      </c>
      <c r="L4" s="39">
        <v>0</v>
      </c>
      <c r="M4" s="1">
        <v>0</v>
      </c>
      <c r="N4" s="34">
        <v>0</v>
      </c>
      <c r="O4" s="9">
        <v>0</v>
      </c>
      <c r="P4" s="201"/>
      <c r="Q4" s="1">
        <v>0</v>
      </c>
      <c r="R4" s="34">
        <f>'Daily CEM-1'!AH5+'Daily  CEM - 2'!AG5</f>
        <v>246.99999994560002</v>
      </c>
      <c r="S4" s="615">
        <f t="shared" ref="S4:S8" si="7">R4</f>
        <v>246.99999994560002</v>
      </c>
      <c r="T4" s="202"/>
      <c r="U4" s="47">
        <f>X3</f>
        <v>0</v>
      </c>
      <c r="V4" s="1">
        <v>0</v>
      </c>
      <c r="W4" s="35">
        <v>0</v>
      </c>
      <c r="X4" s="40">
        <f t="shared" si="1"/>
        <v>0</v>
      </c>
      <c r="Y4" s="47">
        <f>AB3</f>
        <v>0</v>
      </c>
      <c r="Z4" s="1">
        <v>0</v>
      </c>
      <c r="AA4" s="35">
        <v>0</v>
      </c>
      <c r="AB4" s="40">
        <f t="shared" ref="AB4:AB33" si="8">Y4+Z4-AA4</f>
        <v>0</v>
      </c>
      <c r="AC4" s="39" t="e">
        <f t="shared" ref="AC4:AC33" si="9">AF3</f>
        <v>#REF!</v>
      </c>
      <c r="AD4" s="1" t="e">
        <f t="shared" ref="AD4:AD33" si="10">AE4</f>
        <v>#REF!</v>
      </c>
      <c r="AE4" s="33" t="e">
        <f>'Daily CEM-1'!#REF!</f>
        <v>#REF!</v>
      </c>
      <c r="AF4" s="9" t="e">
        <f t="shared" ref="AF4:AF33" si="11">AC4+AD4-AE4</f>
        <v>#REF!</v>
      </c>
      <c r="AG4" s="27"/>
      <c r="AH4" s="14" t="e">
        <f>E4+R4+Clinker!EL4+AE4</f>
        <v>#REF!</v>
      </c>
      <c r="AI4" s="1"/>
      <c r="AJ4" s="52">
        <f t="shared" si="2"/>
        <v>246.99999994560002</v>
      </c>
      <c r="AK4" s="52"/>
    </row>
    <row r="5" spans="2:37" x14ac:dyDescent="0.25">
      <c r="B5" s="4">
        <v>3</v>
      </c>
      <c r="C5" s="39">
        <f t="shared" si="3"/>
        <v>6964.5800636462809</v>
      </c>
      <c r="D5" s="1">
        <v>0</v>
      </c>
      <c r="E5" s="34">
        <f>'Daily CEM-1'!AI6+'Daily  CEM - 2'!AH6</f>
        <v>12.5</v>
      </c>
      <c r="F5" s="615">
        <f t="shared" si="4"/>
        <v>12.5</v>
      </c>
      <c r="G5" s="46">
        <f t="shared" si="5"/>
        <v>6952.0800636462809</v>
      </c>
      <c r="H5" s="39">
        <f t="shared" si="6"/>
        <v>0.23999999999796273</v>
      </c>
      <c r="I5" s="1">
        <v>0</v>
      </c>
      <c r="J5" s="34">
        <v>0</v>
      </c>
      <c r="K5" s="9">
        <f t="shared" si="0"/>
        <v>0.23999999999796273</v>
      </c>
      <c r="L5" s="39">
        <v>0</v>
      </c>
      <c r="M5" s="1">
        <v>0</v>
      </c>
      <c r="N5" s="34">
        <v>0</v>
      </c>
      <c r="O5" s="9">
        <v>0</v>
      </c>
      <c r="P5" s="201"/>
      <c r="Q5" s="1">
        <v>0</v>
      </c>
      <c r="R5" s="34">
        <f>'Daily CEM-1'!AH6+'Daily  CEM - 2'!AG6</f>
        <v>42.500000249999999</v>
      </c>
      <c r="S5" s="615">
        <f t="shared" si="7"/>
        <v>42.500000249999999</v>
      </c>
      <c r="T5" s="202"/>
      <c r="U5" s="47">
        <f t="shared" ref="U5:U33" si="12">X4</f>
        <v>0</v>
      </c>
      <c r="V5" s="1">
        <v>0</v>
      </c>
      <c r="W5" s="35">
        <v>0</v>
      </c>
      <c r="X5" s="40">
        <f t="shared" si="1"/>
        <v>0</v>
      </c>
      <c r="Y5" s="47">
        <f t="shared" ref="Y5:Y33" si="13">AB4</f>
        <v>0</v>
      </c>
      <c r="Z5" s="1">
        <v>0</v>
      </c>
      <c r="AA5" s="35">
        <v>0</v>
      </c>
      <c r="AB5" s="40">
        <f t="shared" si="8"/>
        <v>0</v>
      </c>
      <c r="AC5" s="39" t="e">
        <f t="shared" si="9"/>
        <v>#REF!</v>
      </c>
      <c r="AD5" s="1" t="e">
        <f t="shared" si="10"/>
        <v>#REF!</v>
      </c>
      <c r="AE5" s="33" t="e">
        <f>'Daily CEM-1'!#REF!</f>
        <v>#REF!</v>
      </c>
      <c r="AF5" s="9" t="e">
        <f t="shared" si="11"/>
        <v>#REF!</v>
      </c>
      <c r="AG5" s="27"/>
      <c r="AH5" s="14" t="e">
        <f>E5+R5+Clinker!EL5+AE5</f>
        <v>#REF!</v>
      </c>
      <c r="AI5" s="1"/>
      <c r="AJ5" s="52">
        <f t="shared" si="2"/>
        <v>42.500000249999999</v>
      </c>
      <c r="AK5" s="52"/>
    </row>
    <row r="6" spans="2:37" x14ac:dyDescent="0.25">
      <c r="B6" s="4">
        <v>4</v>
      </c>
      <c r="C6" s="39">
        <f t="shared" si="3"/>
        <v>6952.0800636462809</v>
      </c>
      <c r="D6" s="1">
        <v>0</v>
      </c>
      <c r="E6" s="34">
        <f>'Daily CEM-1'!AI7+'Daily  CEM - 2'!AH7</f>
        <v>42.5</v>
      </c>
      <c r="F6" s="615">
        <f t="shared" si="4"/>
        <v>42.5</v>
      </c>
      <c r="G6" s="46">
        <f t="shared" si="5"/>
        <v>6909.5800636462809</v>
      </c>
      <c r="H6" s="39">
        <f t="shared" si="6"/>
        <v>0.23999999999796273</v>
      </c>
      <c r="I6" s="1">
        <v>0</v>
      </c>
      <c r="J6" s="34">
        <v>0</v>
      </c>
      <c r="K6" s="9">
        <f t="shared" si="0"/>
        <v>0.23999999999796273</v>
      </c>
      <c r="L6" s="39">
        <v>0</v>
      </c>
      <c r="M6" s="1">
        <v>0</v>
      </c>
      <c r="N6" s="34">
        <v>0</v>
      </c>
      <c r="O6" s="9">
        <v>0</v>
      </c>
      <c r="P6" s="201"/>
      <c r="Q6" s="1">
        <v>0</v>
      </c>
      <c r="R6" s="34">
        <f>'Daily CEM-1'!AH7+'Daily  CEM - 2'!AG7</f>
        <v>135.9999999999994</v>
      </c>
      <c r="S6" s="615">
        <f t="shared" si="7"/>
        <v>135.9999999999994</v>
      </c>
      <c r="T6" s="202"/>
      <c r="U6" s="47">
        <f t="shared" si="12"/>
        <v>0</v>
      </c>
      <c r="V6" s="1">
        <v>0</v>
      </c>
      <c r="W6" s="35">
        <v>0</v>
      </c>
      <c r="X6" s="40">
        <f t="shared" si="1"/>
        <v>0</v>
      </c>
      <c r="Y6" s="47">
        <f t="shared" si="13"/>
        <v>0</v>
      </c>
      <c r="Z6" s="1">
        <v>0</v>
      </c>
      <c r="AA6" s="35">
        <v>0</v>
      </c>
      <c r="AB6" s="40">
        <f t="shared" si="8"/>
        <v>0</v>
      </c>
      <c r="AC6" s="39" t="e">
        <f t="shared" si="9"/>
        <v>#REF!</v>
      </c>
      <c r="AD6" s="1" t="e">
        <f t="shared" si="10"/>
        <v>#REF!</v>
      </c>
      <c r="AE6" s="33" t="e">
        <f>'Daily CEM-1'!#REF!</f>
        <v>#REF!</v>
      </c>
      <c r="AF6" s="9" t="e">
        <f t="shared" si="11"/>
        <v>#REF!</v>
      </c>
      <c r="AG6" s="27"/>
      <c r="AH6" s="14" t="e">
        <f>E6+R6+Clinker!EL6+AE6</f>
        <v>#REF!</v>
      </c>
      <c r="AI6" s="1"/>
      <c r="AJ6" s="52">
        <f t="shared" si="2"/>
        <v>135.9999999999994</v>
      </c>
      <c r="AK6" s="52"/>
    </row>
    <row r="7" spans="2:37" x14ac:dyDescent="0.25">
      <c r="B7" s="4">
        <v>5</v>
      </c>
      <c r="C7" s="39">
        <f t="shared" si="3"/>
        <v>6909.5800636462809</v>
      </c>
      <c r="D7" s="1">
        <v>0</v>
      </c>
      <c r="E7" s="34">
        <f>'Daily CEM-1'!AI8+'Daily  CEM - 2'!AH8</f>
        <v>32</v>
      </c>
      <c r="F7" s="615">
        <f t="shared" si="4"/>
        <v>32</v>
      </c>
      <c r="G7" s="46">
        <f t="shared" si="5"/>
        <v>6877.5800636462809</v>
      </c>
      <c r="H7" s="39">
        <f t="shared" si="6"/>
        <v>0.23999999999796273</v>
      </c>
      <c r="I7" s="1">
        <v>0</v>
      </c>
      <c r="J7" s="34">
        <v>0</v>
      </c>
      <c r="K7" s="9">
        <f t="shared" si="0"/>
        <v>0.23999999999796273</v>
      </c>
      <c r="L7" s="39">
        <v>0</v>
      </c>
      <c r="M7" s="1">
        <v>0</v>
      </c>
      <c r="N7" s="34">
        <v>0</v>
      </c>
      <c r="O7" s="9">
        <v>0</v>
      </c>
      <c r="P7" s="201"/>
      <c r="Q7" s="1">
        <v>0</v>
      </c>
      <c r="R7" s="34">
        <f>'Daily CEM-1'!AH8+'Daily  CEM - 2'!AG8</f>
        <v>144.39999999999966</v>
      </c>
      <c r="S7" s="615">
        <f t="shared" si="7"/>
        <v>144.39999999999966</v>
      </c>
      <c r="T7" s="202"/>
      <c r="U7" s="47">
        <f t="shared" si="12"/>
        <v>0</v>
      </c>
      <c r="V7" s="1">
        <v>0</v>
      </c>
      <c r="W7" s="35">
        <v>0</v>
      </c>
      <c r="X7" s="40">
        <f t="shared" si="1"/>
        <v>0</v>
      </c>
      <c r="Y7" s="47">
        <f t="shared" si="13"/>
        <v>0</v>
      </c>
      <c r="Z7" s="1">
        <v>0</v>
      </c>
      <c r="AA7" s="35">
        <v>0</v>
      </c>
      <c r="AB7" s="40">
        <f t="shared" si="8"/>
        <v>0</v>
      </c>
      <c r="AC7" s="39" t="e">
        <f t="shared" si="9"/>
        <v>#REF!</v>
      </c>
      <c r="AD7" s="1" t="e">
        <f t="shared" si="10"/>
        <v>#REF!</v>
      </c>
      <c r="AE7" s="33" t="e">
        <f>'Daily CEM-1'!#REF!</f>
        <v>#REF!</v>
      </c>
      <c r="AF7" s="9" t="e">
        <f t="shared" si="11"/>
        <v>#REF!</v>
      </c>
      <c r="AG7" s="27"/>
      <c r="AH7" s="14" t="e">
        <f>E7+R7+Clinker!EL7+AE7</f>
        <v>#REF!</v>
      </c>
      <c r="AI7" s="1"/>
      <c r="AJ7" s="52">
        <f t="shared" si="2"/>
        <v>144.39999999999966</v>
      </c>
      <c r="AK7" s="52"/>
    </row>
    <row r="8" spans="2:37" x14ac:dyDescent="0.25">
      <c r="B8" s="4">
        <v>6</v>
      </c>
      <c r="C8" s="39">
        <f t="shared" si="3"/>
        <v>6877.5800636462809</v>
      </c>
      <c r="D8" s="1">
        <v>0</v>
      </c>
      <c r="E8" s="34">
        <f>'Daily CEM-1'!AI9+'Daily  CEM - 2'!AH9</f>
        <v>67.25</v>
      </c>
      <c r="F8" s="615">
        <f t="shared" si="4"/>
        <v>67.25</v>
      </c>
      <c r="G8" s="46">
        <f t="shared" si="5"/>
        <v>6810.3300636462809</v>
      </c>
      <c r="H8" s="39">
        <f t="shared" si="6"/>
        <v>0.23999999999796273</v>
      </c>
      <c r="I8" s="1">
        <v>0</v>
      </c>
      <c r="J8" s="34">
        <v>0</v>
      </c>
      <c r="K8" s="9">
        <f t="shared" si="0"/>
        <v>0.23999999999796273</v>
      </c>
      <c r="L8" s="39">
        <v>0</v>
      </c>
      <c r="M8" s="1">
        <v>0</v>
      </c>
      <c r="N8" s="34">
        <v>0</v>
      </c>
      <c r="O8" s="9">
        <v>0</v>
      </c>
      <c r="P8" s="201"/>
      <c r="Q8" s="1">
        <v>0</v>
      </c>
      <c r="R8" s="34">
        <f>'Daily CEM-1'!AH9+'Daily  CEM - 2'!AG9</f>
        <v>249.32999999999902</v>
      </c>
      <c r="S8" s="615">
        <f t="shared" si="7"/>
        <v>249.32999999999902</v>
      </c>
      <c r="T8" s="202"/>
      <c r="U8" s="47">
        <f t="shared" si="12"/>
        <v>0</v>
      </c>
      <c r="V8" s="1">
        <v>0</v>
      </c>
      <c r="W8" s="35">
        <v>0</v>
      </c>
      <c r="X8" s="40">
        <f t="shared" si="1"/>
        <v>0</v>
      </c>
      <c r="Y8" s="47">
        <f t="shared" si="13"/>
        <v>0</v>
      </c>
      <c r="Z8" s="1">
        <v>0</v>
      </c>
      <c r="AA8" s="35">
        <v>0</v>
      </c>
      <c r="AB8" s="40">
        <f t="shared" si="8"/>
        <v>0</v>
      </c>
      <c r="AC8" s="39" t="e">
        <f t="shared" si="9"/>
        <v>#REF!</v>
      </c>
      <c r="AD8" s="1" t="e">
        <f t="shared" si="10"/>
        <v>#REF!</v>
      </c>
      <c r="AE8" s="33" t="e">
        <f>'Daily CEM-1'!#REF!</f>
        <v>#REF!</v>
      </c>
      <c r="AF8" s="9" t="e">
        <f t="shared" si="11"/>
        <v>#REF!</v>
      </c>
      <c r="AG8" s="27"/>
      <c r="AH8" s="14" t="e">
        <f>E8+R8+Clinker!EL8+AE8</f>
        <v>#REF!</v>
      </c>
      <c r="AI8" s="1"/>
      <c r="AJ8" s="52">
        <f t="shared" si="2"/>
        <v>249.32999999999902</v>
      </c>
      <c r="AK8" s="52"/>
    </row>
    <row r="9" spans="2:37" x14ac:dyDescent="0.25">
      <c r="B9" s="4">
        <v>7</v>
      </c>
      <c r="C9" s="39">
        <f t="shared" si="3"/>
        <v>6810.3300636462809</v>
      </c>
      <c r="D9" s="1">
        <v>0</v>
      </c>
      <c r="E9" s="34">
        <f>'Daily CEM-1'!AI10+'Daily  CEM - 2'!AH10</f>
        <v>54.25</v>
      </c>
      <c r="F9" s="615">
        <v>56.66</v>
      </c>
      <c r="G9" s="46">
        <f t="shared" si="5"/>
        <v>6753.6700636462811</v>
      </c>
      <c r="H9" s="39">
        <f t="shared" si="6"/>
        <v>0.23999999999796273</v>
      </c>
      <c r="I9" s="1">
        <v>0</v>
      </c>
      <c r="J9" s="34">
        <v>0</v>
      </c>
      <c r="K9" s="9">
        <f t="shared" si="0"/>
        <v>0.23999999999796273</v>
      </c>
      <c r="L9" s="39">
        <v>0</v>
      </c>
      <c r="M9" s="1">
        <v>0</v>
      </c>
      <c r="N9" s="34">
        <v>0</v>
      </c>
      <c r="O9" s="9">
        <v>0</v>
      </c>
      <c r="P9" s="201"/>
      <c r="Q9" s="1">
        <v>0</v>
      </c>
      <c r="R9" s="34">
        <f>'Daily CEM-1'!AH10+'Daily  CEM - 2'!AG10</f>
        <v>178.8999999999993</v>
      </c>
      <c r="S9" s="615">
        <f>(R9/0.9)+0.01</f>
        <v>198.78777777777697</v>
      </c>
      <c r="T9" s="202"/>
      <c r="U9" s="47">
        <f t="shared" si="12"/>
        <v>0</v>
      </c>
      <c r="V9" s="1">
        <v>0</v>
      </c>
      <c r="W9" s="35">
        <v>0</v>
      </c>
      <c r="X9" s="40">
        <f t="shared" si="1"/>
        <v>0</v>
      </c>
      <c r="Y9" s="47">
        <f t="shared" si="13"/>
        <v>0</v>
      </c>
      <c r="Z9" s="1">
        <v>0</v>
      </c>
      <c r="AA9" s="35">
        <v>0</v>
      </c>
      <c r="AB9" s="40">
        <f t="shared" si="8"/>
        <v>0</v>
      </c>
      <c r="AC9" s="39" t="e">
        <f t="shared" si="9"/>
        <v>#REF!</v>
      </c>
      <c r="AD9" s="1" t="e">
        <f t="shared" si="10"/>
        <v>#REF!</v>
      </c>
      <c r="AE9" s="33" t="e">
        <f>'Daily CEM-1'!#REF!</f>
        <v>#REF!</v>
      </c>
      <c r="AF9" s="9" t="e">
        <f t="shared" si="11"/>
        <v>#REF!</v>
      </c>
      <c r="AG9" s="27"/>
      <c r="AH9" s="14" t="e">
        <f>E9+R9+Clinker!EL9+AE9</f>
        <v>#REF!</v>
      </c>
      <c r="AI9" s="1"/>
      <c r="AJ9" s="52">
        <f t="shared" si="2"/>
        <v>178.8999999999993</v>
      </c>
      <c r="AK9" s="52"/>
    </row>
    <row r="10" spans="2:37" x14ac:dyDescent="0.25">
      <c r="B10" s="4">
        <v>8</v>
      </c>
      <c r="C10" s="39">
        <f t="shared" si="3"/>
        <v>6753.6700636462811</v>
      </c>
      <c r="D10" s="1">
        <v>30.12</v>
      </c>
      <c r="E10" s="34">
        <f>'Daily CEM-1'!AI11+'Daily  CEM - 2'!AH11</f>
        <v>75.754999220000002</v>
      </c>
      <c r="F10" s="615">
        <f>E10/0.95</f>
        <v>79.742104442105273</v>
      </c>
      <c r="G10" s="46">
        <f t="shared" si="5"/>
        <v>6704.0479592041756</v>
      </c>
      <c r="H10" s="39">
        <f t="shared" si="6"/>
        <v>0.23999999999796273</v>
      </c>
      <c r="I10" s="1">
        <v>0</v>
      </c>
      <c r="J10" s="34">
        <v>0</v>
      </c>
      <c r="K10" s="9">
        <f t="shared" si="0"/>
        <v>0.23999999999796273</v>
      </c>
      <c r="L10" s="39">
        <v>0</v>
      </c>
      <c r="M10" s="1">
        <v>0</v>
      </c>
      <c r="N10" s="34">
        <v>0</v>
      </c>
      <c r="O10" s="9">
        <f t="shared" ref="O10:O33" si="14">L10+M10-N10</f>
        <v>0</v>
      </c>
      <c r="P10" s="201"/>
      <c r="Q10" s="1">
        <v>0</v>
      </c>
      <c r="R10" s="34">
        <f>'Daily CEM-1'!AH11+'Daily  CEM - 2'!AG11</f>
        <v>272.69100000000003</v>
      </c>
      <c r="S10" s="615">
        <f>(R10/0.9)</f>
        <v>302.99</v>
      </c>
      <c r="T10" s="202"/>
      <c r="U10" s="47">
        <f t="shared" si="12"/>
        <v>0</v>
      </c>
      <c r="V10" s="1">
        <v>0</v>
      </c>
      <c r="W10" s="35">
        <v>0</v>
      </c>
      <c r="X10" s="40">
        <f t="shared" si="1"/>
        <v>0</v>
      </c>
      <c r="Y10" s="47">
        <f t="shared" si="13"/>
        <v>0</v>
      </c>
      <c r="Z10" s="1">
        <v>0</v>
      </c>
      <c r="AA10" s="35">
        <v>0</v>
      </c>
      <c r="AB10" s="40">
        <f t="shared" si="8"/>
        <v>0</v>
      </c>
      <c r="AC10" s="39" t="e">
        <f t="shared" si="9"/>
        <v>#REF!</v>
      </c>
      <c r="AD10" s="1" t="e">
        <f t="shared" si="10"/>
        <v>#REF!</v>
      </c>
      <c r="AE10" s="33" t="e">
        <f>'Daily CEM-1'!#REF!</f>
        <v>#REF!</v>
      </c>
      <c r="AF10" s="9" t="e">
        <f t="shared" si="11"/>
        <v>#REF!</v>
      </c>
      <c r="AG10" s="27"/>
      <c r="AH10" s="14" t="e">
        <f>E10+R10+Clinker!EL10+AE10</f>
        <v>#REF!</v>
      </c>
      <c r="AI10" s="1"/>
      <c r="AJ10" s="52">
        <f t="shared" si="2"/>
        <v>272.69100000000003</v>
      </c>
      <c r="AK10" s="52"/>
    </row>
    <row r="11" spans="2:37" x14ac:dyDescent="0.25">
      <c r="B11" s="4">
        <v>9</v>
      </c>
      <c r="C11" s="39">
        <f t="shared" si="3"/>
        <v>6704.0479592041756</v>
      </c>
      <c r="D11" s="1">
        <v>0</v>
      </c>
      <c r="E11" s="34">
        <f>'Daily CEM-1'!AI12+'Daily  CEM - 2'!AH12</f>
        <v>126.45100000400001</v>
      </c>
      <c r="F11" s="615">
        <f t="shared" ref="F11:F33" si="15">E11/0.95</f>
        <v>133.10631579368422</v>
      </c>
      <c r="G11" s="46">
        <f t="shared" si="5"/>
        <v>6570.9416434104915</v>
      </c>
      <c r="H11" s="39">
        <f t="shared" si="6"/>
        <v>0.23999999999796273</v>
      </c>
      <c r="I11" s="1">
        <v>0</v>
      </c>
      <c r="J11" s="34">
        <v>0</v>
      </c>
      <c r="K11" s="9">
        <f t="shared" si="0"/>
        <v>0.23999999999796273</v>
      </c>
      <c r="L11" s="39">
        <v>0</v>
      </c>
      <c r="M11" s="1">
        <v>0</v>
      </c>
      <c r="N11" s="34">
        <v>0</v>
      </c>
      <c r="O11" s="9">
        <f t="shared" si="14"/>
        <v>0</v>
      </c>
      <c r="P11" s="201"/>
      <c r="Q11" s="1">
        <v>0</v>
      </c>
      <c r="R11" s="34">
        <f>'Daily CEM-1'!AH12+'Daily  CEM - 2'!AG12</f>
        <v>474.15599984070002</v>
      </c>
      <c r="S11" s="615">
        <f t="shared" ref="S11:S33" si="16">(R11/0.9)</f>
        <v>526.83999982299997</v>
      </c>
      <c r="T11" s="202"/>
      <c r="U11" s="47">
        <f t="shared" si="12"/>
        <v>0</v>
      </c>
      <c r="V11" s="1">
        <v>0</v>
      </c>
      <c r="W11" s="35">
        <v>0</v>
      </c>
      <c r="X11" s="40">
        <f t="shared" si="1"/>
        <v>0</v>
      </c>
      <c r="Y11" s="47">
        <f t="shared" si="13"/>
        <v>0</v>
      </c>
      <c r="Z11" s="1">
        <v>0</v>
      </c>
      <c r="AA11" s="35">
        <v>0</v>
      </c>
      <c r="AB11" s="40">
        <f t="shared" si="8"/>
        <v>0</v>
      </c>
      <c r="AC11" s="39" t="e">
        <f t="shared" si="9"/>
        <v>#REF!</v>
      </c>
      <c r="AD11" s="1" t="e">
        <f t="shared" si="10"/>
        <v>#REF!</v>
      </c>
      <c r="AE11" s="33" t="e">
        <f>'Daily CEM-1'!#REF!</f>
        <v>#REF!</v>
      </c>
      <c r="AF11" s="9" t="e">
        <f t="shared" si="11"/>
        <v>#REF!</v>
      </c>
      <c r="AG11" s="27"/>
      <c r="AH11" s="14" t="e">
        <f>E11+R11+Clinker!EL11+AE11</f>
        <v>#REF!</v>
      </c>
      <c r="AI11" s="1"/>
      <c r="AJ11" s="52">
        <f t="shared" si="2"/>
        <v>474.15599984070002</v>
      </c>
      <c r="AK11" s="52"/>
    </row>
    <row r="12" spans="2:37" x14ac:dyDescent="0.25">
      <c r="B12" s="4">
        <v>10</v>
      </c>
      <c r="C12" s="39">
        <f t="shared" si="3"/>
        <v>6570.9416434104915</v>
      </c>
      <c r="D12" s="1">
        <v>0</v>
      </c>
      <c r="E12" s="34">
        <f>'Daily CEM-1'!AI13+'Daily  CEM - 2'!AH13</f>
        <v>85.75</v>
      </c>
      <c r="F12" s="615">
        <f t="shared" si="15"/>
        <v>90.26315789473685</v>
      </c>
      <c r="G12" s="46">
        <f t="shared" si="5"/>
        <v>6480.6784855157548</v>
      </c>
      <c r="H12" s="39">
        <f t="shared" si="6"/>
        <v>0.23999999999796273</v>
      </c>
      <c r="I12" s="1">
        <v>0</v>
      </c>
      <c r="J12" s="34">
        <v>0</v>
      </c>
      <c r="K12" s="9">
        <f t="shared" si="0"/>
        <v>0.23999999999796273</v>
      </c>
      <c r="L12" s="39">
        <v>0</v>
      </c>
      <c r="M12" s="1">
        <v>0</v>
      </c>
      <c r="N12" s="34">
        <v>0</v>
      </c>
      <c r="O12" s="9">
        <f t="shared" si="14"/>
        <v>0</v>
      </c>
      <c r="P12" s="201"/>
      <c r="Q12" s="1">
        <v>0</v>
      </c>
      <c r="R12" s="34">
        <f>'Daily CEM-1'!AH13+'Daily  CEM - 2'!AG13</f>
        <v>303.47999999999888</v>
      </c>
      <c r="S12" s="615">
        <f t="shared" si="16"/>
        <v>337.19999999999874</v>
      </c>
      <c r="T12" s="202"/>
      <c r="U12" s="47">
        <f t="shared" si="12"/>
        <v>0</v>
      </c>
      <c r="V12" s="1">
        <v>0</v>
      </c>
      <c r="W12" s="35">
        <v>0</v>
      </c>
      <c r="X12" s="40">
        <f t="shared" si="1"/>
        <v>0</v>
      </c>
      <c r="Y12" s="47">
        <f t="shared" si="13"/>
        <v>0</v>
      </c>
      <c r="Z12" s="1">
        <v>0</v>
      </c>
      <c r="AA12" s="35">
        <v>0</v>
      </c>
      <c r="AB12" s="40">
        <f t="shared" si="8"/>
        <v>0</v>
      </c>
      <c r="AC12" s="39" t="e">
        <f t="shared" si="9"/>
        <v>#REF!</v>
      </c>
      <c r="AD12" s="1" t="e">
        <f t="shared" si="10"/>
        <v>#REF!</v>
      </c>
      <c r="AE12" s="33" t="e">
        <f>'Daily CEM-1'!#REF!</f>
        <v>#REF!</v>
      </c>
      <c r="AF12" s="9" t="e">
        <f t="shared" si="11"/>
        <v>#REF!</v>
      </c>
      <c r="AG12" s="27"/>
      <c r="AH12" s="14" t="e">
        <f>E12+R12+Clinker!EL12+AE12</f>
        <v>#REF!</v>
      </c>
      <c r="AI12" s="1"/>
      <c r="AJ12" s="52">
        <f t="shared" si="2"/>
        <v>303.47999999999888</v>
      </c>
      <c r="AK12" s="52"/>
    </row>
    <row r="13" spans="2:37" x14ac:dyDescent="0.25">
      <c r="B13" s="4">
        <v>11</v>
      </c>
      <c r="C13" s="39">
        <f t="shared" si="3"/>
        <v>6480.6784855157548</v>
      </c>
      <c r="D13" s="1">
        <v>0</v>
      </c>
      <c r="E13" s="34">
        <f>'Daily CEM-1'!AI14+'Daily  CEM - 2'!AH14</f>
        <v>81.099999999999994</v>
      </c>
      <c r="F13" s="615">
        <f>E13/0.95</f>
        <v>85.368421052631575</v>
      </c>
      <c r="G13" s="46">
        <f t="shared" si="5"/>
        <v>6395.3100644631231</v>
      </c>
      <c r="H13" s="39">
        <f t="shared" si="6"/>
        <v>0.23999999999796273</v>
      </c>
      <c r="I13" s="1">
        <v>0</v>
      </c>
      <c r="J13" s="34">
        <v>0</v>
      </c>
      <c r="K13" s="9">
        <f t="shared" si="0"/>
        <v>0.23999999999796273</v>
      </c>
      <c r="L13" s="39">
        <v>0</v>
      </c>
      <c r="M13" s="1">
        <v>0</v>
      </c>
      <c r="N13" s="34">
        <v>0</v>
      </c>
      <c r="O13" s="9">
        <f t="shared" si="14"/>
        <v>0</v>
      </c>
      <c r="P13" s="201"/>
      <c r="Q13" s="1">
        <v>0</v>
      </c>
      <c r="R13" s="35">
        <f>'Daily CEM-1'!AH14+'Daily  CEM - 2'!AG14</f>
        <v>303.01999999999896</v>
      </c>
      <c r="S13" s="615">
        <f t="shared" si="16"/>
        <v>336.68888888888773</v>
      </c>
      <c r="T13" s="202"/>
      <c r="U13" s="47">
        <f t="shared" si="12"/>
        <v>0</v>
      </c>
      <c r="V13" s="1">
        <v>0</v>
      </c>
      <c r="W13" s="35">
        <v>0</v>
      </c>
      <c r="X13" s="40">
        <f t="shared" si="1"/>
        <v>0</v>
      </c>
      <c r="Y13" s="47">
        <f t="shared" si="13"/>
        <v>0</v>
      </c>
      <c r="Z13" s="1">
        <v>0</v>
      </c>
      <c r="AA13" s="35">
        <v>0</v>
      </c>
      <c r="AB13" s="40">
        <f t="shared" si="8"/>
        <v>0</v>
      </c>
      <c r="AC13" s="39" t="e">
        <f t="shared" si="9"/>
        <v>#REF!</v>
      </c>
      <c r="AD13" s="1" t="e">
        <f t="shared" si="10"/>
        <v>#REF!</v>
      </c>
      <c r="AE13" s="33" t="e">
        <f>'Daily CEM-1'!#REF!</f>
        <v>#REF!</v>
      </c>
      <c r="AF13" s="9" t="e">
        <f t="shared" si="11"/>
        <v>#REF!</v>
      </c>
      <c r="AG13" s="27"/>
      <c r="AH13" s="14" t="e">
        <f>E13+R13+Clinker!EL13+AE13</f>
        <v>#REF!</v>
      </c>
      <c r="AI13" s="1"/>
      <c r="AJ13" s="52">
        <f t="shared" si="2"/>
        <v>303.01999999999896</v>
      </c>
      <c r="AK13" s="52"/>
    </row>
    <row r="14" spans="2:37" x14ac:dyDescent="0.25">
      <c r="B14" s="4">
        <v>12</v>
      </c>
      <c r="C14" s="39">
        <f t="shared" si="3"/>
        <v>6395.3100644631231</v>
      </c>
      <c r="D14" s="1">
        <v>0</v>
      </c>
      <c r="E14" s="34">
        <f>'Daily CEM-1'!AI15+'Daily  CEM - 2'!AH15</f>
        <v>74.459999999999994</v>
      </c>
      <c r="F14" s="615">
        <f t="shared" si="15"/>
        <v>78.378947368421052</v>
      </c>
      <c r="G14" s="46">
        <f t="shared" si="5"/>
        <v>6316.9311170947021</v>
      </c>
      <c r="H14" s="39">
        <f t="shared" si="6"/>
        <v>0.23999999999796273</v>
      </c>
      <c r="I14" s="1">
        <v>0</v>
      </c>
      <c r="J14" s="34">
        <v>0</v>
      </c>
      <c r="K14" s="9">
        <f t="shared" si="0"/>
        <v>0.23999999999796273</v>
      </c>
      <c r="L14" s="39">
        <v>0</v>
      </c>
      <c r="M14" s="1">
        <v>0</v>
      </c>
      <c r="N14" s="34">
        <v>0</v>
      </c>
      <c r="O14" s="9">
        <f t="shared" si="14"/>
        <v>0</v>
      </c>
      <c r="P14" s="201"/>
      <c r="Q14" s="1">
        <v>0</v>
      </c>
      <c r="R14" s="35">
        <f>'Daily CEM-1'!AH15+'Daily  CEM - 2'!AG15</f>
        <v>293.19999999999993</v>
      </c>
      <c r="S14" s="615">
        <f t="shared" si="16"/>
        <v>325.77777777777771</v>
      </c>
      <c r="T14" s="202"/>
      <c r="U14" s="47">
        <f t="shared" si="12"/>
        <v>0</v>
      </c>
      <c r="V14" s="1">
        <v>0</v>
      </c>
      <c r="W14" s="35">
        <v>0</v>
      </c>
      <c r="X14" s="40">
        <f t="shared" si="1"/>
        <v>0</v>
      </c>
      <c r="Y14" s="47">
        <f t="shared" si="13"/>
        <v>0</v>
      </c>
      <c r="Z14" s="1">
        <v>0</v>
      </c>
      <c r="AA14" s="35">
        <v>0</v>
      </c>
      <c r="AB14" s="40">
        <f t="shared" si="8"/>
        <v>0</v>
      </c>
      <c r="AC14" s="39" t="e">
        <f t="shared" si="9"/>
        <v>#REF!</v>
      </c>
      <c r="AD14" s="1" t="e">
        <f t="shared" si="10"/>
        <v>#REF!</v>
      </c>
      <c r="AE14" s="33" t="e">
        <f>'Daily CEM-1'!#REF!</f>
        <v>#REF!</v>
      </c>
      <c r="AF14" s="9" t="e">
        <f t="shared" si="11"/>
        <v>#REF!</v>
      </c>
      <c r="AG14" s="27"/>
      <c r="AH14" s="14" t="e">
        <f>E14+R14+Clinker!EL14+AE14</f>
        <v>#REF!</v>
      </c>
      <c r="AI14" s="1"/>
      <c r="AJ14" s="52">
        <f t="shared" si="2"/>
        <v>293.19999999999993</v>
      </c>
      <c r="AK14" s="52"/>
    </row>
    <row r="15" spans="2:37" x14ac:dyDescent="0.25">
      <c r="B15" s="4">
        <v>13</v>
      </c>
      <c r="C15" s="39">
        <f t="shared" si="3"/>
        <v>6316.9311170947021</v>
      </c>
      <c r="D15" s="1">
        <v>0</v>
      </c>
      <c r="E15" s="34">
        <f>'Daily CEM-1'!AI16+'Daily  CEM - 2'!AH16</f>
        <v>99</v>
      </c>
      <c r="F15" s="615">
        <f t="shared" si="15"/>
        <v>104.21052631578948</v>
      </c>
      <c r="G15" s="46">
        <f t="shared" si="5"/>
        <v>6212.720590778913</v>
      </c>
      <c r="H15" s="39">
        <f t="shared" si="6"/>
        <v>0.23999999999796273</v>
      </c>
      <c r="I15" s="1">
        <v>0</v>
      </c>
      <c r="J15" s="34">
        <v>0</v>
      </c>
      <c r="K15" s="9">
        <f t="shared" si="0"/>
        <v>0.23999999999796273</v>
      </c>
      <c r="L15" s="39">
        <v>0</v>
      </c>
      <c r="M15" s="1">
        <v>0</v>
      </c>
      <c r="N15" s="34">
        <v>0</v>
      </c>
      <c r="O15" s="9">
        <f t="shared" si="14"/>
        <v>0</v>
      </c>
      <c r="P15" s="201"/>
      <c r="Q15" s="1">
        <v>0</v>
      </c>
      <c r="R15" s="35">
        <f>'Daily CEM-1'!AH16+'Daily  CEM - 2'!AG16</f>
        <v>364.58999999999907</v>
      </c>
      <c r="S15" s="615">
        <f t="shared" si="16"/>
        <v>405.09999999999894</v>
      </c>
      <c r="T15" s="202"/>
      <c r="U15" s="47">
        <f t="shared" si="12"/>
        <v>0</v>
      </c>
      <c r="V15" s="1">
        <v>0</v>
      </c>
      <c r="W15" s="35">
        <v>0</v>
      </c>
      <c r="X15" s="40">
        <f t="shared" si="1"/>
        <v>0</v>
      </c>
      <c r="Y15" s="47">
        <f t="shared" si="13"/>
        <v>0</v>
      </c>
      <c r="Z15" s="1">
        <v>0</v>
      </c>
      <c r="AA15" s="35">
        <v>0</v>
      </c>
      <c r="AB15" s="40">
        <f t="shared" si="8"/>
        <v>0</v>
      </c>
      <c r="AC15" s="39" t="e">
        <f t="shared" si="9"/>
        <v>#REF!</v>
      </c>
      <c r="AD15" s="1" t="e">
        <f t="shared" si="10"/>
        <v>#REF!</v>
      </c>
      <c r="AE15" s="33" t="e">
        <f>'Daily CEM-1'!#REF!</f>
        <v>#REF!</v>
      </c>
      <c r="AF15" s="9" t="e">
        <f t="shared" si="11"/>
        <v>#REF!</v>
      </c>
      <c r="AG15" s="27"/>
      <c r="AH15" s="14" t="e">
        <f>E15+R15+Clinker!EL15+AE15</f>
        <v>#REF!</v>
      </c>
      <c r="AI15" s="1"/>
      <c r="AJ15" s="52">
        <f t="shared" si="2"/>
        <v>364.58999999999907</v>
      </c>
      <c r="AK15" s="52"/>
    </row>
    <row r="16" spans="2:37" x14ac:dyDescent="0.25">
      <c r="B16" s="4">
        <v>14</v>
      </c>
      <c r="C16" s="39">
        <f t="shared" si="3"/>
        <v>6212.720590778913</v>
      </c>
      <c r="D16" s="1">
        <v>0</v>
      </c>
      <c r="E16" s="34">
        <f>'Daily CEM-1'!AI17+'Daily  CEM - 2'!AH17</f>
        <v>97.699999999999989</v>
      </c>
      <c r="F16" s="615">
        <f t="shared" si="15"/>
        <v>102.84210526315789</v>
      </c>
      <c r="G16" s="46">
        <f t="shared" si="5"/>
        <v>6109.8784855157555</v>
      </c>
      <c r="H16" s="39">
        <f t="shared" si="6"/>
        <v>0.23999999999796273</v>
      </c>
      <c r="I16" s="1">
        <v>0</v>
      </c>
      <c r="J16" s="34">
        <v>0</v>
      </c>
      <c r="K16" s="9">
        <f t="shared" si="0"/>
        <v>0.23999999999796273</v>
      </c>
      <c r="L16" s="39">
        <v>0</v>
      </c>
      <c r="M16" s="1">
        <v>0</v>
      </c>
      <c r="N16" s="34">
        <v>0</v>
      </c>
      <c r="O16" s="9">
        <f t="shared" si="14"/>
        <v>0</v>
      </c>
      <c r="P16" s="201"/>
      <c r="Q16" s="1">
        <v>0</v>
      </c>
      <c r="R16" s="35">
        <f>'Daily CEM-1'!AH17+'Daily  CEM - 2'!AG17</f>
        <v>378.72</v>
      </c>
      <c r="S16" s="615">
        <f t="shared" si="16"/>
        <v>420.8</v>
      </c>
      <c r="T16" s="202"/>
      <c r="U16" s="47">
        <f t="shared" si="12"/>
        <v>0</v>
      </c>
      <c r="V16" s="1">
        <v>0</v>
      </c>
      <c r="W16" s="35">
        <v>0</v>
      </c>
      <c r="X16" s="40">
        <f t="shared" si="1"/>
        <v>0</v>
      </c>
      <c r="Y16" s="47">
        <f t="shared" si="13"/>
        <v>0</v>
      </c>
      <c r="Z16" s="1">
        <v>0</v>
      </c>
      <c r="AA16" s="35">
        <v>0</v>
      </c>
      <c r="AB16" s="40">
        <f t="shared" si="8"/>
        <v>0</v>
      </c>
      <c r="AC16" s="39" t="e">
        <f t="shared" si="9"/>
        <v>#REF!</v>
      </c>
      <c r="AD16" s="1" t="e">
        <f t="shared" si="10"/>
        <v>#REF!</v>
      </c>
      <c r="AE16" s="33" t="e">
        <f>'Daily CEM-1'!#REF!</f>
        <v>#REF!</v>
      </c>
      <c r="AF16" s="9" t="e">
        <f t="shared" si="11"/>
        <v>#REF!</v>
      </c>
      <c r="AG16" s="27"/>
      <c r="AH16" s="14" t="e">
        <f>E16+R16+Clinker!EL16+AE16</f>
        <v>#REF!</v>
      </c>
      <c r="AI16" s="1"/>
      <c r="AJ16" s="52">
        <f t="shared" si="2"/>
        <v>378.72</v>
      </c>
      <c r="AK16" s="52"/>
    </row>
    <row r="17" spans="2:37" x14ac:dyDescent="0.25">
      <c r="B17" s="4">
        <v>15</v>
      </c>
      <c r="C17" s="39">
        <f t="shared" si="3"/>
        <v>6109.8784855157555</v>
      </c>
      <c r="D17" s="1">
        <v>32.380000000000003</v>
      </c>
      <c r="E17" s="34">
        <f>'Daily CEM-1'!AI18+'Daily  CEM - 2'!AH18</f>
        <v>96.501999600000005</v>
      </c>
      <c r="F17" s="615">
        <f t="shared" si="15"/>
        <v>101.58105221052632</v>
      </c>
      <c r="G17" s="46">
        <f t="shared" si="5"/>
        <v>6040.677433305229</v>
      </c>
      <c r="H17" s="39">
        <f t="shared" si="6"/>
        <v>0.23999999999796273</v>
      </c>
      <c r="I17" s="1">
        <v>0</v>
      </c>
      <c r="J17" s="34">
        <v>0</v>
      </c>
      <c r="K17" s="9">
        <f t="shared" si="0"/>
        <v>0.23999999999796273</v>
      </c>
      <c r="L17" s="39">
        <v>0</v>
      </c>
      <c r="M17" s="1">
        <v>0</v>
      </c>
      <c r="N17" s="34">
        <v>0</v>
      </c>
      <c r="O17" s="9">
        <f t="shared" si="14"/>
        <v>0</v>
      </c>
      <c r="P17" s="201"/>
      <c r="Q17" s="1">
        <v>0</v>
      </c>
      <c r="R17" s="35">
        <f>'Daily CEM-1'!AH18+'Daily  CEM - 2'!AG18</f>
        <v>347.40000000000003</v>
      </c>
      <c r="S17" s="615">
        <f t="shared" si="16"/>
        <v>386</v>
      </c>
      <c r="T17" s="202"/>
      <c r="U17" s="47">
        <f t="shared" si="12"/>
        <v>0</v>
      </c>
      <c r="V17" s="1">
        <v>0</v>
      </c>
      <c r="W17" s="35">
        <v>0</v>
      </c>
      <c r="X17" s="40">
        <f t="shared" si="1"/>
        <v>0</v>
      </c>
      <c r="Y17" s="47">
        <f t="shared" si="13"/>
        <v>0</v>
      </c>
      <c r="Z17" s="1">
        <v>0</v>
      </c>
      <c r="AA17" s="35">
        <v>0</v>
      </c>
      <c r="AB17" s="40">
        <f t="shared" si="8"/>
        <v>0</v>
      </c>
      <c r="AC17" s="39" t="e">
        <f t="shared" si="9"/>
        <v>#REF!</v>
      </c>
      <c r="AD17" s="1" t="e">
        <f t="shared" si="10"/>
        <v>#REF!</v>
      </c>
      <c r="AE17" s="33" t="e">
        <f>'Daily CEM-1'!#REF!</f>
        <v>#REF!</v>
      </c>
      <c r="AF17" s="9" t="e">
        <f t="shared" si="11"/>
        <v>#REF!</v>
      </c>
      <c r="AG17" s="27"/>
      <c r="AH17" s="14" t="e">
        <f>E17+R17+Clinker!EL17+AE17</f>
        <v>#REF!</v>
      </c>
      <c r="AI17" s="1"/>
      <c r="AJ17" s="52">
        <f t="shared" si="2"/>
        <v>347.40000000000003</v>
      </c>
      <c r="AK17" s="52"/>
    </row>
    <row r="18" spans="2:37" x14ac:dyDescent="0.25">
      <c r="B18" s="4">
        <v>16</v>
      </c>
      <c r="C18" s="39">
        <f t="shared" si="3"/>
        <v>6040.677433305229</v>
      </c>
      <c r="D18" s="1">
        <v>0</v>
      </c>
      <c r="E18" s="34">
        <f>'Daily CEM-1'!AI19+'Daily  CEM - 2'!AH19</f>
        <v>107.31099936000001</v>
      </c>
      <c r="F18" s="615">
        <f t="shared" si="15"/>
        <v>112.95894669473685</v>
      </c>
      <c r="G18" s="46">
        <f t="shared" si="5"/>
        <v>5927.7184866104917</v>
      </c>
      <c r="H18" s="39">
        <f t="shared" si="6"/>
        <v>0.23999999999796273</v>
      </c>
      <c r="I18" s="1">
        <v>0</v>
      </c>
      <c r="J18" s="34">
        <v>0</v>
      </c>
      <c r="K18" s="9">
        <f t="shared" si="0"/>
        <v>0.23999999999796273</v>
      </c>
      <c r="L18" s="39">
        <v>0</v>
      </c>
      <c r="M18" s="1">
        <v>0</v>
      </c>
      <c r="N18" s="34">
        <v>0</v>
      </c>
      <c r="O18" s="9">
        <f t="shared" si="14"/>
        <v>0</v>
      </c>
      <c r="P18" s="201"/>
      <c r="Q18" s="1">
        <v>0</v>
      </c>
      <c r="R18" s="35">
        <f>'Daily CEM-1'!AH19+'Daily  CEM - 2'!AG19</f>
        <v>413.246999367</v>
      </c>
      <c r="S18" s="615">
        <f t="shared" si="16"/>
        <v>459.16333263000001</v>
      </c>
      <c r="T18" s="202"/>
      <c r="U18" s="47">
        <f t="shared" si="12"/>
        <v>0</v>
      </c>
      <c r="V18" s="1">
        <v>0</v>
      </c>
      <c r="W18" s="35">
        <v>0</v>
      </c>
      <c r="X18" s="40">
        <f t="shared" si="1"/>
        <v>0</v>
      </c>
      <c r="Y18" s="47">
        <f t="shared" si="13"/>
        <v>0</v>
      </c>
      <c r="Z18" s="1">
        <v>0</v>
      </c>
      <c r="AA18" s="35">
        <v>0</v>
      </c>
      <c r="AB18" s="40">
        <f t="shared" si="8"/>
        <v>0</v>
      </c>
      <c r="AC18" s="39" t="e">
        <f t="shared" si="9"/>
        <v>#REF!</v>
      </c>
      <c r="AD18" s="1" t="e">
        <f t="shared" si="10"/>
        <v>#REF!</v>
      </c>
      <c r="AE18" s="33" t="e">
        <f>'Daily CEM-1'!#REF!</f>
        <v>#REF!</v>
      </c>
      <c r="AF18" s="9" t="e">
        <f t="shared" si="11"/>
        <v>#REF!</v>
      </c>
      <c r="AG18" s="27"/>
      <c r="AH18" s="14" t="e">
        <f>E18+R18+Clinker!EL18+AE18</f>
        <v>#REF!</v>
      </c>
      <c r="AI18" s="1"/>
      <c r="AJ18" s="52">
        <f t="shared" si="2"/>
        <v>413.246999367</v>
      </c>
      <c r="AK18" s="52"/>
    </row>
    <row r="19" spans="2:37" x14ac:dyDescent="0.25">
      <c r="B19" s="4">
        <v>17</v>
      </c>
      <c r="C19" s="39">
        <f t="shared" si="3"/>
        <v>5927.7184866104917</v>
      </c>
      <c r="D19" s="1">
        <v>0</v>
      </c>
      <c r="E19" s="34">
        <f>'Daily CEM-1'!AI20+'Daily  CEM - 2'!AH20</f>
        <v>78</v>
      </c>
      <c r="F19" s="615">
        <f t="shared" si="15"/>
        <v>82.10526315789474</v>
      </c>
      <c r="G19" s="46">
        <f t="shared" si="5"/>
        <v>5845.6132234525967</v>
      </c>
      <c r="H19" s="39">
        <f t="shared" si="6"/>
        <v>0.23999999999796273</v>
      </c>
      <c r="I19" s="1">
        <v>0</v>
      </c>
      <c r="J19" s="34">
        <v>0</v>
      </c>
      <c r="K19" s="9">
        <f t="shared" si="0"/>
        <v>0.23999999999796273</v>
      </c>
      <c r="L19" s="39">
        <v>0</v>
      </c>
      <c r="M19" s="1">
        <v>0</v>
      </c>
      <c r="N19" s="34">
        <v>0</v>
      </c>
      <c r="O19" s="9">
        <f t="shared" si="14"/>
        <v>0</v>
      </c>
      <c r="P19" s="201"/>
      <c r="Q19" s="1">
        <v>0</v>
      </c>
      <c r="R19" s="35">
        <f>'Daily CEM-1'!AH20+'Daily  CEM - 2'!AG20</f>
        <v>359.29999999999984</v>
      </c>
      <c r="S19" s="615">
        <f t="shared" si="16"/>
        <v>399.22222222222206</v>
      </c>
      <c r="T19" s="202"/>
      <c r="U19" s="47">
        <f t="shared" si="12"/>
        <v>0</v>
      </c>
      <c r="V19" s="1">
        <v>0</v>
      </c>
      <c r="W19" s="35">
        <v>0</v>
      </c>
      <c r="X19" s="40">
        <f t="shared" si="1"/>
        <v>0</v>
      </c>
      <c r="Y19" s="47">
        <f t="shared" si="13"/>
        <v>0</v>
      </c>
      <c r="Z19" s="1">
        <v>0</v>
      </c>
      <c r="AA19" s="35">
        <v>0</v>
      </c>
      <c r="AB19" s="40">
        <f t="shared" si="8"/>
        <v>0</v>
      </c>
      <c r="AC19" s="39" t="e">
        <f t="shared" si="9"/>
        <v>#REF!</v>
      </c>
      <c r="AD19" s="1" t="e">
        <f t="shared" si="10"/>
        <v>#REF!</v>
      </c>
      <c r="AE19" s="33" t="e">
        <f>'Daily CEM-1'!#REF!</f>
        <v>#REF!</v>
      </c>
      <c r="AF19" s="9">
        <v>0</v>
      </c>
      <c r="AG19" s="27"/>
      <c r="AH19" s="14" t="e">
        <f>E19+R19+Clinker!EL19+AE19</f>
        <v>#REF!</v>
      </c>
      <c r="AI19" s="1"/>
      <c r="AJ19" s="52">
        <f t="shared" si="2"/>
        <v>359.29999999999984</v>
      </c>
      <c r="AK19" s="52"/>
    </row>
    <row r="20" spans="2:37" x14ac:dyDescent="0.25">
      <c r="B20" s="4">
        <v>18</v>
      </c>
      <c r="C20" s="39">
        <f t="shared" si="3"/>
        <v>5845.6132234525967</v>
      </c>
      <c r="D20" s="1">
        <v>0</v>
      </c>
      <c r="E20" s="34">
        <f>'Daily CEM-1'!AI21+'Daily  CEM - 2'!AH21</f>
        <v>62.35</v>
      </c>
      <c r="F20" s="615">
        <f t="shared" si="15"/>
        <v>65.631578947368425</v>
      </c>
      <c r="G20" s="46">
        <f t="shared" si="5"/>
        <v>5779.9816445052284</v>
      </c>
      <c r="H20" s="39">
        <f t="shared" si="6"/>
        <v>0.23999999999796273</v>
      </c>
      <c r="I20" s="1">
        <v>0</v>
      </c>
      <c r="J20" s="34">
        <v>0</v>
      </c>
      <c r="K20" s="9">
        <f t="shared" si="0"/>
        <v>0.23999999999796273</v>
      </c>
      <c r="L20" s="39">
        <v>0</v>
      </c>
      <c r="M20" s="1">
        <v>0</v>
      </c>
      <c r="N20" s="34">
        <v>0</v>
      </c>
      <c r="O20" s="9">
        <f t="shared" si="14"/>
        <v>0</v>
      </c>
      <c r="P20" s="201"/>
      <c r="Q20" s="1">
        <v>0</v>
      </c>
      <c r="R20" s="35">
        <f>'Daily CEM-1'!AH21+'Daily  CEM - 2'!AG21</f>
        <v>265.51999999999907</v>
      </c>
      <c r="S20" s="615">
        <f t="shared" si="16"/>
        <v>295.02222222222116</v>
      </c>
      <c r="T20" s="202"/>
      <c r="U20" s="47">
        <f t="shared" si="12"/>
        <v>0</v>
      </c>
      <c r="V20" s="1">
        <v>0</v>
      </c>
      <c r="W20" s="35">
        <v>0</v>
      </c>
      <c r="X20" s="40">
        <f t="shared" si="1"/>
        <v>0</v>
      </c>
      <c r="Y20" s="47">
        <f t="shared" si="13"/>
        <v>0</v>
      </c>
      <c r="Z20" s="1">
        <v>0</v>
      </c>
      <c r="AA20" s="35">
        <v>0</v>
      </c>
      <c r="AB20" s="40">
        <f t="shared" si="8"/>
        <v>0</v>
      </c>
      <c r="AC20" s="39">
        <f t="shared" si="9"/>
        <v>0</v>
      </c>
      <c r="AD20" s="1" t="e">
        <f t="shared" si="10"/>
        <v>#REF!</v>
      </c>
      <c r="AE20" s="33" t="e">
        <f>'Daily CEM-1'!#REF!</f>
        <v>#REF!</v>
      </c>
      <c r="AF20" s="9" t="e">
        <f t="shared" si="11"/>
        <v>#REF!</v>
      </c>
      <c r="AG20" s="27"/>
      <c r="AH20" s="14" t="e">
        <f>E20+R20+Clinker!EL20+AE20</f>
        <v>#REF!</v>
      </c>
      <c r="AI20" s="1"/>
      <c r="AJ20" s="52">
        <f t="shared" si="2"/>
        <v>265.51999999999907</v>
      </c>
      <c r="AK20" s="52"/>
    </row>
    <row r="21" spans="2:37" x14ac:dyDescent="0.25">
      <c r="B21" s="4">
        <v>19</v>
      </c>
      <c r="C21" s="39">
        <f t="shared" si="3"/>
        <v>5779.9816445052284</v>
      </c>
      <c r="D21" s="1">
        <v>0</v>
      </c>
      <c r="E21" s="34">
        <f>'Daily CEM-1'!AI22+'Daily  CEM - 2'!AH22</f>
        <v>71.75</v>
      </c>
      <c r="F21" s="615">
        <f t="shared" si="15"/>
        <v>75.526315789473685</v>
      </c>
      <c r="G21" s="46">
        <f>C21+D21-F21</f>
        <v>5704.4553287157551</v>
      </c>
      <c r="H21" s="39">
        <f t="shared" si="6"/>
        <v>0.23999999999796273</v>
      </c>
      <c r="I21" s="1">
        <v>0</v>
      </c>
      <c r="J21" s="34">
        <v>0</v>
      </c>
      <c r="K21" s="9">
        <f t="shared" si="0"/>
        <v>0.23999999999796273</v>
      </c>
      <c r="L21" s="39">
        <v>0</v>
      </c>
      <c r="M21" s="1">
        <v>0</v>
      </c>
      <c r="N21" s="34">
        <v>0</v>
      </c>
      <c r="O21" s="9">
        <f t="shared" si="14"/>
        <v>0</v>
      </c>
      <c r="P21" s="201"/>
      <c r="Q21" s="1">
        <v>0</v>
      </c>
      <c r="R21" s="35">
        <f>'Daily CEM-1'!AH22+'Daily  CEM - 2'!AG22</f>
        <v>259.49999999999926</v>
      </c>
      <c r="S21" s="615">
        <f t="shared" si="16"/>
        <v>288.33333333333252</v>
      </c>
      <c r="T21" s="202"/>
      <c r="U21" s="47">
        <f t="shared" si="12"/>
        <v>0</v>
      </c>
      <c r="V21" s="1">
        <v>0</v>
      </c>
      <c r="W21" s="35">
        <v>0</v>
      </c>
      <c r="X21" s="40">
        <f t="shared" si="1"/>
        <v>0</v>
      </c>
      <c r="Y21" s="47">
        <f t="shared" si="13"/>
        <v>0</v>
      </c>
      <c r="Z21" s="1">
        <v>0</v>
      </c>
      <c r="AA21" s="35">
        <v>0</v>
      </c>
      <c r="AB21" s="184">
        <f t="shared" si="8"/>
        <v>0</v>
      </c>
      <c r="AC21" s="39" t="e">
        <f t="shared" si="9"/>
        <v>#REF!</v>
      </c>
      <c r="AD21" s="1" t="e">
        <f t="shared" si="10"/>
        <v>#REF!</v>
      </c>
      <c r="AE21" s="33" t="e">
        <f>'Daily CEM-1'!#REF!</f>
        <v>#REF!</v>
      </c>
      <c r="AF21" s="9" t="e">
        <f t="shared" si="11"/>
        <v>#REF!</v>
      </c>
      <c r="AG21" s="27"/>
      <c r="AH21" s="14" t="e">
        <f>E21+R21+Clinker!EL21+AE21</f>
        <v>#REF!</v>
      </c>
      <c r="AI21" s="1"/>
      <c r="AJ21" s="52">
        <f t="shared" si="2"/>
        <v>259.49999999999926</v>
      </c>
      <c r="AK21" s="52"/>
    </row>
    <row r="22" spans="2:37" x14ac:dyDescent="0.25">
      <c r="B22" s="4">
        <v>20</v>
      </c>
      <c r="C22" s="39">
        <f t="shared" si="3"/>
        <v>5704.4553287157551</v>
      </c>
      <c r="D22" s="1">
        <v>30.94</v>
      </c>
      <c r="E22" s="34">
        <f>'Daily CEM-1'!AI23+'Daily  CEM - 2'!AH23</f>
        <v>129.69999999999999</v>
      </c>
      <c r="F22" s="615">
        <f t="shared" si="15"/>
        <v>136.52631578947367</v>
      </c>
      <c r="G22" s="46">
        <f t="shared" si="5"/>
        <v>5598.8690129262814</v>
      </c>
      <c r="H22" s="39">
        <f t="shared" si="6"/>
        <v>0.23999999999796273</v>
      </c>
      <c r="I22" s="1">
        <v>0</v>
      </c>
      <c r="J22" s="34">
        <v>0</v>
      </c>
      <c r="K22" s="9">
        <f t="shared" si="0"/>
        <v>0.23999999999796273</v>
      </c>
      <c r="L22" s="39">
        <v>0</v>
      </c>
      <c r="M22" s="1">
        <v>0</v>
      </c>
      <c r="N22" s="34">
        <v>0</v>
      </c>
      <c r="O22" s="9">
        <f t="shared" si="14"/>
        <v>0</v>
      </c>
      <c r="P22" s="201"/>
      <c r="Q22" s="1">
        <v>0</v>
      </c>
      <c r="R22" s="35">
        <f>'Daily CEM-1'!AH23+'Daily  CEM - 2'!AG23</f>
        <v>454.3599999999991</v>
      </c>
      <c r="S22" s="615">
        <f t="shared" si="16"/>
        <v>504.84444444444341</v>
      </c>
      <c r="T22" s="202"/>
      <c r="U22" s="47">
        <f t="shared" si="12"/>
        <v>0</v>
      </c>
      <c r="V22" s="1">
        <v>0</v>
      </c>
      <c r="W22" s="35">
        <v>0</v>
      </c>
      <c r="X22" s="40">
        <f t="shared" si="1"/>
        <v>0</v>
      </c>
      <c r="Y22" s="47">
        <f t="shared" si="13"/>
        <v>0</v>
      </c>
      <c r="Z22" s="1">
        <v>0</v>
      </c>
      <c r="AA22" s="35">
        <v>0</v>
      </c>
      <c r="AB22" s="40">
        <f>Y22+Z22-AA22</f>
        <v>0</v>
      </c>
      <c r="AC22" s="39" t="e">
        <f t="shared" si="9"/>
        <v>#REF!</v>
      </c>
      <c r="AD22" s="1" t="e">
        <f t="shared" si="10"/>
        <v>#REF!</v>
      </c>
      <c r="AE22" s="33" t="e">
        <f>'Daily CEM-1'!#REF!</f>
        <v>#REF!</v>
      </c>
      <c r="AF22" s="9" t="e">
        <f t="shared" si="11"/>
        <v>#REF!</v>
      </c>
      <c r="AG22" s="27"/>
      <c r="AH22" s="14" t="e">
        <f>E22+R22+Clinker!EL22+AE22</f>
        <v>#REF!</v>
      </c>
      <c r="AI22" s="1"/>
      <c r="AJ22" s="52">
        <f t="shared" si="2"/>
        <v>454.3599999999991</v>
      </c>
      <c r="AK22" s="52"/>
    </row>
    <row r="23" spans="2:37" x14ac:dyDescent="0.25">
      <c r="B23" s="4">
        <v>21</v>
      </c>
      <c r="C23" s="39">
        <f t="shared" si="3"/>
        <v>5598.8690129262814</v>
      </c>
      <c r="D23" s="1">
        <v>30.68</v>
      </c>
      <c r="E23" s="34">
        <f>'Daily CEM-1'!AI24+'Daily  CEM - 2'!AH24</f>
        <v>141.35</v>
      </c>
      <c r="F23" s="615">
        <f t="shared" si="15"/>
        <v>148.78947368421052</v>
      </c>
      <c r="G23" s="46">
        <f t="shared" si="5"/>
        <v>5480.7595392420708</v>
      </c>
      <c r="H23" s="39">
        <f t="shared" si="6"/>
        <v>0.23999999999796273</v>
      </c>
      <c r="I23" s="1">
        <v>0</v>
      </c>
      <c r="J23" s="34">
        <v>0</v>
      </c>
      <c r="K23" s="9">
        <f t="shared" si="0"/>
        <v>0.23999999999796273</v>
      </c>
      <c r="L23" s="39">
        <v>0</v>
      </c>
      <c r="M23" s="1">
        <v>0</v>
      </c>
      <c r="N23" s="34">
        <v>0</v>
      </c>
      <c r="O23" s="9">
        <f t="shared" si="14"/>
        <v>0</v>
      </c>
      <c r="P23" s="201"/>
      <c r="Q23" s="1">
        <v>0</v>
      </c>
      <c r="R23" s="35">
        <f>'Daily CEM-1'!AH24+'Daily  CEM - 2'!AG24</f>
        <v>510.39000107399829</v>
      </c>
      <c r="S23" s="615">
        <f t="shared" si="16"/>
        <v>567.10000119333142</v>
      </c>
      <c r="T23" s="202"/>
      <c r="U23" s="47">
        <f t="shared" si="12"/>
        <v>0</v>
      </c>
      <c r="V23" s="1">
        <v>0</v>
      </c>
      <c r="W23" s="35">
        <v>0</v>
      </c>
      <c r="X23" s="40">
        <f t="shared" si="1"/>
        <v>0</v>
      </c>
      <c r="Y23" s="47">
        <f t="shared" si="13"/>
        <v>0</v>
      </c>
      <c r="Z23" s="1">
        <v>0</v>
      </c>
      <c r="AA23" s="35">
        <v>0</v>
      </c>
      <c r="AB23" s="40">
        <f t="shared" si="8"/>
        <v>0</v>
      </c>
      <c r="AC23" s="39" t="e">
        <f t="shared" si="9"/>
        <v>#REF!</v>
      </c>
      <c r="AD23" s="1" t="e">
        <f t="shared" si="10"/>
        <v>#REF!</v>
      </c>
      <c r="AE23" s="33" t="e">
        <f>'Daily CEM-1'!#REF!</f>
        <v>#REF!</v>
      </c>
      <c r="AF23" s="9" t="e">
        <f t="shared" si="11"/>
        <v>#REF!</v>
      </c>
      <c r="AG23" s="27"/>
      <c r="AH23" s="14" t="e">
        <f>E23+R23+Clinker!EL23+AE23</f>
        <v>#REF!</v>
      </c>
      <c r="AI23" s="1"/>
      <c r="AJ23" s="52">
        <f t="shared" si="2"/>
        <v>510.39000107399829</v>
      </c>
      <c r="AK23" s="52"/>
    </row>
    <row r="24" spans="2:37" x14ac:dyDescent="0.25">
      <c r="B24" s="4">
        <v>22</v>
      </c>
      <c r="C24" s="39">
        <f t="shared" si="3"/>
        <v>5480.7595392420708</v>
      </c>
      <c r="D24" s="1">
        <v>0</v>
      </c>
      <c r="E24" s="34">
        <f>'Daily CEM-1'!AI25+'Daily  CEM - 2'!AH25</f>
        <v>113.26899938999999</v>
      </c>
      <c r="F24" s="615">
        <f t="shared" si="15"/>
        <v>119.23052567368421</v>
      </c>
      <c r="G24" s="46">
        <f t="shared" si="5"/>
        <v>5361.5290135683863</v>
      </c>
      <c r="H24" s="39">
        <f t="shared" si="6"/>
        <v>0.23999999999796273</v>
      </c>
      <c r="I24" s="1">
        <v>0</v>
      </c>
      <c r="J24" s="34">
        <v>0</v>
      </c>
      <c r="K24" s="9">
        <f t="shared" si="0"/>
        <v>0.23999999999796273</v>
      </c>
      <c r="L24" s="39">
        <v>0</v>
      </c>
      <c r="M24" s="1">
        <v>0</v>
      </c>
      <c r="N24" s="34">
        <v>0</v>
      </c>
      <c r="O24" s="9">
        <f t="shared" si="14"/>
        <v>0</v>
      </c>
      <c r="P24" s="201"/>
      <c r="Q24" s="1">
        <v>0</v>
      </c>
      <c r="R24" s="35">
        <f>'Daily CEM-1'!AH25+'Daily  CEM - 2'!AG25</f>
        <v>406.48599923400002</v>
      </c>
      <c r="S24" s="615">
        <f t="shared" si="16"/>
        <v>451.65111026</v>
      </c>
      <c r="T24" s="202"/>
      <c r="U24" s="47">
        <f t="shared" si="12"/>
        <v>0</v>
      </c>
      <c r="V24" s="1">
        <v>0</v>
      </c>
      <c r="W24" s="35">
        <v>0</v>
      </c>
      <c r="X24" s="40">
        <f t="shared" si="1"/>
        <v>0</v>
      </c>
      <c r="Y24" s="47">
        <f t="shared" si="13"/>
        <v>0</v>
      </c>
      <c r="Z24" s="1">
        <v>0</v>
      </c>
      <c r="AA24" s="35">
        <v>0</v>
      </c>
      <c r="AB24" s="40">
        <f t="shared" si="8"/>
        <v>0</v>
      </c>
      <c r="AC24" s="39" t="e">
        <f t="shared" si="9"/>
        <v>#REF!</v>
      </c>
      <c r="AD24" s="1" t="e">
        <f t="shared" si="10"/>
        <v>#REF!</v>
      </c>
      <c r="AE24" s="33" t="e">
        <f>'Daily CEM-1'!#REF!</f>
        <v>#REF!</v>
      </c>
      <c r="AF24" s="9" t="e">
        <f t="shared" si="11"/>
        <v>#REF!</v>
      </c>
      <c r="AG24" s="27"/>
      <c r="AH24" s="14" t="e">
        <f>E24+R24+Clinker!EL24+AE24</f>
        <v>#REF!</v>
      </c>
      <c r="AI24" s="1"/>
      <c r="AJ24" s="52">
        <f t="shared" si="2"/>
        <v>406.48599923400002</v>
      </c>
      <c r="AK24" s="52"/>
    </row>
    <row r="25" spans="2:37" x14ac:dyDescent="0.25">
      <c r="B25" s="4">
        <v>23</v>
      </c>
      <c r="C25" s="39">
        <f t="shared" si="3"/>
        <v>5361.5290135683863</v>
      </c>
      <c r="D25" s="1">
        <v>0</v>
      </c>
      <c r="E25" s="34">
        <f>'Daily CEM-1'!AI26+'Daily  CEM - 2'!AH26</f>
        <v>104.2469988</v>
      </c>
      <c r="F25" s="615">
        <f t="shared" si="15"/>
        <v>109.73368294736842</v>
      </c>
      <c r="G25" s="46">
        <f t="shared" si="5"/>
        <v>5251.7953306210175</v>
      </c>
      <c r="H25" s="39">
        <f t="shared" si="6"/>
        <v>0.23999999999796273</v>
      </c>
      <c r="I25" s="1">
        <v>0</v>
      </c>
      <c r="J25" s="34">
        <v>0</v>
      </c>
      <c r="K25" s="9">
        <f t="shared" si="0"/>
        <v>0.23999999999796273</v>
      </c>
      <c r="L25" s="39">
        <v>0</v>
      </c>
      <c r="M25" s="1">
        <v>0</v>
      </c>
      <c r="N25" s="34">
        <v>0</v>
      </c>
      <c r="O25" s="9">
        <f t="shared" si="14"/>
        <v>0</v>
      </c>
      <c r="P25" s="201"/>
      <c r="Q25" s="1">
        <v>0</v>
      </c>
      <c r="R25" s="35">
        <f>'Daily CEM-1'!AH26+'Daily  CEM - 2'!AG26</f>
        <v>388.76999964930002</v>
      </c>
      <c r="S25" s="615">
        <f t="shared" si="16"/>
        <v>431.966666277</v>
      </c>
      <c r="T25" s="202"/>
      <c r="U25" s="47">
        <f t="shared" si="12"/>
        <v>0</v>
      </c>
      <c r="V25" s="1">
        <v>0</v>
      </c>
      <c r="W25" s="35">
        <v>0</v>
      </c>
      <c r="X25" s="40">
        <f t="shared" si="1"/>
        <v>0</v>
      </c>
      <c r="Y25" s="47">
        <f t="shared" si="13"/>
        <v>0</v>
      </c>
      <c r="Z25" s="1">
        <v>0</v>
      </c>
      <c r="AA25" s="35">
        <v>0</v>
      </c>
      <c r="AB25" s="40">
        <f t="shared" si="8"/>
        <v>0</v>
      </c>
      <c r="AC25" s="39" t="e">
        <f t="shared" si="9"/>
        <v>#REF!</v>
      </c>
      <c r="AD25" s="1" t="e">
        <f t="shared" si="10"/>
        <v>#REF!</v>
      </c>
      <c r="AE25" s="33" t="e">
        <f>'Daily CEM-1'!#REF!</f>
        <v>#REF!</v>
      </c>
      <c r="AF25" s="9" t="e">
        <f t="shared" si="11"/>
        <v>#REF!</v>
      </c>
      <c r="AG25" s="27"/>
      <c r="AH25" s="14" t="e">
        <f>E25+R25+Clinker!EL25+AE25</f>
        <v>#REF!</v>
      </c>
      <c r="AI25" s="1"/>
      <c r="AJ25" s="52">
        <f t="shared" si="2"/>
        <v>388.76999964930002</v>
      </c>
      <c r="AK25" s="52"/>
    </row>
    <row r="26" spans="2:37" x14ac:dyDescent="0.25">
      <c r="B26" s="4">
        <v>24</v>
      </c>
      <c r="C26" s="39">
        <f t="shared" si="3"/>
        <v>5251.7953306210175</v>
      </c>
      <c r="D26" s="1">
        <v>0</v>
      </c>
      <c r="E26" s="34">
        <f>'Daily CEM-1'!AI27+'Daily  CEM - 2'!AH27</f>
        <v>128.25</v>
      </c>
      <c r="F26" s="615">
        <f t="shared" si="15"/>
        <v>135</v>
      </c>
      <c r="G26" s="46">
        <f t="shared" si="5"/>
        <v>5116.7953306210175</v>
      </c>
      <c r="H26" s="39">
        <f t="shared" si="6"/>
        <v>0.23999999999796273</v>
      </c>
      <c r="I26" s="1">
        <v>0</v>
      </c>
      <c r="J26" s="34">
        <v>0</v>
      </c>
      <c r="K26" s="9">
        <f t="shared" si="0"/>
        <v>0.23999999999796273</v>
      </c>
      <c r="L26" s="39">
        <v>0</v>
      </c>
      <c r="M26" s="1">
        <v>0</v>
      </c>
      <c r="N26" s="34">
        <v>0</v>
      </c>
      <c r="O26" s="9">
        <f t="shared" si="14"/>
        <v>0</v>
      </c>
      <c r="P26" s="201"/>
      <c r="Q26" s="1">
        <v>0</v>
      </c>
      <c r="R26" s="35">
        <f>'Daily CEM-1'!AH27+'Daily  CEM - 2'!AG27</f>
        <v>455.39999999999873</v>
      </c>
      <c r="S26" s="615">
        <f t="shared" si="16"/>
        <v>505.99999999999858</v>
      </c>
      <c r="T26" s="202"/>
      <c r="U26" s="47">
        <f t="shared" si="12"/>
        <v>0</v>
      </c>
      <c r="V26" s="1">
        <v>0</v>
      </c>
      <c r="W26" s="35">
        <v>0</v>
      </c>
      <c r="X26" s="40">
        <f t="shared" si="1"/>
        <v>0</v>
      </c>
      <c r="Y26" s="47">
        <f t="shared" si="13"/>
        <v>0</v>
      </c>
      <c r="Z26" s="1">
        <v>0</v>
      </c>
      <c r="AA26" s="35">
        <v>0</v>
      </c>
      <c r="AB26" s="40">
        <f t="shared" si="8"/>
        <v>0</v>
      </c>
      <c r="AC26" s="39" t="e">
        <f t="shared" si="9"/>
        <v>#REF!</v>
      </c>
      <c r="AD26" s="1" t="e">
        <f t="shared" si="10"/>
        <v>#REF!</v>
      </c>
      <c r="AE26" s="33" t="e">
        <f>'Daily CEM-1'!#REF!</f>
        <v>#REF!</v>
      </c>
      <c r="AF26" s="9" t="e">
        <f t="shared" si="11"/>
        <v>#REF!</v>
      </c>
      <c r="AG26" s="27"/>
      <c r="AH26" s="14" t="e">
        <f>E26+R26+Clinker!EL26+AE26</f>
        <v>#REF!</v>
      </c>
      <c r="AI26" s="1"/>
      <c r="AJ26" s="52">
        <f t="shared" si="2"/>
        <v>455.39999999999873</v>
      </c>
      <c r="AK26" s="52"/>
    </row>
    <row r="27" spans="2:37" x14ac:dyDescent="0.25">
      <c r="B27" s="4">
        <v>25</v>
      </c>
      <c r="C27" s="39">
        <f t="shared" si="3"/>
        <v>5116.7953306210175</v>
      </c>
      <c r="D27" s="1">
        <v>31.6</v>
      </c>
      <c r="E27" s="34">
        <f>'Daily CEM-1'!AI28+'Daily  CEM - 2'!AH28</f>
        <v>107.9</v>
      </c>
      <c r="F27" s="615">
        <f t="shared" si="15"/>
        <v>113.57894736842107</v>
      </c>
      <c r="G27" s="46">
        <f t="shared" si="5"/>
        <v>5034.816383252597</v>
      </c>
      <c r="H27" s="39">
        <f t="shared" si="6"/>
        <v>0.23999999999796273</v>
      </c>
      <c r="I27" s="1">
        <v>0</v>
      </c>
      <c r="J27" s="34">
        <v>0</v>
      </c>
      <c r="K27" s="9">
        <f>H27+I27-J27</f>
        <v>0.23999999999796273</v>
      </c>
      <c r="L27" s="39">
        <v>0</v>
      </c>
      <c r="M27" s="1">
        <v>0</v>
      </c>
      <c r="N27" s="34">
        <v>0</v>
      </c>
      <c r="O27" s="9">
        <f t="shared" si="14"/>
        <v>0</v>
      </c>
      <c r="P27" s="201"/>
      <c r="Q27" s="1">
        <v>0</v>
      </c>
      <c r="R27" s="35">
        <f>'Daily CEM-1'!AH28+'Daily  CEM - 2'!AG28</f>
        <v>385.17999999999904</v>
      </c>
      <c r="S27" s="615">
        <f t="shared" si="16"/>
        <v>427.97777777777668</v>
      </c>
      <c r="T27" s="202"/>
      <c r="U27" s="47">
        <f t="shared" si="12"/>
        <v>0</v>
      </c>
      <c r="V27" s="1">
        <v>0</v>
      </c>
      <c r="W27" s="35">
        <v>0</v>
      </c>
      <c r="X27" s="40">
        <f t="shared" si="1"/>
        <v>0</v>
      </c>
      <c r="Y27" s="47">
        <f t="shared" si="13"/>
        <v>0</v>
      </c>
      <c r="Z27" s="1">
        <v>0</v>
      </c>
      <c r="AA27" s="35">
        <v>0</v>
      </c>
      <c r="AB27" s="40">
        <f t="shared" si="8"/>
        <v>0</v>
      </c>
      <c r="AC27" s="39" t="e">
        <f t="shared" si="9"/>
        <v>#REF!</v>
      </c>
      <c r="AD27" s="1" t="e">
        <f t="shared" si="10"/>
        <v>#REF!</v>
      </c>
      <c r="AE27" s="33" t="e">
        <f>'Daily CEM-1'!#REF!</f>
        <v>#REF!</v>
      </c>
      <c r="AF27" s="9" t="e">
        <f t="shared" si="11"/>
        <v>#REF!</v>
      </c>
      <c r="AG27" s="27"/>
      <c r="AH27" s="14" t="e">
        <f>E27+R27+Clinker!EL27+AE27</f>
        <v>#REF!</v>
      </c>
      <c r="AI27" s="1"/>
      <c r="AJ27" s="52">
        <f t="shared" si="2"/>
        <v>385.17999999999904</v>
      </c>
      <c r="AK27" s="52"/>
    </row>
    <row r="28" spans="2:37" x14ac:dyDescent="0.25">
      <c r="B28" s="4">
        <v>26</v>
      </c>
      <c r="C28" s="39">
        <f t="shared" ref="C28:C33" si="17">G27</f>
        <v>5034.816383252597</v>
      </c>
      <c r="D28" s="1">
        <v>0</v>
      </c>
      <c r="E28" s="34">
        <f>'Daily CEM-1'!AI29+'Daily  CEM - 2'!AH29</f>
        <v>139.49600055356001</v>
      </c>
      <c r="F28" s="615">
        <f t="shared" si="15"/>
        <v>146.83789531953687</v>
      </c>
      <c r="G28" s="46">
        <f t="shared" si="5"/>
        <v>4887.97848793306</v>
      </c>
      <c r="H28" s="39">
        <f t="shared" ref="H28:H33" si="18">K27</f>
        <v>0.23999999999796273</v>
      </c>
      <c r="I28" s="1">
        <v>0</v>
      </c>
      <c r="J28" s="34">
        <v>0</v>
      </c>
      <c r="K28" s="9">
        <f t="shared" ref="K28:K33" si="19">H28+I28-J28</f>
        <v>0.23999999999796273</v>
      </c>
      <c r="L28" s="39">
        <v>0</v>
      </c>
      <c r="M28" s="1">
        <v>0</v>
      </c>
      <c r="N28" s="34">
        <v>0</v>
      </c>
      <c r="O28" s="9">
        <f t="shared" si="14"/>
        <v>0</v>
      </c>
      <c r="P28" s="201"/>
      <c r="Q28" s="1">
        <v>0</v>
      </c>
      <c r="R28" s="34">
        <f>'Daily CEM-1'!AH29+'Daily  CEM - 2'!AG29</f>
        <v>500.9019990228</v>
      </c>
      <c r="S28" s="615">
        <f t="shared" si="16"/>
        <v>556.55777669199995</v>
      </c>
      <c r="T28" s="202"/>
      <c r="U28" s="47">
        <f t="shared" si="12"/>
        <v>0</v>
      </c>
      <c r="V28" s="1">
        <v>0</v>
      </c>
      <c r="W28" s="35">
        <v>0</v>
      </c>
      <c r="X28" s="40">
        <f t="shared" si="1"/>
        <v>0</v>
      </c>
      <c r="Y28" s="47">
        <f t="shared" si="13"/>
        <v>0</v>
      </c>
      <c r="Z28" s="1">
        <v>0</v>
      </c>
      <c r="AA28" s="35">
        <v>0</v>
      </c>
      <c r="AB28" s="40">
        <f t="shared" si="8"/>
        <v>0</v>
      </c>
      <c r="AC28" s="39" t="e">
        <f t="shared" si="9"/>
        <v>#REF!</v>
      </c>
      <c r="AD28" s="1" t="e">
        <f t="shared" si="10"/>
        <v>#REF!</v>
      </c>
      <c r="AE28" s="33" t="e">
        <f>'Daily CEM-1'!#REF!</f>
        <v>#REF!</v>
      </c>
      <c r="AF28" s="9" t="e">
        <f t="shared" si="11"/>
        <v>#REF!</v>
      </c>
      <c r="AG28" s="27"/>
      <c r="AH28" s="14" t="e">
        <f>E28+R28+Clinker!EL28+AE28</f>
        <v>#REF!</v>
      </c>
      <c r="AI28" s="1"/>
      <c r="AJ28" s="52">
        <f t="shared" si="2"/>
        <v>500.9019990228</v>
      </c>
      <c r="AK28" s="52"/>
    </row>
    <row r="29" spans="2:37" x14ac:dyDescent="0.25">
      <c r="B29" s="4">
        <v>27</v>
      </c>
      <c r="C29" s="39">
        <f t="shared" si="17"/>
        <v>4887.97848793306</v>
      </c>
      <c r="D29" s="1">
        <v>0</v>
      </c>
      <c r="E29" s="34">
        <f>'Daily CEM-1'!AI30+'Daily  CEM - 2'!AH30</f>
        <v>131</v>
      </c>
      <c r="F29" s="615">
        <f t="shared" si="15"/>
        <v>137.89473684210526</v>
      </c>
      <c r="G29" s="46">
        <f t="shared" si="5"/>
        <v>4750.083751090955</v>
      </c>
      <c r="H29" s="39">
        <f t="shared" si="18"/>
        <v>0.23999999999796273</v>
      </c>
      <c r="I29" s="1">
        <v>0</v>
      </c>
      <c r="J29" s="34">
        <v>0</v>
      </c>
      <c r="K29" s="9">
        <f t="shared" si="19"/>
        <v>0.23999999999796273</v>
      </c>
      <c r="L29" s="39">
        <v>0</v>
      </c>
      <c r="M29" s="1">
        <v>0</v>
      </c>
      <c r="N29" s="34">
        <v>0</v>
      </c>
      <c r="O29" s="9">
        <f t="shared" si="14"/>
        <v>0</v>
      </c>
      <c r="P29" s="201"/>
      <c r="Q29" s="1">
        <v>0</v>
      </c>
      <c r="R29" s="35">
        <f>'Daily CEM-1'!AH30+'Daily  CEM - 2'!AG30</f>
        <v>527.39999999999827</v>
      </c>
      <c r="S29" s="615">
        <f t="shared" si="16"/>
        <v>585.99999999999807</v>
      </c>
      <c r="T29" s="202"/>
      <c r="U29" s="47">
        <f t="shared" si="12"/>
        <v>0</v>
      </c>
      <c r="V29" s="1">
        <v>0</v>
      </c>
      <c r="W29" s="35">
        <v>0</v>
      </c>
      <c r="X29" s="40">
        <f t="shared" si="1"/>
        <v>0</v>
      </c>
      <c r="Y29" s="47">
        <f t="shared" si="13"/>
        <v>0</v>
      </c>
      <c r="Z29" s="1">
        <v>0</v>
      </c>
      <c r="AA29" s="35">
        <v>0</v>
      </c>
      <c r="AB29" s="40">
        <f t="shared" si="8"/>
        <v>0</v>
      </c>
      <c r="AC29" s="39" t="e">
        <f t="shared" si="9"/>
        <v>#REF!</v>
      </c>
      <c r="AD29" s="1" t="e">
        <f t="shared" si="10"/>
        <v>#REF!</v>
      </c>
      <c r="AE29" s="33" t="e">
        <f>'Daily CEM-1'!#REF!</f>
        <v>#REF!</v>
      </c>
      <c r="AF29" s="9" t="e">
        <f t="shared" si="11"/>
        <v>#REF!</v>
      </c>
      <c r="AG29" s="27"/>
      <c r="AH29" s="14" t="e">
        <f>E29+R29+Clinker!EL29+AE29</f>
        <v>#REF!</v>
      </c>
      <c r="AI29" s="1"/>
      <c r="AJ29" s="52">
        <f t="shared" si="2"/>
        <v>527.39999999999827</v>
      </c>
    </row>
    <row r="30" spans="2:37" x14ac:dyDescent="0.25">
      <c r="B30" s="4">
        <v>28</v>
      </c>
      <c r="C30" s="39">
        <f t="shared" si="17"/>
        <v>4750.083751090955</v>
      </c>
      <c r="D30" s="1">
        <v>0</v>
      </c>
      <c r="E30" s="34">
        <f>'Daily CEM-1'!AI31+'Daily  CEM - 2'!AH31</f>
        <v>89.610000133</v>
      </c>
      <c r="F30" s="615">
        <f t="shared" si="15"/>
        <v>94.326315929473694</v>
      </c>
      <c r="G30" s="46">
        <f t="shared" si="5"/>
        <v>4655.7574351614812</v>
      </c>
      <c r="H30" s="39">
        <f t="shared" si="18"/>
        <v>0.23999999999796273</v>
      </c>
      <c r="I30" s="1">
        <v>0</v>
      </c>
      <c r="J30" s="34">
        <v>0</v>
      </c>
      <c r="K30" s="9">
        <f t="shared" si="19"/>
        <v>0.23999999999796273</v>
      </c>
      <c r="L30" s="39">
        <v>0</v>
      </c>
      <c r="M30" s="1">
        <v>0</v>
      </c>
      <c r="N30" s="34">
        <v>0</v>
      </c>
      <c r="O30" s="9">
        <f t="shared" si="14"/>
        <v>0</v>
      </c>
      <c r="P30" s="201"/>
      <c r="Q30" s="1">
        <v>0</v>
      </c>
      <c r="R30" s="34">
        <f>'Daily CEM-1'!AH31+'Daily  CEM - 2'!AG31</f>
        <v>318.56999998942752</v>
      </c>
      <c r="S30" s="615">
        <f t="shared" si="16"/>
        <v>353.96666665491944</v>
      </c>
      <c r="T30" s="202"/>
      <c r="U30" s="47">
        <f t="shared" si="12"/>
        <v>0</v>
      </c>
      <c r="V30" s="1">
        <v>0</v>
      </c>
      <c r="W30" s="35">
        <v>0</v>
      </c>
      <c r="X30" s="40">
        <f t="shared" si="1"/>
        <v>0</v>
      </c>
      <c r="Y30" s="47">
        <f t="shared" si="13"/>
        <v>0</v>
      </c>
      <c r="Z30" s="1">
        <v>0</v>
      </c>
      <c r="AA30" s="35">
        <v>0</v>
      </c>
      <c r="AB30" s="40">
        <f t="shared" si="8"/>
        <v>0</v>
      </c>
      <c r="AC30" s="39" t="e">
        <f t="shared" si="9"/>
        <v>#REF!</v>
      </c>
      <c r="AD30" s="1" t="e">
        <f t="shared" si="10"/>
        <v>#REF!</v>
      </c>
      <c r="AE30" s="33" t="e">
        <f>'Daily CEM-1'!#REF!</f>
        <v>#REF!</v>
      </c>
      <c r="AF30" s="9" t="e">
        <f t="shared" si="11"/>
        <v>#REF!</v>
      </c>
      <c r="AG30" s="27"/>
      <c r="AH30" s="14" t="e">
        <f>E30+R30+Clinker!EL30+AE30</f>
        <v>#REF!</v>
      </c>
      <c r="AI30" s="1"/>
      <c r="AJ30" s="52">
        <f t="shared" si="2"/>
        <v>318.56999998942752</v>
      </c>
    </row>
    <row r="31" spans="2:37" x14ac:dyDescent="0.25">
      <c r="B31" s="4">
        <v>29</v>
      </c>
      <c r="C31" s="39">
        <f t="shared" si="17"/>
        <v>4655.7574351614812</v>
      </c>
      <c r="D31" s="1">
        <v>0</v>
      </c>
      <c r="E31" s="34">
        <f>'Daily CEM-1'!AI32+'Daily  CEM - 2'!AH32</f>
        <v>110.635002945</v>
      </c>
      <c r="F31" s="615">
        <f t="shared" si="15"/>
        <v>116.45789783684211</v>
      </c>
      <c r="G31" s="46">
        <f t="shared" si="5"/>
        <v>4539.2995373246395</v>
      </c>
      <c r="H31" s="39">
        <f t="shared" si="18"/>
        <v>0.23999999999796273</v>
      </c>
      <c r="I31" s="1">
        <v>0</v>
      </c>
      <c r="J31" s="34">
        <v>0</v>
      </c>
      <c r="K31" s="9">
        <f t="shared" si="19"/>
        <v>0.23999999999796273</v>
      </c>
      <c r="L31" s="39">
        <v>0</v>
      </c>
      <c r="M31" s="1">
        <v>0</v>
      </c>
      <c r="N31" s="34">
        <v>0</v>
      </c>
      <c r="O31" s="9">
        <f t="shared" si="14"/>
        <v>0</v>
      </c>
      <c r="P31" s="201"/>
      <c r="Q31" s="1">
        <v>0</v>
      </c>
      <c r="R31" s="35">
        <f>'Daily CEM-1'!AH32+'Daily  CEM - 2'!AG32</f>
        <v>378.0909998541</v>
      </c>
      <c r="S31" s="615">
        <f t="shared" si="16"/>
        <v>420.10111094899997</v>
      </c>
      <c r="T31" s="202"/>
      <c r="U31" s="47">
        <f t="shared" si="12"/>
        <v>0</v>
      </c>
      <c r="V31" s="1">
        <v>0</v>
      </c>
      <c r="W31" s="35">
        <v>0</v>
      </c>
      <c r="X31" s="40">
        <f t="shared" si="1"/>
        <v>0</v>
      </c>
      <c r="Y31" s="47">
        <f t="shared" si="13"/>
        <v>0</v>
      </c>
      <c r="Z31" s="1">
        <v>0</v>
      </c>
      <c r="AA31" s="35">
        <v>0</v>
      </c>
      <c r="AB31" s="40">
        <f t="shared" si="8"/>
        <v>0</v>
      </c>
      <c r="AC31" s="39" t="e">
        <f t="shared" si="9"/>
        <v>#REF!</v>
      </c>
      <c r="AD31" s="1" t="e">
        <f t="shared" si="10"/>
        <v>#REF!</v>
      </c>
      <c r="AE31" s="33" t="e">
        <f>'Daily CEM-1'!#REF!</f>
        <v>#REF!</v>
      </c>
      <c r="AF31" s="9" t="e">
        <f t="shared" si="11"/>
        <v>#REF!</v>
      </c>
      <c r="AG31" s="27"/>
      <c r="AH31" s="14" t="e">
        <f>E31+R31+Clinker!EL31+AE31</f>
        <v>#REF!</v>
      </c>
      <c r="AI31" s="1"/>
      <c r="AJ31" s="52">
        <f t="shared" si="2"/>
        <v>378.0909998541</v>
      </c>
    </row>
    <row r="32" spans="2:37" x14ac:dyDescent="0.25">
      <c r="B32" s="4">
        <v>30</v>
      </c>
      <c r="C32" s="39">
        <f t="shared" si="17"/>
        <v>4539.2995373246395</v>
      </c>
      <c r="D32" s="1">
        <v>0</v>
      </c>
      <c r="E32" s="34">
        <f>'Daily CEM-1'!AI33+'Daily  CEM - 2'!AH33</f>
        <v>157.19999999999999</v>
      </c>
      <c r="F32" s="640">
        <f>(E32/0.95)-0.031</f>
        <v>165.44268421052629</v>
      </c>
      <c r="G32" s="46">
        <f t="shared" si="5"/>
        <v>4373.8568531141136</v>
      </c>
      <c r="H32" s="39">
        <f t="shared" si="18"/>
        <v>0.23999999999796273</v>
      </c>
      <c r="I32" s="1">
        <v>0</v>
      </c>
      <c r="J32" s="34">
        <v>0</v>
      </c>
      <c r="K32" s="9">
        <f t="shared" si="19"/>
        <v>0.23999999999796273</v>
      </c>
      <c r="L32" s="39">
        <v>0</v>
      </c>
      <c r="M32" s="1">
        <v>0</v>
      </c>
      <c r="N32" s="34">
        <v>0</v>
      </c>
      <c r="O32" s="9">
        <f t="shared" si="14"/>
        <v>0</v>
      </c>
      <c r="P32" s="201"/>
      <c r="Q32" s="1">
        <v>0</v>
      </c>
      <c r="R32" s="35">
        <f>'Daily CEM-1'!AH33+'Daily  CEM - 2'!AG33</f>
        <v>562.95999999999879</v>
      </c>
      <c r="S32" s="640">
        <f>((R32/0.9)-0.023)</f>
        <v>625.48811111110967</v>
      </c>
      <c r="T32" s="202"/>
      <c r="U32" s="47">
        <f t="shared" si="12"/>
        <v>0</v>
      </c>
      <c r="V32" s="1">
        <v>0</v>
      </c>
      <c r="W32" s="35">
        <v>0</v>
      </c>
      <c r="X32" s="40">
        <f t="shared" si="1"/>
        <v>0</v>
      </c>
      <c r="Y32" s="47">
        <f t="shared" si="13"/>
        <v>0</v>
      </c>
      <c r="Z32" s="1">
        <v>0</v>
      </c>
      <c r="AA32" s="35">
        <v>0</v>
      </c>
      <c r="AB32" s="40">
        <f t="shared" si="8"/>
        <v>0</v>
      </c>
      <c r="AC32" s="39" t="e">
        <f t="shared" si="9"/>
        <v>#REF!</v>
      </c>
      <c r="AD32" s="1" t="e">
        <f t="shared" si="10"/>
        <v>#REF!</v>
      </c>
      <c r="AE32" s="33" t="e">
        <f>'Daily CEM-1'!#REF!</f>
        <v>#REF!</v>
      </c>
      <c r="AF32" s="9" t="e">
        <f t="shared" si="11"/>
        <v>#REF!</v>
      </c>
      <c r="AG32" s="27"/>
      <c r="AH32" s="14" t="e">
        <f>E32+R32+Clinker!EL32+AE32</f>
        <v>#REF!</v>
      </c>
      <c r="AI32" s="1"/>
      <c r="AJ32" s="52">
        <f t="shared" si="2"/>
        <v>562.95999999999879</v>
      </c>
    </row>
    <row r="33" spans="2:37" s="160" customFormat="1" x14ac:dyDescent="0.25">
      <c r="B33" s="162">
        <v>31</v>
      </c>
      <c r="C33" s="156">
        <f t="shared" si="17"/>
        <v>4373.8568531141136</v>
      </c>
      <c r="D33" s="1">
        <v>0</v>
      </c>
      <c r="E33" s="34">
        <f>'Daily CEM-1'!AI34+'Daily  CEM - 2'!AH34</f>
        <v>157.25</v>
      </c>
      <c r="F33" s="615">
        <f t="shared" si="15"/>
        <v>165.5263157894737</v>
      </c>
      <c r="G33" s="46">
        <f t="shared" si="5"/>
        <v>4208.3305373246403</v>
      </c>
      <c r="H33" s="156">
        <f t="shared" si="18"/>
        <v>0.23999999999796273</v>
      </c>
      <c r="I33" s="157">
        <v>0</v>
      </c>
      <c r="J33" s="34">
        <v>0</v>
      </c>
      <c r="K33" s="158">
        <f t="shared" si="19"/>
        <v>0.23999999999796273</v>
      </c>
      <c r="L33" s="39">
        <v>0</v>
      </c>
      <c r="M33" s="157">
        <v>0</v>
      </c>
      <c r="N33" s="33">
        <f>'Daily CEM-1'!AJ34</f>
        <v>0</v>
      </c>
      <c r="O33" s="9">
        <f t="shared" si="14"/>
        <v>0</v>
      </c>
      <c r="P33" s="201"/>
      <c r="Q33" s="1">
        <v>0</v>
      </c>
      <c r="R33" s="35">
        <f>'Daily CEM-1'!AH34+'Daily  CEM - 2'!AG34</f>
        <v>621.65000000974874</v>
      </c>
      <c r="S33" s="615">
        <f t="shared" si="16"/>
        <v>690.72222223305414</v>
      </c>
      <c r="T33" s="202"/>
      <c r="U33" s="164">
        <f t="shared" si="12"/>
        <v>0</v>
      </c>
      <c r="V33" s="1">
        <v>0</v>
      </c>
      <c r="W33" s="35">
        <v>0</v>
      </c>
      <c r="X33" s="40">
        <f t="shared" si="1"/>
        <v>0</v>
      </c>
      <c r="Y33" s="164">
        <f t="shared" si="13"/>
        <v>0</v>
      </c>
      <c r="Z33" s="1">
        <v>0</v>
      </c>
      <c r="AA33" s="35">
        <v>0</v>
      </c>
      <c r="AB33" s="40">
        <f t="shared" si="8"/>
        <v>0</v>
      </c>
      <c r="AC33" s="156" t="e">
        <f t="shared" si="9"/>
        <v>#REF!</v>
      </c>
      <c r="AD33" s="1" t="e">
        <f t="shared" si="10"/>
        <v>#REF!</v>
      </c>
      <c r="AE33" s="157" t="e">
        <f>'Daily CEM-1'!#REF!</f>
        <v>#REF!</v>
      </c>
      <c r="AF33" s="158" t="e">
        <f t="shared" si="11"/>
        <v>#REF!</v>
      </c>
      <c r="AG33" s="159"/>
      <c r="AH33" s="165" t="e">
        <f>E33+R33+Clinker!#REF!+AE33</f>
        <v>#REF!</v>
      </c>
      <c r="AI33" s="157"/>
      <c r="AJ33" s="52">
        <f t="shared" si="2"/>
        <v>621.65000000974874</v>
      </c>
    </row>
    <row r="34" spans="2:37" ht="15.75" thickBot="1" x14ac:dyDescent="0.3">
      <c r="B34" s="5" t="s">
        <v>26</v>
      </c>
      <c r="C34" s="8">
        <f>SUM(C3:C33)</f>
        <v>184508.47564650208</v>
      </c>
      <c r="D34" s="8">
        <f>SUM(D3:D33)</f>
        <v>155.72</v>
      </c>
      <c r="E34" s="8">
        <f t="shared" ref="E34:O34" si="20">SUM(E3:E33)</f>
        <v>2887.0359999575599</v>
      </c>
      <c r="F34" s="8">
        <f t="shared" si="20"/>
        <v>3024.4695262736427</v>
      </c>
      <c r="G34" s="10">
        <v>0</v>
      </c>
      <c r="H34" s="8">
        <f t="shared" si="20"/>
        <v>7.4399999999368447</v>
      </c>
      <c r="I34" s="8">
        <f t="shared" si="20"/>
        <v>0</v>
      </c>
      <c r="J34" s="8">
        <f t="shared" si="20"/>
        <v>0</v>
      </c>
      <c r="K34" s="10">
        <f t="shared" si="20"/>
        <v>7.4399999999368447</v>
      </c>
      <c r="L34" s="8">
        <f t="shared" si="20"/>
        <v>0</v>
      </c>
      <c r="M34" s="8">
        <f t="shared" si="20"/>
        <v>0</v>
      </c>
      <c r="N34" s="8">
        <f t="shared" si="20"/>
        <v>0</v>
      </c>
      <c r="O34" s="10">
        <f t="shared" si="20"/>
        <v>0</v>
      </c>
      <c r="P34" s="6">
        <f>T33</f>
        <v>0</v>
      </c>
      <c r="Q34" s="8">
        <f t="shared" ref="Q34:AE34" si="21">SUM(Q3:Q33)</f>
        <v>0</v>
      </c>
      <c r="R34" s="8">
        <f t="shared" si="21"/>
        <v>10761.11299806366</v>
      </c>
      <c r="S34" s="8">
        <f t="shared" si="21"/>
        <v>11841.531442290443</v>
      </c>
      <c r="T34" s="10">
        <f t="shared" si="21"/>
        <v>0</v>
      </c>
      <c r="U34" s="6">
        <f>X33</f>
        <v>0</v>
      </c>
      <c r="V34" s="8">
        <f t="shared" ref="V34:X34" si="22">SUM(V3:V33)</f>
        <v>0</v>
      </c>
      <c r="W34" s="8">
        <f t="shared" si="22"/>
        <v>0</v>
      </c>
      <c r="X34" s="10">
        <f t="shared" si="22"/>
        <v>0</v>
      </c>
      <c r="Y34" s="6">
        <f>AB33</f>
        <v>0</v>
      </c>
      <c r="Z34" s="8">
        <f t="shared" ref="Z34:AB34" si="23">SUM(Z3:Z33)</f>
        <v>0</v>
      </c>
      <c r="AA34" s="8">
        <f t="shared" si="23"/>
        <v>0</v>
      </c>
      <c r="AB34" s="10">
        <f t="shared" si="23"/>
        <v>0</v>
      </c>
      <c r="AC34" s="8" t="e">
        <f t="shared" si="21"/>
        <v>#REF!</v>
      </c>
      <c r="AD34" s="8" t="e">
        <f t="shared" si="21"/>
        <v>#REF!</v>
      </c>
      <c r="AE34" s="8" t="e">
        <f t="shared" si="21"/>
        <v>#REF!</v>
      </c>
      <c r="AF34" s="46" t="e">
        <f>AC34+AD34-AE34</f>
        <v>#REF!</v>
      </c>
      <c r="AG34" s="28"/>
      <c r="AH34" s="14" t="e">
        <f>E34+R34+Clinker!EL34+AE34</f>
        <v>#REF!</v>
      </c>
      <c r="AI34" s="1"/>
    </row>
    <row r="35" spans="2:37" x14ac:dyDescent="0.25">
      <c r="B35" t="s">
        <v>27</v>
      </c>
      <c r="D35" s="17">
        <f>D36+D34</f>
        <v>2126.62</v>
      </c>
      <c r="E35" s="17">
        <f t="shared" ref="E35:AE35" si="24">E36+E34</f>
        <v>5226.2359955090596</v>
      </c>
      <c r="F35" s="17">
        <f t="shared" si="24"/>
        <v>5363.6695218251425</v>
      </c>
      <c r="G35" s="17">
        <v>0</v>
      </c>
      <c r="H35" s="17"/>
      <c r="I35" s="17">
        <f t="shared" si="24"/>
        <v>0</v>
      </c>
      <c r="J35" s="17">
        <f t="shared" si="24"/>
        <v>0</v>
      </c>
      <c r="K35" s="17"/>
      <c r="L35" s="17">
        <f t="shared" si="24"/>
        <v>0</v>
      </c>
      <c r="M35" s="17">
        <f t="shared" si="24"/>
        <v>0</v>
      </c>
      <c r="N35" s="17">
        <f t="shared" si="24"/>
        <v>0</v>
      </c>
      <c r="O35" s="17"/>
      <c r="P35" s="17"/>
      <c r="Q35" s="17">
        <f t="shared" si="24"/>
        <v>0</v>
      </c>
      <c r="R35" s="17">
        <f t="shared" si="24"/>
        <v>19392.932990625894</v>
      </c>
      <c r="S35" s="17">
        <f t="shared" si="24"/>
        <v>20473.351434852681</v>
      </c>
      <c r="T35" s="17"/>
      <c r="U35" s="17"/>
      <c r="V35" s="17">
        <f t="shared" ref="V35:W35" si="25">V36+V34</f>
        <v>0</v>
      </c>
      <c r="W35" s="17">
        <f t="shared" si="25"/>
        <v>0</v>
      </c>
      <c r="X35" s="17"/>
      <c r="Y35" s="17"/>
      <c r="Z35" s="17">
        <f t="shared" ref="Z35:AA35" si="26">Z36+Z34</f>
        <v>0</v>
      </c>
      <c r="AA35" s="17">
        <f t="shared" si="26"/>
        <v>0</v>
      </c>
      <c r="AB35" s="17"/>
      <c r="AC35" s="17">
        <v>0</v>
      </c>
      <c r="AD35" s="17" t="e">
        <f t="shared" si="24"/>
        <v>#REF!</v>
      </c>
      <c r="AE35" s="17" t="e">
        <f t="shared" si="24"/>
        <v>#REF!</v>
      </c>
      <c r="AH35" s="14">
        <v>164201.03720367979</v>
      </c>
      <c r="AJ35" s="52"/>
      <c r="AK35" s="52"/>
    </row>
    <row r="36" spans="2:37" ht="16.5" customHeight="1" x14ac:dyDescent="0.25">
      <c r="B36" t="s">
        <v>27</v>
      </c>
      <c r="D36">
        <v>1970.9</v>
      </c>
      <c r="E36">
        <v>2339.1999955514993</v>
      </c>
      <c r="F36">
        <v>2339.1999955514993</v>
      </c>
      <c r="G36">
        <v>0</v>
      </c>
      <c r="I36">
        <v>0</v>
      </c>
      <c r="J36">
        <v>0</v>
      </c>
      <c r="L36">
        <v>0</v>
      </c>
      <c r="M36">
        <v>0</v>
      </c>
      <c r="N36">
        <v>0</v>
      </c>
      <c r="Q36">
        <v>0</v>
      </c>
      <c r="R36">
        <v>8631.8199925622357</v>
      </c>
      <c r="S36">
        <v>8631.8199925622357</v>
      </c>
      <c r="V36">
        <v>0</v>
      </c>
      <c r="W36">
        <v>0</v>
      </c>
      <c r="Z36">
        <v>0</v>
      </c>
      <c r="AA36">
        <v>0</v>
      </c>
      <c r="AC36">
        <v>0</v>
      </c>
      <c r="AD36" t="e">
        <v>#REF!</v>
      </c>
      <c r="AE36" t="e">
        <v>#REF!</v>
      </c>
      <c r="AH36" s="14">
        <v>164201.03720367979</v>
      </c>
    </row>
  </sheetData>
  <mergeCells count="7">
    <mergeCell ref="C1:G1"/>
    <mergeCell ref="H1:K1"/>
    <mergeCell ref="L1:O1"/>
    <mergeCell ref="P1:T1"/>
    <mergeCell ref="AC1:AF1"/>
    <mergeCell ref="U1:X1"/>
    <mergeCell ref="Y1:AB1"/>
  </mergeCells>
  <pageMargins left="0" right="0" top="0.75" bottom="0.75" header="0.3" footer="0.3"/>
  <pageSetup paperSize="9" scale="5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B1:DB54"/>
  <sheetViews>
    <sheetView zoomScale="60" zoomScaleNormal="60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AP31" sqref="AP31"/>
    </sheetView>
  </sheetViews>
  <sheetFormatPr defaultRowHeight="15" x14ac:dyDescent="0.25"/>
  <cols>
    <col min="1" max="1" width="3.85546875" customWidth="1"/>
    <col min="2" max="2" width="8.140625" customWidth="1"/>
    <col min="3" max="3" width="9.7109375" bestFit="1" customWidth="1"/>
    <col min="4" max="4" width="12.7109375" bestFit="1" customWidth="1"/>
    <col min="5" max="5" width="12.7109375" customWidth="1"/>
    <col min="6" max="6" width="15.140625" bestFit="1" customWidth="1"/>
    <col min="7" max="7" width="16.28515625" bestFit="1" customWidth="1"/>
    <col min="8" max="13" width="16.28515625" customWidth="1"/>
    <col min="14" max="14" width="12.7109375" bestFit="1" customWidth="1"/>
    <col min="15" max="15" width="15.140625" bestFit="1" customWidth="1"/>
    <col min="16" max="18" width="15.140625" customWidth="1"/>
    <col min="19" max="19" width="16.28515625" bestFit="1" customWidth="1"/>
    <col min="20" max="20" width="16.28515625" customWidth="1"/>
    <col min="21" max="21" width="12.7109375" bestFit="1" customWidth="1"/>
    <col min="22" max="22" width="14.7109375" bestFit="1" customWidth="1"/>
    <col min="23" max="23" width="14.7109375" customWidth="1"/>
    <col min="24" max="24" width="15.140625" bestFit="1" customWidth="1"/>
    <col min="25" max="25" width="16.28515625" bestFit="1" customWidth="1"/>
    <col min="26" max="26" width="12.7109375" bestFit="1" customWidth="1"/>
    <col min="27" max="27" width="15.140625" bestFit="1" customWidth="1"/>
    <col min="28" max="28" width="13.140625" customWidth="1"/>
    <col min="29" max="29" width="12.7109375" bestFit="1" customWidth="1"/>
    <col min="30" max="30" width="15.140625" bestFit="1" customWidth="1"/>
    <col min="31" max="31" width="9.7109375" bestFit="1" customWidth="1"/>
    <col min="32" max="32" width="12.7109375" bestFit="1" customWidth="1"/>
    <col min="43" max="43" width="13.140625" customWidth="1"/>
    <col min="44" max="44" width="12.7109375" bestFit="1" customWidth="1"/>
    <col min="45" max="45" width="15.140625" bestFit="1" customWidth="1"/>
    <col min="46" max="46" width="9.7109375" bestFit="1" customWidth="1"/>
    <col min="47" max="47" width="12.7109375" bestFit="1" customWidth="1"/>
    <col min="58" max="60" width="12.5703125" customWidth="1"/>
    <col min="61" max="61" width="13.7109375" customWidth="1"/>
    <col min="64" max="64" width="11.140625" bestFit="1" customWidth="1"/>
    <col min="65" max="77" width="13.42578125" customWidth="1"/>
    <col min="78" max="78" width="9.140625" customWidth="1"/>
    <col min="79" max="80" width="7.28515625" customWidth="1"/>
    <col min="81" max="81" width="7.42578125" customWidth="1"/>
    <col min="82" max="82" width="13" bestFit="1" customWidth="1"/>
    <col min="84" max="84" width="10.42578125" bestFit="1" customWidth="1"/>
    <col min="85" max="85" width="10.85546875" bestFit="1" customWidth="1"/>
    <col min="86" max="86" width="10.85546875" customWidth="1"/>
  </cols>
  <sheetData>
    <row r="1" spans="2:104" x14ac:dyDescent="0.25">
      <c r="B1" s="3" t="s">
        <v>82</v>
      </c>
      <c r="C1" s="657" t="s">
        <v>83</v>
      </c>
      <c r="D1" s="658"/>
      <c r="E1" s="658"/>
      <c r="F1" s="658"/>
      <c r="G1" s="657" t="s">
        <v>84</v>
      </c>
      <c r="H1" s="675"/>
      <c r="I1" s="675"/>
      <c r="J1" s="675"/>
      <c r="K1" s="675"/>
      <c r="L1" s="675"/>
      <c r="M1" s="675"/>
      <c r="N1" s="658"/>
      <c r="O1" s="658"/>
      <c r="P1" s="660" t="s">
        <v>85</v>
      </c>
      <c r="Q1" s="664"/>
      <c r="R1" s="665"/>
      <c r="S1" s="657" t="s">
        <v>86</v>
      </c>
      <c r="T1" s="675"/>
      <c r="U1" s="658"/>
      <c r="V1" s="658"/>
      <c r="W1" s="658"/>
      <c r="X1" s="658"/>
      <c r="Y1" s="657" t="s">
        <v>87</v>
      </c>
      <c r="Z1" s="658"/>
      <c r="AA1" s="658"/>
      <c r="AB1" s="657" t="s">
        <v>88</v>
      </c>
      <c r="AC1" s="658"/>
      <c r="AD1" s="658"/>
      <c r="AE1" s="657" t="s">
        <v>89</v>
      </c>
      <c r="AF1" s="658"/>
      <c r="AG1" s="659"/>
      <c r="AH1" s="657" t="s">
        <v>90</v>
      </c>
      <c r="AI1" s="658"/>
      <c r="AJ1" s="659"/>
      <c r="AK1" s="676" t="s">
        <v>91</v>
      </c>
      <c r="AL1" s="677"/>
      <c r="AM1" s="678"/>
      <c r="AN1" s="676" t="s">
        <v>306</v>
      </c>
      <c r="AO1" s="677"/>
      <c r="AP1" s="678"/>
      <c r="AQ1" s="657" t="s">
        <v>92</v>
      </c>
      <c r="AR1" s="658"/>
      <c r="AS1" s="658"/>
      <c r="AT1" s="657" t="s">
        <v>93</v>
      </c>
      <c r="AU1" s="658"/>
      <c r="AV1" s="659"/>
      <c r="AW1" s="657" t="s">
        <v>94</v>
      </c>
      <c r="AX1" s="658"/>
      <c r="AY1" s="659"/>
      <c r="AZ1" s="657" t="s">
        <v>95</v>
      </c>
      <c r="BA1" s="658"/>
      <c r="BB1" s="659"/>
      <c r="BC1" s="657" t="s">
        <v>309</v>
      </c>
      <c r="BD1" s="658"/>
      <c r="BE1" s="659"/>
      <c r="BF1" s="675" t="s">
        <v>96</v>
      </c>
      <c r="BG1" s="675"/>
      <c r="BH1" s="675"/>
      <c r="BI1" s="658"/>
      <c r="BJ1" s="675" t="s">
        <v>97</v>
      </c>
      <c r="BK1" s="675"/>
      <c r="BL1" s="675"/>
      <c r="BM1" s="658"/>
      <c r="BN1" s="675" t="s">
        <v>98</v>
      </c>
      <c r="BO1" s="675"/>
      <c r="BP1" s="675"/>
      <c r="BQ1" s="658"/>
      <c r="BR1" s="675" t="s">
        <v>99</v>
      </c>
      <c r="BS1" s="675"/>
      <c r="BT1" s="675"/>
      <c r="BU1" s="658"/>
      <c r="BV1" s="675" t="s">
        <v>305</v>
      </c>
      <c r="BW1" s="675"/>
      <c r="BX1" s="675"/>
      <c r="BY1" s="658"/>
    </row>
    <row r="2" spans="2:104" ht="67.5" customHeight="1" x14ac:dyDescent="0.25">
      <c r="B2" s="4" t="s">
        <v>9</v>
      </c>
      <c r="C2" s="6" t="s">
        <v>100</v>
      </c>
      <c r="D2" s="1" t="s">
        <v>11</v>
      </c>
      <c r="E2" s="1" t="s">
        <v>34</v>
      </c>
      <c r="F2" s="1" t="s">
        <v>101</v>
      </c>
      <c r="G2" s="6" t="s">
        <v>100</v>
      </c>
      <c r="H2" s="2" t="s">
        <v>102</v>
      </c>
      <c r="I2" s="2" t="s">
        <v>103</v>
      </c>
      <c r="J2" s="2" t="s">
        <v>104</v>
      </c>
      <c r="K2" s="2" t="s">
        <v>105</v>
      </c>
      <c r="L2" s="2" t="s">
        <v>106</v>
      </c>
      <c r="M2" s="2" t="s">
        <v>107</v>
      </c>
      <c r="N2" s="1" t="s">
        <v>11</v>
      </c>
      <c r="O2" s="1" t="s">
        <v>101</v>
      </c>
      <c r="P2" s="6" t="s">
        <v>100</v>
      </c>
      <c r="Q2" s="2" t="s">
        <v>35</v>
      </c>
      <c r="R2" s="1" t="s">
        <v>101</v>
      </c>
      <c r="S2" s="6" t="s">
        <v>100</v>
      </c>
      <c r="T2" s="2" t="s">
        <v>102</v>
      </c>
      <c r="U2" s="1" t="s">
        <v>11</v>
      </c>
      <c r="V2" s="1" t="s">
        <v>108</v>
      </c>
      <c r="W2" s="1" t="s">
        <v>103</v>
      </c>
      <c r="X2" s="1" t="s">
        <v>101</v>
      </c>
      <c r="Y2" s="6" t="s">
        <v>100</v>
      </c>
      <c r="Z2" s="1" t="s">
        <v>11</v>
      </c>
      <c r="AA2" s="1" t="s">
        <v>101</v>
      </c>
      <c r="AB2" s="6" t="s">
        <v>100</v>
      </c>
      <c r="AC2" s="1" t="s">
        <v>11</v>
      </c>
      <c r="AD2" s="1" t="s">
        <v>101</v>
      </c>
      <c r="AE2" s="6" t="s">
        <v>100</v>
      </c>
      <c r="AF2" s="1" t="s">
        <v>11</v>
      </c>
      <c r="AG2" s="7" t="s">
        <v>101</v>
      </c>
      <c r="AH2" s="6" t="s">
        <v>100</v>
      </c>
      <c r="AI2" s="1" t="s">
        <v>11</v>
      </c>
      <c r="AJ2" s="7" t="s">
        <v>101</v>
      </c>
      <c r="AK2" s="6" t="s">
        <v>100</v>
      </c>
      <c r="AL2" s="1" t="s">
        <v>11</v>
      </c>
      <c r="AM2" s="1" t="s">
        <v>101</v>
      </c>
      <c r="AN2" s="6" t="s">
        <v>100</v>
      </c>
      <c r="AO2" s="1" t="s">
        <v>11</v>
      </c>
      <c r="AP2" s="1" t="s">
        <v>101</v>
      </c>
      <c r="AQ2" s="6" t="s">
        <v>100</v>
      </c>
      <c r="AR2" s="1" t="s">
        <v>11</v>
      </c>
      <c r="AS2" s="1" t="s">
        <v>101</v>
      </c>
      <c r="AT2" s="6" t="s">
        <v>100</v>
      </c>
      <c r="AU2" s="1" t="s">
        <v>11</v>
      </c>
      <c r="AV2" s="7" t="s">
        <v>101</v>
      </c>
      <c r="AW2" s="6" t="s">
        <v>100</v>
      </c>
      <c r="AX2" s="1" t="s">
        <v>11</v>
      </c>
      <c r="AY2" s="7" t="s">
        <v>101</v>
      </c>
      <c r="AZ2" s="6" t="s">
        <v>100</v>
      </c>
      <c r="BA2" s="1" t="s">
        <v>11</v>
      </c>
      <c r="BB2" s="7" t="s">
        <v>101</v>
      </c>
      <c r="BC2" s="6" t="s">
        <v>100</v>
      </c>
      <c r="BD2" s="1" t="s">
        <v>11</v>
      </c>
      <c r="BE2" s="7" t="s">
        <v>101</v>
      </c>
      <c r="BF2" s="16" t="s">
        <v>109</v>
      </c>
      <c r="BG2" s="2" t="s">
        <v>11</v>
      </c>
      <c r="BH2" s="2" t="s">
        <v>110</v>
      </c>
      <c r="BI2" s="18" t="s">
        <v>111</v>
      </c>
      <c r="BJ2" s="16" t="s">
        <v>109</v>
      </c>
      <c r="BK2" s="2" t="s">
        <v>11</v>
      </c>
      <c r="BL2" s="2" t="s">
        <v>110</v>
      </c>
      <c r="BM2" s="18" t="s">
        <v>111</v>
      </c>
      <c r="BN2" s="16" t="s">
        <v>109</v>
      </c>
      <c r="BO2" s="2" t="s">
        <v>11</v>
      </c>
      <c r="BP2" s="2" t="s">
        <v>110</v>
      </c>
      <c r="BQ2" s="18" t="s">
        <v>111</v>
      </c>
      <c r="BR2" s="16" t="s">
        <v>109</v>
      </c>
      <c r="BS2" s="2" t="s">
        <v>11</v>
      </c>
      <c r="BT2" s="2" t="s">
        <v>110</v>
      </c>
      <c r="BU2" s="18" t="s">
        <v>111</v>
      </c>
      <c r="BV2" s="16" t="s">
        <v>109</v>
      </c>
      <c r="BW2" s="2" t="s">
        <v>11</v>
      </c>
      <c r="BX2" s="2" t="s">
        <v>110</v>
      </c>
      <c r="BY2" s="18" t="s">
        <v>111</v>
      </c>
      <c r="BZ2" s="23" t="s">
        <v>112</v>
      </c>
      <c r="CA2" s="23" t="s">
        <v>113</v>
      </c>
      <c r="CB2" s="23" t="s">
        <v>114</v>
      </c>
      <c r="CC2" s="19" t="s">
        <v>8</v>
      </c>
      <c r="CD2" s="19" t="s">
        <v>115</v>
      </c>
      <c r="CE2" s="425" t="s">
        <v>116</v>
      </c>
      <c r="CF2" s="24" t="s">
        <v>117</v>
      </c>
      <c r="CG2" s="24" t="s">
        <v>118</v>
      </c>
      <c r="CH2" s="268" t="s">
        <v>119</v>
      </c>
      <c r="CK2" s="1"/>
      <c r="CL2" s="1" t="s">
        <v>120</v>
      </c>
      <c r="CM2" s="1" t="s">
        <v>121</v>
      </c>
      <c r="CN2" s="1" t="s">
        <v>122</v>
      </c>
      <c r="CO2" s="1" t="s">
        <v>123</v>
      </c>
      <c r="CP2" s="1" t="s">
        <v>69</v>
      </c>
      <c r="CQ2" s="2"/>
      <c r="CR2" s="1"/>
      <c r="CS2" s="1" t="s">
        <v>124</v>
      </c>
      <c r="CT2" s="1" t="s">
        <v>123</v>
      </c>
    </row>
    <row r="3" spans="2:104" x14ac:dyDescent="0.25">
      <c r="B3" s="4">
        <v>1</v>
      </c>
      <c r="C3" s="1">
        <v>15.42</v>
      </c>
      <c r="D3" s="34">
        <f>'Mines (2)'!D3+'Mines (2)'!I3+'Mines (2)'!W3+'Mines (2)'!AA3+'Mines (2)'!AE3</f>
        <v>9628.2200000000012</v>
      </c>
      <c r="E3" s="169">
        <f>'Mines (2)'!E3+'Mines (2)'!J3+'Mines (2)'!X3+'Mines (2)'!AB3+'Mines (2)'!AF3</f>
        <v>236</v>
      </c>
      <c r="F3" s="34">
        <f>D3/C3</f>
        <v>624.39818417639435</v>
      </c>
      <c r="G3" s="1">
        <v>1.92</v>
      </c>
      <c r="H3" s="36">
        <v>1718.1200168375199</v>
      </c>
      <c r="I3" s="300">
        <f>H3+(N3)+(Q3)-K3</f>
        <v>1599.02001683752</v>
      </c>
      <c r="J3" s="1">
        <v>1360</v>
      </c>
      <c r="K3" s="36">
        <f t="shared" ref="K3:K20" si="0">L3</f>
        <v>348.75</v>
      </c>
      <c r="L3" s="36">
        <f>Clinker!EK3*1.55</f>
        <v>348.75</v>
      </c>
      <c r="M3" s="36">
        <v>0</v>
      </c>
      <c r="N3" s="1">
        <v>229.65</v>
      </c>
      <c r="O3" s="15">
        <f t="shared" ref="O3:O34" si="1">N3/G3</f>
        <v>119.60937500000001</v>
      </c>
      <c r="P3" s="1">
        <v>0</v>
      </c>
      <c r="Q3" s="1">
        <v>0</v>
      </c>
      <c r="R3" s="15" t="e">
        <f>Q3/P3</f>
        <v>#DIV/0!</v>
      </c>
      <c r="S3" s="1">
        <v>3.5</v>
      </c>
      <c r="T3" s="16">
        <v>40.209999999999923</v>
      </c>
      <c r="U3" s="1">
        <v>50</v>
      </c>
      <c r="V3" s="1">
        <v>51</v>
      </c>
      <c r="W3" s="18">
        <f t="shared" ref="W3:W27" si="2">T3+U3-V3</f>
        <v>39.209999999999923</v>
      </c>
      <c r="X3" s="15">
        <f t="shared" ref="X3:X34" si="3">U3/S3</f>
        <v>14.285714285714286</v>
      </c>
      <c r="Y3" s="1">
        <v>4.9800000000000004</v>
      </c>
      <c r="Z3" s="33">
        <f>Clinker!EK3</f>
        <v>225</v>
      </c>
      <c r="AA3" s="15">
        <f t="shared" ref="AA3:AA25" si="4">Z3/Y3</f>
        <v>45.180722891566262</v>
      </c>
      <c r="AB3" s="37">
        <f>'Daily CEM-1'!H4</f>
        <v>0</v>
      </c>
      <c r="AC3" s="33">
        <f>'Daily CEM-1'!C4</f>
        <v>0</v>
      </c>
      <c r="AD3" s="15" t="e">
        <f t="shared" ref="AD3:AD25" si="5">AC3/AB3</f>
        <v>#DIV/0!</v>
      </c>
      <c r="AE3" s="37">
        <f>'Daily CEM-1'!I4</f>
        <v>0</v>
      </c>
      <c r="AF3" s="33">
        <f>'Daily CEM-1'!D4</f>
        <v>0</v>
      </c>
      <c r="AG3" s="15" t="e">
        <f>AF3/AE3</f>
        <v>#DIV/0!</v>
      </c>
      <c r="AH3" s="61">
        <f>'Daily CEM-1'!J4</f>
        <v>0</v>
      </c>
      <c r="AI3" s="61">
        <f>'Daily CEM-1'!E4</f>
        <v>0</v>
      </c>
      <c r="AJ3" s="60"/>
      <c r="AK3" s="61">
        <f>'Daily CEM-1'!K4</f>
        <v>0</v>
      </c>
      <c r="AL3" s="61">
        <f>'Daily CEM-1'!F4</f>
        <v>0</v>
      </c>
      <c r="AM3" s="60" t="e">
        <f>AL3/AK3</f>
        <v>#DIV/0!</v>
      </c>
      <c r="AN3" s="60">
        <f>'Daily CEM-1'!L4</f>
        <v>0</v>
      </c>
      <c r="AO3" s="60">
        <f>'Daily CEM-1'!G4</f>
        <v>0</v>
      </c>
      <c r="AP3" s="60" t="e">
        <f>AO3/AN3</f>
        <v>#DIV/0!</v>
      </c>
      <c r="AQ3" s="37">
        <f>'Daily  CEM - 2'!H4</f>
        <v>14.4</v>
      </c>
      <c r="AR3" s="33">
        <f>'Daily  CEM - 2'!C4</f>
        <v>850</v>
      </c>
      <c r="AS3" s="15">
        <f t="shared" ref="AS3:AS25" si="6">AR3/AQ3</f>
        <v>59.027777777777779</v>
      </c>
      <c r="AT3" s="37">
        <f>'Daily  CEM - 2'!I4</f>
        <v>0</v>
      </c>
      <c r="AU3" s="33">
        <f>'Daily  CEM - 2'!D4</f>
        <v>0</v>
      </c>
      <c r="AV3" s="15" t="e">
        <f t="shared" ref="AV3:AV25" si="7">AU3/AT3</f>
        <v>#DIV/0!</v>
      </c>
      <c r="AW3" s="61">
        <f>'Daily  CEM - 2'!J4</f>
        <v>0</v>
      </c>
      <c r="AX3" s="61">
        <f>'Daily  CEM - 2'!E4</f>
        <v>0</v>
      </c>
      <c r="AY3" s="197" t="e">
        <f>AX3/AW3</f>
        <v>#DIV/0!</v>
      </c>
      <c r="AZ3" s="61">
        <f>'Daily  CEM - 2'!K4</f>
        <v>0</v>
      </c>
      <c r="BA3" s="61">
        <f>'Daily  CEM - 2'!F4</f>
        <v>0</v>
      </c>
      <c r="BB3" s="60" t="e">
        <f>BA3/AZ3</f>
        <v>#DIV/0!</v>
      </c>
      <c r="BC3" s="61">
        <f>'Daily  CEM - 2'!L4</f>
        <v>3.76</v>
      </c>
      <c r="BD3" s="61">
        <f>'Daily  CEM - 2'!G4</f>
        <v>230</v>
      </c>
      <c r="BE3" s="60">
        <f>BD3/BC3</f>
        <v>61.170212765957451</v>
      </c>
      <c r="BF3" s="593">
        <v>2679.28799999998</v>
      </c>
      <c r="BG3" s="36">
        <f>AC3+AR3</f>
        <v>850</v>
      </c>
      <c r="BH3" s="1">
        <v>628</v>
      </c>
      <c r="BI3" s="18">
        <f>BF3+BG3-BH3-'Internal use cement'!F3</f>
        <v>2901.28799999998</v>
      </c>
      <c r="BJ3" s="592">
        <v>411.79999999999995</v>
      </c>
      <c r="BK3" s="36">
        <f>AF3+AU3</f>
        <v>0</v>
      </c>
      <c r="BL3" s="1">
        <v>0</v>
      </c>
      <c r="BM3" s="18">
        <f>BJ3+BK3-BL3-'Internal use cement'!AB3</f>
        <v>411.79999999999995</v>
      </c>
      <c r="BN3" s="18">
        <v>2.0900000000008498</v>
      </c>
      <c r="BO3" s="63">
        <f>AI3+AX3</f>
        <v>0</v>
      </c>
      <c r="BP3" s="1">
        <v>0</v>
      </c>
      <c r="BQ3" s="66">
        <f>BN3+BO3-BP3-'Internal use cement'!Q3</f>
        <v>2.0900000000008498</v>
      </c>
      <c r="BR3" s="18">
        <v>186.3</v>
      </c>
      <c r="BS3" s="63">
        <f>BA3+AL3</f>
        <v>0</v>
      </c>
      <c r="BT3" s="1">
        <v>0</v>
      </c>
      <c r="BU3" s="66">
        <f>BR3+BS3-BT3-'Internal use cement'!AG3</f>
        <v>186.3</v>
      </c>
      <c r="BV3" s="66">
        <v>755.83000000000015</v>
      </c>
      <c r="BW3" s="34">
        <f>AO3+BD3</f>
        <v>230</v>
      </c>
      <c r="BX3" s="15">
        <v>59.96</v>
      </c>
      <c r="BY3" s="66">
        <f>BV3+BW3-BX3-'Internal use cement'!AO3</f>
        <v>925.87000000000012</v>
      </c>
      <c r="BZ3" s="1">
        <v>2183</v>
      </c>
      <c r="CA3" s="1">
        <v>1850</v>
      </c>
      <c r="CB3" s="1">
        <v>298</v>
      </c>
      <c r="CC3" s="1">
        <f>SUM(BZ3:CB3)</f>
        <v>4331</v>
      </c>
      <c r="CD3" s="15">
        <f>BI3+BM3+BQ3+BU3+BY3</f>
        <v>4427.3479999999809</v>
      </c>
      <c r="CE3" s="270">
        <f>CC3-CD3</f>
        <v>-96.347999999980857</v>
      </c>
      <c r="CF3" s="15">
        <f>BH3+BL3+BP3+BT3+BX3</f>
        <v>687.96</v>
      </c>
      <c r="CG3" s="15">
        <f>AC3+AF3+AI3+AR3+AU3+AX3+BA3+AL3+BW3</f>
        <v>1080</v>
      </c>
      <c r="CH3" s="270">
        <f>J3-I3</f>
        <v>-239.02001683751996</v>
      </c>
      <c r="CI3">
        <f>BF3+BJ3</f>
        <v>3091.0879999999797</v>
      </c>
      <c r="CJ3" s="52">
        <f t="shared" ref="CJ3:CJ31" si="8">AB3+AH3+AE3</f>
        <v>0</v>
      </c>
      <c r="CK3" s="1">
        <v>1</v>
      </c>
      <c r="CL3" s="1">
        <f>24-G3</f>
        <v>22.08</v>
      </c>
      <c r="CM3" s="1">
        <f>24-S3</f>
        <v>20.5</v>
      </c>
      <c r="CN3" s="15">
        <f>24-CS3</f>
        <v>24</v>
      </c>
      <c r="CO3" s="15">
        <f>24-CT3</f>
        <v>5.84</v>
      </c>
      <c r="CP3" s="1">
        <f>24-Y3</f>
        <v>19.02</v>
      </c>
      <c r="CQ3" s="2">
        <v>1</v>
      </c>
      <c r="CR3" s="15">
        <f>AR3+AU3+AX3</f>
        <v>850</v>
      </c>
      <c r="CS3" s="15">
        <f>'Daily CEM-1'!H4+'Daily CEM-1'!I4+'Daily CEM-1'!J4+'Daily CEM-1'!K4+'Daily CEM-1'!L4</f>
        <v>0</v>
      </c>
      <c r="CT3" s="15">
        <f>AQ3+AT3+AW3+'Daily  CEM - 2'!K4+'Daily  CEM - 2'!L4</f>
        <v>18.16</v>
      </c>
      <c r="CU3" s="52">
        <f>24-CS3</f>
        <v>24</v>
      </c>
      <c r="CW3" s="52">
        <f>N3+Q3</f>
        <v>229.65</v>
      </c>
      <c r="CX3" s="52">
        <v>1</v>
      </c>
      <c r="CZ3">
        <f>N3+Q3</f>
        <v>229.65</v>
      </c>
    </row>
    <row r="4" spans="2:104" x14ac:dyDescent="0.25">
      <c r="B4" s="4">
        <v>2</v>
      </c>
      <c r="C4" s="1">
        <v>4.92</v>
      </c>
      <c r="D4" s="34">
        <f>'Mines (2)'!D4+'Mines (2)'!I4+'Mines (2)'!W4+'Mines (2)'!AA4+'Mines (2)'!AE4</f>
        <v>529.88</v>
      </c>
      <c r="E4" s="169">
        <f>'Mines (2)'!E4+'Mines (2)'!J4+'Mines (2)'!X4+'Mines (2)'!AB4+'Mines (2)'!AF4</f>
        <v>2734</v>
      </c>
      <c r="F4" s="34">
        <f>D4/C4</f>
        <v>107.69918699186992</v>
      </c>
      <c r="G4" s="1">
        <v>21.67</v>
      </c>
      <c r="H4" s="300">
        <f>I3</f>
        <v>1599.02001683752</v>
      </c>
      <c r="I4" s="300">
        <f t="shared" ref="I4:I33" si="9">H4+(N4)+(Q4)-K4</f>
        <v>2022.3700168375199</v>
      </c>
      <c r="J4" s="1">
        <v>1701</v>
      </c>
      <c r="K4" s="36">
        <f t="shared" si="0"/>
        <v>2239.75</v>
      </c>
      <c r="L4" s="36">
        <f>Clinker!EK4*1.55</f>
        <v>2239.75</v>
      </c>
      <c r="M4" s="36">
        <v>0</v>
      </c>
      <c r="N4" s="1">
        <v>2535</v>
      </c>
      <c r="O4" s="15">
        <f t="shared" si="1"/>
        <v>116.98200276880479</v>
      </c>
      <c r="P4" s="1">
        <v>14.41</v>
      </c>
      <c r="Q4" s="1">
        <v>128.1</v>
      </c>
      <c r="R4" s="15">
        <f t="shared" ref="R4:R33" si="10">Q4/P4</f>
        <v>8.8896599583622482</v>
      </c>
      <c r="S4" s="1">
        <v>16.5</v>
      </c>
      <c r="T4" s="16">
        <f t="shared" ref="T4:T28" si="11">W3</f>
        <v>39.209999999999923</v>
      </c>
      <c r="U4" s="1">
        <v>240</v>
      </c>
      <c r="V4" s="1">
        <v>236</v>
      </c>
      <c r="W4" s="18">
        <f>T4+U4-V4</f>
        <v>43.209999999999923</v>
      </c>
      <c r="X4" s="15">
        <f t="shared" si="3"/>
        <v>14.545454545454545</v>
      </c>
      <c r="Y4" s="1">
        <v>23</v>
      </c>
      <c r="Z4" s="33">
        <f>Clinker!EK4</f>
        <v>1445</v>
      </c>
      <c r="AA4" s="15">
        <f t="shared" si="4"/>
        <v>62.826086956521742</v>
      </c>
      <c r="AB4" s="37">
        <f>'Daily CEM-1'!H5</f>
        <v>0</v>
      </c>
      <c r="AC4" s="33">
        <f>'Daily CEM-1'!C5</f>
        <v>0</v>
      </c>
      <c r="AD4" s="15" t="e">
        <f t="shared" si="5"/>
        <v>#DIV/0!</v>
      </c>
      <c r="AE4" s="37">
        <f>'Daily CEM-1'!I5</f>
        <v>0</v>
      </c>
      <c r="AF4" s="33">
        <f>'Daily CEM-1'!D5</f>
        <v>0</v>
      </c>
      <c r="AG4" s="15" t="e">
        <f t="shared" ref="AG4:AG25" si="12">AF4/AE4</f>
        <v>#DIV/0!</v>
      </c>
      <c r="AH4" s="61">
        <f>'Daily CEM-1'!J5</f>
        <v>0</v>
      </c>
      <c r="AI4" s="61">
        <f>'Daily CEM-1'!E5</f>
        <v>0</v>
      </c>
      <c r="AJ4" s="60"/>
      <c r="AK4" s="61">
        <f>'Daily CEM-1'!K5</f>
        <v>0</v>
      </c>
      <c r="AL4" s="61">
        <f>'Daily CEM-1'!F5</f>
        <v>0</v>
      </c>
      <c r="AM4" s="60" t="e">
        <f t="shared" ref="AM4:AM32" si="13">AL4/AK4</f>
        <v>#DIV/0!</v>
      </c>
      <c r="AN4" s="60">
        <f>'Daily CEM-1'!L5</f>
        <v>0</v>
      </c>
      <c r="AO4" s="60">
        <f>'Daily CEM-1'!G5</f>
        <v>0</v>
      </c>
      <c r="AP4" s="60" t="e">
        <f t="shared" ref="AP4:AP33" si="14">AO4/AN4</f>
        <v>#DIV/0!</v>
      </c>
      <c r="AQ4" s="37">
        <f>'Daily  CEM - 2'!H5</f>
        <v>14.28</v>
      </c>
      <c r="AR4" s="33">
        <f>'Daily  CEM - 2'!C5</f>
        <v>800</v>
      </c>
      <c r="AS4" s="15">
        <f t="shared" si="6"/>
        <v>56.022408963585434</v>
      </c>
      <c r="AT4" s="37">
        <f>'Daily  CEM - 2'!I5</f>
        <v>0</v>
      </c>
      <c r="AU4" s="33">
        <f>'Daily  CEM - 2'!D5</f>
        <v>0</v>
      </c>
      <c r="AV4" s="15" t="e">
        <f t="shared" si="7"/>
        <v>#DIV/0!</v>
      </c>
      <c r="AW4" s="61">
        <f>'Daily  CEM - 2'!J5</f>
        <v>0</v>
      </c>
      <c r="AX4" s="61">
        <f>'Daily  CEM - 2'!E5</f>
        <v>0</v>
      </c>
      <c r="AY4" s="197" t="e">
        <f t="shared" ref="AY4:AY33" si="15">AX4/AW4</f>
        <v>#DIV/0!</v>
      </c>
      <c r="AZ4" s="61">
        <f>'Daily  CEM - 2'!K5</f>
        <v>0</v>
      </c>
      <c r="BA4" s="61">
        <f>'Daily  CEM - 2'!F5</f>
        <v>0</v>
      </c>
      <c r="BB4" s="60" t="e">
        <f t="shared" ref="BB4:BB25" si="16">BA4/AZ4</f>
        <v>#DIV/0!</v>
      </c>
      <c r="BC4" s="61">
        <f>'Daily  CEM - 2'!L5</f>
        <v>6.22</v>
      </c>
      <c r="BD4" s="61">
        <f>'Daily  CEM - 2'!G5</f>
        <v>368</v>
      </c>
      <c r="BE4" s="60">
        <f t="shared" ref="BE4:BE33" si="17">BD4/BC4</f>
        <v>59.163987138263671</v>
      </c>
      <c r="BF4" s="16">
        <f t="shared" ref="BF4:BF27" si="18">BI3</f>
        <v>2901.28799999998</v>
      </c>
      <c r="BG4" s="36">
        <f t="shared" ref="BG4:BG33" si="19">AC4+AR4</f>
        <v>800</v>
      </c>
      <c r="BH4" s="1">
        <v>800.5</v>
      </c>
      <c r="BI4" s="18">
        <f>BF4+BG4-BH4-'Internal use cement'!F4</f>
        <v>2900.78799999998</v>
      </c>
      <c r="BJ4" s="16">
        <f t="shared" ref="BJ4:BJ27" si="20">BM3</f>
        <v>411.79999999999995</v>
      </c>
      <c r="BK4" s="36">
        <f t="shared" ref="BK4:BK33" si="21">AF4+AU4</f>
        <v>0</v>
      </c>
      <c r="BL4" s="1">
        <v>31</v>
      </c>
      <c r="BM4" s="18">
        <f>BJ4+BK4-BL4-'Internal use cement'!AB4</f>
        <v>380.79999999999995</v>
      </c>
      <c r="BN4" s="18">
        <f>BQ3</f>
        <v>2.0900000000008498</v>
      </c>
      <c r="BO4" s="63">
        <f t="shared" ref="BO4:BO5" si="22">AI4+AX4</f>
        <v>0</v>
      </c>
      <c r="BP4" s="1">
        <v>0</v>
      </c>
      <c r="BQ4" s="66">
        <f>BN4+BO4-BP4-'Internal use cement'!Q4</f>
        <v>2.0900000000008498</v>
      </c>
      <c r="BR4" s="18">
        <f>BU3</f>
        <v>186.3</v>
      </c>
      <c r="BS4" s="63">
        <f t="shared" ref="BS4:BS33" si="23">BA4+AL4</f>
        <v>0</v>
      </c>
      <c r="BT4" s="1">
        <v>60</v>
      </c>
      <c r="BU4" s="66">
        <f>BR4+BS4-BT4-'Internal use cement'!AG4</f>
        <v>126.30000000000001</v>
      </c>
      <c r="BV4" s="66">
        <f>BY3</f>
        <v>925.87000000000012</v>
      </c>
      <c r="BW4" s="34">
        <f t="shared" ref="BW4:BW33" si="24">AO4+BD4</f>
        <v>368</v>
      </c>
      <c r="BX4" s="15">
        <v>121.92</v>
      </c>
      <c r="BY4" s="66">
        <f>BV4+BW4-BX4-'Internal use cement'!AO4</f>
        <v>1171.95</v>
      </c>
      <c r="BZ4" s="1">
        <v>2075</v>
      </c>
      <c r="CA4" s="1">
        <v>2303</v>
      </c>
      <c r="CB4" s="1">
        <v>239</v>
      </c>
      <c r="CC4" s="1">
        <f>SUM(BZ4:CB4)</f>
        <v>4617</v>
      </c>
      <c r="CD4" s="15">
        <f t="shared" ref="CD4:CD32" si="25">BI4+BM4+BQ4+BU4+BY4</f>
        <v>4581.9279999999808</v>
      </c>
      <c r="CE4" s="270">
        <f>CC4-CD4</f>
        <v>35.072000000019216</v>
      </c>
      <c r="CF4" s="15">
        <f t="shared" ref="CF4:CF32" si="26">BH4+BL4+BP4+BT4+BX4</f>
        <v>1013.42</v>
      </c>
      <c r="CG4" s="15">
        <f t="shared" ref="CG4:CG33" si="27">AC4+AF4+AI4+AR4+AU4+AX4+BA4+AL4+BW4</f>
        <v>1168</v>
      </c>
      <c r="CH4" s="270">
        <f t="shared" ref="CH4:CH33" si="28">J4-I4</f>
        <v>-321.37001683751987</v>
      </c>
      <c r="CJ4" s="52">
        <f t="shared" si="8"/>
        <v>0</v>
      </c>
      <c r="CK4" s="1">
        <v>2</v>
      </c>
      <c r="CL4" s="1">
        <f t="shared" ref="CL4:CL24" si="29">24-G4</f>
        <v>2.3299999999999983</v>
      </c>
      <c r="CM4" s="1">
        <f t="shared" ref="CM4:CM33" si="30">24-S4</f>
        <v>7.5</v>
      </c>
      <c r="CN4" s="15">
        <f t="shared" ref="CN4:CN32" si="31">24-CS4</f>
        <v>24</v>
      </c>
      <c r="CO4" s="15">
        <f t="shared" ref="CO4:CO33" si="32">24-CT4</f>
        <v>3.5</v>
      </c>
      <c r="CP4" s="1">
        <f t="shared" ref="CP4:CP33" si="33">24-Y4</f>
        <v>1</v>
      </c>
      <c r="CQ4" s="2">
        <v>2</v>
      </c>
      <c r="CR4" s="15">
        <f t="shared" ref="CR4:CR33" si="34">AR4+AU4+AX4</f>
        <v>800</v>
      </c>
      <c r="CS4" s="15">
        <f>'Daily CEM-1'!H5+'Daily CEM-1'!I5+'Daily CEM-1'!J5+'Daily CEM-1'!K5+'Daily CEM-1'!L5</f>
        <v>0</v>
      </c>
      <c r="CT4" s="15">
        <f>AQ4+AT4+AW4+'Daily  CEM - 2'!K5+'Daily  CEM - 2'!L5</f>
        <v>20.5</v>
      </c>
      <c r="CU4" s="52">
        <f t="shared" ref="CU4:CU33" si="35">24-CS4</f>
        <v>24</v>
      </c>
      <c r="CW4" s="52">
        <f t="shared" ref="CW4:CW32" si="36">N4+Q4</f>
        <v>2663.1</v>
      </c>
      <c r="CX4" s="52">
        <v>2</v>
      </c>
      <c r="CZ4">
        <f t="shared" ref="CZ4:CZ24" si="37">N4+Q4</f>
        <v>2663.1</v>
      </c>
    </row>
    <row r="5" spans="2:104" x14ac:dyDescent="0.25">
      <c r="B5" s="4">
        <v>3</v>
      </c>
      <c r="C5" s="1">
        <v>18.98</v>
      </c>
      <c r="D5" s="34">
        <f>'Mines (2)'!D5+'Mines (2)'!I5+'Mines (2)'!W5+'Mines (2)'!AA5+'Mines (2)'!AE5</f>
        <v>2727</v>
      </c>
      <c r="E5" s="169">
        <f>'Mines (2)'!E5+'Mines (2)'!J5+'Mines (2)'!X5+'Mines (2)'!AB5+'Mines (2)'!AF5</f>
        <v>2540</v>
      </c>
      <c r="F5" s="34">
        <f>D5/C5</f>
        <v>143.67755532139094</v>
      </c>
      <c r="G5" s="1">
        <v>20.67</v>
      </c>
      <c r="H5" s="16">
        <f t="shared" ref="H5:H33" si="38">I4</f>
        <v>2022.3700168375199</v>
      </c>
      <c r="I5" s="300">
        <f t="shared" si="9"/>
        <v>1919.0400168375199</v>
      </c>
      <c r="J5" s="1">
        <v>1596</v>
      </c>
      <c r="K5" s="36">
        <f t="shared" si="0"/>
        <v>2518.75</v>
      </c>
      <c r="L5" s="36">
        <f>Clinker!EK5*1.55</f>
        <v>2518.75</v>
      </c>
      <c r="M5" s="36">
        <v>0</v>
      </c>
      <c r="N5" s="1">
        <v>2235</v>
      </c>
      <c r="O5" s="15">
        <f t="shared" si="1"/>
        <v>108.12772133526849</v>
      </c>
      <c r="P5" s="1">
        <v>21.2</v>
      </c>
      <c r="Q5" s="1">
        <v>180.42</v>
      </c>
      <c r="R5" s="15">
        <f t="shared" si="10"/>
        <v>8.5103773584905653</v>
      </c>
      <c r="S5" s="1">
        <v>17.5</v>
      </c>
      <c r="T5" s="16">
        <f t="shared" si="11"/>
        <v>43.209999999999923</v>
      </c>
      <c r="U5" s="1">
        <v>238.5</v>
      </c>
      <c r="V5" s="1">
        <v>241</v>
      </c>
      <c r="W5" s="18">
        <f t="shared" si="2"/>
        <v>40.709999999999923</v>
      </c>
      <c r="X5" s="15">
        <f t="shared" si="3"/>
        <v>13.628571428571428</v>
      </c>
      <c r="Y5" s="1">
        <v>24</v>
      </c>
      <c r="Z5" s="33">
        <f>Clinker!EK5</f>
        <v>1625</v>
      </c>
      <c r="AA5" s="15">
        <f t="shared" si="4"/>
        <v>67.708333333333329</v>
      </c>
      <c r="AB5" s="37">
        <f>'Daily CEM-1'!H6</f>
        <v>0</v>
      </c>
      <c r="AC5" s="33">
        <f>'Daily CEM-1'!C6</f>
        <v>0</v>
      </c>
      <c r="AD5" s="15" t="e">
        <f t="shared" si="5"/>
        <v>#DIV/0!</v>
      </c>
      <c r="AE5" s="37">
        <f>'Daily CEM-1'!I6</f>
        <v>0</v>
      </c>
      <c r="AF5" s="33">
        <f>'Daily CEM-1'!D6</f>
        <v>0</v>
      </c>
      <c r="AG5" s="15" t="e">
        <f t="shared" si="12"/>
        <v>#DIV/0!</v>
      </c>
      <c r="AH5" s="61">
        <f>'Daily CEM-1'!J6</f>
        <v>0</v>
      </c>
      <c r="AI5" s="61">
        <f>'Daily CEM-1'!E6</f>
        <v>0</v>
      </c>
      <c r="AJ5" s="60"/>
      <c r="AK5" s="61">
        <f>'Daily CEM-1'!K6</f>
        <v>0</v>
      </c>
      <c r="AL5" s="61">
        <f>'Daily CEM-1'!F6</f>
        <v>0</v>
      </c>
      <c r="AM5" s="60" t="e">
        <f t="shared" si="13"/>
        <v>#DIV/0!</v>
      </c>
      <c r="AN5" s="60">
        <f>'Daily CEM-1'!L6</f>
        <v>0</v>
      </c>
      <c r="AO5" s="60">
        <f>'Daily CEM-1'!G6</f>
        <v>0</v>
      </c>
      <c r="AP5" s="60" t="e">
        <f t="shared" si="14"/>
        <v>#DIV/0!</v>
      </c>
      <c r="AQ5" s="37">
        <f>'Daily  CEM - 2'!H6</f>
        <v>4.33</v>
      </c>
      <c r="AR5" s="33">
        <f>'Daily  CEM - 2'!C6</f>
        <v>250</v>
      </c>
      <c r="AS5" s="15">
        <f t="shared" si="6"/>
        <v>57.736720554272516</v>
      </c>
      <c r="AT5" s="37">
        <f>'Daily  CEM - 2'!I6</f>
        <v>0</v>
      </c>
      <c r="AU5" s="33">
        <f>'Daily  CEM - 2'!D6</f>
        <v>0</v>
      </c>
      <c r="AV5" s="15" t="e">
        <f t="shared" si="7"/>
        <v>#DIV/0!</v>
      </c>
      <c r="AW5" s="61">
        <f>'Daily  CEM - 2'!J6</f>
        <v>0</v>
      </c>
      <c r="AX5" s="61">
        <f>'Daily  CEM - 2'!E6</f>
        <v>0</v>
      </c>
      <c r="AY5" s="197" t="e">
        <f t="shared" si="15"/>
        <v>#DIV/0!</v>
      </c>
      <c r="AZ5" s="61">
        <f>'Daily  CEM - 2'!K6</f>
        <v>0</v>
      </c>
      <c r="BA5" s="61">
        <f>'Daily  CEM - 2'!F6</f>
        <v>0</v>
      </c>
      <c r="BB5" s="60" t="e">
        <f t="shared" si="16"/>
        <v>#DIV/0!</v>
      </c>
      <c r="BC5" s="61">
        <f>'Daily  CEM - 2'!L6</f>
        <v>0</v>
      </c>
      <c r="BD5" s="61">
        <f>'Daily  CEM - 2'!G6</f>
        <v>0</v>
      </c>
      <c r="BE5" s="60" t="e">
        <f t="shared" si="17"/>
        <v>#DIV/0!</v>
      </c>
      <c r="BF5" s="16">
        <f t="shared" si="18"/>
        <v>2900.78799999998</v>
      </c>
      <c r="BG5" s="36">
        <f t="shared" si="19"/>
        <v>250</v>
      </c>
      <c r="BH5" s="1">
        <v>545</v>
      </c>
      <c r="BI5" s="18">
        <f>BF5+BG5-BH5-'Internal use cement'!F5</f>
        <v>2605.78799999998</v>
      </c>
      <c r="BJ5" s="16">
        <f t="shared" si="20"/>
        <v>380.79999999999995</v>
      </c>
      <c r="BK5" s="36">
        <f t="shared" si="21"/>
        <v>0</v>
      </c>
      <c r="BL5" s="1">
        <v>0</v>
      </c>
      <c r="BM5" s="18">
        <f>BJ5+BK5-BL5-'Internal use cement'!AB5</f>
        <v>380.79999999999995</v>
      </c>
      <c r="BN5" s="18">
        <f t="shared" ref="BN5:BN33" si="39">BQ4</f>
        <v>2.0900000000008498</v>
      </c>
      <c r="BO5" s="63">
        <f t="shared" si="22"/>
        <v>0</v>
      </c>
      <c r="BP5" s="1">
        <v>0</v>
      </c>
      <c r="BQ5" s="66">
        <f>BN5+BO5-BP5-'Internal use cement'!Q5</f>
        <v>2.0900000000008498</v>
      </c>
      <c r="BR5" s="18">
        <f t="shared" ref="BR5:BR33" si="40">BU4</f>
        <v>126.30000000000001</v>
      </c>
      <c r="BS5" s="63">
        <f t="shared" si="23"/>
        <v>0</v>
      </c>
      <c r="BT5" s="1">
        <v>0</v>
      </c>
      <c r="BU5" s="66">
        <f>BR5+BS5-BT5-'Internal use cement'!AG5</f>
        <v>126.30000000000001</v>
      </c>
      <c r="BV5" s="66">
        <f t="shared" ref="BV5:BV33" si="41">BY4</f>
        <v>1171.95</v>
      </c>
      <c r="BW5" s="34">
        <f t="shared" si="24"/>
        <v>0</v>
      </c>
      <c r="BX5" s="15">
        <v>32</v>
      </c>
      <c r="BY5" s="66">
        <f>BV5+BW5-BX5-'Internal use cement'!AO5</f>
        <v>1139.95</v>
      </c>
      <c r="BZ5" s="1">
        <v>1974</v>
      </c>
      <c r="CA5" s="1">
        <v>2028</v>
      </c>
      <c r="CB5" s="1">
        <v>240</v>
      </c>
      <c r="CC5" s="1">
        <f t="shared" ref="CC5:CC31" si="42">SUM(BZ5:CB5)</f>
        <v>4242</v>
      </c>
      <c r="CD5" s="15">
        <f t="shared" si="25"/>
        <v>4254.9279999999808</v>
      </c>
      <c r="CE5" s="269">
        <f t="shared" ref="CE5:CE8" si="43">CC5-CD5</f>
        <v>-12.927999999980784</v>
      </c>
      <c r="CF5" s="15">
        <f t="shared" si="26"/>
        <v>577</v>
      </c>
      <c r="CG5" s="15">
        <f t="shared" si="27"/>
        <v>250</v>
      </c>
      <c r="CH5" s="270">
        <f t="shared" si="28"/>
        <v>-323.04001683751994</v>
      </c>
      <c r="CJ5" s="52">
        <f t="shared" si="8"/>
        <v>0</v>
      </c>
      <c r="CK5" s="1">
        <v>3</v>
      </c>
      <c r="CL5" s="1">
        <f t="shared" si="29"/>
        <v>3.3299999999999983</v>
      </c>
      <c r="CM5" s="1">
        <f t="shared" si="30"/>
        <v>6.5</v>
      </c>
      <c r="CN5" s="15">
        <f t="shared" si="31"/>
        <v>24</v>
      </c>
      <c r="CO5" s="15">
        <f t="shared" si="32"/>
        <v>19.670000000000002</v>
      </c>
      <c r="CP5" s="1">
        <f t="shared" si="33"/>
        <v>0</v>
      </c>
      <c r="CQ5" s="2">
        <v>3</v>
      </c>
      <c r="CR5" s="15">
        <f t="shared" si="34"/>
        <v>250</v>
      </c>
      <c r="CS5" s="15">
        <f>'Daily CEM-1'!H6+'Daily CEM-1'!I6+'Daily CEM-1'!J6+'Daily CEM-1'!K6+'Daily CEM-1'!L6</f>
        <v>0</v>
      </c>
      <c r="CT5" s="15">
        <f>AQ5+AT5+AW5+'Daily  CEM - 2'!K6+'Daily  CEM - 2'!L6</f>
        <v>4.33</v>
      </c>
      <c r="CU5" s="52">
        <f t="shared" si="35"/>
        <v>24</v>
      </c>
      <c r="CW5" s="52">
        <f t="shared" si="36"/>
        <v>2415.42</v>
      </c>
      <c r="CX5" s="52">
        <v>3</v>
      </c>
      <c r="CZ5">
        <f t="shared" si="37"/>
        <v>2415.42</v>
      </c>
    </row>
    <row r="6" spans="2:104" x14ac:dyDescent="0.25">
      <c r="B6" s="4">
        <v>4</v>
      </c>
      <c r="C6" s="1">
        <v>19.48</v>
      </c>
      <c r="D6" s="34">
        <f>'Mines (2)'!D6+'Mines (2)'!I6+'Mines (2)'!W6+'Mines (2)'!AA6+'Mines (2)'!AE6</f>
        <v>2299.56</v>
      </c>
      <c r="E6" s="169">
        <f>'Mines (2)'!E6+'Mines (2)'!J6+'Mines (2)'!X6+'Mines (2)'!AB6+'Mines (2)'!AF6</f>
        <v>1874</v>
      </c>
      <c r="F6" s="34">
        <f t="shared" ref="F6:F25" si="44">D6/C6</f>
        <v>118.04722792607802</v>
      </c>
      <c r="G6" s="1">
        <v>16.95</v>
      </c>
      <c r="H6" s="16">
        <f t="shared" si="38"/>
        <v>1919.0400168375199</v>
      </c>
      <c r="I6" s="300">
        <f t="shared" si="9"/>
        <v>1409.6600168375198</v>
      </c>
      <c r="J6" s="1">
        <v>1230</v>
      </c>
      <c r="K6" s="36">
        <f>L6</f>
        <v>2286.25</v>
      </c>
      <c r="L6" s="36">
        <f>Clinker!EK6*1.55</f>
        <v>2286.25</v>
      </c>
      <c r="M6" s="36">
        <v>0</v>
      </c>
      <c r="N6" s="1">
        <v>1680</v>
      </c>
      <c r="O6" s="34">
        <f t="shared" si="1"/>
        <v>99.115044247787608</v>
      </c>
      <c r="P6" s="1">
        <v>12.15</v>
      </c>
      <c r="Q6" s="1">
        <v>96.87</v>
      </c>
      <c r="R6" s="15">
        <f t="shared" si="10"/>
        <v>7.9728395061728392</v>
      </c>
      <c r="S6" s="1">
        <v>17</v>
      </c>
      <c r="T6" s="16">
        <f t="shared" si="11"/>
        <v>40.709999999999923</v>
      </c>
      <c r="U6" s="1">
        <v>225</v>
      </c>
      <c r="V6" s="1">
        <v>222</v>
      </c>
      <c r="W6" s="18">
        <f t="shared" si="2"/>
        <v>43.709999999999923</v>
      </c>
      <c r="X6" s="34">
        <f t="shared" si="3"/>
        <v>13.235294117647058</v>
      </c>
      <c r="Y6" s="1">
        <v>24</v>
      </c>
      <c r="Z6" s="33">
        <f>Clinker!EK6</f>
        <v>1475</v>
      </c>
      <c r="AA6" s="34">
        <f t="shared" si="4"/>
        <v>61.458333333333336</v>
      </c>
      <c r="AB6" s="37">
        <f>'Daily CEM-1'!H7</f>
        <v>13.77</v>
      </c>
      <c r="AC6" s="33">
        <f>'Daily CEM-1'!C7</f>
        <v>850</v>
      </c>
      <c r="AD6" s="34">
        <f t="shared" si="5"/>
        <v>61.728395061728399</v>
      </c>
      <c r="AE6" s="37">
        <f>'Daily CEM-1'!I7</f>
        <v>0</v>
      </c>
      <c r="AF6" s="33">
        <f>'Daily CEM-1'!D7</f>
        <v>0</v>
      </c>
      <c r="AG6" s="34" t="e">
        <f t="shared" si="12"/>
        <v>#DIV/0!</v>
      </c>
      <c r="AH6" s="61">
        <f>'Daily CEM-1'!J7</f>
        <v>0</v>
      </c>
      <c r="AI6" s="61">
        <f>'Daily CEM-1'!E7</f>
        <v>0</v>
      </c>
      <c r="AJ6" s="61"/>
      <c r="AK6" s="61">
        <f>'Daily CEM-1'!K7</f>
        <v>0</v>
      </c>
      <c r="AL6" s="61">
        <f>'Daily CEM-1'!F7</f>
        <v>0</v>
      </c>
      <c r="AM6" s="61" t="e">
        <f t="shared" si="13"/>
        <v>#DIV/0!</v>
      </c>
      <c r="AN6" s="60">
        <f>'Daily CEM-1'!L7</f>
        <v>0</v>
      </c>
      <c r="AO6" s="60">
        <f>'Daily CEM-1'!G7</f>
        <v>0</v>
      </c>
      <c r="AP6" s="60" t="e">
        <f t="shared" si="14"/>
        <v>#DIV/0!</v>
      </c>
      <c r="AQ6" s="37">
        <f>'Daily  CEM - 2'!H7</f>
        <v>0</v>
      </c>
      <c r="AR6" s="33">
        <f>'Daily  CEM - 2'!C7</f>
        <v>0</v>
      </c>
      <c r="AS6" s="34" t="e">
        <f t="shared" si="6"/>
        <v>#DIV/0!</v>
      </c>
      <c r="AT6" s="37">
        <f>'Daily  CEM - 2'!I7</f>
        <v>0</v>
      </c>
      <c r="AU6" s="33">
        <f>'Daily  CEM - 2'!D7</f>
        <v>0</v>
      </c>
      <c r="AV6" s="34" t="e">
        <f t="shared" si="7"/>
        <v>#DIV/0!</v>
      </c>
      <c r="AW6" s="61">
        <f>'Daily  CEM - 2'!J7</f>
        <v>0</v>
      </c>
      <c r="AX6" s="61">
        <f>'Daily  CEM - 2'!E7</f>
        <v>0</v>
      </c>
      <c r="AY6" s="197" t="e">
        <f t="shared" si="15"/>
        <v>#DIV/0!</v>
      </c>
      <c r="AZ6" s="61">
        <f>'Daily  CEM - 2'!K7</f>
        <v>0</v>
      </c>
      <c r="BA6" s="61">
        <f>'Daily  CEM - 2'!F7</f>
        <v>0</v>
      </c>
      <c r="BB6" s="60" t="e">
        <f t="shared" si="16"/>
        <v>#DIV/0!</v>
      </c>
      <c r="BC6" s="61">
        <f>'Daily  CEM - 2'!L7</f>
        <v>0</v>
      </c>
      <c r="BD6" s="61">
        <f>'Daily  CEM - 2'!G7</f>
        <v>0</v>
      </c>
      <c r="BE6" s="60" t="e">
        <f t="shared" si="17"/>
        <v>#DIV/0!</v>
      </c>
      <c r="BF6" s="16">
        <f t="shared" si="18"/>
        <v>2605.78799999998</v>
      </c>
      <c r="BG6" s="36">
        <f t="shared" si="19"/>
        <v>850</v>
      </c>
      <c r="BH6" s="1">
        <v>512.23</v>
      </c>
      <c r="BI6" s="18">
        <f>BF6+BG6-BH6-'Internal use cement'!F6</f>
        <v>2943.55799999998</v>
      </c>
      <c r="BJ6" s="16">
        <f t="shared" si="20"/>
        <v>380.79999999999995</v>
      </c>
      <c r="BK6" s="36">
        <f t="shared" si="21"/>
        <v>0</v>
      </c>
      <c r="BL6" s="1">
        <v>0</v>
      </c>
      <c r="BM6" s="18">
        <f>BJ6+BK6-BL6-'Internal use cement'!AB6</f>
        <v>380.79999999999995</v>
      </c>
      <c r="BN6" s="18">
        <f t="shared" si="39"/>
        <v>2.0900000000008498</v>
      </c>
      <c r="BO6" s="63">
        <f t="shared" ref="BO6:BO33" si="45">AI6+AX6</f>
        <v>0</v>
      </c>
      <c r="BP6" s="1">
        <v>0</v>
      </c>
      <c r="BQ6" s="66">
        <f>BN6+BO6-BP6-'Internal use cement'!Q6</f>
        <v>2.0900000000008498</v>
      </c>
      <c r="BR6" s="18">
        <f t="shared" si="40"/>
        <v>126.30000000000001</v>
      </c>
      <c r="BS6" s="63">
        <f t="shared" si="23"/>
        <v>0</v>
      </c>
      <c r="BT6" s="1">
        <v>0</v>
      </c>
      <c r="BU6" s="66">
        <f>BR6+BS6-BT6-'Internal use cement'!AG6</f>
        <v>126.30000000000001</v>
      </c>
      <c r="BV6" s="66">
        <f t="shared" si="41"/>
        <v>1139.95</v>
      </c>
      <c r="BW6" s="34">
        <f>AO6+BD6</f>
        <v>0</v>
      </c>
      <c r="BX6" s="15">
        <v>62</v>
      </c>
      <c r="BY6" s="66">
        <f>BV6+BW6-BX6-'Internal use cement'!AO6</f>
        <v>1077.95</v>
      </c>
      <c r="BZ6" s="1">
        <v>1966</v>
      </c>
      <c r="CA6" s="1">
        <v>2398</v>
      </c>
      <c r="CB6" s="1">
        <v>237</v>
      </c>
      <c r="CC6" s="1">
        <f t="shared" si="42"/>
        <v>4601</v>
      </c>
      <c r="CD6" s="15">
        <f t="shared" si="25"/>
        <v>4530.6979999999812</v>
      </c>
      <c r="CE6" s="269">
        <f t="shared" si="43"/>
        <v>70.302000000018779</v>
      </c>
      <c r="CF6" s="15">
        <f t="shared" si="26"/>
        <v>574.23</v>
      </c>
      <c r="CG6" s="15">
        <f t="shared" si="27"/>
        <v>850</v>
      </c>
      <c r="CH6" s="270">
        <f t="shared" si="28"/>
        <v>-179.66001683751983</v>
      </c>
      <c r="CJ6" s="52">
        <f t="shared" si="8"/>
        <v>13.77</v>
      </c>
      <c r="CK6" s="1">
        <v>4</v>
      </c>
      <c r="CL6" s="1">
        <f t="shared" si="29"/>
        <v>7.0500000000000007</v>
      </c>
      <c r="CM6" s="1">
        <f t="shared" si="30"/>
        <v>7</v>
      </c>
      <c r="CN6" s="15">
        <f t="shared" si="31"/>
        <v>10.23</v>
      </c>
      <c r="CO6" s="15">
        <f t="shared" si="32"/>
        <v>24</v>
      </c>
      <c r="CP6" s="1">
        <f t="shared" si="33"/>
        <v>0</v>
      </c>
      <c r="CQ6" s="2">
        <v>4</v>
      </c>
      <c r="CR6" s="15">
        <f t="shared" si="34"/>
        <v>0</v>
      </c>
      <c r="CS6" s="15">
        <f>'Daily CEM-1'!H7+'Daily CEM-1'!I7+'Daily CEM-1'!J7+'Daily CEM-1'!K7+'Daily CEM-1'!L7</f>
        <v>13.77</v>
      </c>
      <c r="CT6" s="15">
        <f>AQ6+AT6+AW6+'Daily  CEM - 2'!K7+'Daily  CEM - 2'!L7</f>
        <v>0</v>
      </c>
      <c r="CU6" s="52">
        <f t="shared" si="35"/>
        <v>10.23</v>
      </c>
      <c r="CW6" s="52">
        <f t="shared" si="36"/>
        <v>1776.87</v>
      </c>
      <c r="CX6" s="52">
        <v>4</v>
      </c>
      <c r="CZ6">
        <f t="shared" si="37"/>
        <v>1776.87</v>
      </c>
    </row>
    <row r="7" spans="2:104" x14ac:dyDescent="0.25">
      <c r="B7" s="4">
        <v>5</v>
      </c>
      <c r="C7" s="1">
        <v>18.88</v>
      </c>
      <c r="D7" s="34">
        <f>'Mines (2)'!D7+'Mines (2)'!I7+'Mines (2)'!W7+'Mines (2)'!AA7+'Mines (2)'!AE7</f>
        <v>3026.4</v>
      </c>
      <c r="E7" s="169">
        <f>'Mines (2)'!E7+'Mines (2)'!J7+'Mines (2)'!X7+'Mines (2)'!AB7+'Mines (2)'!AF7</f>
        <v>1862</v>
      </c>
      <c r="F7" s="34">
        <f t="shared" si="44"/>
        <v>160.29661016949154</v>
      </c>
      <c r="G7" s="1">
        <v>16.3</v>
      </c>
      <c r="H7" s="16">
        <f t="shared" si="38"/>
        <v>1409.6600168375198</v>
      </c>
      <c r="I7" s="300">
        <f t="shared" si="9"/>
        <v>1137.1300168375196</v>
      </c>
      <c r="J7" s="1">
        <v>1083</v>
      </c>
      <c r="K7" s="36">
        <f t="shared" si="0"/>
        <v>2030.5</v>
      </c>
      <c r="L7" s="36">
        <f>Clinker!EK7*1.55</f>
        <v>2030.5</v>
      </c>
      <c r="M7" s="36">
        <v>0</v>
      </c>
      <c r="N7" s="1">
        <v>1678</v>
      </c>
      <c r="O7" s="34">
        <f t="shared" si="1"/>
        <v>102.94478527607362</v>
      </c>
      <c r="P7" s="1">
        <v>10</v>
      </c>
      <c r="Q7" s="1">
        <v>79.97</v>
      </c>
      <c r="R7" s="15">
        <f t="shared" si="10"/>
        <v>7.9969999999999999</v>
      </c>
      <c r="S7" s="1">
        <v>15.5</v>
      </c>
      <c r="T7" s="16">
        <f t="shared" si="11"/>
        <v>43.709999999999923</v>
      </c>
      <c r="U7" s="1">
        <v>207</v>
      </c>
      <c r="V7" s="1">
        <v>202</v>
      </c>
      <c r="W7" s="18">
        <f t="shared" si="2"/>
        <v>48.709999999999923</v>
      </c>
      <c r="X7" s="34">
        <f t="shared" si="3"/>
        <v>13.35483870967742</v>
      </c>
      <c r="Y7" s="1">
        <v>24</v>
      </c>
      <c r="Z7" s="33">
        <f>Clinker!EK7</f>
        <v>1310</v>
      </c>
      <c r="AA7" s="34">
        <f t="shared" si="4"/>
        <v>54.583333333333336</v>
      </c>
      <c r="AB7" s="37">
        <f>'Daily CEM-1'!H8</f>
        <v>4.43</v>
      </c>
      <c r="AC7" s="33">
        <f>'Daily CEM-1'!C8</f>
        <v>240</v>
      </c>
      <c r="AD7" s="34">
        <f>AC7/AB7</f>
        <v>54.176072234762984</v>
      </c>
      <c r="AE7" s="37">
        <f>'Daily CEM-1'!I8</f>
        <v>3.6</v>
      </c>
      <c r="AF7" s="33">
        <f>'Daily CEM-1'!D8</f>
        <v>200</v>
      </c>
      <c r="AG7" s="34">
        <f t="shared" si="12"/>
        <v>55.555555555555557</v>
      </c>
      <c r="AH7" s="61">
        <f>'Daily CEM-1'!J8</f>
        <v>0</v>
      </c>
      <c r="AI7" s="61">
        <f>'Daily CEM-1'!E8</f>
        <v>0</v>
      </c>
      <c r="AJ7" s="61"/>
      <c r="AK7" s="61">
        <f>'Daily CEM-1'!K8</f>
        <v>0</v>
      </c>
      <c r="AL7" s="61">
        <f>'Daily CEM-1'!F8</f>
        <v>0</v>
      </c>
      <c r="AM7" s="61" t="e">
        <f t="shared" si="13"/>
        <v>#DIV/0!</v>
      </c>
      <c r="AN7" s="60">
        <f>'Daily CEM-1'!L8</f>
        <v>3.6</v>
      </c>
      <c r="AO7" s="60">
        <f>'Daily CEM-1'!G8</f>
        <v>200</v>
      </c>
      <c r="AP7" s="60">
        <f t="shared" si="14"/>
        <v>55.555555555555557</v>
      </c>
      <c r="AQ7" s="37">
        <f>'Daily  CEM - 2'!H8</f>
        <v>0</v>
      </c>
      <c r="AR7" s="33">
        <f>'Daily  CEM - 2'!C8</f>
        <v>0</v>
      </c>
      <c r="AS7" s="34" t="e">
        <f t="shared" si="6"/>
        <v>#DIV/0!</v>
      </c>
      <c r="AT7" s="37">
        <f>'Daily  CEM - 2'!I8</f>
        <v>0</v>
      </c>
      <c r="AU7" s="33">
        <f>'Daily  CEM - 2'!D8</f>
        <v>0</v>
      </c>
      <c r="AV7" s="34" t="e">
        <f t="shared" si="7"/>
        <v>#DIV/0!</v>
      </c>
      <c r="AW7" s="61">
        <f>'Daily  CEM - 2'!J8</f>
        <v>0</v>
      </c>
      <c r="AX7" s="61">
        <f>'Daily  CEM - 2'!E8</f>
        <v>0</v>
      </c>
      <c r="AY7" s="197" t="e">
        <f t="shared" si="15"/>
        <v>#DIV/0!</v>
      </c>
      <c r="AZ7" s="61">
        <f>'Daily  CEM - 2'!K8</f>
        <v>0</v>
      </c>
      <c r="BA7" s="61">
        <f>'Daily  CEM - 2'!F8</f>
        <v>0</v>
      </c>
      <c r="BB7" s="60" t="e">
        <f t="shared" si="16"/>
        <v>#DIV/0!</v>
      </c>
      <c r="BC7" s="61">
        <f>'Daily  CEM - 2'!L8</f>
        <v>0</v>
      </c>
      <c r="BD7" s="61">
        <f>'Daily  CEM - 2'!G8</f>
        <v>0</v>
      </c>
      <c r="BE7" s="60" t="e">
        <f t="shared" si="17"/>
        <v>#DIV/0!</v>
      </c>
      <c r="BF7" s="16">
        <f t="shared" si="18"/>
        <v>2943.55799999998</v>
      </c>
      <c r="BG7" s="36">
        <f t="shared" si="19"/>
        <v>240</v>
      </c>
      <c r="BH7" s="1">
        <v>841.5</v>
      </c>
      <c r="BI7" s="18">
        <f>BF7+BG7-BH7-'Internal use cement'!F7</f>
        <v>2342.05799999998</v>
      </c>
      <c r="BJ7" s="16">
        <f t="shared" si="20"/>
        <v>380.79999999999995</v>
      </c>
      <c r="BK7" s="36">
        <f t="shared" si="21"/>
        <v>200</v>
      </c>
      <c r="BL7" s="1">
        <v>124</v>
      </c>
      <c r="BM7" s="18">
        <f>BJ7+BK7-BL7-'Internal use cement'!AB7</f>
        <v>456.79999999999995</v>
      </c>
      <c r="BN7" s="18">
        <f t="shared" si="39"/>
        <v>2.0900000000008498</v>
      </c>
      <c r="BO7" s="63">
        <f t="shared" si="45"/>
        <v>0</v>
      </c>
      <c r="BP7" s="1">
        <v>0</v>
      </c>
      <c r="BQ7" s="66">
        <f>BN7+BO7-BP7-'Internal use cement'!Q7</f>
        <v>2.0900000000008498</v>
      </c>
      <c r="BR7" s="18">
        <f t="shared" si="40"/>
        <v>126.30000000000001</v>
      </c>
      <c r="BS7" s="63">
        <f>BA7+AL7</f>
        <v>0</v>
      </c>
      <c r="BT7" s="1">
        <v>30</v>
      </c>
      <c r="BU7" s="66">
        <f>BR7+BS7-BT7-'Internal use cement'!AG7</f>
        <v>96.300000000000011</v>
      </c>
      <c r="BV7" s="66">
        <f t="shared" si="41"/>
        <v>1077.95</v>
      </c>
      <c r="BW7" s="34">
        <f>AO7+BD7</f>
        <v>200</v>
      </c>
      <c r="BX7" s="15">
        <v>277.8</v>
      </c>
      <c r="BY7" s="66">
        <f>BV7+BW7-BX7-'Internal use cement'!AO7</f>
        <v>1000.1500000000001</v>
      </c>
      <c r="BZ7" s="1">
        <v>1668</v>
      </c>
      <c r="CA7" s="1">
        <v>2190</v>
      </c>
      <c r="CB7" s="1">
        <v>188</v>
      </c>
      <c r="CC7" s="1">
        <f t="shared" si="42"/>
        <v>4046</v>
      </c>
      <c r="CD7" s="15">
        <f t="shared" si="25"/>
        <v>3897.3979999999815</v>
      </c>
      <c r="CE7" s="269">
        <f t="shared" si="43"/>
        <v>148.60200000001851</v>
      </c>
      <c r="CF7" s="15">
        <f t="shared" si="26"/>
        <v>1273.3</v>
      </c>
      <c r="CG7" s="15">
        <f t="shared" si="27"/>
        <v>640</v>
      </c>
      <c r="CH7" s="270">
        <f t="shared" si="28"/>
        <v>-54.130016837519634</v>
      </c>
      <c r="CJ7" s="52">
        <f t="shared" si="8"/>
        <v>8.0299999999999994</v>
      </c>
      <c r="CK7" s="1">
        <v>5</v>
      </c>
      <c r="CL7" s="1">
        <f t="shared" si="29"/>
        <v>7.6999999999999993</v>
      </c>
      <c r="CM7" s="1">
        <f t="shared" si="30"/>
        <v>8.5</v>
      </c>
      <c r="CN7" s="15">
        <f t="shared" si="31"/>
        <v>12.370000000000001</v>
      </c>
      <c r="CO7" s="15">
        <f t="shared" si="32"/>
        <v>24</v>
      </c>
      <c r="CP7" s="1">
        <f t="shared" si="33"/>
        <v>0</v>
      </c>
      <c r="CQ7" s="2">
        <v>5</v>
      </c>
      <c r="CR7" s="15">
        <f t="shared" si="34"/>
        <v>0</v>
      </c>
      <c r="CS7" s="15">
        <f>'Daily CEM-1'!H8+'Daily CEM-1'!I8+'Daily CEM-1'!J8+'Daily CEM-1'!K8+'Daily CEM-1'!L8</f>
        <v>11.629999999999999</v>
      </c>
      <c r="CT7" s="15">
        <f>AQ7+AT7+AW7+'Daily  CEM - 2'!K8+'Daily  CEM - 2'!L8</f>
        <v>0</v>
      </c>
      <c r="CU7" s="52">
        <f t="shared" si="35"/>
        <v>12.370000000000001</v>
      </c>
      <c r="CW7" s="52">
        <f t="shared" si="36"/>
        <v>1757.97</v>
      </c>
      <c r="CX7" s="52">
        <v>5</v>
      </c>
      <c r="CZ7">
        <f t="shared" si="37"/>
        <v>1757.97</v>
      </c>
    </row>
    <row r="8" spans="2:104" x14ac:dyDescent="0.25">
      <c r="B8" s="4">
        <v>6</v>
      </c>
      <c r="C8" s="1">
        <v>15.1</v>
      </c>
      <c r="D8" s="34">
        <f>'Mines (2)'!D8+'Mines (2)'!I8+'Mines (2)'!W8+'Mines (2)'!AA8+'Mines (2)'!AE8</f>
        <v>2037.1800000000007</v>
      </c>
      <c r="E8" s="169">
        <f>'Mines (2)'!E8+'Mines (2)'!J8+'Mines (2)'!X8+'Mines (2)'!AB8+'Mines (2)'!AF8</f>
        <v>2241</v>
      </c>
      <c r="F8" s="34">
        <f t="shared" si="44"/>
        <v>134.91258278145702</v>
      </c>
      <c r="G8" s="1">
        <v>20.25</v>
      </c>
      <c r="H8" s="16">
        <f t="shared" si="38"/>
        <v>1137.1300168375196</v>
      </c>
      <c r="I8" s="300">
        <f t="shared" si="9"/>
        <v>1170.4000168375196</v>
      </c>
      <c r="J8" s="1">
        <v>1330</v>
      </c>
      <c r="K8" s="36">
        <f t="shared" si="0"/>
        <v>2092.5</v>
      </c>
      <c r="L8" s="36">
        <f>Clinker!EK8*1.55</f>
        <v>2092.5</v>
      </c>
      <c r="M8" s="36">
        <v>0</v>
      </c>
      <c r="N8" s="1">
        <v>2125.77</v>
      </c>
      <c r="O8" s="34">
        <f t="shared" si="1"/>
        <v>104.9762962962963</v>
      </c>
      <c r="P8" s="1">
        <v>0</v>
      </c>
      <c r="Q8" s="1">
        <v>0</v>
      </c>
      <c r="R8" s="15" t="e">
        <f>Q8/P8</f>
        <v>#DIV/0!</v>
      </c>
      <c r="S8" s="1">
        <v>16.100000000000001</v>
      </c>
      <c r="T8" s="16">
        <f t="shared" si="11"/>
        <v>48.709999999999923</v>
      </c>
      <c r="U8" s="1">
        <v>209.7</v>
      </c>
      <c r="V8" s="1">
        <v>207</v>
      </c>
      <c r="W8" s="18">
        <f t="shared" si="2"/>
        <v>51.409999999999911</v>
      </c>
      <c r="X8" s="34">
        <f t="shared" si="3"/>
        <v>13.024844720496892</v>
      </c>
      <c r="Y8" s="1">
        <v>24</v>
      </c>
      <c r="Z8" s="33">
        <f>Clinker!EK8</f>
        <v>1350</v>
      </c>
      <c r="AA8" s="34">
        <f t="shared" si="4"/>
        <v>56.25</v>
      </c>
      <c r="AB8" s="37">
        <f>'Daily CEM-1'!H9</f>
        <v>16.32</v>
      </c>
      <c r="AC8" s="33">
        <f>'Daily CEM-1'!C9</f>
        <v>930</v>
      </c>
      <c r="AD8" s="34">
        <f t="shared" si="5"/>
        <v>56.985294117647058</v>
      </c>
      <c r="AE8" s="37">
        <f>'Daily CEM-1'!I9</f>
        <v>0</v>
      </c>
      <c r="AF8" s="33">
        <f>'Daily CEM-1'!D9</f>
        <v>0</v>
      </c>
      <c r="AG8" s="34" t="e">
        <f t="shared" si="12"/>
        <v>#DIV/0!</v>
      </c>
      <c r="AH8" s="61">
        <f>'Daily CEM-1'!J9</f>
        <v>0</v>
      </c>
      <c r="AI8" s="61">
        <f>'Daily CEM-1'!E9</f>
        <v>0</v>
      </c>
      <c r="AJ8" s="61"/>
      <c r="AK8" s="61">
        <f>'Daily CEM-1'!K9</f>
        <v>0</v>
      </c>
      <c r="AL8" s="61">
        <f>'Daily CEM-1'!F9</f>
        <v>0</v>
      </c>
      <c r="AM8" s="61" t="e">
        <f t="shared" si="13"/>
        <v>#DIV/0!</v>
      </c>
      <c r="AN8" s="60">
        <f>'Daily CEM-1'!L9</f>
        <v>7.2</v>
      </c>
      <c r="AO8" s="60">
        <f>'Daily CEM-1'!G9</f>
        <v>415</v>
      </c>
      <c r="AP8" s="60">
        <f t="shared" si="14"/>
        <v>57.638888888888886</v>
      </c>
      <c r="AQ8" s="37">
        <f>'Daily  CEM - 2'!H9</f>
        <v>0</v>
      </c>
      <c r="AR8" s="33">
        <f>'Daily  CEM - 2'!C9</f>
        <v>0</v>
      </c>
      <c r="AS8" s="34" t="e">
        <f t="shared" si="6"/>
        <v>#DIV/0!</v>
      </c>
      <c r="AT8" s="37">
        <f>'Daily  CEM - 2'!I9</f>
        <v>0</v>
      </c>
      <c r="AU8" s="33">
        <f>'Daily  CEM - 2'!D9</f>
        <v>0</v>
      </c>
      <c r="AV8" s="34" t="e">
        <f t="shared" si="7"/>
        <v>#DIV/0!</v>
      </c>
      <c r="AW8" s="61">
        <f>'Daily  CEM - 2'!J9</f>
        <v>0</v>
      </c>
      <c r="AX8" s="61">
        <f>'Daily  CEM - 2'!E9</f>
        <v>0</v>
      </c>
      <c r="AY8" s="197" t="e">
        <f t="shared" si="15"/>
        <v>#DIV/0!</v>
      </c>
      <c r="AZ8" s="61">
        <f>'Daily  CEM - 2'!K9</f>
        <v>0</v>
      </c>
      <c r="BA8" s="61">
        <f>'Daily  CEM - 2'!F9</f>
        <v>0</v>
      </c>
      <c r="BB8" s="60" t="e">
        <f t="shared" si="16"/>
        <v>#DIV/0!</v>
      </c>
      <c r="BC8" s="61">
        <f>'Daily  CEM - 2'!L9</f>
        <v>0</v>
      </c>
      <c r="BD8" s="61">
        <f>'Daily  CEM - 2'!G9</f>
        <v>0</v>
      </c>
      <c r="BE8" s="60" t="e">
        <f t="shared" si="17"/>
        <v>#DIV/0!</v>
      </c>
      <c r="BF8" s="16">
        <f t="shared" si="18"/>
        <v>2342.05799999998</v>
      </c>
      <c r="BG8" s="36">
        <f t="shared" si="19"/>
        <v>930</v>
      </c>
      <c r="BH8" s="1">
        <v>980.5</v>
      </c>
      <c r="BI8" s="18">
        <f>BF8+BG8-BH8-'Internal use cement'!F8</f>
        <v>2291.55799999998</v>
      </c>
      <c r="BJ8" s="16">
        <f t="shared" si="20"/>
        <v>456.79999999999995</v>
      </c>
      <c r="BK8" s="36">
        <f t="shared" si="21"/>
        <v>0</v>
      </c>
      <c r="BL8" s="1">
        <v>62</v>
      </c>
      <c r="BM8" s="18">
        <f>BJ8+BK8-BL8-'Internal use cement'!AB8</f>
        <v>394.79999999999995</v>
      </c>
      <c r="BN8" s="18">
        <f t="shared" si="39"/>
        <v>2.0900000000008498</v>
      </c>
      <c r="BO8" s="63">
        <f t="shared" si="45"/>
        <v>0</v>
      </c>
      <c r="BP8" s="1">
        <v>0</v>
      </c>
      <c r="BQ8" s="66">
        <f>BN8+BO8-BP8-'Internal use cement'!Q8</f>
        <v>2.0900000000008498</v>
      </c>
      <c r="BR8" s="18">
        <f t="shared" si="40"/>
        <v>96.300000000000011</v>
      </c>
      <c r="BS8" s="63">
        <f t="shared" si="23"/>
        <v>0</v>
      </c>
      <c r="BT8" s="1">
        <v>60</v>
      </c>
      <c r="BU8" s="66">
        <f>BR8+BS8-BT8-'Internal use cement'!AG8</f>
        <v>36.300000000000011</v>
      </c>
      <c r="BV8" s="66">
        <f t="shared" si="41"/>
        <v>1000.1500000000001</v>
      </c>
      <c r="BW8" s="34">
        <f t="shared" si="24"/>
        <v>415</v>
      </c>
      <c r="BX8" s="15">
        <v>331.56</v>
      </c>
      <c r="BY8" s="66">
        <f>BV8+BW8-BX8-'Internal use cement'!AO8</f>
        <v>1083.5900000000001</v>
      </c>
      <c r="BZ8" s="1">
        <v>1689</v>
      </c>
      <c r="CA8" s="1">
        <v>2328</v>
      </c>
      <c r="CB8" s="1">
        <v>114</v>
      </c>
      <c r="CC8" s="1">
        <f t="shared" si="42"/>
        <v>4131</v>
      </c>
      <c r="CD8" s="15">
        <f t="shared" si="25"/>
        <v>3808.3379999999815</v>
      </c>
      <c r="CE8" s="269">
        <f t="shared" si="43"/>
        <v>322.66200000001845</v>
      </c>
      <c r="CF8" s="15">
        <f t="shared" si="26"/>
        <v>1434.06</v>
      </c>
      <c r="CG8" s="15">
        <f t="shared" si="27"/>
        <v>1345</v>
      </c>
      <c r="CH8" s="270">
        <f t="shared" si="28"/>
        <v>159.59998316248038</v>
      </c>
      <c r="CJ8" s="52">
        <f t="shared" si="8"/>
        <v>16.32</v>
      </c>
      <c r="CK8" s="1">
        <v>6</v>
      </c>
      <c r="CL8" s="1">
        <f t="shared" si="29"/>
        <v>3.75</v>
      </c>
      <c r="CM8" s="1">
        <f t="shared" si="30"/>
        <v>7.8999999999999986</v>
      </c>
      <c r="CN8" s="15">
        <f t="shared" si="31"/>
        <v>0.48000000000000043</v>
      </c>
      <c r="CO8" s="15">
        <f t="shared" si="32"/>
        <v>24</v>
      </c>
      <c r="CP8" s="1">
        <f t="shared" si="33"/>
        <v>0</v>
      </c>
      <c r="CQ8" s="2">
        <v>6</v>
      </c>
      <c r="CR8" s="15">
        <f t="shared" si="34"/>
        <v>0</v>
      </c>
      <c r="CS8" s="15">
        <f>'Daily CEM-1'!H9+'Daily CEM-1'!I9+'Daily CEM-1'!J9+'Daily CEM-1'!K9+'Daily CEM-1'!L9</f>
        <v>23.52</v>
      </c>
      <c r="CT8" s="15">
        <f>AQ8+AT8+AW8+'Daily  CEM - 2'!K9+'Daily  CEM - 2'!L9</f>
        <v>0</v>
      </c>
      <c r="CU8" s="52">
        <f t="shared" si="35"/>
        <v>0.48000000000000043</v>
      </c>
      <c r="CW8" s="52">
        <f t="shared" si="36"/>
        <v>2125.77</v>
      </c>
      <c r="CX8" s="52">
        <v>6</v>
      </c>
      <c r="CZ8">
        <f t="shared" si="37"/>
        <v>2125.77</v>
      </c>
    </row>
    <row r="9" spans="2:104" x14ac:dyDescent="0.25">
      <c r="B9" s="4">
        <v>7</v>
      </c>
      <c r="C9" s="1">
        <v>16.07</v>
      </c>
      <c r="D9" s="34">
        <f>'Mines (2)'!D9+'Mines (2)'!I9+'Mines (2)'!W9+'Mines (2)'!AA9+'Mines (2)'!AE9</f>
        <v>2516.04</v>
      </c>
      <c r="E9" s="169">
        <f>'Mines (2)'!E9+'Mines (2)'!J9+'Mines (2)'!X9+'Mines (2)'!AB9+'Mines (2)'!AF9</f>
        <v>1017</v>
      </c>
      <c r="F9" s="34">
        <f t="shared" si="44"/>
        <v>156.56751711263223</v>
      </c>
      <c r="G9" s="1">
        <v>9.1999999999999993</v>
      </c>
      <c r="H9" s="16">
        <f t="shared" si="38"/>
        <v>1170.4000168375196</v>
      </c>
      <c r="I9" s="300">
        <f t="shared" si="9"/>
        <v>1026.9500168375198</v>
      </c>
      <c r="J9" s="1">
        <v>1111</v>
      </c>
      <c r="K9" s="36">
        <f t="shared" si="0"/>
        <v>1123.75</v>
      </c>
      <c r="L9" s="36">
        <f>Clinker!EK9*1.55</f>
        <v>1123.75</v>
      </c>
      <c r="M9" s="36">
        <v>0</v>
      </c>
      <c r="N9" s="1">
        <v>980.3</v>
      </c>
      <c r="O9" s="34">
        <f t="shared" si="1"/>
        <v>106.55434782608695</v>
      </c>
      <c r="P9" s="1">
        <v>0</v>
      </c>
      <c r="Q9" s="1">
        <v>0</v>
      </c>
      <c r="R9" s="15" t="e">
        <f>Q9/P9</f>
        <v>#DIV/0!</v>
      </c>
      <c r="S9" s="1">
        <v>11</v>
      </c>
      <c r="T9" s="16">
        <f t="shared" si="11"/>
        <v>51.409999999999911</v>
      </c>
      <c r="U9" s="1">
        <v>143.1</v>
      </c>
      <c r="V9" s="1">
        <v>145</v>
      </c>
      <c r="W9" s="18">
        <f t="shared" si="2"/>
        <v>49.509999999999906</v>
      </c>
      <c r="X9" s="34">
        <f t="shared" si="3"/>
        <v>13.009090909090908</v>
      </c>
      <c r="Y9" s="1">
        <v>14.35</v>
      </c>
      <c r="Z9" s="33">
        <f>Clinker!EK9</f>
        <v>725</v>
      </c>
      <c r="AA9" s="34">
        <f t="shared" si="4"/>
        <v>50.522648083623693</v>
      </c>
      <c r="AB9" s="37">
        <f>'Daily CEM-1'!H10</f>
        <v>4.17</v>
      </c>
      <c r="AC9" s="33">
        <f>'Daily CEM-1'!C10</f>
        <v>225</v>
      </c>
      <c r="AD9" s="34">
        <f t="shared" si="5"/>
        <v>53.956834532374103</v>
      </c>
      <c r="AE9" s="37">
        <f>'Daily CEM-1'!I10</f>
        <v>0</v>
      </c>
      <c r="AF9" s="33">
        <f>'Daily CEM-1'!D10</f>
        <v>0</v>
      </c>
      <c r="AG9" s="34" t="e">
        <f t="shared" si="12"/>
        <v>#DIV/0!</v>
      </c>
      <c r="AH9" s="61">
        <f>'Daily CEM-1'!J10</f>
        <v>0</v>
      </c>
      <c r="AI9" s="61">
        <f>'Daily CEM-1'!E10</f>
        <v>0</v>
      </c>
      <c r="AJ9" s="61"/>
      <c r="AK9" s="61">
        <f>'Daily CEM-1'!K10</f>
        <v>0</v>
      </c>
      <c r="AL9" s="61">
        <f>'Daily CEM-1'!F10</f>
        <v>0</v>
      </c>
      <c r="AM9" s="61" t="e">
        <f t="shared" si="13"/>
        <v>#DIV/0!</v>
      </c>
      <c r="AN9" s="60">
        <f>'Daily CEM-1'!L10</f>
        <v>0</v>
      </c>
      <c r="AO9" s="60">
        <f>'Daily CEM-1'!G10</f>
        <v>0</v>
      </c>
      <c r="AP9" s="60" t="e">
        <f t="shared" si="14"/>
        <v>#DIV/0!</v>
      </c>
      <c r="AQ9" s="37">
        <f>'Daily  CEM - 2'!H10</f>
        <v>7.2</v>
      </c>
      <c r="AR9" s="33">
        <f>'Daily  CEM - 2'!C10</f>
        <v>445</v>
      </c>
      <c r="AS9" s="34">
        <f t="shared" si="6"/>
        <v>61.805555555555557</v>
      </c>
      <c r="AT9" s="37">
        <f>'Daily  CEM - 2'!I10</f>
        <v>0</v>
      </c>
      <c r="AU9" s="33">
        <f>'Daily  CEM - 2'!D10</f>
        <v>0</v>
      </c>
      <c r="AV9" s="34" t="e">
        <f t="shared" si="7"/>
        <v>#DIV/0!</v>
      </c>
      <c r="AW9" s="61">
        <f>'Daily  CEM - 2'!J10</f>
        <v>0</v>
      </c>
      <c r="AX9" s="61">
        <f>'Daily  CEM - 2'!E10</f>
        <v>0</v>
      </c>
      <c r="AY9" s="197" t="e">
        <f t="shared" si="15"/>
        <v>#DIV/0!</v>
      </c>
      <c r="AZ9" s="61">
        <f>'Daily  CEM - 2'!K10</f>
        <v>3</v>
      </c>
      <c r="BA9" s="61">
        <f>'Daily  CEM - 2'!F10</f>
        <v>165</v>
      </c>
      <c r="BB9" s="60">
        <f t="shared" si="16"/>
        <v>55</v>
      </c>
      <c r="BC9" s="61">
        <f>'Daily  CEM - 2'!L10</f>
        <v>4</v>
      </c>
      <c r="BD9" s="61">
        <f>'Daily  CEM - 2'!G10</f>
        <v>250</v>
      </c>
      <c r="BE9" s="60">
        <f t="shared" si="17"/>
        <v>62.5</v>
      </c>
      <c r="BF9" s="16">
        <f t="shared" si="18"/>
        <v>2291.55799999998</v>
      </c>
      <c r="BG9" s="36">
        <f t="shared" si="19"/>
        <v>670</v>
      </c>
      <c r="BH9" s="1">
        <v>1138</v>
      </c>
      <c r="BI9" s="18">
        <f>BF9+BG9-BH9-'Internal use cement'!F9</f>
        <v>1823.55799999998</v>
      </c>
      <c r="BJ9" s="16">
        <f t="shared" si="20"/>
        <v>394.79999999999995</v>
      </c>
      <c r="BK9" s="36">
        <f t="shared" si="21"/>
        <v>0</v>
      </c>
      <c r="BL9" s="1">
        <v>31</v>
      </c>
      <c r="BM9" s="18">
        <f>BJ9+BK9-BL9-'Internal use cement'!AB9</f>
        <v>363.79999999999995</v>
      </c>
      <c r="BN9" s="18">
        <f t="shared" si="39"/>
        <v>2.0900000000008498</v>
      </c>
      <c r="BO9" s="63">
        <f t="shared" si="45"/>
        <v>0</v>
      </c>
      <c r="BP9" s="1">
        <v>0</v>
      </c>
      <c r="BQ9" s="66">
        <f>BN9+BO9-BP9-'Internal use cement'!Q9</f>
        <v>2.0900000000008498</v>
      </c>
      <c r="BR9" s="18">
        <f t="shared" si="40"/>
        <v>36.300000000000011</v>
      </c>
      <c r="BS9" s="63">
        <f t="shared" si="23"/>
        <v>165</v>
      </c>
      <c r="BT9" s="1">
        <v>30</v>
      </c>
      <c r="BU9" s="66">
        <f>BR9+BS9-BT9-'Internal use cement'!AG9</f>
        <v>171.3</v>
      </c>
      <c r="BV9" s="66">
        <f t="shared" si="41"/>
        <v>1083.5900000000001</v>
      </c>
      <c r="BW9" s="34">
        <f t="shared" si="24"/>
        <v>250</v>
      </c>
      <c r="BX9" s="15">
        <v>331.06</v>
      </c>
      <c r="BY9" s="66">
        <f>BV9+BW9-BX9-'Internal use cement'!AO9</f>
        <v>1002.5300000000002</v>
      </c>
      <c r="BZ9" s="1">
        <v>1487</v>
      </c>
      <c r="CA9" s="1">
        <v>2040</v>
      </c>
      <c r="CB9" s="1">
        <v>81</v>
      </c>
      <c r="CC9" s="1">
        <f>SUM(BZ9:CB9)</f>
        <v>3608</v>
      </c>
      <c r="CD9" s="15">
        <f t="shared" si="25"/>
        <v>3363.2779999999816</v>
      </c>
      <c r="CE9" s="269">
        <f>CC9-CD9</f>
        <v>244.7220000000184</v>
      </c>
      <c r="CF9" s="15">
        <f t="shared" si="26"/>
        <v>1530.06</v>
      </c>
      <c r="CG9" s="15">
        <f t="shared" si="27"/>
        <v>1085</v>
      </c>
      <c r="CH9" s="270">
        <f t="shared" si="28"/>
        <v>84.049983162480203</v>
      </c>
      <c r="CJ9" s="52">
        <f t="shared" si="8"/>
        <v>4.17</v>
      </c>
      <c r="CK9" s="1">
        <v>7</v>
      </c>
      <c r="CL9" s="1">
        <f t="shared" si="29"/>
        <v>14.8</v>
      </c>
      <c r="CM9" s="1">
        <f t="shared" si="30"/>
        <v>13</v>
      </c>
      <c r="CN9" s="15">
        <f t="shared" si="31"/>
        <v>19.829999999999998</v>
      </c>
      <c r="CO9" s="15">
        <f t="shared" si="32"/>
        <v>9.8000000000000007</v>
      </c>
      <c r="CP9" s="1">
        <f t="shared" si="33"/>
        <v>9.65</v>
      </c>
      <c r="CQ9" s="2">
        <v>7</v>
      </c>
      <c r="CR9" s="15">
        <f t="shared" si="34"/>
        <v>445</v>
      </c>
      <c r="CS9" s="15">
        <f>'Daily CEM-1'!H10+'Daily CEM-1'!I10+'Daily CEM-1'!J10+'Daily CEM-1'!K10+'Daily CEM-1'!L10</f>
        <v>4.17</v>
      </c>
      <c r="CT9" s="15">
        <f>AQ9+AT9+AW9+'Daily  CEM - 2'!K10+'Daily  CEM - 2'!L10</f>
        <v>14.2</v>
      </c>
      <c r="CU9" s="52">
        <f t="shared" si="35"/>
        <v>19.829999999999998</v>
      </c>
      <c r="CW9" s="52">
        <f t="shared" si="36"/>
        <v>980.3</v>
      </c>
      <c r="CX9" s="52">
        <v>7</v>
      </c>
      <c r="CZ9">
        <f t="shared" si="37"/>
        <v>980.3</v>
      </c>
    </row>
    <row r="10" spans="2:104" x14ac:dyDescent="0.25">
      <c r="B10" s="4">
        <v>8</v>
      </c>
      <c r="C10" s="1">
        <v>18.59</v>
      </c>
      <c r="D10" s="34">
        <f>'Mines (2)'!D10+'Mines (2)'!I10+'Mines (2)'!W10+'Mines (2)'!AA10+'Mines (2)'!AE10</f>
        <v>3259.1000000000004</v>
      </c>
      <c r="E10" s="169">
        <f>'Mines (2)'!E10+'Mines (2)'!J10+'Mines (2)'!X10+'Mines (2)'!AB10+'Mines (2)'!AF10</f>
        <v>2014</v>
      </c>
      <c r="F10" s="34">
        <f t="shared" si="44"/>
        <v>175.31468531468533</v>
      </c>
      <c r="G10" s="1">
        <v>16.98</v>
      </c>
      <c r="H10" s="16">
        <f t="shared" si="38"/>
        <v>1026.9500168375198</v>
      </c>
      <c r="I10" s="300">
        <f t="shared" si="9"/>
        <v>952.05001683751971</v>
      </c>
      <c r="J10" s="1">
        <v>1164</v>
      </c>
      <c r="K10" s="36">
        <f t="shared" si="0"/>
        <v>2015</v>
      </c>
      <c r="L10" s="36">
        <f>Clinker!EK10*1.55</f>
        <v>2015</v>
      </c>
      <c r="M10" s="36">
        <v>0</v>
      </c>
      <c r="N10" s="1">
        <v>1940.1</v>
      </c>
      <c r="O10" s="34">
        <f t="shared" si="1"/>
        <v>114.25795053003533</v>
      </c>
      <c r="P10" s="1">
        <v>0</v>
      </c>
      <c r="Q10" s="1">
        <v>0</v>
      </c>
      <c r="R10" s="15" t="e">
        <f t="shared" si="10"/>
        <v>#DIV/0!</v>
      </c>
      <c r="S10" s="1">
        <v>14</v>
      </c>
      <c r="T10" s="16">
        <f t="shared" si="11"/>
        <v>49.509999999999906</v>
      </c>
      <c r="U10" s="1">
        <v>203</v>
      </c>
      <c r="V10" s="1">
        <v>207</v>
      </c>
      <c r="W10" s="18">
        <f t="shared" si="2"/>
        <v>45.509999999999906</v>
      </c>
      <c r="X10" s="34">
        <f t="shared" si="3"/>
        <v>14.5</v>
      </c>
      <c r="Y10" s="1">
        <v>24</v>
      </c>
      <c r="Z10" s="33">
        <f>Clinker!EK10</f>
        <v>1300</v>
      </c>
      <c r="AA10" s="34">
        <f t="shared" si="4"/>
        <v>54.166666666666664</v>
      </c>
      <c r="AB10" s="37">
        <f>'Daily CEM-1'!H11</f>
        <v>1.4</v>
      </c>
      <c r="AC10" s="33">
        <f>'Daily CEM-1'!C11</f>
        <v>80</v>
      </c>
      <c r="AD10" s="34">
        <f t="shared" si="5"/>
        <v>57.142857142857146</v>
      </c>
      <c r="AE10" s="37">
        <f>'Daily CEM-1'!I11</f>
        <v>0</v>
      </c>
      <c r="AF10" s="33">
        <f>'Daily CEM-1'!D11</f>
        <v>0</v>
      </c>
      <c r="AG10" s="34" t="e">
        <f t="shared" si="12"/>
        <v>#DIV/0!</v>
      </c>
      <c r="AH10" s="61">
        <f>'Daily CEM-1'!J11</f>
        <v>0</v>
      </c>
      <c r="AI10" s="61">
        <f>'Daily CEM-1'!E11</f>
        <v>0</v>
      </c>
      <c r="AJ10" s="61"/>
      <c r="AK10" s="61">
        <f>'Daily CEM-1'!K11</f>
        <v>0</v>
      </c>
      <c r="AL10" s="61">
        <f>'Daily CEM-1'!F11</f>
        <v>0</v>
      </c>
      <c r="AM10" s="61" t="e">
        <f t="shared" si="13"/>
        <v>#DIV/0!</v>
      </c>
      <c r="AN10" s="60">
        <f>'Daily CEM-1'!L11</f>
        <v>0</v>
      </c>
      <c r="AO10" s="60">
        <f>'Daily CEM-1'!G11</f>
        <v>0</v>
      </c>
      <c r="AP10" s="60" t="e">
        <f t="shared" si="14"/>
        <v>#DIV/0!</v>
      </c>
      <c r="AQ10" s="37">
        <f>'Daily  CEM - 2'!H11</f>
        <v>22.95</v>
      </c>
      <c r="AR10" s="33">
        <f>'Daily  CEM - 2'!C11</f>
        <v>1435</v>
      </c>
      <c r="AS10" s="34">
        <f t="shared" si="6"/>
        <v>62.527233115468412</v>
      </c>
      <c r="AT10" s="37">
        <f>'Daily  CEM - 2'!I11</f>
        <v>0</v>
      </c>
      <c r="AU10" s="33">
        <f>'Daily  CEM - 2'!D11</f>
        <v>0</v>
      </c>
      <c r="AV10" s="34" t="e">
        <f t="shared" si="7"/>
        <v>#DIV/0!</v>
      </c>
      <c r="AW10" s="61">
        <f>'Daily  CEM - 2'!J11</f>
        <v>0</v>
      </c>
      <c r="AX10" s="61">
        <f>'Daily  CEM - 2'!E11</f>
        <v>0</v>
      </c>
      <c r="AY10" s="197" t="e">
        <f t="shared" si="15"/>
        <v>#DIV/0!</v>
      </c>
      <c r="AZ10" s="61">
        <f>'Daily  CEM - 2'!K11</f>
        <v>0</v>
      </c>
      <c r="BA10" s="61">
        <f>'Daily  CEM - 2'!F11</f>
        <v>0</v>
      </c>
      <c r="BB10" s="60" t="e">
        <f t="shared" si="16"/>
        <v>#DIV/0!</v>
      </c>
      <c r="BC10" s="61">
        <f>'Daily  CEM - 2'!L11</f>
        <v>0</v>
      </c>
      <c r="BD10" s="61">
        <f>'Daily  CEM - 2'!G11</f>
        <v>0</v>
      </c>
      <c r="BE10" s="60" t="e">
        <f t="shared" si="17"/>
        <v>#DIV/0!</v>
      </c>
      <c r="BF10" s="16">
        <f t="shared" si="18"/>
        <v>1823.55799999998</v>
      </c>
      <c r="BG10" s="36">
        <f t="shared" si="19"/>
        <v>1515</v>
      </c>
      <c r="BH10" s="1">
        <v>1306</v>
      </c>
      <c r="BI10" s="18">
        <f>BF10+BG10-BH10-'Internal use cement'!F10</f>
        <v>2032.55799999998</v>
      </c>
      <c r="BJ10" s="16">
        <f t="shared" si="20"/>
        <v>363.79999999999995</v>
      </c>
      <c r="BK10" s="36">
        <f t="shared" si="21"/>
        <v>0</v>
      </c>
      <c r="BL10" s="1">
        <v>32</v>
      </c>
      <c r="BM10" s="18">
        <f>BJ10+BK10-BL10-'Internal use cement'!AB10</f>
        <v>331.79999999999995</v>
      </c>
      <c r="BN10" s="18">
        <f t="shared" si="39"/>
        <v>2.0900000000008498</v>
      </c>
      <c r="BO10" s="63">
        <f t="shared" si="45"/>
        <v>0</v>
      </c>
      <c r="BP10" s="1">
        <v>0</v>
      </c>
      <c r="BQ10" s="66">
        <f>BN10+BO10-BP10-'Internal use cement'!Q10</f>
        <v>2.0900000000008498</v>
      </c>
      <c r="BR10" s="18">
        <f t="shared" si="40"/>
        <v>171.3</v>
      </c>
      <c r="BS10" s="63">
        <f t="shared" si="23"/>
        <v>0</v>
      </c>
      <c r="BT10" s="1">
        <v>60</v>
      </c>
      <c r="BU10" s="66">
        <f>BR10+BS10-BT10-'Internal use cement'!AG10</f>
        <v>111.30000000000001</v>
      </c>
      <c r="BV10" s="66">
        <f t="shared" si="41"/>
        <v>1002.5300000000002</v>
      </c>
      <c r="BW10" s="34">
        <f t="shared" si="24"/>
        <v>0</v>
      </c>
      <c r="BX10" s="15">
        <v>30</v>
      </c>
      <c r="BY10" s="66">
        <f>BV10+BW10-BX10-'Internal use cement'!AO10</f>
        <v>972.5300000000002</v>
      </c>
      <c r="BZ10" s="1">
        <v>1466</v>
      </c>
      <c r="CA10" s="1">
        <v>2093</v>
      </c>
      <c r="CB10" s="1">
        <v>98</v>
      </c>
      <c r="CC10" s="1">
        <f t="shared" si="42"/>
        <v>3657</v>
      </c>
      <c r="CD10" s="15">
        <f t="shared" si="25"/>
        <v>3450.2779999999816</v>
      </c>
      <c r="CE10" s="270">
        <f>CC10-CD10</f>
        <v>206.7220000000184</v>
      </c>
      <c r="CF10" s="15">
        <f t="shared" si="26"/>
        <v>1428</v>
      </c>
      <c r="CG10" s="15">
        <f t="shared" si="27"/>
        <v>1515</v>
      </c>
      <c r="CH10" s="270">
        <f t="shared" si="28"/>
        <v>211.94998316248029</v>
      </c>
      <c r="CJ10" s="52">
        <f t="shared" si="8"/>
        <v>1.4</v>
      </c>
      <c r="CK10" s="1">
        <v>8</v>
      </c>
      <c r="CL10" s="1">
        <f t="shared" si="29"/>
        <v>7.02</v>
      </c>
      <c r="CM10" s="1">
        <f t="shared" si="30"/>
        <v>10</v>
      </c>
      <c r="CN10" s="15">
        <f t="shared" si="31"/>
        <v>22.6</v>
      </c>
      <c r="CO10" s="15">
        <f t="shared" si="32"/>
        <v>1.0500000000000007</v>
      </c>
      <c r="CP10" s="1">
        <f t="shared" si="33"/>
        <v>0</v>
      </c>
      <c r="CQ10" s="2">
        <v>8</v>
      </c>
      <c r="CR10" s="15">
        <f t="shared" si="34"/>
        <v>1435</v>
      </c>
      <c r="CS10" s="15">
        <f>'Daily CEM-1'!H11+'Daily CEM-1'!I11+'Daily CEM-1'!J11+'Daily CEM-1'!K11+'Daily CEM-1'!L11</f>
        <v>1.4</v>
      </c>
      <c r="CT10" s="15">
        <f>AQ10+AT10+AW10+'Daily  CEM - 2'!K11+'Daily  CEM - 2'!L11</f>
        <v>22.95</v>
      </c>
      <c r="CU10" s="52">
        <f t="shared" si="35"/>
        <v>22.6</v>
      </c>
      <c r="CW10" s="52">
        <f t="shared" si="36"/>
        <v>1940.1</v>
      </c>
      <c r="CX10" s="52">
        <v>8</v>
      </c>
      <c r="CZ10">
        <f t="shared" si="37"/>
        <v>1940.1</v>
      </c>
    </row>
    <row r="11" spans="2:104" x14ac:dyDescent="0.25">
      <c r="B11" s="4">
        <v>9</v>
      </c>
      <c r="C11" s="1">
        <v>18.88</v>
      </c>
      <c r="D11" s="34">
        <f>'Mines (2)'!D11+'Mines (2)'!I11+'Mines (2)'!W11+'Mines (2)'!AA11+'Mines (2)'!AE11</f>
        <v>2787.6</v>
      </c>
      <c r="E11" s="169">
        <f>'Mines (2)'!E11+'Mines (2)'!J11+'Mines (2)'!X11+'Mines (2)'!AB11+'Mines (2)'!AF11</f>
        <v>1697</v>
      </c>
      <c r="F11" s="34">
        <f t="shared" si="44"/>
        <v>147.64830508474577</v>
      </c>
      <c r="G11" s="1">
        <v>15.03</v>
      </c>
      <c r="H11" s="16">
        <f t="shared" si="38"/>
        <v>952.05001683751971</v>
      </c>
      <c r="I11" s="300">
        <f t="shared" si="9"/>
        <v>872.51001683751952</v>
      </c>
      <c r="J11" s="1">
        <v>962</v>
      </c>
      <c r="K11" s="36">
        <f t="shared" si="0"/>
        <v>1714.3</v>
      </c>
      <c r="L11" s="36">
        <f>Clinker!EK11*1.55</f>
        <v>1714.3</v>
      </c>
      <c r="M11" s="36">
        <v>0</v>
      </c>
      <c r="N11" s="1">
        <v>1634.76</v>
      </c>
      <c r="O11" s="34">
        <f t="shared" si="1"/>
        <v>108.76646706586827</v>
      </c>
      <c r="P11" s="1">
        <v>0</v>
      </c>
      <c r="Q11" s="1">
        <v>0</v>
      </c>
      <c r="R11" s="15" t="e">
        <f t="shared" si="10"/>
        <v>#DIV/0!</v>
      </c>
      <c r="S11" s="1">
        <v>13.83</v>
      </c>
      <c r="T11" s="16">
        <f t="shared" si="11"/>
        <v>45.509999999999906</v>
      </c>
      <c r="U11" s="1">
        <v>189</v>
      </c>
      <c r="V11" s="1">
        <v>202</v>
      </c>
      <c r="W11" s="18">
        <f t="shared" si="2"/>
        <v>32.509999999999906</v>
      </c>
      <c r="X11" s="34">
        <f>U11/S11</f>
        <v>13.66594360086768</v>
      </c>
      <c r="Y11" s="1">
        <v>22.45</v>
      </c>
      <c r="Z11" s="33">
        <f>Clinker!EK11</f>
        <v>1106</v>
      </c>
      <c r="AA11" s="34">
        <f t="shared" si="4"/>
        <v>49.265033407572382</v>
      </c>
      <c r="AB11" s="37">
        <f>'Daily CEM-1'!H12</f>
        <v>15.93</v>
      </c>
      <c r="AC11" s="33">
        <f>'Daily CEM-1'!C12</f>
        <v>1092</v>
      </c>
      <c r="AD11" s="34">
        <f t="shared" si="5"/>
        <v>68.549905838041425</v>
      </c>
      <c r="AE11" s="37">
        <f>'Daily CEM-1'!I12</f>
        <v>0</v>
      </c>
      <c r="AF11" s="33">
        <f>'Daily CEM-1'!D12</f>
        <v>0</v>
      </c>
      <c r="AG11" s="34" t="e">
        <f t="shared" si="12"/>
        <v>#DIV/0!</v>
      </c>
      <c r="AH11" s="61">
        <f>'Daily CEM-1'!J12</f>
        <v>0</v>
      </c>
      <c r="AI11" s="61">
        <f>'Daily CEM-1'!E12</f>
        <v>0</v>
      </c>
      <c r="AJ11" s="61"/>
      <c r="AK11" s="61">
        <f>'Daily CEM-1'!K12</f>
        <v>3</v>
      </c>
      <c r="AL11" s="61">
        <f>'Daily CEM-1'!F12</f>
        <v>180</v>
      </c>
      <c r="AM11" s="61">
        <f t="shared" si="13"/>
        <v>60</v>
      </c>
      <c r="AN11" s="60">
        <f>'Daily CEM-1'!L12</f>
        <v>0</v>
      </c>
      <c r="AO11" s="60">
        <f>'Daily CEM-1'!G12</f>
        <v>0</v>
      </c>
      <c r="AP11" s="60" t="e">
        <f t="shared" si="14"/>
        <v>#DIV/0!</v>
      </c>
      <c r="AQ11" s="37">
        <f>'Daily  CEM - 2'!H12</f>
        <v>14.4</v>
      </c>
      <c r="AR11" s="33">
        <f>'Daily  CEM - 2'!C12</f>
        <v>800</v>
      </c>
      <c r="AS11" s="34">
        <f t="shared" si="6"/>
        <v>55.555555555555557</v>
      </c>
      <c r="AT11" s="37">
        <f>'Daily  CEM - 2'!I12</f>
        <v>0</v>
      </c>
      <c r="AU11" s="33">
        <f>'Daily  CEM - 2'!D12</f>
        <v>0</v>
      </c>
      <c r="AV11" s="34" t="e">
        <f t="shared" si="7"/>
        <v>#DIV/0!</v>
      </c>
      <c r="AW11" s="61">
        <f>'Daily  CEM - 2'!J12</f>
        <v>0</v>
      </c>
      <c r="AX11" s="61">
        <f>'Daily  CEM - 2'!E12</f>
        <v>0</v>
      </c>
      <c r="AY11" s="197" t="e">
        <f t="shared" si="15"/>
        <v>#DIV/0!</v>
      </c>
      <c r="AZ11" s="61">
        <f>'Daily  CEM - 2'!K12</f>
        <v>0</v>
      </c>
      <c r="BA11" s="61">
        <f>'Daily  CEM - 2'!F12</f>
        <v>0</v>
      </c>
      <c r="BB11" s="60" t="e">
        <f t="shared" si="16"/>
        <v>#DIV/0!</v>
      </c>
      <c r="BC11" s="61">
        <f>'Daily  CEM - 2'!L12</f>
        <v>7.47</v>
      </c>
      <c r="BD11" s="61">
        <f>'Daily  CEM - 2'!G12</f>
        <v>441</v>
      </c>
      <c r="BE11" s="60">
        <f t="shared" si="17"/>
        <v>59.036144578313255</v>
      </c>
      <c r="BF11" s="16">
        <f t="shared" si="18"/>
        <v>2032.55799999998</v>
      </c>
      <c r="BG11" s="36">
        <f t="shared" si="19"/>
        <v>1892</v>
      </c>
      <c r="BH11" s="1">
        <v>1447.9</v>
      </c>
      <c r="BI11" s="18">
        <f>BF11+BG11-BH11-'Internal use cement'!F11</f>
        <v>2476.6579999999799</v>
      </c>
      <c r="BJ11" s="16">
        <f t="shared" si="20"/>
        <v>331.79999999999995</v>
      </c>
      <c r="BK11" s="36">
        <f t="shared" si="21"/>
        <v>0</v>
      </c>
      <c r="BL11" s="1">
        <v>140.5</v>
      </c>
      <c r="BM11" s="18">
        <f>BJ11+BK11-BL11-'Internal use cement'!AB11</f>
        <v>191.29999999999995</v>
      </c>
      <c r="BN11" s="18">
        <f t="shared" si="39"/>
        <v>2.0900000000008498</v>
      </c>
      <c r="BO11" s="63">
        <f t="shared" si="45"/>
        <v>0</v>
      </c>
      <c r="BP11" s="319">
        <v>0</v>
      </c>
      <c r="BQ11" s="66">
        <f>BN11+BO11-BP11-'Internal use cement'!Q11</f>
        <v>2.0900000000008498</v>
      </c>
      <c r="BR11" s="18">
        <f t="shared" si="40"/>
        <v>111.30000000000001</v>
      </c>
      <c r="BS11" s="63">
        <f t="shared" si="23"/>
        <v>180</v>
      </c>
      <c r="BT11" s="1">
        <v>120</v>
      </c>
      <c r="BU11" s="66">
        <f>BR11+BS11-BT11-'Internal use cement'!AG11</f>
        <v>171.3</v>
      </c>
      <c r="BV11" s="66">
        <f t="shared" si="41"/>
        <v>972.5300000000002</v>
      </c>
      <c r="BW11" s="34">
        <f t="shared" si="24"/>
        <v>441</v>
      </c>
      <c r="BX11" s="15">
        <v>700.42</v>
      </c>
      <c r="BY11" s="66">
        <f>BV11+BW11-BX11-'Internal use cement'!AO11</f>
        <v>713.11000000000024</v>
      </c>
      <c r="BZ11" s="1">
        <v>1543</v>
      </c>
      <c r="CA11" s="1">
        <v>2015</v>
      </c>
      <c r="CB11" s="1">
        <v>164</v>
      </c>
      <c r="CC11" s="1">
        <f t="shared" si="42"/>
        <v>3722</v>
      </c>
      <c r="CD11" s="15">
        <f t="shared" si="25"/>
        <v>3554.457999999981</v>
      </c>
      <c r="CE11" s="269">
        <f t="shared" ref="CE11:CE28" si="46">CC11-CD11</f>
        <v>167.54200000001902</v>
      </c>
      <c r="CF11" s="15">
        <f t="shared" si="26"/>
        <v>2408.8200000000002</v>
      </c>
      <c r="CG11" s="15">
        <f t="shared" si="27"/>
        <v>2513</v>
      </c>
      <c r="CH11" s="270">
        <f t="shared" si="28"/>
        <v>89.489983162480485</v>
      </c>
      <c r="CJ11" s="52">
        <f t="shared" si="8"/>
        <v>15.93</v>
      </c>
      <c r="CK11" s="1">
        <v>9</v>
      </c>
      <c r="CL11" s="1">
        <f t="shared" si="29"/>
        <v>8.9700000000000006</v>
      </c>
      <c r="CM11" s="1">
        <f t="shared" si="30"/>
        <v>10.17</v>
      </c>
      <c r="CN11" s="15">
        <f t="shared" si="31"/>
        <v>5.07</v>
      </c>
      <c r="CO11" s="15">
        <f t="shared" si="32"/>
        <v>2.129999999999999</v>
      </c>
      <c r="CP11" s="1">
        <f t="shared" si="33"/>
        <v>1.5500000000000007</v>
      </c>
      <c r="CQ11" s="2">
        <v>9</v>
      </c>
      <c r="CR11" s="15">
        <f t="shared" si="34"/>
        <v>800</v>
      </c>
      <c r="CS11" s="15">
        <f>'Daily CEM-1'!H12+'Daily CEM-1'!I12+'Daily CEM-1'!J12+'Daily CEM-1'!K12+'Daily CEM-1'!L12</f>
        <v>18.93</v>
      </c>
      <c r="CT11" s="15">
        <f>AQ11+AT11+AW11+'Daily  CEM - 2'!K12+'Daily  CEM - 2'!L12</f>
        <v>21.87</v>
      </c>
      <c r="CU11" s="52">
        <f t="shared" si="35"/>
        <v>5.07</v>
      </c>
      <c r="CW11" s="52">
        <f t="shared" si="36"/>
        <v>1634.76</v>
      </c>
      <c r="CX11" s="52">
        <v>9</v>
      </c>
      <c r="CZ11">
        <f t="shared" si="37"/>
        <v>1634.76</v>
      </c>
    </row>
    <row r="12" spans="2:104" x14ac:dyDescent="0.25">
      <c r="B12" s="4">
        <v>10</v>
      </c>
      <c r="C12" s="1">
        <v>18.8</v>
      </c>
      <c r="D12" s="34">
        <f>'Mines (2)'!D12+'Mines (2)'!I12+'Mines (2)'!W12+'Mines (2)'!AA12+'Mines (2)'!AE12</f>
        <v>2756.9199999999992</v>
      </c>
      <c r="E12" s="169">
        <f>'Mines (2)'!E12+'Mines (2)'!J12+'Mines (2)'!X12+'Mines (2)'!AB12+'Mines (2)'!AF12</f>
        <v>1861</v>
      </c>
      <c r="F12" s="34">
        <f t="shared" si="44"/>
        <v>146.64468085106378</v>
      </c>
      <c r="G12" s="1">
        <v>16.3</v>
      </c>
      <c r="H12" s="16">
        <f t="shared" si="38"/>
        <v>872.51001683751952</v>
      </c>
      <c r="I12" s="300">
        <f t="shared" si="9"/>
        <v>786.81001683751947</v>
      </c>
      <c r="J12" s="1">
        <v>950</v>
      </c>
      <c r="K12" s="36">
        <f t="shared" si="0"/>
        <v>1875.5</v>
      </c>
      <c r="L12" s="36">
        <f>Clinker!EK12*1.55</f>
        <v>1875.5</v>
      </c>
      <c r="M12" s="36">
        <v>0</v>
      </c>
      <c r="N12" s="1">
        <v>1789.8</v>
      </c>
      <c r="O12" s="34">
        <f t="shared" si="1"/>
        <v>109.80368098159508</v>
      </c>
      <c r="P12" s="1">
        <v>0</v>
      </c>
      <c r="Q12" s="1">
        <v>0</v>
      </c>
      <c r="R12" s="15" t="e">
        <f t="shared" si="10"/>
        <v>#DIV/0!</v>
      </c>
      <c r="S12" s="1">
        <v>16.100000000000001</v>
      </c>
      <c r="T12" s="16">
        <f t="shared" si="11"/>
        <v>32.509999999999906</v>
      </c>
      <c r="U12" s="1">
        <v>207</v>
      </c>
      <c r="V12" s="1">
        <v>195</v>
      </c>
      <c r="W12" s="18">
        <f t="shared" si="2"/>
        <v>44.509999999999906</v>
      </c>
      <c r="X12" s="34">
        <f t="shared" si="3"/>
        <v>12.857142857142856</v>
      </c>
      <c r="Y12" s="1">
        <v>24</v>
      </c>
      <c r="Z12" s="33">
        <f>Clinker!EK12</f>
        <v>1210</v>
      </c>
      <c r="AA12" s="34">
        <f t="shared" si="4"/>
        <v>50.416666666666664</v>
      </c>
      <c r="AB12" s="37">
        <f>'Daily CEM-1'!H13</f>
        <v>4.63</v>
      </c>
      <c r="AC12" s="33">
        <f>'Daily CEM-1'!C13</f>
        <v>285</v>
      </c>
      <c r="AD12" s="34">
        <f t="shared" si="5"/>
        <v>61.555075593952488</v>
      </c>
      <c r="AE12" s="37">
        <f>'Daily CEM-1'!I13</f>
        <v>3.2</v>
      </c>
      <c r="AF12" s="33">
        <f>'Daily CEM-1'!D13</f>
        <v>200</v>
      </c>
      <c r="AG12" s="34">
        <f t="shared" si="12"/>
        <v>62.5</v>
      </c>
      <c r="AH12" s="61">
        <f>'Daily CEM-1'!J13</f>
        <v>0</v>
      </c>
      <c r="AI12" s="61">
        <f>'Daily CEM-1'!E13</f>
        <v>0</v>
      </c>
      <c r="AJ12" s="61"/>
      <c r="AK12" s="61">
        <f>'Daily CEM-1'!K13</f>
        <v>0</v>
      </c>
      <c r="AL12" s="61">
        <f>'Daily CEM-1'!F13</f>
        <v>0</v>
      </c>
      <c r="AM12" s="61" t="e">
        <f t="shared" si="13"/>
        <v>#DIV/0!</v>
      </c>
      <c r="AN12" s="60">
        <f>'Daily CEM-1'!L13</f>
        <v>4.8</v>
      </c>
      <c r="AO12" s="60">
        <f>'Daily CEM-1'!G13</f>
        <v>300</v>
      </c>
      <c r="AP12" s="60">
        <f t="shared" si="14"/>
        <v>62.5</v>
      </c>
      <c r="AQ12" s="37">
        <f>'Daily  CEM - 2'!H13</f>
        <v>13.98</v>
      </c>
      <c r="AR12" s="33">
        <f>'Daily  CEM - 2'!C13</f>
        <v>818</v>
      </c>
      <c r="AS12" s="34">
        <f t="shared" si="6"/>
        <v>58.512160228898423</v>
      </c>
      <c r="AT12" s="37">
        <f>'Daily  CEM - 2'!I13</f>
        <v>0</v>
      </c>
      <c r="AU12" s="33">
        <f>'Daily  CEM - 2'!D13</f>
        <v>0</v>
      </c>
      <c r="AV12" s="34" t="e">
        <f t="shared" si="7"/>
        <v>#DIV/0!</v>
      </c>
      <c r="AW12" s="61">
        <f>'Daily  CEM - 2'!J13</f>
        <v>0</v>
      </c>
      <c r="AX12" s="61">
        <f>'Daily  CEM - 2'!E13</f>
        <v>0</v>
      </c>
      <c r="AY12" s="197" t="e">
        <f t="shared" si="15"/>
        <v>#DIV/0!</v>
      </c>
      <c r="AZ12" s="61">
        <f>'Daily  CEM - 2'!K13</f>
        <v>2</v>
      </c>
      <c r="BA12" s="61">
        <f>'Daily  CEM - 2'!F13</f>
        <v>112</v>
      </c>
      <c r="BB12" s="60">
        <f t="shared" si="16"/>
        <v>56</v>
      </c>
      <c r="BC12" s="61">
        <f>'Daily  CEM - 2'!L13</f>
        <v>0</v>
      </c>
      <c r="BD12" s="61">
        <f>'Daily  CEM - 2'!G13</f>
        <v>0</v>
      </c>
      <c r="BE12" s="60" t="e">
        <f t="shared" si="17"/>
        <v>#DIV/0!</v>
      </c>
      <c r="BF12" s="16">
        <f t="shared" si="18"/>
        <v>2476.6579999999799</v>
      </c>
      <c r="BG12" s="36">
        <f t="shared" si="19"/>
        <v>1103</v>
      </c>
      <c r="BH12" s="1">
        <v>1196.74</v>
      </c>
      <c r="BI12" s="18">
        <f>BF12+BG12-BH12-'Internal use cement'!F12</f>
        <v>2382.9179999999797</v>
      </c>
      <c r="BJ12" s="16">
        <f t="shared" si="20"/>
        <v>191.29999999999995</v>
      </c>
      <c r="BK12" s="36">
        <f t="shared" si="21"/>
        <v>200</v>
      </c>
      <c r="BL12" s="1">
        <v>40</v>
      </c>
      <c r="BM12" s="18">
        <f>BJ12+BK12-BL12-'Internal use cement'!AB12</f>
        <v>351.29999999999995</v>
      </c>
      <c r="BN12" s="18">
        <f t="shared" si="39"/>
        <v>2.0900000000008498</v>
      </c>
      <c r="BO12" s="63">
        <f t="shared" si="45"/>
        <v>0</v>
      </c>
      <c r="BP12" s="1">
        <v>0</v>
      </c>
      <c r="BQ12" s="66">
        <f>BN12+BO12-BP12-'Internal use cement'!Q12</f>
        <v>2.0900000000008498</v>
      </c>
      <c r="BR12" s="18">
        <f t="shared" si="40"/>
        <v>171.3</v>
      </c>
      <c r="BS12" s="63">
        <f t="shared" si="23"/>
        <v>112</v>
      </c>
      <c r="BT12" s="1">
        <v>64</v>
      </c>
      <c r="BU12" s="66">
        <f>BR12+BS12-BT12-'Internal use cement'!AG12</f>
        <v>219.3</v>
      </c>
      <c r="BV12" s="66">
        <f t="shared" si="41"/>
        <v>713.11000000000024</v>
      </c>
      <c r="BW12" s="34">
        <f t="shared" si="24"/>
        <v>300</v>
      </c>
      <c r="BX12" s="15">
        <v>276.52</v>
      </c>
      <c r="BY12" s="66">
        <f>BV12+BW12-BX12-'Internal use cement'!AO12</f>
        <v>736.59000000000026</v>
      </c>
      <c r="BZ12" s="1">
        <v>1500</v>
      </c>
      <c r="CA12" s="1">
        <v>2150</v>
      </c>
      <c r="CB12" s="1">
        <v>238</v>
      </c>
      <c r="CC12" s="1">
        <f>SUM(BZ12:CB12)</f>
        <v>3888</v>
      </c>
      <c r="CD12" s="15">
        <f t="shared" si="25"/>
        <v>3692.1979999999812</v>
      </c>
      <c r="CE12" s="270">
        <f>CC12-CD12</f>
        <v>195.80200000001878</v>
      </c>
      <c r="CF12" s="15">
        <f t="shared" si="26"/>
        <v>1577.26</v>
      </c>
      <c r="CG12" s="15">
        <f t="shared" si="27"/>
        <v>1715</v>
      </c>
      <c r="CH12" s="270">
        <f t="shared" si="28"/>
        <v>163.18998316248053</v>
      </c>
      <c r="CJ12" s="52">
        <f t="shared" si="8"/>
        <v>7.83</v>
      </c>
      <c r="CK12" s="1">
        <v>10</v>
      </c>
      <c r="CL12" s="1">
        <f t="shared" si="29"/>
        <v>7.6999999999999993</v>
      </c>
      <c r="CM12" s="1">
        <f t="shared" si="30"/>
        <v>7.8999999999999986</v>
      </c>
      <c r="CN12" s="15">
        <f t="shared" si="31"/>
        <v>11.370000000000001</v>
      </c>
      <c r="CO12" s="15">
        <f t="shared" si="32"/>
        <v>8.02</v>
      </c>
      <c r="CP12" s="1">
        <f t="shared" si="33"/>
        <v>0</v>
      </c>
      <c r="CQ12" s="2">
        <v>10</v>
      </c>
      <c r="CR12" s="15">
        <f t="shared" si="34"/>
        <v>818</v>
      </c>
      <c r="CS12" s="15">
        <f>'Daily CEM-1'!H13+'Daily CEM-1'!I13+'Daily CEM-1'!J13+'Daily CEM-1'!K13+'Daily CEM-1'!L13</f>
        <v>12.629999999999999</v>
      </c>
      <c r="CT12" s="15">
        <f>AQ12+AT12+AW12+'Daily  CEM - 2'!K13+'Daily  CEM - 2'!L13</f>
        <v>15.98</v>
      </c>
      <c r="CU12" s="52">
        <f t="shared" si="35"/>
        <v>11.370000000000001</v>
      </c>
      <c r="CW12" s="52">
        <f t="shared" si="36"/>
        <v>1789.8</v>
      </c>
      <c r="CX12" s="52">
        <v>10</v>
      </c>
      <c r="CZ12">
        <f t="shared" si="37"/>
        <v>1789.8</v>
      </c>
    </row>
    <row r="13" spans="2:104" x14ac:dyDescent="0.25">
      <c r="B13" s="4">
        <v>11</v>
      </c>
      <c r="C13" s="1">
        <v>11.82</v>
      </c>
      <c r="D13" s="34">
        <f>'Mines (2)'!D13+'Mines (2)'!I13+'Mines (2)'!W13+'Mines (2)'!AA13+'Mines (2)'!AE13</f>
        <v>1717.4800000000005</v>
      </c>
      <c r="E13" s="169">
        <f>'Mines (2)'!E13+'Mines (2)'!J13+'Mines (2)'!X13+'Mines (2)'!AB13+'Mines (2)'!AF13</f>
        <v>1875</v>
      </c>
      <c r="F13" s="34">
        <f t="shared" si="44"/>
        <v>145.3028764805415</v>
      </c>
      <c r="G13" s="1">
        <v>16.5</v>
      </c>
      <c r="H13" s="16">
        <f t="shared" si="38"/>
        <v>786.81001683751947</v>
      </c>
      <c r="I13" s="300">
        <f t="shared" si="9"/>
        <v>876.75001683751952</v>
      </c>
      <c r="J13" s="1">
        <v>1220</v>
      </c>
      <c r="K13" s="36">
        <f t="shared" si="0"/>
        <v>1720.5</v>
      </c>
      <c r="L13" s="36">
        <f>Clinker!EK13*1.55</f>
        <v>1720.5</v>
      </c>
      <c r="M13" s="36">
        <v>0</v>
      </c>
      <c r="N13" s="1">
        <v>1810.44</v>
      </c>
      <c r="O13" s="34">
        <f t="shared" si="1"/>
        <v>109.72363636363637</v>
      </c>
      <c r="P13" s="1">
        <v>0</v>
      </c>
      <c r="Q13" s="1">
        <v>0</v>
      </c>
      <c r="R13" s="15" t="e">
        <f t="shared" si="10"/>
        <v>#DIV/0!</v>
      </c>
      <c r="S13" s="1">
        <v>16</v>
      </c>
      <c r="T13" s="16">
        <f t="shared" si="11"/>
        <v>44.509999999999906</v>
      </c>
      <c r="U13" s="1">
        <v>202.5</v>
      </c>
      <c r="V13" s="1">
        <v>195</v>
      </c>
      <c r="W13" s="18">
        <f t="shared" si="2"/>
        <v>52.009999999999906</v>
      </c>
      <c r="X13" s="34">
        <f t="shared" si="3"/>
        <v>12.65625</v>
      </c>
      <c r="Y13" s="1">
        <v>22.23</v>
      </c>
      <c r="Z13" s="33">
        <f>Clinker!EK13</f>
        <v>1110</v>
      </c>
      <c r="AA13" s="34">
        <f t="shared" si="4"/>
        <v>49.932523616734144</v>
      </c>
      <c r="AB13" s="37">
        <f>'Daily CEM-1'!H14</f>
        <v>10.8</v>
      </c>
      <c r="AC13" s="33">
        <f>'Daily CEM-1'!C14</f>
        <v>612</v>
      </c>
      <c r="AD13" s="34">
        <f t="shared" si="5"/>
        <v>56.666666666666664</v>
      </c>
      <c r="AE13" s="37">
        <f>'Daily CEM-1'!I14</f>
        <v>0</v>
      </c>
      <c r="AF13" s="33">
        <f>'Daily CEM-1'!D14</f>
        <v>0</v>
      </c>
      <c r="AG13" s="34" t="e">
        <f t="shared" si="12"/>
        <v>#DIV/0!</v>
      </c>
      <c r="AH13" s="61">
        <f>'Daily CEM-1'!J14</f>
        <v>0</v>
      </c>
      <c r="AI13" s="61">
        <f>'Daily CEM-1'!E14</f>
        <v>0</v>
      </c>
      <c r="AJ13" s="61"/>
      <c r="AK13" s="61">
        <f>'Daily CEM-1'!K14</f>
        <v>0</v>
      </c>
      <c r="AL13" s="61">
        <f>'Daily CEM-1'!F14</f>
        <v>0</v>
      </c>
      <c r="AM13" s="61" t="e">
        <f t="shared" si="13"/>
        <v>#DIV/0!</v>
      </c>
      <c r="AN13" s="60">
        <f>'Daily CEM-1'!L14</f>
        <v>5.2</v>
      </c>
      <c r="AO13" s="60">
        <f>'Daily CEM-1'!G14</f>
        <v>300</v>
      </c>
      <c r="AP13" s="60">
        <f t="shared" si="14"/>
        <v>57.692307692307693</v>
      </c>
      <c r="AQ13" s="37">
        <f>'Daily  CEM - 2'!H14</f>
        <v>10.08</v>
      </c>
      <c r="AR13" s="33">
        <f>'Daily  CEM - 2'!C14</f>
        <v>560</v>
      </c>
      <c r="AS13" s="34">
        <f t="shared" si="6"/>
        <v>55.555555555555557</v>
      </c>
      <c r="AT13" s="37">
        <f>'Daily  CEM - 2'!I14</f>
        <v>2.5</v>
      </c>
      <c r="AU13" s="33">
        <f>'Daily  CEM - 2'!D14</f>
        <v>150</v>
      </c>
      <c r="AV13" s="34">
        <f t="shared" si="7"/>
        <v>60</v>
      </c>
      <c r="AW13" s="61">
        <f>'Daily  CEM - 2'!J14</f>
        <v>0</v>
      </c>
      <c r="AX13" s="61">
        <f>'Daily  CEM - 2'!E14</f>
        <v>0</v>
      </c>
      <c r="AY13" s="197" t="e">
        <f t="shared" si="15"/>
        <v>#DIV/0!</v>
      </c>
      <c r="AZ13" s="61">
        <f>'Daily  CEM - 2'!K14</f>
        <v>0</v>
      </c>
      <c r="BA13" s="61">
        <f>'Daily  CEM - 2'!F14</f>
        <v>0</v>
      </c>
      <c r="BB13" s="60" t="e">
        <f t="shared" si="16"/>
        <v>#DIV/0!</v>
      </c>
      <c r="BC13" s="61">
        <f>'Daily  CEM - 2'!L14</f>
        <v>0</v>
      </c>
      <c r="BD13" s="61">
        <f>'Daily  CEM - 2'!G14</f>
        <v>0</v>
      </c>
      <c r="BE13" s="60" t="e">
        <f t="shared" si="17"/>
        <v>#DIV/0!</v>
      </c>
      <c r="BF13" s="16">
        <f t="shared" si="18"/>
        <v>2382.9179999999797</v>
      </c>
      <c r="BG13" s="36">
        <f t="shared" si="19"/>
        <v>1172</v>
      </c>
      <c r="BH13" s="1">
        <v>1101</v>
      </c>
      <c r="BI13" s="18">
        <f>BF13+BG13-BH13-'Internal use cement'!F13</f>
        <v>2453.9179999999797</v>
      </c>
      <c r="BJ13" s="16">
        <f t="shared" si="20"/>
        <v>351.29999999999995</v>
      </c>
      <c r="BK13" s="36">
        <f t="shared" si="21"/>
        <v>150</v>
      </c>
      <c r="BL13" s="1">
        <v>79</v>
      </c>
      <c r="BM13" s="18">
        <f>BJ13+BK13-BL13-'Internal use cement'!AB13</f>
        <v>422.29999999999995</v>
      </c>
      <c r="BN13" s="18">
        <f t="shared" si="39"/>
        <v>2.0900000000008498</v>
      </c>
      <c r="BO13" s="63">
        <f t="shared" si="45"/>
        <v>0</v>
      </c>
      <c r="BP13" s="1">
        <v>0</v>
      </c>
      <c r="BQ13" s="66">
        <f>BN13+BO13-BP13-'Internal use cement'!Q13</f>
        <v>2.0900000000008498</v>
      </c>
      <c r="BR13" s="18">
        <f t="shared" si="40"/>
        <v>219.3</v>
      </c>
      <c r="BS13" s="63">
        <f t="shared" si="23"/>
        <v>0</v>
      </c>
      <c r="BT13" s="1">
        <v>0</v>
      </c>
      <c r="BU13" s="66">
        <f>BR13+BS13-BT13-'Internal use cement'!AG13</f>
        <v>219.3</v>
      </c>
      <c r="BV13" s="66">
        <f t="shared" si="41"/>
        <v>736.59000000000026</v>
      </c>
      <c r="BW13" s="34">
        <f t="shared" si="24"/>
        <v>300</v>
      </c>
      <c r="BX13" s="15">
        <v>211.68</v>
      </c>
      <c r="BY13" s="66">
        <f>BV13+BW13-BX13-'Internal use cement'!AO13</f>
        <v>824.91000000000008</v>
      </c>
      <c r="BZ13" s="1">
        <v>1660</v>
      </c>
      <c r="CA13" s="1">
        <v>2264</v>
      </c>
      <c r="CB13" s="1">
        <v>229</v>
      </c>
      <c r="CC13" s="1">
        <f>SUM(BZ13:CB13)</f>
        <v>4153</v>
      </c>
      <c r="CD13" s="15">
        <f>BI13+BM13+BQ13+BU13+BY13</f>
        <v>3922.5179999999809</v>
      </c>
      <c r="CE13" s="270">
        <f>CC13-CD13</f>
        <v>230.48200000001907</v>
      </c>
      <c r="CF13" s="15">
        <f t="shared" si="26"/>
        <v>1391.68</v>
      </c>
      <c r="CG13" s="15">
        <f t="shared" si="27"/>
        <v>1622</v>
      </c>
      <c r="CH13" s="270">
        <f t="shared" si="28"/>
        <v>343.24998316248048</v>
      </c>
      <c r="CJ13" s="52">
        <f t="shared" si="8"/>
        <v>10.8</v>
      </c>
      <c r="CK13" s="1">
        <v>11</v>
      </c>
      <c r="CL13" s="1">
        <f t="shared" si="29"/>
        <v>7.5</v>
      </c>
      <c r="CM13" s="1">
        <f t="shared" si="30"/>
        <v>8</v>
      </c>
      <c r="CN13" s="15">
        <f t="shared" si="31"/>
        <v>8</v>
      </c>
      <c r="CO13" s="15">
        <f t="shared" si="32"/>
        <v>11.42</v>
      </c>
      <c r="CP13" s="1">
        <f t="shared" si="33"/>
        <v>1.7699999999999996</v>
      </c>
      <c r="CQ13" s="2">
        <v>11</v>
      </c>
      <c r="CR13" s="15">
        <f t="shared" si="34"/>
        <v>710</v>
      </c>
      <c r="CS13" s="15">
        <f>'Daily CEM-1'!H14+'Daily CEM-1'!I14+'Daily CEM-1'!J14+'Daily CEM-1'!K14+'Daily CEM-1'!L14</f>
        <v>16</v>
      </c>
      <c r="CT13" s="15">
        <f>AQ13+AT13+AW13+'Daily  CEM - 2'!K14+'Daily  CEM - 2'!L14</f>
        <v>12.58</v>
      </c>
      <c r="CU13" s="52">
        <f t="shared" si="35"/>
        <v>8</v>
      </c>
      <c r="CW13" s="52">
        <f t="shared" si="36"/>
        <v>1810.44</v>
      </c>
      <c r="CX13" s="52">
        <v>11</v>
      </c>
      <c r="CZ13">
        <f t="shared" si="37"/>
        <v>1810.44</v>
      </c>
    </row>
    <row r="14" spans="2:104" x14ac:dyDescent="0.25">
      <c r="B14" s="4">
        <v>12</v>
      </c>
      <c r="C14" s="1">
        <v>20.05</v>
      </c>
      <c r="D14" s="34">
        <f>'Mines (2)'!D14+'Mines (2)'!I14+'Mines (2)'!W14+'Mines (2)'!AA14+'Mines (2)'!AE14</f>
        <v>2817.34</v>
      </c>
      <c r="E14" s="169">
        <f>'Mines (2)'!E14+'Mines (2)'!J14+'Mines (2)'!X14+'Mines (2)'!AB14+'Mines (2)'!AF14</f>
        <v>1841</v>
      </c>
      <c r="F14" s="34">
        <f t="shared" si="44"/>
        <v>140.51571072319203</v>
      </c>
      <c r="G14" s="1">
        <v>16.07</v>
      </c>
      <c r="H14" s="16">
        <f t="shared" si="38"/>
        <v>876.75001683751952</v>
      </c>
      <c r="I14" s="300">
        <f t="shared" si="9"/>
        <v>773.49001683751976</v>
      </c>
      <c r="J14" s="1">
        <v>1070</v>
      </c>
      <c r="K14" s="36">
        <f t="shared" si="0"/>
        <v>1883.25</v>
      </c>
      <c r="L14" s="36">
        <f>Clinker!EK14*1.55</f>
        <v>1883.25</v>
      </c>
      <c r="M14" s="36">
        <v>0</v>
      </c>
      <c r="N14" s="1">
        <v>1779.99</v>
      </c>
      <c r="O14" s="34">
        <f t="shared" si="1"/>
        <v>110.76477909147479</v>
      </c>
      <c r="P14" s="1">
        <v>0</v>
      </c>
      <c r="Q14" s="1">
        <v>0</v>
      </c>
      <c r="R14" s="15" t="e">
        <f t="shared" si="10"/>
        <v>#DIV/0!</v>
      </c>
      <c r="S14" s="1">
        <v>16</v>
      </c>
      <c r="T14" s="16">
        <f t="shared" si="11"/>
        <v>52.009999999999906</v>
      </c>
      <c r="U14" s="1">
        <v>211.5</v>
      </c>
      <c r="V14" s="1">
        <v>210</v>
      </c>
      <c r="W14" s="18">
        <f t="shared" si="2"/>
        <v>53.509999999999877</v>
      </c>
      <c r="X14" s="34">
        <f t="shared" si="3"/>
        <v>13.21875</v>
      </c>
      <c r="Y14" s="1">
        <v>24</v>
      </c>
      <c r="Z14" s="33">
        <f>Clinker!EK14</f>
        <v>1215</v>
      </c>
      <c r="AA14" s="34">
        <f t="shared" si="4"/>
        <v>50.625</v>
      </c>
      <c r="AB14" s="37">
        <f>'Daily CEM-1'!H15</f>
        <v>2.0299999999999998</v>
      </c>
      <c r="AC14" s="33">
        <f>'Daily CEM-1'!C15</f>
        <v>110</v>
      </c>
      <c r="AD14" s="34">
        <f t="shared" si="5"/>
        <v>54.187192118226605</v>
      </c>
      <c r="AE14" s="37">
        <f>'Daily CEM-1'!I15</f>
        <v>0</v>
      </c>
      <c r="AF14" s="33">
        <f>'Daily CEM-1'!D15</f>
        <v>0</v>
      </c>
      <c r="AG14" s="34" t="e">
        <f t="shared" si="12"/>
        <v>#DIV/0!</v>
      </c>
      <c r="AH14" s="61">
        <f>'Daily CEM-1'!J15</f>
        <v>0</v>
      </c>
      <c r="AI14" s="61">
        <f>'Daily CEM-1'!E15</f>
        <v>0</v>
      </c>
      <c r="AJ14" s="61"/>
      <c r="AK14" s="61">
        <f>'Daily CEM-1'!K15</f>
        <v>0</v>
      </c>
      <c r="AL14" s="61">
        <f>'Daily CEM-1'!F15</f>
        <v>0</v>
      </c>
      <c r="AM14" s="61" t="e">
        <f t="shared" si="13"/>
        <v>#DIV/0!</v>
      </c>
      <c r="AN14" s="60">
        <f>'Daily CEM-1'!L15</f>
        <v>0</v>
      </c>
      <c r="AO14" s="60">
        <f>'Daily CEM-1'!G15</f>
        <v>0</v>
      </c>
      <c r="AP14" s="60" t="e">
        <f t="shared" si="14"/>
        <v>#DIV/0!</v>
      </c>
      <c r="AQ14" s="37">
        <f>'Daily  CEM - 2'!H15</f>
        <v>17.5</v>
      </c>
      <c r="AR14" s="33">
        <f>'Daily  CEM - 2'!C15</f>
        <v>1000</v>
      </c>
      <c r="AS14" s="34">
        <f t="shared" si="6"/>
        <v>57.142857142857146</v>
      </c>
      <c r="AT14" s="37">
        <f>'Daily  CEM - 2'!I15</f>
        <v>0</v>
      </c>
      <c r="AU14" s="33">
        <f>'Daily  CEM - 2'!D15</f>
        <v>0</v>
      </c>
      <c r="AV14" s="34" t="e">
        <f t="shared" si="7"/>
        <v>#DIV/0!</v>
      </c>
      <c r="AW14" s="61">
        <f>'Daily  CEM - 2'!J15</f>
        <v>0</v>
      </c>
      <c r="AX14" s="61">
        <f>'Daily  CEM - 2'!E15</f>
        <v>0</v>
      </c>
      <c r="AY14" s="197" t="e">
        <f t="shared" si="15"/>
        <v>#DIV/0!</v>
      </c>
      <c r="AZ14" s="61">
        <f>'Daily  CEM - 2'!K15</f>
        <v>0</v>
      </c>
      <c r="BA14" s="61">
        <f>'Daily  CEM - 2'!F15</f>
        <v>0</v>
      </c>
      <c r="BB14" s="60" t="e">
        <f t="shared" si="16"/>
        <v>#DIV/0!</v>
      </c>
      <c r="BC14" s="61">
        <f>'Daily  CEM - 2'!L15</f>
        <v>5.67</v>
      </c>
      <c r="BD14" s="61">
        <f>'Daily  CEM - 2'!G15</f>
        <v>350</v>
      </c>
      <c r="BE14" s="60">
        <f t="shared" si="17"/>
        <v>61.728395061728399</v>
      </c>
      <c r="BF14" s="16">
        <f t="shared" si="18"/>
        <v>2453.9179999999797</v>
      </c>
      <c r="BG14" s="36">
        <f t="shared" si="19"/>
        <v>1110</v>
      </c>
      <c r="BH14" s="1">
        <v>1479.5</v>
      </c>
      <c r="BI14" s="18">
        <f>BF14+BG14-BH14-'Internal use cement'!F14</f>
        <v>2084.4179999999797</v>
      </c>
      <c r="BJ14" s="16">
        <f t="shared" si="20"/>
        <v>422.29999999999995</v>
      </c>
      <c r="BK14" s="36">
        <f t="shared" si="21"/>
        <v>0</v>
      </c>
      <c r="BL14" s="1">
        <v>0</v>
      </c>
      <c r="BM14" s="18">
        <f>BJ14+BK14-BL14-'Internal use cement'!AB14</f>
        <v>422.29999999999995</v>
      </c>
      <c r="BN14" s="18">
        <f t="shared" si="39"/>
        <v>2.0900000000008498</v>
      </c>
      <c r="BO14" s="63">
        <f t="shared" si="45"/>
        <v>0</v>
      </c>
      <c r="BP14" s="1">
        <v>0</v>
      </c>
      <c r="BQ14" s="66">
        <f>BN14+BO14-BP14-'Internal use cement'!Q14</f>
        <v>2.0900000000008498</v>
      </c>
      <c r="BR14" s="18">
        <f t="shared" si="40"/>
        <v>219.3</v>
      </c>
      <c r="BS14" s="63">
        <f t="shared" si="23"/>
        <v>0</v>
      </c>
      <c r="BT14" s="1">
        <v>16</v>
      </c>
      <c r="BU14" s="66">
        <f>BR14+BS14-BT14-'Internal use cement'!AG14</f>
        <v>203.3</v>
      </c>
      <c r="BV14" s="66">
        <f t="shared" si="41"/>
        <v>824.91000000000008</v>
      </c>
      <c r="BW14" s="34">
        <f t="shared" si="24"/>
        <v>350</v>
      </c>
      <c r="BX14" s="15">
        <v>322.42</v>
      </c>
      <c r="BY14" s="66">
        <f>BV14+BW14-BX14-'Internal use cement'!AO14</f>
        <v>852.49</v>
      </c>
      <c r="BZ14" s="1">
        <v>1685</v>
      </c>
      <c r="CA14" s="1">
        <v>1866</v>
      </c>
      <c r="CB14" s="1">
        <v>215</v>
      </c>
      <c r="CC14" s="1">
        <f t="shared" si="42"/>
        <v>3766</v>
      </c>
      <c r="CD14" s="15">
        <f t="shared" si="25"/>
        <v>3564.5979999999809</v>
      </c>
      <c r="CE14" s="269">
        <f t="shared" si="46"/>
        <v>201.40200000001914</v>
      </c>
      <c r="CF14" s="15">
        <f t="shared" si="26"/>
        <v>1817.92</v>
      </c>
      <c r="CG14" s="15">
        <f t="shared" si="27"/>
        <v>1460</v>
      </c>
      <c r="CH14" s="270">
        <f t="shared" si="28"/>
        <v>296.50998316248024</v>
      </c>
      <c r="CJ14" s="52">
        <f t="shared" si="8"/>
        <v>2.0299999999999998</v>
      </c>
      <c r="CK14" s="1">
        <v>12</v>
      </c>
      <c r="CL14" s="1">
        <f t="shared" si="29"/>
        <v>7.93</v>
      </c>
      <c r="CM14" s="1">
        <f t="shared" si="30"/>
        <v>8</v>
      </c>
      <c r="CN14" s="15">
        <f t="shared" si="31"/>
        <v>21.97</v>
      </c>
      <c r="CO14" s="15">
        <f t="shared" si="32"/>
        <v>0.82999999999999829</v>
      </c>
      <c r="CP14" s="1">
        <f t="shared" si="33"/>
        <v>0</v>
      </c>
      <c r="CQ14" s="2">
        <v>12</v>
      </c>
      <c r="CR14" s="15">
        <f t="shared" si="34"/>
        <v>1000</v>
      </c>
      <c r="CS14" s="15">
        <f>'Daily CEM-1'!H15+'Daily CEM-1'!I15+'Daily CEM-1'!J15+'Daily CEM-1'!K15+'Daily CEM-1'!L15</f>
        <v>2.0299999999999998</v>
      </c>
      <c r="CT14" s="15">
        <f>AQ14+AT14+AW14+'Daily  CEM - 2'!K15+'Daily  CEM - 2'!L15</f>
        <v>23.17</v>
      </c>
      <c r="CU14" s="52">
        <f t="shared" si="35"/>
        <v>21.97</v>
      </c>
      <c r="CW14" s="52">
        <f t="shared" si="36"/>
        <v>1779.99</v>
      </c>
      <c r="CX14" s="52">
        <v>12</v>
      </c>
      <c r="CZ14">
        <f t="shared" si="37"/>
        <v>1779.99</v>
      </c>
    </row>
    <row r="15" spans="2:104" x14ac:dyDescent="0.25">
      <c r="B15" s="4">
        <v>13</v>
      </c>
      <c r="C15" s="1">
        <v>18.829999999999998</v>
      </c>
      <c r="D15" s="34">
        <f>'Mines (2)'!D15+'Mines (2)'!I15+'Mines (2)'!W15+'Mines (2)'!AA15+'Mines (2)'!AE15</f>
        <v>2932.28</v>
      </c>
      <c r="E15" s="169">
        <f>'Mines (2)'!E15+'Mines (2)'!J15+'Mines (2)'!X15+'Mines (2)'!AB15+'Mines (2)'!AF15</f>
        <v>2200</v>
      </c>
      <c r="F15" s="34">
        <f t="shared" si="44"/>
        <v>155.72384492830591</v>
      </c>
      <c r="G15" s="1">
        <v>18.43</v>
      </c>
      <c r="H15" s="16">
        <f t="shared" si="38"/>
        <v>773.49001683751976</v>
      </c>
      <c r="I15" s="300">
        <f t="shared" si="9"/>
        <v>907.71001683751956</v>
      </c>
      <c r="J15" s="1">
        <v>1326</v>
      </c>
      <c r="K15" s="36">
        <f>L15</f>
        <v>1976.25</v>
      </c>
      <c r="L15" s="36">
        <f>Clinker!EK15*1.55</f>
        <v>1976.25</v>
      </c>
      <c r="M15" s="36">
        <v>0</v>
      </c>
      <c r="N15" s="1">
        <v>2110.4699999999998</v>
      </c>
      <c r="O15" s="34">
        <f t="shared" si="1"/>
        <v>114.51275094953878</v>
      </c>
      <c r="P15" s="1">
        <v>0</v>
      </c>
      <c r="Q15" s="1">
        <v>0</v>
      </c>
      <c r="R15" s="15" t="e">
        <f t="shared" si="10"/>
        <v>#DIV/0!</v>
      </c>
      <c r="S15" s="1">
        <v>16</v>
      </c>
      <c r="T15" s="16">
        <f t="shared" si="11"/>
        <v>53.509999999999877</v>
      </c>
      <c r="U15" s="1">
        <v>214.2</v>
      </c>
      <c r="V15" s="1">
        <v>215</v>
      </c>
      <c r="W15" s="18">
        <f t="shared" si="2"/>
        <v>52.709999999999866</v>
      </c>
      <c r="X15" s="34">
        <f t="shared" si="3"/>
        <v>13.387499999999999</v>
      </c>
      <c r="Y15" s="1">
        <v>24</v>
      </c>
      <c r="Z15" s="33">
        <f>Clinker!EK15</f>
        <v>1275</v>
      </c>
      <c r="AA15" s="34">
        <f t="shared" si="4"/>
        <v>53.125</v>
      </c>
      <c r="AB15" s="37">
        <f>'Daily CEM-1'!H16</f>
        <v>11.68</v>
      </c>
      <c r="AC15" s="33">
        <f>'Daily CEM-1'!C16</f>
        <v>675</v>
      </c>
      <c r="AD15" s="34">
        <f t="shared" si="5"/>
        <v>57.791095890410958</v>
      </c>
      <c r="AE15" s="37">
        <f>'Daily CEM-1'!I16</f>
        <v>0</v>
      </c>
      <c r="AF15" s="33">
        <f>'Daily CEM-1'!D16</f>
        <v>0</v>
      </c>
      <c r="AG15" s="34" t="e">
        <f t="shared" si="12"/>
        <v>#DIV/0!</v>
      </c>
      <c r="AH15" s="61">
        <f>'Daily CEM-1'!J16</f>
        <v>0</v>
      </c>
      <c r="AI15" s="61">
        <f>'Daily CEM-1'!E16</f>
        <v>0</v>
      </c>
      <c r="AJ15" s="61"/>
      <c r="AK15" s="61">
        <f>'Daily CEM-1'!K16</f>
        <v>0</v>
      </c>
      <c r="AL15" s="61">
        <f>'Daily CEM-1'!F16</f>
        <v>0</v>
      </c>
      <c r="AM15" s="61" t="e">
        <f t="shared" si="13"/>
        <v>#DIV/0!</v>
      </c>
      <c r="AN15" s="60">
        <f>'Daily CEM-1'!L16</f>
        <v>0</v>
      </c>
      <c r="AO15" s="60">
        <f>'Daily CEM-1'!G16</f>
        <v>0</v>
      </c>
      <c r="AP15" s="60" t="e">
        <f t="shared" si="14"/>
        <v>#DIV/0!</v>
      </c>
      <c r="AQ15" s="37">
        <f>'Daily  CEM - 2'!H16</f>
        <v>21</v>
      </c>
      <c r="AR15" s="33">
        <f>'Daily  CEM - 2'!C16</f>
        <v>1155</v>
      </c>
      <c r="AS15" s="34">
        <f t="shared" si="6"/>
        <v>55</v>
      </c>
      <c r="AT15" s="37">
        <f>'Daily  CEM - 2'!I16</f>
        <v>2.63</v>
      </c>
      <c r="AU15" s="33">
        <f>'Daily  CEM - 2'!D16</f>
        <v>150</v>
      </c>
      <c r="AV15" s="34">
        <f t="shared" si="7"/>
        <v>57.034220532319395</v>
      </c>
      <c r="AW15" s="61">
        <f>'Daily  CEM - 2'!J16</f>
        <v>0</v>
      </c>
      <c r="AX15" s="61">
        <f>'Daily  CEM - 2'!E16</f>
        <v>0</v>
      </c>
      <c r="AY15" s="197" t="e">
        <f t="shared" si="15"/>
        <v>#DIV/0!</v>
      </c>
      <c r="AZ15" s="61">
        <f>'Daily  CEM - 2'!K16</f>
        <v>0</v>
      </c>
      <c r="BA15" s="61">
        <f>'Daily  CEM - 2'!F16</f>
        <v>0</v>
      </c>
      <c r="BB15" s="60" t="e">
        <f t="shared" si="16"/>
        <v>#DIV/0!</v>
      </c>
      <c r="BC15" s="61">
        <f>'Daily  CEM - 2'!L16</f>
        <v>0</v>
      </c>
      <c r="BD15" s="61">
        <f>'Daily  CEM - 2'!G16</f>
        <v>0</v>
      </c>
      <c r="BE15" s="60" t="e">
        <f t="shared" si="17"/>
        <v>#DIV/0!</v>
      </c>
      <c r="BF15" s="16">
        <f t="shared" si="18"/>
        <v>2084.4179999999797</v>
      </c>
      <c r="BG15" s="36">
        <f t="shared" si="19"/>
        <v>1830</v>
      </c>
      <c r="BH15" s="1">
        <v>1566.61</v>
      </c>
      <c r="BI15" s="18">
        <f>BF15+BG15-BH15-'Internal use cement'!F15</f>
        <v>2347.80799999998</v>
      </c>
      <c r="BJ15" s="16">
        <f t="shared" si="20"/>
        <v>422.29999999999995</v>
      </c>
      <c r="BK15" s="36">
        <f t="shared" si="21"/>
        <v>150</v>
      </c>
      <c r="BL15" s="1">
        <v>238</v>
      </c>
      <c r="BM15" s="18">
        <f>BJ15+BK15-BL15-'Internal use cement'!AB15</f>
        <v>334.29999999999995</v>
      </c>
      <c r="BN15" s="18">
        <f t="shared" si="39"/>
        <v>2.0900000000008498</v>
      </c>
      <c r="BO15" s="63">
        <f t="shared" si="45"/>
        <v>0</v>
      </c>
      <c r="BP15" s="1">
        <v>0</v>
      </c>
      <c r="BQ15" s="66">
        <f>BN15+BO15-BP15-'Internal use cement'!Q15</f>
        <v>2.0900000000008498</v>
      </c>
      <c r="BR15" s="18">
        <f t="shared" si="40"/>
        <v>203.3</v>
      </c>
      <c r="BS15" s="63">
        <f t="shared" si="23"/>
        <v>0</v>
      </c>
      <c r="BT15" s="1">
        <v>0</v>
      </c>
      <c r="BU15" s="66">
        <f>BR15+BS15-BT15-'Internal use cement'!AG15</f>
        <v>203.3</v>
      </c>
      <c r="BV15" s="66">
        <f t="shared" si="41"/>
        <v>852.49</v>
      </c>
      <c r="BW15" s="34">
        <f t="shared" si="24"/>
        <v>0</v>
      </c>
      <c r="BX15" s="15">
        <v>149.5</v>
      </c>
      <c r="BY15" s="66">
        <f>BV15+BW15-BX15-'Internal use cement'!AO15</f>
        <v>702.99</v>
      </c>
      <c r="BZ15" s="1">
        <v>1370</v>
      </c>
      <c r="CA15" s="1">
        <v>2289</v>
      </c>
      <c r="CB15" s="1">
        <v>215</v>
      </c>
      <c r="CC15" s="1">
        <f t="shared" si="42"/>
        <v>3874</v>
      </c>
      <c r="CD15" s="15">
        <f t="shared" si="25"/>
        <v>3590.4879999999812</v>
      </c>
      <c r="CE15" s="269">
        <f t="shared" si="46"/>
        <v>283.51200000001882</v>
      </c>
      <c r="CF15" s="15">
        <f t="shared" si="26"/>
        <v>1954.11</v>
      </c>
      <c r="CG15" s="15">
        <f t="shared" si="27"/>
        <v>1980</v>
      </c>
      <c r="CH15" s="270">
        <f t="shared" si="28"/>
        <v>418.28998316248044</v>
      </c>
      <c r="CJ15" s="52">
        <f t="shared" si="8"/>
        <v>11.68</v>
      </c>
      <c r="CK15" s="1">
        <v>13</v>
      </c>
      <c r="CL15" s="1">
        <f t="shared" si="29"/>
        <v>5.57</v>
      </c>
      <c r="CM15" s="1">
        <f t="shared" si="30"/>
        <v>8</v>
      </c>
      <c r="CN15" s="15">
        <f t="shared" si="31"/>
        <v>12.32</v>
      </c>
      <c r="CO15" s="15">
        <f t="shared" si="32"/>
        <v>0.37000000000000099</v>
      </c>
      <c r="CP15" s="1">
        <f t="shared" si="33"/>
        <v>0</v>
      </c>
      <c r="CQ15" s="2">
        <v>13</v>
      </c>
      <c r="CR15" s="15">
        <f t="shared" si="34"/>
        <v>1305</v>
      </c>
      <c r="CS15" s="15">
        <f>'Daily CEM-1'!H16+'Daily CEM-1'!I16+'Daily CEM-1'!J16+'Daily CEM-1'!K16+'Daily CEM-1'!L16</f>
        <v>11.68</v>
      </c>
      <c r="CT15" s="15">
        <f>AQ15+AT15+AW15+'Daily  CEM - 2'!K16+'Daily  CEM - 2'!L16</f>
        <v>23.63</v>
      </c>
      <c r="CU15" s="52">
        <f t="shared" si="35"/>
        <v>12.32</v>
      </c>
      <c r="CW15" s="52">
        <f t="shared" si="36"/>
        <v>2110.4699999999998</v>
      </c>
      <c r="CX15" s="52">
        <v>13</v>
      </c>
      <c r="CZ15">
        <f t="shared" si="37"/>
        <v>2110.4699999999998</v>
      </c>
    </row>
    <row r="16" spans="2:104" x14ac:dyDescent="0.25">
      <c r="B16" s="4">
        <v>14</v>
      </c>
      <c r="C16" s="1">
        <v>18.63</v>
      </c>
      <c r="D16" s="34">
        <f>'Mines (2)'!D16+'Mines (2)'!I16+'Mines (2)'!W16+'Mines (2)'!AA16+'Mines (2)'!AE16</f>
        <v>2547.62</v>
      </c>
      <c r="E16" s="169">
        <f>'Mines (2)'!E16+'Mines (2)'!J16+'Mines (2)'!X16+'Mines (2)'!AB16+'Mines (2)'!AF16</f>
        <v>2117</v>
      </c>
      <c r="F16" s="65">
        <f t="shared" si="44"/>
        <v>136.7482555018787</v>
      </c>
      <c r="G16" s="1">
        <v>17.45</v>
      </c>
      <c r="H16" s="16">
        <f t="shared" si="38"/>
        <v>907.71001683751956</v>
      </c>
      <c r="I16" s="300">
        <f t="shared" si="9"/>
        <v>1011.3200168375197</v>
      </c>
      <c r="J16" s="1">
        <v>1364</v>
      </c>
      <c r="K16" s="36">
        <f t="shared" si="0"/>
        <v>1937.5</v>
      </c>
      <c r="L16" s="36">
        <f>Clinker!EK16*1.55</f>
        <v>1937.5</v>
      </c>
      <c r="M16" s="36">
        <v>0</v>
      </c>
      <c r="N16" s="1">
        <v>2041.11</v>
      </c>
      <c r="O16" s="34">
        <f t="shared" si="1"/>
        <v>116.96905444126074</v>
      </c>
      <c r="P16" s="1">
        <v>0</v>
      </c>
      <c r="Q16" s="1">
        <v>0</v>
      </c>
      <c r="R16" s="15" t="e">
        <f t="shared" si="10"/>
        <v>#DIV/0!</v>
      </c>
      <c r="S16" s="1">
        <v>17</v>
      </c>
      <c r="T16" s="16">
        <f t="shared" si="11"/>
        <v>52.709999999999866</v>
      </c>
      <c r="U16" s="1">
        <v>216</v>
      </c>
      <c r="V16" s="1">
        <v>218</v>
      </c>
      <c r="W16" s="18">
        <f t="shared" si="2"/>
        <v>50.709999999999866</v>
      </c>
      <c r="X16" s="34">
        <f t="shared" si="3"/>
        <v>12.705882352941176</v>
      </c>
      <c r="Y16" s="1">
        <v>24</v>
      </c>
      <c r="Z16" s="33">
        <f>Clinker!EK16</f>
        <v>1250</v>
      </c>
      <c r="AA16" s="34">
        <f t="shared" si="4"/>
        <v>52.083333333333336</v>
      </c>
      <c r="AB16" s="37">
        <f>'Daily CEM-1'!H17</f>
        <v>9.8800000000000008</v>
      </c>
      <c r="AC16" s="33">
        <f>'Daily CEM-1'!C17</f>
        <v>632</v>
      </c>
      <c r="AD16" s="34">
        <f t="shared" si="5"/>
        <v>63.967611336032384</v>
      </c>
      <c r="AE16" s="37">
        <f>'Daily CEM-1'!I17</f>
        <v>0</v>
      </c>
      <c r="AF16" s="33">
        <f>'Daily CEM-1'!D17</f>
        <v>0</v>
      </c>
      <c r="AG16" s="34" t="e">
        <f t="shared" si="12"/>
        <v>#DIV/0!</v>
      </c>
      <c r="AH16" s="61">
        <f>'Daily CEM-1'!J17</f>
        <v>0</v>
      </c>
      <c r="AI16" s="61">
        <f>'Daily CEM-1'!E17</f>
        <v>0</v>
      </c>
      <c r="AJ16" s="61"/>
      <c r="AK16" s="61">
        <f>'Daily CEM-1'!K17</f>
        <v>0</v>
      </c>
      <c r="AL16" s="61">
        <f>'Daily CEM-1'!F17</f>
        <v>0</v>
      </c>
      <c r="AM16" s="61" t="e">
        <f t="shared" si="13"/>
        <v>#DIV/0!</v>
      </c>
      <c r="AN16" s="60">
        <f>'Daily CEM-1'!L17</f>
        <v>0</v>
      </c>
      <c r="AO16" s="60">
        <f>'Daily CEM-1'!G17</f>
        <v>0</v>
      </c>
      <c r="AP16" s="60" t="e">
        <f t="shared" si="14"/>
        <v>#DIV/0!</v>
      </c>
      <c r="AQ16" s="37">
        <f>'Daily  CEM - 2'!H17</f>
        <v>18.239999999999998</v>
      </c>
      <c r="AR16" s="33">
        <f>'Daily  CEM - 2'!C17</f>
        <v>1022</v>
      </c>
      <c r="AS16" s="34">
        <f t="shared" si="6"/>
        <v>56.030701754385973</v>
      </c>
      <c r="AT16" s="37">
        <f>'Daily  CEM - 2'!I17</f>
        <v>5</v>
      </c>
      <c r="AU16" s="33">
        <f>'Daily  CEM - 2'!D17</f>
        <v>300</v>
      </c>
      <c r="AV16" s="34">
        <f t="shared" si="7"/>
        <v>60</v>
      </c>
      <c r="AW16" s="61">
        <f>'Daily  CEM - 2'!J17</f>
        <v>0</v>
      </c>
      <c r="AX16" s="61">
        <f>'Daily  CEM - 2'!E17</f>
        <v>0</v>
      </c>
      <c r="AY16" s="197" t="e">
        <f t="shared" si="15"/>
        <v>#DIV/0!</v>
      </c>
      <c r="AZ16" s="61">
        <f>'Daily  CEM - 2'!K17</f>
        <v>0</v>
      </c>
      <c r="BA16" s="61">
        <f>'Daily  CEM - 2'!F17</f>
        <v>0</v>
      </c>
      <c r="BB16" s="60" t="e">
        <f t="shared" si="16"/>
        <v>#DIV/0!</v>
      </c>
      <c r="BC16" s="61">
        <f>'Daily  CEM - 2'!L17</f>
        <v>0</v>
      </c>
      <c r="BD16" s="61">
        <f>'Daily  CEM - 2'!G17</f>
        <v>0</v>
      </c>
      <c r="BE16" s="60" t="e">
        <f t="shared" si="17"/>
        <v>#DIV/0!</v>
      </c>
      <c r="BF16" s="16">
        <f t="shared" si="18"/>
        <v>2347.80799999998</v>
      </c>
      <c r="BG16" s="36">
        <f t="shared" si="19"/>
        <v>1654</v>
      </c>
      <c r="BH16" s="1">
        <v>1632.4</v>
      </c>
      <c r="BI16" s="18">
        <f>BF16+BG16-BH16-'Internal use cement'!F16</f>
        <v>2369.4079999999799</v>
      </c>
      <c r="BJ16" s="16">
        <f>BM15</f>
        <v>334.29999999999995</v>
      </c>
      <c r="BK16" s="36">
        <f t="shared" si="21"/>
        <v>300</v>
      </c>
      <c r="BL16" s="1">
        <v>218</v>
      </c>
      <c r="BM16" s="18">
        <f>BJ16+BK16-BL16-'Internal use cement'!AB16</f>
        <v>416.29999999999995</v>
      </c>
      <c r="BN16" s="18">
        <f t="shared" si="39"/>
        <v>2.0900000000008498</v>
      </c>
      <c r="BO16" s="63">
        <f t="shared" si="45"/>
        <v>0</v>
      </c>
      <c r="BP16" s="1">
        <v>0</v>
      </c>
      <c r="BQ16" s="66">
        <f>BN16+BO16-BP16-'Internal use cement'!Q16</f>
        <v>9.0000000000849845E-2</v>
      </c>
      <c r="BR16" s="18">
        <f t="shared" si="40"/>
        <v>203.3</v>
      </c>
      <c r="BS16" s="63">
        <f t="shared" si="23"/>
        <v>0</v>
      </c>
      <c r="BT16" s="1">
        <v>0</v>
      </c>
      <c r="BU16" s="66">
        <f>BR16+BS16-BT16-'Internal use cement'!AG16</f>
        <v>203.3</v>
      </c>
      <c r="BV16" s="66">
        <f t="shared" si="41"/>
        <v>702.99</v>
      </c>
      <c r="BW16" s="34">
        <f t="shared" si="24"/>
        <v>0</v>
      </c>
      <c r="BX16" s="15">
        <v>276.45999999999998</v>
      </c>
      <c r="BY16" s="66">
        <f>BV16+BW16-BX16-'Internal use cement'!AO16</f>
        <v>426.53000000000003</v>
      </c>
      <c r="BZ16" s="1">
        <v>1399</v>
      </c>
      <c r="CA16" s="1">
        <v>2160</v>
      </c>
      <c r="CB16" s="1">
        <v>225</v>
      </c>
      <c r="CC16" s="1">
        <f t="shared" si="42"/>
        <v>3784</v>
      </c>
      <c r="CD16" s="15">
        <f t="shared" si="25"/>
        <v>3415.6279999999811</v>
      </c>
      <c r="CE16" s="269">
        <f t="shared" si="46"/>
        <v>368.37200000001894</v>
      </c>
      <c r="CF16" s="15">
        <f t="shared" si="26"/>
        <v>2126.86</v>
      </c>
      <c r="CG16" s="15">
        <f t="shared" si="27"/>
        <v>1954</v>
      </c>
      <c r="CH16" s="270">
        <f t="shared" si="28"/>
        <v>352.67998316248031</v>
      </c>
      <c r="CJ16" s="52">
        <f t="shared" si="8"/>
        <v>9.8800000000000008</v>
      </c>
      <c r="CK16" s="1">
        <v>14</v>
      </c>
      <c r="CL16" s="1">
        <f t="shared" si="29"/>
        <v>6.5500000000000007</v>
      </c>
      <c r="CM16" s="1">
        <f t="shared" si="30"/>
        <v>7</v>
      </c>
      <c r="CN16" s="15">
        <f t="shared" si="31"/>
        <v>14.12</v>
      </c>
      <c r="CO16" s="15">
        <f t="shared" si="32"/>
        <v>0.76000000000000156</v>
      </c>
      <c r="CP16" s="1">
        <f t="shared" si="33"/>
        <v>0</v>
      </c>
      <c r="CQ16" s="2">
        <v>14</v>
      </c>
      <c r="CR16" s="15">
        <f t="shared" si="34"/>
        <v>1322</v>
      </c>
      <c r="CS16" s="15">
        <f>'Daily CEM-1'!H17+'Daily CEM-1'!I17+'Daily CEM-1'!J17+'Daily CEM-1'!K17+'Daily CEM-1'!L17</f>
        <v>9.8800000000000008</v>
      </c>
      <c r="CT16" s="15">
        <f>AQ16+AT16+AW16+'Daily  CEM - 2'!K17+'Daily  CEM - 2'!L17</f>
        <v>23.24</v>
      </c>
      <c r="CU16" s="52">
        <f t="shared" si="35"/>
        <v>14.12</v>
      </c>
      <c r="CW16" s="52">
        <f t="shared" si="36"/>
        <v>2041.11</v>
      </c>
      <c r="CX16" s="52">
        <v>14</v>
      </c>
      <c r="CZ16">
        <f t="shared" si="37"/>
        <v>2041.11</v>
      </c>
    </row>
    <row r="17" spans="2:106" x14ac:dyDescent="0.25">
      <c r="B17" s="4">
        <v>15</v>
      </c>
      <c r="C17" s="1">
        <v>17.13</v>
      </c>
      <c r="D17" s="34">
        <f>'Mines (2)'!D17+'Mines (2)'!I17+'Mines (2)'!W17+'Mines (2)'!AA17+'Mines (2)'!AE17</f>
        <v>2468.1999999999998</v>
      </c>
      <c r="E17" s="169">
        <f>'Mines (2)'!E17+'Mines (2)'!J17+'Mines (2)'!X17+'Mines (2)'!AB17+'Mines (2)'!AF17</f>
        <v>1836</v>
      </c>
      <c r="F17" s="65">
        <f t="shared" si="44"/>
        <v>144.08639813193227</v>
      </c>
      <c r="G17" s="1">
        <v>15.68</v>
      </c>
      <c r="H17" s="16">
        <f t="shared" si="38"/>
        <v>1011.3200168375197</v>
      </c>
      <c r="I17" s="300">
        <f t="shared" si="9"/>
        <v>1192.5400168375199</v>
      </c>
      <c r="J17" s="1">
        <v>1640</v>
      </c>
      <c r="K17" s="36">
        <f>L17</f>
        <v>1588.75</v>
      </c>
      <c r="L17" s="36">
        <f>Clinker!EK17*1.55</f>
        <v>1588.75</v>
      </c>
      <c r="M17" s="36">
        <v>0</v>
      </c>
      <c r="N17" s="1">
        <v>1769.97</v>
      </c>
      <c r="O17" s="34">
        <f t="shared" si="1"/>
        <v>112.88073979591837</v>
      </c>
      <c r="P17" s="1">
        <v>0</v>
      </c>
      <c r="Q17" s="1">
        <v>0</v>
      </c>
      <c r="R17" s="15" t="e">
        <f t="shared" si="10"/>
        <v>#DIV/0!</v>
      </c>
      <c r="S17" s="1">
        <v>13</v>
      </c>
      <c r="T17" s="16">
        <f t="shared" si="11"/>
        <v>50.709999999999866</v>
      </c>
      <c r="U17" s="1">
        <v>185</v>
      </c>
      <c r="V17" s="1">
        <v>190</v>
      </c>
      <c r="W17" s="18">
        <f t="shared" si="2"/>
        <v>45.709999999999866</v>
      </c>
      <c r="X17" s="34">
        <f t="shared" si="3"/>
        <v>14.23076923076923</v>
      </c>
      <c r="Y17" s="1">
        <v>18.27</v>
      </c>
      <c r="Z17" s="33">
        <f>Clinker!EK17</f>
        <v>1025</v>
      </c>
      <c r="AA17" s="34">
        <f t="shared" si="4"/>
        <v>56.102900930487138</v>
      </c>
      <c r="AB17" s="37">
        <f>'Daily CEM-1'!H18</f>
        <v>21.28</v>
      </c>
      <c r="AC17" s="33">
        <f>'Daily CEM-1'!C18</f>
        <v>1250</v>
      </c>
      <c r="AD17" s="34">
        <f t="shared" si="5"/>
        <v>58.740601503759393</v>
      </c>
      <c r="AE17" s="37">
        <f>'Daily CEM-1'!I18</f>
        <v>0</v>
      </c>
      <c r="AF17" s="33">
        <f>'Daily CEM-1'!D18</f>
        <v>0</v>
      </c>
      <c r="AG17" s="34" t="e">
        <f t="shared" si="12"/>
        <v>#DIV/0!</v>
      </c>
      <c r="AH17" s="61">
        <f>'Daily CEM-1'!J18</f>
        <v>0</v>
      </c>
      <c r="AI17" s="61">
        <f>'Daily CEM-1'!E18</f>
        <v>0</v>
      </c>
      <c r="AJ17" s="61"/>
      <c r="AK17" s="61">
        <f>'Daily CEM-1'!K18</f>
        <v>0</v>
      </c>
      <c r="AL17" s="61">
        <f>'Daily CEM-1'!F18</f>
        <v>0</v>
      </c>
      <c r="AM17" s="61" t="e">
        <f t="shared" si="13"/>
        <v>#DIV/0!</v>
      </c>
      <c r="AN17" s="60">
        <f>'Daily CEM-1'!L18</f>
        <v>0</v>
      </c>
      <c r="AO17" s="60">
        <f>'Daily CEM-1'!G18</f>
        <v>0</v>
      </c>
      <c r="AP17" s="60" t="e">
        <f t="shared" si="14"/>
        <v>#DIV/0!</v>
      </c>
      <c r="AQ17" s="37">
        <f>'Daily  CEM - 2'!H18</f>
        <v>12.4</v>
      </c>
      <c r="AR17" s="33">
        <f>'Daily  CEM - 2'!C18</f>
        <v>680</v>
      </c>
      <c r="AS17" s="34">
        <f t="shared" si="6"/>
        <v>54.838709677419352</v>
      </c>
      <c r="AT17" s="37">
        <f>'Daily  CEM - 2'!I18</f>
        <v>0</v>
      </c>
      <c r="AU17" s="33">
        <f>'Daily  CEM - 2'!D18</f>
        <v>0</v>
      </c>
      <c r="AV17" s="34" t="e">
        <f t="shared" si="7"/>
        <v>#DIV/0!</v>
      </c>
      <c r="AW17" s="61">
        <f>'Daily  CEM - 2'!J18</f>
        <v>0</v>
      </c>
      <c r="AX17" s="61">
        <f>'Daily  CEM - 2'!E18</f>
        <v>0</v>
      </c>
      <c r="AY17" s="197" t="e">
        <f t="shared" si="15"/>
        <v>#DIV/0!</v>
      </c>
      <c r="AZ17" s="61">
        <f>'Daily  CEM - 2'!K18</f>
        <v>0</v>
      </c>
      <c r="BA17" s="61">
        <f>'Daily  CEM - 2'!F18</f>
        <v>0</v>
      </c>
      <c r="BB17" s="60" t="e">
        <f t="shared" si="16"/>
        <v>#DIV/0!</v>
      </c>
      <c r="BC17" s="61">
        <f>'Daily  CEM - 2'!L18</f>
        <v>0</v>
      </c>
      <c r="BD17" s="61">
        <f>'Daily  CEM - 2'!G18</f>
        <v>0</v>
      </c>
      <c r="BE17" s="60" t="e">
        <f t="shared" si="17"/>
        <v>#DIV/0!</v>
      </c>
      <c r="BF17" s="16">
        <f t="shared" si="18"/>
        <v>2369.4079999999799</v>
      </c>
      <c r="BG17" s="36">
        <f t="shared" si="19"/>
        <v>1930</v>
      </c>
      <c r="BH17" s="1">
        <v>1794</v>
      </c>
      <c r="BI17" s="18">
        <f>BF17+BG17-BH17-'Internal use cement'!F17</f>
        <v>2505.4079999999794</v>
      </c>
      <c r="BJ17" s="16">
        <f t="shared" si="20"/>
        <v>416.29999999999995</v>
      </c>
      <c r="BK17" s="36">
        <f t="shared" si="21"/>
        <v>0</v>
      </c>
      <c r="BL17" s="1">
        <v>94</v>
      </c>
      <c r="BM17" s="18">
        <f>BJ17+BK17-BL17-'Internal use cement'!AB17</f>
        <v>322.29999999999995</v>
      </c>
      <c r="BN17" s="18">
        <f t="shared" si="39"/>
        <v>9.0000000000849845E-2</v>
      </c>
      <c r="BO17" s="63">
        <f t="shared" si="45"/>
        <v>0</v>
      </c>
      <c r="BP17" s="1">
        <v>0</v>
      </c>
      <c r="BQ17" s="66">
        <f>BN17+BO17-BP17-'Internal use cement'!Q17</f>
        <v>9.0000000000849845E-2</v>
      </c>
      <c r="BR17" s="18">
        <f t="shared" si="40"/>
        <v>203.3</v>
      </c>
      <c r="BS17" s="63">
        <f t="shared" si="23"/>
        <v>0</v>
      </c>
      <c r="BT17" s="1">
        <v>0</v>
      </c>
      <c r="BU17" s="66">
        <f>BR17+BS17-BT17-'Internal use cement'!AG17</f>
        <v>203.3</v>
      </c>
      <c r="BV17" s="66">
        <f t="shared" si="41"/>
        <v>426.53000000000003</v>
      </c>
      <c r="BW17" s="34">
        <f t="shared" si="24"/>
        <v>0</v>
      </c>
      <c r="BX17" s="15">
        <v>29.92</v>
      </c>
      <c r="BY17" s="66">
        <f>BV17+BW17-BX17-'Internal use cement'!AO17</f>
        <v>396.61</v>
      </c>
      <c r="BZ17" s="1">
        <v>1693</v>
      </c>
      <c r="CA17" s="1">
        <v>1960</v>
      </c>
      <c r="CB17" s="1">
        <v>207</v>
      </c>
      <c r="CC17" s="1">
        <f t="shared" si="42"/>
        <v>3860</v>
      </c>
      <c r="CD17" s="15">
        <f t="shared" si="25"/>
        <v>3427.707999999981</v>
      </c>
      <c r="CE17" s="269">
        <f t="shared" si="46"/>
        <v>432.29200000001902</v>
      </c>
      <c r="CF17" s="15">
        <f t="shared" si="26"/>
        <v>1917.92</v>
      </c>
      <c r="CG17" s="15">
        <f t="shared" si="27"/>
        <v>1930</v>
      </c>
      <c r="CH17" s="270">
        <f t="shared" si="28"/>
        <v>447.45998316248006</v>
      </c>
      <c r="CJ17" s="52">
        <f t="shared" si="8"/>
        <v>21.28</v>
      </c>
      <c r="CK17" s="1">
        <v>15</v>
      </c>
      <c r="CL17" s="1">
        <f t="shared" si="29"/>
        <v>8.32</v>
      </c>
      <c r="CM17" s="1">
        <f t="shared" si="30"/>
        <v>11</v>
      </c>
      <c r="CN17" s="15">
        <f t="shared" si="31"/>
        <v>2.7199999999999989</v>
      </c>
      <c r="CO17" s="15">
        <f t="shared" si="32"/>
        <v>11.6</v>
      </c>
      <c r="CP17" s="1">
        <f t="shared" si="33"/>
        <v>5.73</v>
      </c>
      <c r="CQ17" s="2">
        <v>15</v>
      </c>
      <c r="CR17" s="15">
        <f t="shared" si="34"/>
        <v>680</v>
      </c>
      <c r="CS17" s="15">
        <f>'Daily CEM-1'!H18+'Daily CEM-1'!I18+'Daily CEM-1'!J18+'Daily CEM-1'!K18+'Daily CEM-1'!L18</f>
        <v>21.28</v>
      </c>
      <c r="CT17" s="15">
        <f>AQ17+AT17+AW17+'Daily  CEM - 2'!K18+'Daily  CEM - 2'!L18</f>
        <v>12.4</v>
      </c>
      <c r="CU17" s="52">
        <f t="shared" si="35"/>
        <v>2.7199999999999989</v>
      </c>
      <c r="CW17" s="52">
        <f t="shared" si="36"/>
        <v>1769.97</v>
      </c>
      <c r="CX17" s="52">
        <v>15</v>
      </c>
      <c r="CZ17">
        <f t="shared" si="37"/>
        <v>1769.97</v>
      </c>
    </row>
    <row r="18" spans="2:106" s="321" customFormat="1" x14ac:dyDescent="0.25">
      <c r="B18" s="348">
        <v>16</v>
      </c>
      <c r="C18" s="1">
        <v>20.38</v>
      </c>
      <c r="D18" s="361">
        <f>'Mines (2)'!D18+'Mines (2)'!I18+'Mines (2)'!W18+'Mines (2)'!AA18+'Mines (2)'!AE18</f>
        <v>3672.7400000000007</v>
      </c>
      <c r="E18" s="370">
        <f>'Mines (2)'!E18+'Mines (2)'!J18+'Mines (2)'!X18+'Mines (2)'!AB18+'Mines (2)'!AF18</f>
        <v>2588</v>
      </c>
      <c r="F18" s="361">
        <f t="shared" si="44"/>
        <v>180.21295387634942</v>
      </c>
      <c r="G18" s="1">
        <v>21.5</v>
      </c>
      <c r="H18" s="16">
        <f t="shared" si="38"/>
        <v>1192.5400168375199</v>
      </c>
      <c r="I18" s="300">
        <f t="shared" si="9"/>
        <v>1488.8100168375199</v>
      </c>
      <c r="J18" s="1">
        <v>1988</v>
      </c>
      <c r="K18" s="371">
        <f t="shared" si="0"/>
        <v>2197.9</v>
      </c>
      <c r="L18" s="371">
        <f>Clinker!EK18*1.55</f>
        <v>2197.9</v>
      </c>
      <c r="M18" s="36">
        <v>0</v>
      </c>
      <c r="N18" s="1">
        <v>2494.17</v>
      </c>
      <c r="O18" s="361">
        <f t="shared" si="1"/>
        <v>116.0079069767442</v>
      </c>
      <c r="P18" s="1">
        <v>0</v>
      </c>
      <c r="Q18" s="1">
        <v>0</v>
      </c>
      <c r="R18" s="364" t="e">
        <f t="shared" si="10"/>
        <v>#DIV/0!</v>
      </c>
      <c r="S18" s="1">
        <v>16.96</v>
      </c>
      <c r="T18" s="360">
        <f t="shared" si="11"/>
        <v>45.709999999999866</v>
      </c>
      <c r="U18" s="1">
        <v>238</v>
      </c>
      <c r="V18" s="1">
        <v>257</v>
      </c>
      <c r="W18" s="353">
        <f t="shared" si="2"/>
        <v>26.709999999999866</v>
      </c>
      <c r="X18" s="361">
        <f t="shared" si="3"/>
        <v>14.033018867924527</v>
      </c>
      <c r="Y18" s="1">
        <v>23.69</v>
      </c>
      <c r="Z18" s="352">
        <f>Clinker!EK18</f>
        <v>1418</v>
      </c>
      <c r="AA18" s="361">
        <f t="shared" si="4"/>
        <v>59.856479527226675</v>
      </c>
      <c r="AB18" s="372">
        <f>'Daily CEM-1'!H19</f>
        <v>18.25</v>
      </c>
      <c r="AC18" s="352">
        <f>'Daily CEM-1'!C19</f>
        <v>1170</v>
      </c>
      <c r="AD18" s="361">
        <f t="shared" si="5"/>
        <v>64.109589041095887</v>
      </c>
      <c r="AE18" s="372">
        <f>'Daily CEM-1'!I19</f>
        <v>0</v>
      </c>
      <c r="AF18" s="352">
        <f>'Daily CEM-1'!D19</f>
        <v>0</v>
      </c>
      <c r="AG18" s="361" t="e">
        <f t="shared" si="12"/>
        <v>#DIV/0!</v>
      </c>
      <c r="AH18" s="373">
        <f>'Daily CEM-1'!J19</f>
        <v>0</v>
      </c>
      <c r="AI18" s="373">
        <f>'Daily CEM-1'!E19</f>
        <v>0</v>
      </c>
      <c r="AJ18" s="373"/>
      <c r="AK18" s="373">
        <f>'Daily CEM-1'!K19</f>
        <v>0</v>
      </c>
      <c r="AL18" s="373">
        <f>'Daily CEM-1'!F19</f>
        <v>0</v>
      </c>
      <c r="AM18" s="373" t="e">
        <f t="shared" si="13"/>
        <v>#DIV/0!</v>
      </c>
      <c r="AN18" s="60">
        <f>'Daily CEM-1'!L19</f>
        <v>5</v>
      </c>
      <c r="AO18" s="60">
        <f>'Daily CEM-1'!G19</f>
        <v>300</v>
      </c>
      <c r="AP18" s="60">
        <f t="shared" si="14"/>
        <v>60</v>
      </c>
      <c r="AQ18" s="372">
        <f>'Daily  CEM - 2'!H19</f>
        <v>12.17</v>
      </c>
      <c r="AR18" s="352">
        <f>'Daily  CEM - 2'!C19</f>
        <v>660</v>
      </c>
      <c r="AS18" s="361">
        <f t="shared" si="6"/>
        <v>54.231717337715693</v>
      </c>
      <c r="AT18" s="372">
        <f>'Daily  CEM - 2'!I19</f>
        <v>0</v>
      </c>
      <c r="AU18" s="352">
        <f>'Daily  CEM - 2'!D19</f>
        <v>0</v>
      </c>
      <c r="AV18" s="361" t="e">
        <f t="shared" si="7"/>
        <v>#DIV/0!</v>
      </c>
      <c r="AW18" s="373">
        <f>'Daily  CEM - 2'!J19</f>
        <v>0</v>
      </c>
      <c r="AX18" s="373">
        <f>'Daily  CEM - 2'!E19</f>
        <v>0</v>
      </c>
      <c r="AY18" s="374" t="e">
        <f t="shared" si="15"/>
        <v>#DIV/0!</v>
      </c>
      <c r="AZ18" s="373">
        <f>'Daily  CEM - 2'!K19</f>
        <v>0</v>
      </c>
      <c r="BA18" s="373">
        <f>'Daily  CEM - 2'!F19</f>
        <v>0</v>
      </c>
      <c r="BB18" s="375" t="e">
        <f t="shared" si="16"/>
        <v>#DIV/0!</v>
      </c>
      <c r="BC18" s="61">
        <f>'Daily  CEM - 2'!L19</f>
        <v>0</v>
      </c>
      <c r="BD18" s="61">
        <f>'Daily  CEM - 2'!G19</f>
        <v>0</v>
      </c>
      <c r="BE18" s="375" t="e">
        <f t="shared" si="17"/>
        <v>#DIV/0!</v>
      </c>
      <c r="BF18" s="360">
        <f t="shared" si="18"/>
        <v>2505.4079999999794</v>
      </c>
      <c r="BG18" s="371">
        <f t="shared" si="19"/>
        <v>1830</v>
      </c>
      <c r="BH18" s="1">
        <v>1597.48</v>
      </c>
      <c r="BI18" s="18">
        <f>BF18+BG18-BH18-'Internal use cement'!F18</f>
        <v>2737.9279999999794</v>
      </c>
      <c r="BJ18" s="360">
        <f t="shared" si="20"/>
        <v>322.29999999999995</v>
      </c>
      <c r="BK18" s="371">
        <f t="shared" si="21"/>
        <v>0</v>
      </c>
      <c r="BL18" s="1">
        <v>59</v>
      </c>
      <c r="BM18" s="353">
        <f>BJ18+BK18-BL18-'Internal use cement'!AB18</f>
        <v>263.29999999999995</v>
      </c>
      <c r="BN18" s="353">
        <f t="shared" si="39"/>
        <v>9.0000000000849845E-2</v>
      </c>
      <c r="BO18" s="376">
        <f t="shared" si="45"/>
        <v>0</v>
      </c>
      <c r="BP18" s="1">
        <v>0</v>
      </c>
      <c r="BQ18" s="377">
        <f>BN18+BO18-BP18-'Internal use cement'!Q18</f>
        <v>9.0000000000849845E-2</v>
      </c>
      <c r="BR18" s="353">
        <f t="shared" si="40"/>
        <v>203.3</v>
      </c>
      <c r="BS18" s="376">
        <f t="shared" si="23"/>
        <v>0</v>
      </c>
      <c r="BT18" s="1">
        <v>30</v>
      </c>
      <c r="BU18" s="377">
        <f>BR18+BS18-BT18-'Internal use cement'!AG18</f>
        <v>173.3</v>
      </c>
      <c r="BV18" s="66">
        <f t="shared" si="41"/>
        <v>396.61</v>
      </c>
      <c r="BW18" s="34">
        <f t="shared" si="24"/>
        <v>300</v>
      </c>
      <c r="BX18" s="15">
        <v>451.76</v>
      </c>
      <c r="BY18" s="66">
        <f>BV18+BW18-BX18-'Internal use cement'!AO18</f>
        <v>244.85000000000002</v>
      </c>
      <c r="BZ18" s="1">
        <v>1550</v>
      </c>
      <c r="CA18" s="1">
        <v>2176</v>
      </c>
      <c r="CB18" s="1">
        <v>182</v>
      </c>
      <c r="CC18" s="322">
        <f t="shared" si="42"/>
        <v>3908</v>
      </c>
      <c r="CD18" s="15">
        <f t="shared" si="25"/>
        <v>3419.4679999999803</v>
      </c>
      <c r="CE18" s="269">
        <f t="shared" si="46"/>
        <v>488.53200000001971</v>
      </c>
      <c r="CF18" s="15">
        <f t="shared" si="26"/>
        <v>2138.2399999999998</v>
      </c>
      <c r="CG18" s="15">
        <f t="shared" si="27"/>
        <v>2130</v>
      </c>
      <c r="CH18" s="270">
        <f t="shared" si="28"/>
        <v>499.18998316248008</v>
      </c>
      <c r="CJ18" s="369">
        <f t="shared" si="8"/>
        <v>18.25</v>
      </c>
      <c r="CK18" s="322">
        <v>16</v>
      </c>
      <c r="CL18" s="322">
        <f t="shared" si="29"/>
        <v>2.5</v>
      </c>
      <c r="CM18" s="322">
        <f t="shared" si="30"/>
        <v>7.0399999999999991</v>
      </c>
      <c r="CN18" s="364">
        <f t="shared" si="31"/>
        <v>0.75</v>
      </c>
      <c r="CO18" s="364">
        <f t="shared" si="32"/>
        <v>11.83</v>
      </c>
      <c r="CP18" s="322">
        <f t="shared" si="33"/>
        <v>0.30999999999999872</v>
      </c>
      <c r="CQ18" s="378">
        <v>16</v>
      </c>
      <c r="CR18" s="364">
        <f t="shared" si="34"/>
        <v>660</v>
      </c>
      <c r="CS18" s="15">
        <f>'Daily CEM-1'!H19+'Daily CEM-1'!I19+'Daily CEM-1'!J19+'Daily CEM-1'!K19+'Daily CEM-1'!L19</f>
        <v>23.25</v>
      </c>
      <c r="CT18" s="15">
        <f>AQ18+AT18+AW18+'Daily  CEM - 2'!K19+'Daily  CEM - 2'!L19</f>
        <v>12.17</v>
      </c>
      <c r="CU18" s="369">
        <f t="shared" si="35"/>
        <v>0.75</v>
      </c>
      <c r="CW18" s="52">
        <f t="shared" si="36"/>
        <v>2494.17</v>
      </c>
      <c r="CX18" s="52">
        <v>16</v>
      </c>
      <c r="CZ18">
        <f t="shared" si="37"/>
        <v>2494.17</v>
      </c>
    </row>
    <row r="19" spans="2:106" x14ac:dyDescent="0.25">
      <c r="B19" s="4">
        <v>17</v>
      </c>
      <c r="C19" s="1">
        <v>17.53</v>
      </c>
      <c r="D19" s="34">
        <f>'Mines (2)'!D19+'Mines (2)'!I19+'Mines (2)'!W19+'Mines (2)'!AA19+'Mines (2)'!AE19</f>
        <v>2788.1400000000003</v>
      </c>
      <c r="E19" s="169">
        <f>'Mines (2)'!E19+'Mines (2)'!J19+'Mines (2)'!X19+'Mines (2)'!AB19+'Mines (2)'!AF19</f>
        <v>2545</v>
      </c>
      <c r="F19" s="34">
        <f t="shared" si="44"/>
        <v>159.04962920707359</v>
      </c>
      <c r="G19" s="1">
        <v>18.600000000000001</v>
      </c>
      <c r="H19" s="16">
        <f t="shared" si="38"/>
        <v>1488.8100168375199</v>
      </c>
      <c r="I19" s="300">
        <f t="shared" si="9"/>
        <v>1316.5900168375201</v>
      </c>
      <c r="J19" s="1">
        <v>1724</v>
      </c>
      <c r="K19" s="36">
        <f>L19</f>
        <v>2573</v>
      </c>
      <c r="L19" s="36">
        <f>Clinker!EK19*1.55</f>
        <v>2573</v>
      </c>
      <c r="M19" s="36">
        <v>0</v>
      </c>
      <c r="N19" s="1">
        <v>2306</v>
      </c>
      <c r="O19" s="34">
        <f t="shared" si="1"/>
        <v>123.97849462365591</v>
      </c>
      <c r="P19" s="1">
        <v>11.88</v>
      </c>
      <c r="Q19" s="1">
        <v>94.78</v>
      </c>
      <c r="R19" s="15">
        <f t="shared" si="10"/>
        <v>7.9781144781144775</v>
      </c>
      <c r="S19" s="1">
        <v>19</v>
      </c>
      <c r="T19" s="16">
        <f t="shared" si="11"/>
        <v>26.709999999999866</v>
      </c>
      <c r="U19" s="1">
        <v>256.5</v>
      </c>
      <c r="V19" s="1">
        <v>254</v>
      </c>
      <c r="W19" s="18">
        <f t="shared" si="2"/>
        <v>29.209999999999866</v>
      </c>
      <c r="X19" s="34">
        <f t="shared" si="3"/>
        <v>13.5</v>
      </c>
      <c r="Y19" s="1">
        <v>24</v>
      </c>
      <c r="Z19" s="33">
        <f>Clinker!EK19</f>
        <v>1660</v>
      </c>
      <c r="AA19" s="34">
        <f t="shared" si="4"/>
        <v>69.166666666666671</v>
      </c>
      <c r="AB19" s="37">
        <f>'Daily CEM-1'!H20</f>
        <v>11.1</v>
      </c>
      <c r="AC19" s="33">
        <f>'Daily CEM-1'!C20</f>
        <v>710</v>
      </c>
      <c r="AD19" s="34">
        <f t="shared" si="5"/>
        <v>63.963963963963963</v>
      </c>
      <c r="AE19" s="37">
        <f>'Daily CEM-1'!I20</f>
        <v>6.7</v>
      </c>
      <c r="AF19" s="33">
        <f>'Daily CEM-1'!D20</f>
        <v>450</v>
      </c>
      <c r="AG19" s="34">
        <f t="shared" si="12"/>
        <v>67.164179104477611</v>
      </c>
      <c r="AH19" s="61">
        <f>'Daily CEM-1'!J20</f>
        <v>0</v>
      </c>
      <c r="AI19" s="61">
        <f>'Daily CEM-1'!E20</f>
        <v>0</v>
      </c>
      <c r="AJ19" s="61"/>
      <c r="AK19" s="61">
        <f>'Daily CEM-1'!K20</f>
        <v>0</v>
      </c>
      <c r="AL19" s="61">
        <f>'Daily CEM-1'!F20</f>
        <v>0</v>
      </c>
      <c r="AM19" s="61" t="e">
        <f t="shared" si="13"/>
        <v>#DIV/0!</v>
      </c>
      <c r="AN19" s="60">
        <f>'Daily CEM-1'!L20</f>
        <v>6.2</v>
      </c>
      <c r="AO19" s="60">
        <f>'Daily CEM-1'!G20</f>
        <v>400</v>
      </c>
      <c r="AP19" s="60">
        <f t="shared" si="14"/>
        <v>64.516129032258064</v>
      </c>
      <c r="AQ19" s="37">
        <f>'Daily  CEM - 2'!H20</f>
        <v>0</v>
      </c>
      <c r="AR19" s="33">
        <f>'Daily  CEM - 2'!C20</f>
        <v>0</v>
      </c>
      <c r="AS19" s="34" t="e">
        <f t="shared" si="6"/>
        <v>#DIV/0!</v>
      </c>
      <c r="AT19" s="37">
        <f>'Daily  CEM - 2'!I20</f>
        <v>0</v>
      </c>
      <c r="AU19" s="33">
        <f>'Daily  CEM - 2'!D20</f>
        <v>0</v>
      </c>
      <c r="AV19" s="34" t="e">
        <f t="shared" si="7"/>
        <v>#DIV/0!</v>
      </c>
      <c r="AW19" s="61">
        <f>'Daily  CEM - 2'!J20</f>
        <v>0</v>
      </c>
      <c r="AX19" s="61">
        <f>'Daily  CEM - 2'!E20</f>
        <v>0</v>
      </c>
      <c r="AY19" s="197" t="e">
        <f t="shared" si="15"/>
        <v>#DIV/0!</v>
      </c>
      <c r="AZ19" s="61">
        <f>'Daily  CEM - 2'!K20</f>
        <v>0</v>
      </c>
      <c r="BA19" s="61">
        <f>'Daily  CEM - 2'!F20</f>
        <v>0</v>
      </c>
      <c r="BB19" s="60" t="e">
        <f t="shared" si="16"/>
        <v>#DIV/0!</v>
      </c>
      <c r="BC19" s="61">
        <f>'Daily  CEM - 2'!L20</f>
        <v>0</v>
      </c>
      <c r="BD19" s="61">
        <f>'Daily  CEM - 2'!G20</f>
        <v>0</v>
      </c>
      <c r="BE19" s="60" t="e">
        <f t="shared" si="17"/>
        <v>#DIV/0!</v>
      </c>
      <c r="BF19" s="16">
        <f t="shared" si="18"/>
        <v>2737.9279999999794</v>
      </c>
      <c r="BG19" s="36">
        <f t="shared" si="19"/>
        <v>710</v>
      </c>
      <c r="BH19" s="1">
        <v>829.23</v>
      </c>
      <c r="BI19" s="18">
        <f>BF19+BG19-BH19-'Internal use cement'!F19</f>
        <v>2618.6979999999794</v>
      </c>
      <c r="BJ19" s="16">
        <f t="shared" si="20"/>
        <v>263.29999999999995</v>
      </c>
      <c r="BK19" s="36">
        <f t="shared" si="21"/>
        <v>450</v>
      </c>
      <c r="BL19" s="1">
        <v>372</v>
      </c>
      <c r="BM19" s="18">
        <f>BJ19+BK19-BL19-'Internal use cement'!AB19</f>
        <v>341.29999999999995</v>
      </c>
      <c r="BN19" s="18">
        <f t="shared" si="39"/>
        <v>9.0000000000849845E-2</v>
      </c>
      <c r="BO19" s="63">
        <f t="shared" si="45"/>
        <v>0</v>
      </c>
      <c r="BP19" s="1">
        <v>0</v>
      </c>
      <c r="BQ19" s="66">
        <f>BN19+BO19-BP19-'Internal use cement'!Q19</f>
        <v>9.0000000000849845E-2</v>
      </c>
      <c r="BR19" s="18">
        <f t="shared" si="40"/>
        <v>173.3</v>
      </c>
      <c r="BS19" s="63">
        <f t="shared" si="23"/>
        <v>0</v>
      </c>
      <c r="BT19" s="1">
        <v>30</v>
      </c>
      <c r="BU19" s="66">
        <f>BR19+BS19-BT19-'Internal use cement'!AG19</f>
        <v>143.30000000000001</v>
      </c>
      <c r="BV19" s="66">
        <f t="shared" si="41"/>
        <v>244.85000000000002</v>
      </c>
      <c r="BW19" s="34">
        <f t="shared" si="24"/>
        <v>400</v>
      </c>
      <c r="BX19" s="15">
        <v>269.68</v>
      </c>
      <c r="BY19" s="66">
        <f>BV19+BW19-BX19-'Internal use cement'!AO19</f>
        <v>375.17</v>
      </c>
      <c r="BZ19" s="1">
        <v>1893</v>
      </c>
      <c r="CA19" s="1">
        <v>2068</v>
      </c>
      <c r="CB19" s="1">
        <v>137</v>
      </c>
      <c r="CC19" s="1">
        <f t="shared" si="42"/>
        <v>4098</v>
      </c>
      <c r="CD19" s="15">
        <f t="shared" si="25"/>
        <v>3478.5579999999809</v>
      </c>
      <c r="CE19" s="270">
        <f>CC19-CD19</f>
        <v>619.44200000001911</v>
      </c>
      <c r="CF19" s="15">
        <f t="shared" si="26"/>
        <v>1500.91</v>
      </c>
      <c r="CG19" s="15">
        <f t="shared" si="27"/>
        <v>1560</v>
      </c>
      <c r="CH19" s="270">
        <f>J19-I19</f>
        <v>407.40998316247988</v>
      </c>
      <c r="CJ19" s="52">
        <f t="shared" si="8"/>
        <v>17.8</v>
      </c>
      <c r="CK19" s="1">
        <v>17</v>
      </c>
      <c r="CL19" s="1">
        <f t="shared" si="29"/>
        <v>5.3999999999999986</v>
      </c>
      <c r="CM19" s="1">
        <f t="shared" si="30"/>
        <v>5</v>
      </c>
      <c r="CN19" s="15">
        <f t="shared" si="31"/>
        <v>0</v>
      </c>
      <c r="CO19" s="15">
        <f t="shared" si="32"/>
        <v>24</v>
      </c>
      <c r="CP19" s="1">
        <f t="shared" si="33"/>
        <v>0</v>
      </c>
      <c r="CQ19" s="2">
        <v>17</v>
      </c>
      <c r="CR19" s="15">
        <f t="shared" si="34"/>
        <v>0</v>
      </c>
      <c r="CS19" s="15">
        <f>'Daily CEM-1'!H20+'Daily CEM-1'!I20+'Daily CEM-1'!J20+'Daily CEM-1'!K20+'Daily CEM-1'!L20</f>
        <v>24</v>
      </c>
      <c r="CT19" s="15">
        <f>AQ19+AT19+AW19+'Daily  CEM - 2'!K20+'Daily  CEM - 2'!L20</f>
        <v>0</v>
      </c>
      <c r="CU19" s="52">
        <f t="shared" si="35"/>
        <v>0</v>
      </c>
      <c r="CW19" s="52">
        <f t="shared" si="36"/>
        <v>2400.7800000000002</v>
      </c>
      <c r="CX19" s="52">
        <v>17</v>
      </c>
      <c r="CZ19">
        <f t="shared" si="37"/>
        <v>2400.7800000000002</v>
      </c>
    </row>
    <row r="20" spans="2:106" x14ac:dyDescent="0.25">
      <c r="B20" s="4">
        <v>18</v>
      </c>
      <c r="C20" s="1">
        <v>15.22</v>
      </c>
      <c r="D20" s="34">
        <f>'Mines (2)'!D20+'Mines (2)'!I20+'Mines (2)'!W20+'Mines (2)'!AA20+'Mines (2)'!AE20</f>
        <v>2578.3599999999997</v>
      </c>
      <c r="E20" s="169">
        <f>'Mines (2)'!E20+'Mines (2)'!J20+'Mines (2)'!X20+'Mines (2)'!AB20+'Mines (2)'!AF20</f>
        <v>2664</v>
      </c>
      <c r="F20" s="34">
        <f t="shared" si="44"/>
        <v>169.40604467805517</v>
      </c>
      <c r="G20" s="1">
        <v>19.579999999999998</v>
      </c>
      <c r="H20" s="16">
        <f t="shared" si="38"/>
        <v>1316.5900168375201</v>
      </c>
      <c r="I20" s="300">
        <f t="shared" si="9"/>
        <v>1495.7900168375199</v>
      </c>
      <c r="J20" s="1">
        <v>1920</v>
      </c>
      <c r="K20" s="36">
        <f t="shared" si="0"/>
        <v>2340.5</v>
      </c>
      <c r="L20" s="36">
        <f>Clinker!EK20*1.55</f>
        <v>2340.5</v>
      </c>
      <c r="M20" s="36">
        <v>0</v>
      </c>
      <c r="N20" s="1">
        <v>2320</v>
      </c>
      <c r="O20" s="34">
        <f t="shared" si="1"/>
        <v>118.488253319714</v>
      </c>
      <c r="P20" s="1">
        <v>20</v>
      </c>
      <c r="Q20" s="1">
        <v>199.7</v>
      </c>
      <c r="R20" s="15">
        <f t="shared" si="10"/>
        <v>9.9849999999999994</v>
      </c>
      <c r="S20" s="1">
        <v>16.059999999999999</v>
      </c>
      <c r="T20" s="16">
        <f t="shared" si="11"/>
        <v>29.209999999999866</v>
      </c>
      <c r="U20" s="1">
        <v>233</v>
      </c>
      <c r="V20" s="1">
        <v>227</v>
      </c>
      <c r="W20" s="18">
        <f t="shared" si="2"/>
        <v>35.209999999999866</v>
      </c>
      <c r="X20" s="34">
        <f t="shared" si="3"/>
        <v>14.508094645080948</v>
      </c>
      <c r="Y20" s="1">
        <v>22.2</v>
      </c>
      <c r="Z20" s="33">
        <f>Clinker!EK20</f>
        <v>1510</v>
      </c>
      <c r="AA20" s="34">
        <f t="shared" si="4"/>
        <v>68.018018018018026</v>
      </c>
      <c r="AB20" s="37">
        <f>'Daily CEM-1'!H21</f>
        <v>8.3800000000000008</v>
      </c>
      <c r="AC20" s="33">
        <f>'Daily CEM-1'!C21</f>
        <v>547</v>
      </c>
      <c r="AD20" s="34">
        <f t="shared" si="5"/>
        <v>65.274463007159895</v>
      </c>
      <c r="AE20" s="37">
        <f>'Daily CEM-1'!I21</f>
        <v>4.4000000000000004</v>
      </c>
      <c r="AF20" s="33">
        <f>'Daily CEM-1'!D21</f>
        <v>300</v>
      </c>
      <c r="AG20" s="34">
        <f t="shared" si="12"/>
        <v>68.181818181818173</v>
      </c>
      <c r="AH20" s="61">
        <f>'Daily CEM-1'!J21</f>
        <v>0</v>
      </c>
      <c r="AI20" s="61">
        <f>'Daily CEM-1'!E21</f>
        <v>0</v>
      </c>
      <c r="AJ20" s="61"/>
      <c r="AK20" s="61">
        <f>'Daily CEM-1'!K21</f>
        <v>0</v>
      </c>
      <c r="AL20" s="61">
        <f>'Daily CEM-1'!F21</f>
        <v>0</v>
      </c>
      <c r="AM20" s="61" t="e">
        <f t="shared" si="13"/>
        <v>#DIV/0!</v>
      </c>
      <c r="AN20" s="60">
        <f>'Daily CEM-1'!L21</f>
        <v>5.9</v>
      </c>
      <c r="AO20" s="60">
        <f>'Daily CEM-1'!G21</f>
        <v>400</v>
      </c>
      <c r="AP20" s="60">
        <f t="shared" si="14"/>
        <v>67.796610169491515</v>
      </c>
      <c r="AQ20" s="37">
        <f>'Daily  CEM - 2'!H21</f>
        <v>0</v>
      </c>
      <c r="AR20" s="33">
        <f>'Daily  CEM - 2'!C21</f>
        <v>0</v>
      </c>
      <c r="AS20" s="34" t="e">
        <f t="shared" si="6"/>
        <v>#DIV/0!</v>
      </c>
      <c r="AT20" s="37">
        <f>'Daily  CEM - 2'!I21</f>
        <v>0</v>
      </c>
      <c r="AU20" s="33">
        <f>'Daily  CEM - 2'!D21</f>
        <v>0</v>
      </c>
      <c r="AV20" s="34" t="e">
        <f t="shared" si="7"/>
        <v>#DIV/0!</v>
      </c>
      <c r="AW20" s="61">
        <f>'Daily  CEM - 2'!J21</f>
        <v>0</v>
      </c>
      <c r="AX20" s="61">
        <f>'Daily  CEM - 2'!E21</f>
        <v>0</v>
      </c>
      <c r="AY20" s="197" t="e">
        <f t="shared" si="15"/>
        <v>#DIV/0!</v>
      </c>
      <c r="AZ20" s="61">
        <f>'Daily  CEM - 2'!K21</f>
        <v>0</v>
      </c>
      <c r="BA20" s="61">
        <f>'Daily  CEM - 2'!F21</f>
        <v>0</v>
      </c>
      <c r="BB20" s="60" t="e">
        <f t="shared" si="16"/>
        <v>#DIV/0!</v>
      </c>
      <c r="BC20" s="61">
        <f>'Daily  CEM - 2'!L21</f>
        <v>0</v>
      </c>
      <c r="BD20" s="61">
        <f>'Daily  CEM - 2'!G21</f>
        <v>0</v>
      </c>
      <c r="BE20" s="60" t="e">
        <f t="shared" si="17"/>
        <v>#DIV/0!</v>
      </c>
      <c r="BF20" s="16">
        <f t="shared" si="18"/>
        <v>2618.6979999999794</v>
      </c>
      <c r="BG20" s="36">
        <f t="shared" si="19"/>
        <v>547</v>
      </c>
      <c r="BH20" s="1">
        <v>1237.5</v>
      </c>
      <c r="BI20" s="18">
        <f>BF20+BG20-BH20-'Internal use cement'!F20</f>
        <v>1928.1979999999794</v>
      </c>
      <c r="BJ20" s="16">
        <f t="shared" si="20"/>
        <v>341.29999999999995</v>
      </c>
      <c r="BK20" s="36">
        <f t="shared" si="21"/>
        <v>300</v>
      </c>
      <c r="BL20" s="1">
        <v>151</v>
      </c>
      <c r="BM20" s="18">
        <f>BJ20+BK20-BL20-'Internal use cement'!AB20</f>
        <v>490.29999999999995</v>
      </c>
      <c r="BN20" s="18">
        <f t="shared" si="39"/>
        <v>9.0000000000849845E-2</v>
      </c>
      <c r="BO20" s="63">
        <f t="shared" si="45"/>
        <v>0</v>
      </c>
      <c r="BP20" s="1">
        <v>0</v>
      </c>
      <c r="BQ20" s="66">
        <f>BN20+BO20-BP20-'Internal use cement'!Q20</f>
        <v>9.0000000000849845E-2</v>
      </c>
      <c r="BR20" s="18">
        <f t="shared" si="40"/>
        <v>143.30000000000001</v>
      </c>
      <c r="BS20" s="63">
        <f>BA20+AL20</f>
        <v>0</v>
      </c>
      <c r="BT20" s="1">
        <v>0</v>
      </c>
      <c r="BU20" s="66">
        <f>BR20+BS20-BT20-'Internal use cement'!AG20</f>
        <v>143.30000000000001</v>
      </c>
      <c r="BV20" s="66">
        <f t="shared" si="41"/>
        <v>375.17</v>
      </c>
      <c r="BW20" s="34">
        <f t="shared" si="24"/>
        <v>400</v>
      </c>
      <c r="BX20" s="15">
        <v>208</v>
      </c>
      <c r="BY20" s="66">
        <f>BV20+BW20-BX20-'Internal use cement'!AO20</f>
        <v>567.17000000000007</v>
      </c>
      <c r="BZ20" s="1">
        <v>1638</v>
      </c>
      <c r="CA20" s="1">
        <v>2177</v>
      </c>
      <c r="CB20" s="1">
        <v>137</v>
      </c>
      <c r="CC20" s="1">
        <f t="shared" si="42"/>
        <v>3952</v>
      </c>
      <c r="CD20" s="15">
        <f t="shared" si="25"/>
        <v>3129.0579999999809</v>
      </c>
      <c r="CE20" s="269">
        <f t="shared" si="46"/>
        <v>822.94200000001911</v>
      </c>
      <c r="CF20" s="15">
        <f t="shared" si="26"/>
        <v>1596.5</v>
      </c>
      <c r="CG20" s="15">
        <f t="shared" si="27"/>
        <v>1247</v>
      </c>
      <c r="CH20" s="270">
        <f t="shared" si="28"/>
        <v>424.20998316248006</v>
      </c>
      <c r="CJ20" s="52">
        <f t="shared" si="8"/>
        <v>12.780000000000001</v>
      </c>
      <c r="CK20" s="1">
        <v>18</v>
      </c>
      <c r="CL20" s="1">
        <f t="shared" si="29"/>
        <v>4.4200000000000017</v>
      </c>
      <c r="CM20" s="1">
        <f t="shared" si="30"/>
        <v>7.9400000000000013</v>
      </c>
      <c r="CN20" s="15">
        <f t="shared" si="31"/>
        <v>5.32</v>
      </c>
      <c r="CO20" s="15">
        <f t="shared" si="32"/>
        <v>24</v>
      </c>
      <c r="CP20" s="1">
        <f t="shared" si="33"/>
        <v>1.8000000000000007</v>
      </c>
      <c r="CQ20" s="2">
        <v>18</v>
      </c>
      <c r="CR20" s="15">
        <f t="shared" si="34"/>
        <v>0</v>
      </c>
      <c r="CS20" s="15">
        <f>'Daily CEM-1'!H21+'Daily CEM-1'!I21+'Daily CEM-1'!J21+'Daily CEM-1'!K21+'Daily CEM-1'!L21</f>
        <v>18.68</v>
      </c>
      <c r="CT20" s="15">
        <f>AQ20+AT20+AW20+'Daily  CEM - 2'!K21+'Daily  CEM - 2'!L21</f>
        <v>0</v>
      </c>
      <c r="CU20" s="52">
        <f t="shared" si="35"/>
        <v>5.32</v>
      </c>
      <c r="CW20" s="52">
        <f t="shared" si="36"/>
        <v>2519.6999999999998</v>
      </c>
      <c r="CX20" s="52">
        <v>18</v>
      </c>
      <c r="CZ20">
        <f t="shared" si="37"/>
        <v>2519.6999999999998</v>
      </c>
    </row>
    <row r="21" spans="2:106" s="321" customFormat="1" x14ac:dyDescent="0.25">
      <c r="B21" s="348">
        <v>19</v>
      </c>
      <c r="C21" s="1">
        <v>14.27</v>
      </c>
      <c r="D21" s="361">
        <f>'Mines (2)'!D21+'Mines (2)'!I21+'Mines (2)'!W21+'Mines (2)'!AA21+'Mines (2)'!AE21</f>
        <v>3109.2800000000007</v>
      </c>
      <c r="E21" s="370">
        <f>'Mines (2)'!E21+'Mines (2)'!J21+'Mines (2)'!X21+'Mines (2)'!AB21+'Mines (2)'!AF21</f>
        <v>3110</v>
      </c>
      <c r="F21" s="361">
        <f t="shared" si="44"/>
        <v>217.88927820602669</v>
      </c>
      <c r="G21" s="1">
        <v>22.85</v>
      </c>
      <c r="H21" s="16">
        <f t="shared" si="38"/>
        <v>1495.7900168375199</v>
      </c>
      <c r="I21" s="300">
        <f t="shared" si="9"/>
        <v>1744.9900168375198</v>
      </c>
      <c r="J21" s="1">
        <v>2222</v>
      </c>
      <c r="K21" s="371">
        <f t="shared" ref="K21:K33" si="47">L21</f>
        <v>2650.5</v>
      </c>
      <c r="L21" s="371">
        <f>Clinker!EK21*1.55</f>
        <v>2650.5</v>
      </c>
      <c r="M21" s="36">
        <v>0</v>
      </c>
      <c r="N21" s="1">
        <v>2754</v>
      </c>
      <c r="O21" s="361">
        <f t="shared" si="1"/>
        <v>120.52516411378555</v>
      </c>
      <c r="P21" s="1">
        <v>16.25</v>
      </c>
      <c r="Q21" s="1">
        <v>145.69999999999999</v>
      </c>
      <c r="R21" s="364">
        <f t="shared" si="10"/>
        <v>8.9661538461538459</v>
      </c>
      <c r="S21" s="1">
        <v>17.55</v>
      </c>
      <c r="T21" s="360">
        <f t="shared" si="11"/>
        <v>35.209999999999866</v>
      </c>
      <c r="U21" s="1">
        <v>265</v>
      </c>
      <c r="V21" s="1">
        <v>254</v>
      </c>
      <c r="W21" s="353">
        <f t="shared" si="2"/>
        <v>46.209999999999866</v>
      </c>
      <c r="X21" s="361">
        <f t="shared" si="3"/>
        <v>15.0997150997151</v>
      </c>
      <c r="Y21" s="1">
        <v>24</v>
      </c>
      <c r="Z21" s="352">
        <f>Clinker!EK21</f>
        <v>1710</v>
      </c>
      <c r="AA21" s="361">
        <f t="shared" si="4"/>
        <v>71.25</v>
      </c>
      <c r="AB21" s="372">
        <f>'Daily CEM-1'!H22</f>
        <v>1</v>
      </c>
      <c r="AC21" s="352">
        <f>'Daily CEM-1'!C22</f>
        <v>65</v>
      </c>
      <c r="AD21" s="361">
        <f t="shared" si="5"/>
        <v>65</v>
      </c>
      <c r="AE21" s="372">
        <f>'Daily CEM-1'!I22</f>
        <v>0</v>
      </c>
      <c r="AF21" s="352">
        <f>'Daily CEM-1'!D22</f>
        <v>0</v>
      </c>
      <c r="AG21" s="361" t="e">
        <f t="shared" si="12"/>
        <v>#DIV/0!</v>
      </c>
      <c r="AH21" s="373">
        <f>'Daily CEM-1'!J22</f>
        <v>0</v>
      </c>
      <c r="AI21" s="373">
        <f>'Daily CEM-1'!E22</f>
        <v>0</v>
      </c>
      <c r="AJ21" s="373"/>
      <c r="AK21" s="373">
        <f>'Daily CEM-1'!K22</f>
        <v>0</v>
      </c>
      <c r="AL21" s="373">
        <f>'Daily CEM-1'!F22</f>
        <v>0</v>
      </c>
      <c r="AM21" s="373" t="e">
        <f t="shared" si="13"/>
        <v>#DIV/0!</v>
      </c>
      <c r="AN21" s="60">
        <f>'Daily CEM-1'!L22</f>
        <v>7.62</v>
      </c>
      <c r="AO21" s="60">
        <f>'Daily CEM-1'!G22</f>
        <v>500</v>
      </c>
      <c r="AP21" s="60">
        <f t="shared" si="14"/>
        <v>65.616797900262469</v>
      </c>
      <c r="AQ21" s="372">
        <f>'Daily  CEM - 2'!H22</f>
        <v>12.68</v>
      </c>
      <c r="AR21" s="352">
        <f>'Daily  CEM - 2'!C22</f>
        <v>760</v>
      </c>
      <c r="AS21" s="361">
        <f t="shared" si="6"/>
        <v>59.936908517350162</v>
      </c>
      <c r="AT21" s="372">
        <f>'Daily  CEM - 2'!I22</f>
        <v>0</v>
      </c>
      <c r="AU21" s="352">
        <f>'Daily  CEM - 2'!D22</f>
        <v>0</v>
      </c>
      <c r="AV21" s="361" t="e">
        <f t="shared" si="7"/>
        <v>#DIV/0!</v>
      </c>
      <c r="AW21" s="373">
        <f>'Daily  CEM - 2'!J22</f>
        <v>0</v>
      </c>
      <c r="AX21" s="373">
        <f>'Daily  CEM - 2'!E22</f>
        <v>0</v>
      </c>
      <c r="AY21" s="374" t="e">
        <f t="shared" si="15"/>
        <v>#DIV/0!</v>
      </c>
      <c r="AZ21" s="373">
        <f>'Daily  CEM - 2'!K22</f>
        <v>2</v>
      </c>
      <c r="BA21" s="373">
        <f>'Daily  CEM - 2'!F22</f>
        <v>110</v>
      </c>
      <c r="BB21" s="375">
        <f t="shared" si="16"/>
        <v>55</v>
      </c>
      <c r="BC21" s="61">
        <f>'Daily  CEM - 2'!L22</f>
        <v>0</v>
      </c>
      <c r="BD21" s="61">
        <f>'Daily  CEM - 2'!G22</f>
        <v>0</v>
      </c>
      <c r="BE21" s="375" t="e">
        <f t="shared" si="17"/>
        <v>#DIV/0!</v>
      </c>
      <c r="BF21" s="360">
        <f t="shared" si="18"/>
        <v>1928.1979999999794</v>
      </c>
      <c r="BG21" s="371">
        <f t="shared" si="19"/>
        <v>825</v>
      </c>
      <c r="BH21" s="1">
        <v>1534</v>
      </c>
      <c r="BI21" s="18">
        <f>BF21+BG21-BH21-'Internal use cement'!F21</f>
        <v>1219.1979999999794</v>
      </c>
      <c r="BJ21" s="360">
        <f t="shared" si="20"/>
        <v>490.29999999999995</v>
      </c>
      <c r="BK21" s="371">
        <f t="shared" si="21"/>
        <v>0</v>
      </c>
      <c r="BL21" s="1">
        <v>94</v>
      </c>
      <c r="BM21" s="353">
        <f>BJ21+BK21-BL21-'Internal use cement'!AB21</f>
        <v>396.29999999999995</v>
      </c>
      <c r="BN21" s="353">
        <f t="shared" si="39"/>
        <v>9.0000000000849845E-2</v>
      </c>
      <c r="BO21" s="376">
        <f t="shared" si="45"/>
        <v>0</v>
      </c>
      <c r="BP21" s="1">
        <v>0</v>
      </c>
      <c r="BQ21" s="377">
        <f>BN21+BO21-BP21-'Internal use cement'!Q21</f>
        <v>9.0000000000849845E-2</v>
      </c>
      <c r="BR21" s="353">
        <f t="shared" si="40"/>
        <v>143.30000000000001</v>
      </c>
      <c r="BS21" s="376">
        <f t="shared" si="23"/>
        <v>110</v>
      </c>
      <c r="BT21" s="1">
        <v>30</v>
      </c>
      <c r="BU21" s="377">
        <f>BR21+BS21-BT21-'Internal use cement'!AG21</f>
        <v>223.3</v>
      </c>
      <c r="BV21" s="66">
        <f t="shared" si="41"/>
        <v>567.17000000000007</v>
      </c>
      <c r="BW21" s="34">
        <f t="shared" si="24"/>
        <v>500</v>
      </c>
      <c r="BX21" s="15">
        <v>546.74</v>
      </c>
      <c r="BY21" s="66">
        <f>BV21+BW21-BX21-'Internal use cement'!AO21</f>
        <v>520.43000000000006</v>
      </c>
      <c r="BZ21" s="1">
        <v>1149</v>
      </c>
      <c r="CA21" s="1">
        <v>1784</v>
      </c>
      <c r="CB21" s="1">
        <v>210</v>
      </c>
      <c r="CC21" s="322">
        <f t="shared" si="42"/>
        <v>3143</v>
      </c>
      <c r="CD21" s="15">
        <f t="shared" si="25"/>
        <v>2359.3179999999802</v>
      </c>
      <c r="CE21" s="269">
        <f t="shared" si="46"/>
        <v>783.6820000000198</v>
      </c>
      <c r="CF21" s="15">
        <f t="shared" si="26"/>
        <v>2204.7399999999998</v>
      </c>
      <c r="CG21" s="15">
        <f t="shared" si="27"/>
        <v>1435</v>
      </c>
      <c r="CH21" s="270">
        <f t="shared" si="28"/>
        <v>477.00998316248024</v>
      </c>
      <c r="CJ21" s="369">
        <f t="shared" si="8"/>
        <v>1</v>
      </c>
      <c r="CK21" s="322">
        <v>19</v>
      </c>
      <c r="CL21" s="322">
        <f t="shared" si="29"/>
        <v>1.1499999999999986</v>
      </c>
      <c r="CM21" s="322">
        <f t="shared" si="30"/>
        <v>6.4499999999999993</v>
      </c>
      <c r="CN21" s="364">
        <f t="shared" si="31"/>
        <v>15.379999999999999</v>
      </c>
      <c r="CO21" s="364">
        <f t="shared" si="32"/>
        <v>9.32</v>
      </c>
      <c r="CP21" s="322">
        <f t="shared" si="33"/>
        <v>0</v>
      </c>
      <c r="CQ21" s="378">
        <v>19</v>
      </c>
      <c r="CR21" s="364">
        <f t="shared" si="34"/>
        <v>760</v>
      </c>
      <c r="CS21" s="15">
        <f>'Daily CEM-1'!H22+'Daily CEM-1'!I22+'Daily CEM-1'!J22+'Daily CEM-1'!K22+'Daily CEM-1'!L22</f>
        <v>8.620000000000001</v>
      </c>
      <c r="CT21" s="15">
        <f>AQ21+AT21+AW21+'Daily  CEM - 2'!K22+'Daily  CEM - 2'!L22</f>
        <v>14.68</v>
      </c>
      <c r="CU21" s="369">
        <f t="shared" si="35"/>
        <v>15.379999999999999</v>
      </c>
      <c r="CW21" s="52">
        <f t="shared" si="36"/>
        <v>2899.7</v>
      </c>
      <c r="CX21" s="52">
        <v>19</v>
      </c>
      <c r="CZ21">
        <f t="shared" si="37"/>
        <v>2899.7</v>
      </c>
    </row>
    <row r="22" spans="2:106" s="321" customFormat="1" x14ac:dyDescent="0.25">
      <c r="B22" s="348">
        <v>20</v>
      </c>
      <c r="C22" s="1">
        <v>17.93</v>
      </c>
      <c r="D22" s="361">
        <f>'Mines (2)'!D22+'Mines (2)'!I22+'Mines (2)'!W22+'Mines (2)'!AA22+'Mines (2)'!AE22</f>
        <v>3565.7800000000007</v>
      </c>
      <c r="E22" s="370">
        <f>'Mines (2)'!E22+'Mines (2)'!J22+'Mines (2)'!X22+'Mines (2)'!AB22+'Mines (2)'!AF22</f>
        <v>3059</v>
      </c>
      <c r="F22" s="361">
        <f t="shared" si="44"/>
        <v>198.87228109314003</v>
      </c>
      <c r="G22" s="1">
        <v>22.25</v>
      </c>
      <c r="H22" s="16">
        <f t="shared" si="38"/>
        <v>1744.9900168375198</v>
      </c>
      <c r="I22" s="300">
        <f t="shared" si="9"/>
        <v>1794.0300168375197</v>
      </c>
      <c r="J22" s="1">
        <v>2255</v>
      </c>
      <c r="K22" s="371">
        <f t="shared" si="47"/>
        <v>2797.75</v>
      </c>
      <c r="L22" s="371">
        <f>Clinker!EK22*1.55</f>
        <v>2797.75</v>
      </c>
      <c r="M22" s="36">
        <v>0</v>
      </c>
      <c r="N22" s="1">
        <v>2651</v>
      </c>
      <c r="O22" s="361">
        <f t="shared" si="1"/>
        <v>119.14606741573034</v>
      </c>
      <c r="P22" s="1">
        <v>21.82</v>
      </c>
      <c r="Q22" s="1">
        <v>195.79</v>
      </c>
      <c r="R22" s="364">
        <f t="shared" si="10"/>
        <v>8.9729605866177806</v>
      </c>
      <c r="S22" s="1">
        <v>19.82</v>
      </c>
      <c r="T22" s="360">
        <f t="shared" si="11"/>
        <v>46.209999999999866</v>
      </c>
      <c r="U22" s="1">
        <v>279.89999999999998</v>
      </c>
      <c r="V22" s="1">
        <v>270</v>
      </c>
      <c r="W22" s="353">
        <f t="shared" si="2"/>
        <v>56.109999999999843</v>
      </c>
      <c r="X22" s="361">
        <f t="shared" si="3"/>
        <v>14.12209889001009</v>
      </c>
      <c r="Y22" s="1">
        <v>24</v>
      </c>
      <c r="Z22" s="352">
        <f>Clinker!EK22</f>
        <v>1805</v>
      </c>
      <c r="AA22" s="361">
        <f t="shared" si="4"/>
        <v>75.208333333333329</v>
      </c>
      <c r="AB22" s="372">
        <f>'Daily CEM-1'!H23</f>
        <v>12.23</v>
      </c>
      <c r="AC22" s="352">
        <f>'Daily CEM-1'!C23</f>
        <v>800</v>
      </c>
      <c r="AD22" s="361">
        <f t="shared" si="5"/>
        <v>65.412919051512674</v>
      </c>
      <c r="AE22" s="372">
        <f>'Daily CEM-1'!I23</f>
        <v>0</v>
      </c>
      <c r="AF22" s="352">
        <f>'Daily CEM-1'!D23</f>
        <v>0</v>
      </c>
      <c r="AG22" s="361" t="e">
        <f t="shared" si="12"/>
        <v>#DIV/0!</v>
      </c>
      <c r="AH22" s="373">
        <f>'Daily CEM-1'!J23</f>
        <v>0</v>
      </c>
      <c r="AI22" s="373">
        <f>'Daily CEM-1'!E23</f>
        <v>0</v>
      </c>
      <c r="AJ22" s="373"/>
      <c r="AK22" s="373">
        <f>'Daily CEM-1'!K23</f>
        <v>0</v>
      </c>
      <c r="AL22" s="373">
        <f>'Daily CEM-1'!F23</f>
        <v>0</v>
      </c>
      <c r="AM22" s="373" t="e">
        <f t="shared" si="13"/>
        <v>#DIV/0!</v>
      </c>
      <c r="AN22" s="60">
        <f>'Daily CEM-1'!L23</f>
        <v>4.5999999999999996</v>
      </c>
      <c r="AO22" s="60">
        <f>'Daily CEM-1'!G23</f>
        <v>310</v>
      </c>
      <c r="AP22" s="60">
        <f t="shared" si="14"/>
        <v>67.391304347826093</v>
      </c>
      <c r="AQ22" s="372">
        <f>'Daily  CEM - 2'!H23</f>
        <v>24</v>
      </c>
      <c r="AR22" s="352">
        <f>'Daily  CEM - 2'!C23</f>
        <v>1484</v>
      </c>
      <c r="AS22" s="361">
        <f t="shared" si="6"/>
        <v>61.833333333333336</v>
      </c>
      <c r="AT22" s="372">
        <f>'Daily  CEM - 2'!I23</f>
        <v>0</v>
      </c>
      <c r="AU22" s="352">
        <f>'Daily  CEM - 2'!D23</f>
        <v>0</v>
      </c>
      <c r="AV22" s="361" t="e">
        <f t="shared" si="7"/>
        <v>#DIV/0!</v>
      </c>
      <c r="AW22" s="373">
        <f>'Daily  CEM - 2'!J23</f>
        <v>0</v>
      </c>
      <c r="AX22" s="373">
        <f>'Daily  CEM - 2'!E23</f>
        <v>0</v>
      </c>
      <c r="AY22" s="374" t="e">
        <f t="shared" si="15"/>
        <v>#DIV/0!</v>
      </c>
      <c r="AZ22" s="373">
        <f>'Daily  CEM - 2'!K23</f>
        <v>0</v>
      </c>
      <c r="BA22" s="373">
        <f>'Daily  CEM - 2'!F23</f>
        <v>0</v>
      </c>
      <c r="BB22" s="375" t="e">
        <f t="shared" si="16"/>
        <v>#DIV/0!</v>
      </c>
      <c r="BC22" s="61">
        <f>'Daily  CEM - 2'!L23</f>
        <v>0</v>
      </c>
      <c r="BD22" s="61">
        <f>'Daily  CEM - 2'!G23</f>
        <v>0</v>
      </c>
      <c r="BE22" s="375" t="e">
        <f t="shared" si="17"/>
        <v>#DIV/0!</v>
      </c>
      <c r="BF22" s="360">
        <f t="shared" si="18"/>
        <v>1219.1979999999794</v>
      </c>
      <c r="BG22" s="371">
        <f t="shared" si="19"/>
        <v>2284</v>
      </c>
      <c r="BH22" s="1">
        <v>2022.25</v>
      </c>
      <c r="BI22" s="18">
        <f>BF22+BG22-BH22-'Internal use cement'!F22</f>
        <v>1480.9479999999794</v>
      </c>
      <c r="BJ22" s="360">
        <f t="shared" si="20"/>
        <v>396.29999999999995</v>
      </c>
      <c r="BK22" s="371">
        <f t="shared" si="21"/>
        <v>0</v>
      </c>
      <c r="BL22" s="1">
        <v>0</v>
      </c>
      <c r="BM22" s="353">
        <f>BJ22+BK22-BL22-'Internal use cement'!AB22</f>
        <v>396.29999999999995</v>
      </c>
      <c r="BN22" s="353">
        <f t="shared" si="39"/>
        <v>9.0000000000849845E-2</v>
      </c>
      <c r="BO22" s="376">
        <f t="shared" si="45"/>
        <v>0</v>
      </c>
      <c r="BP22" s="1">
        <v>0</v>
      </c>
      <c r="BQ22" s="377">
        <f>BN22+BO22-BP22-'Internal use cement'!Q22</f>
        <v>9.0000000000849845E-2</v>
      </c>
      <c r="BR22" s="353">
        <f t="shared" si="40"/>
        <v>223.3</v>
      </c>
      <c r="BS22" s="376">
        <f t="shared" si="23"/>
        <v>0</v>
      </c>
      <c r="BT22" s="1">
        <v>30</v>
      </c>
      <c r="BU22" s="377">
        <f>BR22+BS22-BT22-'Internal use cement'!AG22</f>
        <v>193.3</v>
      </c>
      <c r="BV22" s="66">
        <f t="shared" si="41"/>
        <v>520.43000000000006</v>
      </c>
      <c r="BW22" s="34">
        <f t="shared" si="24"/>
        <v>310</v>
      </c>
      <c r="BX22" s="15">
        <v>274.54000000000002</v>
      </c>
      <c r="BY22" s="66">
        <f>BV22+BW22-BX22-'Internal use cement'!AO22</f>
        <v>555.8900000000001</v>
      </c>
      <c r="BZ22" s="1">
        <v>1177</v>
      </c>
      <c r="CA22" s="1">
        <v>2050</v>
      </c>
      <c r="CB22" s="1">
        <v>190</v>
      </c>
      <c r="CC22" s="322">
        <f t="shared" si="42"/>
        <v>3417</v>
      </c>
      <c r="CD22" s="15">
        <f t="shared" si="25"/>
        <v>2626.5279999999802</v>
      </c>
      <c r="CE22" s="269">
        <f t="shared" si="46"/>
        <v>790.47200000001976</v>
      </c>
      <c r="CF22" s="15">
        <f t="shared" si="26"/>
        <v>2326.79</v>
      </c>
      <c r="CG22" s="15">
        <f t="shared" si="27"/>
        <v>2594</v>
      </c>
      <c r="CH22" s="270">
        <f t="shared" si="28"/>
        <v>460.96998316248028</v>
      </c>
      <c r="CJ22" s="369">
        <f t="shared" si="8"/>
        <v>12.23</v>
      </c>
      <c r="CK22" s="322">
        <v>20</v>
      </c>
      <c r="CL22" s="322">
        <f t="shared" si="29"/>
        <v>1.75</v>
      </c>
      <c r="CM22" s="322">
        <f t="shared" si="30"/>
        <v>4.18</v>
      </c>
      <c r="CN22" s="364">
        <f t="shared" si="31"/>
        <v>7.1700000000000017</v>
      </c>
      <c r="CO22" s="364">
        <f t="shared" si="32"/>
        <v>0</v>
      </c>
      <c r="CP22" s="322">
        <f t="shared" si="33"/>
        <v>0</v>
      </c>
      <c r="CQ22" s="378">
        <v>20</v>
      </c>
      <c r="CR22" s="364">
        <f t="shared" si="34"/>
        <v>1484</v>
      </c>
      <c r="CS22" s="15">
        <f>'Daily CEM-1'!H23+'Daily CEM-1'!I23+'Daily CEM-1'!J23+'Daily CEM-1'!K23+'Daily CEM-1'!L23</f>
        <v>16.829999999999998</v>
      </c>
      <c r="CT22" s="15">
        <f>AQ22+AT22+AW22+'Daily  CEM - 2'!K23+'Daily  CEM - 2'!L23</f>
        <v>24</v>
      </c>
      <c r="CU22" s="369">
        <f t="shared" si="35"/>
        <v>7.1700000000000017</v>
      </c>
      <c r="CW22" s="52">
        <f t="shared" si="36"/>
        <v>2846.79</v>
      </c>
      <c r="CX22" s="52">
        <v>20</v>
      </c>
      <c r="CZ22">
        <f t="shared" si="37"/>
        <v>2846.79</v>
      </c>
    </row>
    <row r="23" spans="2:106" s="321" customFormat="1" x14ac:dyDescent="0.25">
      <c r="B23" s="348">
        <v>21</v>
      </c>
      <c r="C23" s="1">
        <v>10.050000000000001</v>
      </c>
      <c r="D23" s="361">
        <f>'Mines (2)'!D23+'Mines (2)'!I23+'Mines (2)'!W23+'Mines (2)'!AA23+'Mines (2)'!AE23</f>
        <v>1760.2600000000002</v>
      </c>
      <c r="E23" s="370">
        <f>'Mines (2)'!E23+'Mines (2)'!J23+'Mines (2)'!X23+'Mines (2)'!AB23+'Mines (2)'!AF23</f>
        <v>3148</v>
      </c>
      <c r="F23" s="361">
        <f t="shared" si="44"/>
        <v>175.15024875621893</v>
      </c>
      <c r="G23" s="1">
        <v>23.25</v>
      </c>
      <c r="H23" s="16">
        <f t="shared" si="38"/>
        <v>1794.0300168375197</v>
      </c>
      <c r="I23" s="300">
        <f t="shared" si="9"/>
        <v>1851.0600168375195</v>
      </c>
      <c r="J23" s="1">
        <v>2130</v>
      </c>
      <c r="K23" s="371">
        <f t="shared" si="47"/>
        <v>2906.25</v>
      </c>
      <c r="L23" s="371">
        <f>Clinker!EK23*1.55</f>
        <v>2906.25</v>
      </c>
      <c r="M23" s="36">
        <v>0</v>
      </c>
      <c r="N23" s="1">
        <v>2743</v>
      </c>
      <c r="O23" s="361">
        <f t="shared" si="1"/>
        <v>117.97849462365592</v>
      </c>
      <c r="P23" s="1">
        <v>21.17</v>
      </c>
      <c r="Q23" s="1">
        <v>220.28</v>
      </c>
      <c r="R23" s="364">
        <f t="shared" si="10"/>
        <v>10.405290505432214</v>
      </c>
      <c r="S23" s="1">
        <v>19.18</v>
      </c>
      <c r="T23" s="360">
        <f t="shared" si="11"/>
        <v>56.109999999999843</v>
      </c>
      <c r="U23" s="1">
        <v>265.5</v>
      </c>
      <c r="V23" s="1">
        <v>276</v>
      </c>
      <c r="W23" s="353">
        <f t="shared" si="2"/>
        <v>45.609999999999843</v>
      </c>
      <c r="X23" s="361">
        <f t="shared" si="3"/>
        <v>13.842544316996872</v>
      </c>
      <c r="Y23" s="1">
        <v>24</v>
      </c>
      <c r="Z23" s="352">
        <f>Clinker!EK23</f>
        <v>1875</v>
      </c>
      <c r="AA23" s="361">
        <f t="shared" si="4"/>
        <v>78.125</v>
      </c>
      <c r="AB23" s="372">
        <f>'Daily CEM-1'!H24</f>
        <v>18.399999999999999</v>
      </c>
      <c r="AC23" s="352">
        <f>'Daily CEM-1'!C24</f>
        <v>1267</v>
      </c>
      <c r="AD23" s="361">
        <f t="shared" si="5"/>
        <v>68.858695652173921</v>
      </c>
      <c r="AE23" s="372">
        <f>'Daily CEM-1'!I24</f>
        <v>0</v>
      </c>
      <c r="AF23" s="352">
        <f>'Daily CEM-1'!D24</f>
        <v>0</v>
      </c>
      <c r="AG23" s="361" t="e">
        <f t="shared" si="12"/>
        <v>#DIV/0!</v>
      </c>
      <c r="AH23" s="373">
        <f>'Daily CEM-1'!J24</f>
        <v>0</v>
      </c>
      <c r="AI23" s="373">
        <f>'Daily CEM-1'!E24</f>
        <v>0</v>
      </c>
      <c r="AJ23" s="373"/>
      <c r="AK23" s="373">
        <f>'Daily CEM-1'!K24</f>
        <v>0</v>
      </c>
      <c r="AL23" s="373">
        <f>'Daily CEM-1'!F24</f>
        <v>0</v>
      </c>
      <c r="AM23" s="373" t="e">
        <f t="shared" si="13"/>
        <v>#DIV/0!</v>
      </c>
      <c r="AN23" s="60">
        <f>'Daily CEM-1'!L24</f>
        <v>2</v>
      </c>
      <c r="AO23" s="60">
        <f>'Daily CEM-1'!G24</f>
        <v>140</v>
      </c>
      <c r="AP23" s="60">
        <f t="shared" si="14"/>
        <v>70</v>
      </c>
      <c r="AQ23" s="372">
        <f>'Daily  CEM - 2'!H24</f>
        <v>15</v>
      </c>
      <c r="AR23" s="352">
        <f>'Daily  CEM - 2'!C24</f>
        <v>890</v>
      </c>
      <c r="AS23" s="361">
        <f t="shared" si="6"/>
        <v>59.333333333333336</v>
      </c>
      <c r="AT23" s="372">
        <f>'Daily  CEM - 2'!I24</f>
        <v>0</v>
      </c>
      <c r="AU23" s="352">
        <f>'Daily  CEM - 2'!D24</f>
        <v>0</v>
      </c>
      <c r="AV23" s="361" t="e">
        <f t="shared" si="7"/>
        <v>#DIV/0!</v>
      </c>
      <c r="AW23" s="373">
        <f>'Daily  CEM - 2'!J24</f>
        <v>0</v>
      </c>
      <c r="AX23" s="373">
        <f>'Daily  CEM - 2'!E24</f>
        <v>0</v>
      </c>
      <c r="AY23" s="374" t="e">
        <f t="shared" si="15"/>
        <v>#DIV/0!</v>
      </c>
      <c r="AZ23" s="373">
        <f>'Daily  CEM - 2'!K24</f>
        <v>2</v>
      </c>
      <c r="BA23" s="373">
        <f>'Daily  CEM - 2'!F24</f>
        <v>110</v>
      </c>
      <c r="BB23" s="375">
        <f t="shared" si="16"/>
        <v>55</v>
      </c>
      <c r="BC23" s="61">
        <f>'Daily  CEM - 2'!L24</f>
        <v>6.65</v>
      </c>
      <c r="BD23" s="61">
        <f>'Daily  CEM - 2'!G24</f>
        <v>420</v>
      </c>
      <c r="BE23" s="375">
        <f t="shared" si="17"/>
        <v>63.157894736842103</v>
      </c>
      <c r="BF23" s="360">
        <f t="shared" si="18"/>
        <v>1480.9479999999794</v>
      </c>
      <c r="BG23" s="371">
        <f t="shared" si="19"/>
        <v>2157</v>
      </c>
      <c r="BH23" s="1">
        <v>1448.15</v>
      </c>
      <c r="BI23" s="18">
        <f>BF23+BG23-BH23-'Internal use cement'!F23</f>
        <v>2189.7979999999793</v>
      </c>
      <c r="BJ23" s="360">
        <f t="shared" si="20"/>
        <v>396.29999999999995</v>
      </c>
      <c r="BK23" s="371">
        <f t="shared" si="21"/>
        <v>0</v>
      </c>
      <c r="BL23" s="1">
        <v>0</v>
      </c>
      <c r="BM23" s="353">
        <f>BJ23+BK23-BL23-'Internal use cement'!AB23</f>
        <v>396.29999999999995</v>
      </c>
      <c r="BN23" s="353">
        <f t="shared" si="39"/>
        <v>9.0000000000849845E-2</v>
      </c>
      <c r="BO23" s="376">
        <f t="shared" si="45"/>
        <v>0</v>
      </c>
      <c r="BP23" s="1">
        <v>0</v>
      </c>
      <c r="BQ23" s="377">
        <f>BN23+BO23-BP23-'Internal use cement'!Q23</f>
        <v>9.0000000000849845E-2</v>
      </c>
      <c r="BR23" s="353">
        <f t="shared" si="40"/>
        <v>193.3</v>
      </c>
      <c r="BS23" s="376">
        <f t="shared" si="23"/>
        <v>110</v>
      </c>
      <c r="BT23" s="1">
        <v>90</v>
      </c>
      <c r="BU23" s="377">
        <f>BR23+BS23-BT23-'Internal use cement'!AG23</f>
        <v>213.3</v>
      </c>
      <c r="BV23" s="66">
        <f t="shared" si="41"/>
        <v>555.8900000000001</v>
      </c>
      <c r="BW23" s="34">
        <f t="shared" si="24"/>
        <v>560</v>
      </c>
      <c r="BX23" s="15">
        <v>492.84</v>
      </c>
      <c r="BY23" s="66">
        <f>BV23+BW23-BX23-'Internal use cement'!AO23</f>
        <v>623.05000000000018</v>
      </c>
      <c r="BZ23" s="1">
        <v>1912</v>
      </c>
      <c r="CA23" s="1">
        <v>2007</v>
      </c>
      <c r="CB23" s="1">
        <v>192</v>
      </c>
      <c r="CC23" s="322">
        <f t="shared" si="42"/>
        <v>4111</v>
      </c>
      <c r="CD23" s="15">
        <f t="shared" si="25"/>
        <v>3422.5379999999805</v>
      </c>
      <c r="CE23" s="269">
        <f t="shared" si="46"/>
        <v>688.46200000001954</v>
      </c>
      <c r="CF23" s="15">
        <f t="shared" si="26"/>
        <v>2030.99</v>
      </c>
      <c r="CG23" s="15">
        <f t="shared" si="27"/>
        <v>2827</v>
      </c>
      <c r="CH23" s="270">
        <f t="shared" si="28"/>
        <v>278.93998316248053</v>
      </c>
      <c r="CJ23" s="369">
        <f t="shared" si="8"/>
        <v>18.399999999999999</v>
      </c>
      <c r="CK23" s="322">
        <v>21</v>
      </c>
      <c r="CL23" s="322">
        <f t="shared" si="29"/>
        <v>0.75</v>
      </c>
      <c r="CM23" s="322">
        <f t="shared" si="30"/>
        <v>4.82</v>
      </c>
      <c r="CN23" s="364">
        <f t="shared" si="31"/>
        <v>3.6000000000000014</v>
      </c>
      <c r="CO23" s="364">
        <f t="shared" si="32"/>
        <v>0.35000000000000142</v>
      </c>
      <c r="CP23" s="322">
        <f t="shared" si="33"/>
        <v>0</v>
      </c>
      <c r="CQ23" s="378">
        <v>21</v>
      </c>
      <c r="CR23" s="364">
        <f t="shared" si="34"/>
        <v>890</v>
      </c>
      <c r="CS23" s="15">
        <f>'Daily CEM-1'!H24+'Daily CEM-1'!I24+'Daily CEM-1'!J24+'Daily CEM-1'!K24+'Daily CEM-1'!L24</f>
        <v>20.399999999999999</v>
      </c>
      <c r="CT23" s="15">
        <f>AQ23+AT23+AW23+'Daily  CEM - 2'!K24+'Daily  CEM - 2'!L24</f>
        <v>23.65</v>
      </c>
      <c r="CU23" s="369">
        <f t="shared" si="35"/>
        <v>3.6000000000000014</v>
      </c>
      <c r="CW23" s="52">
        <f t="shared" si="36"/>
        <v>2963.28</v>
      </c>
      <c r="CX23" s="52">
        <v>21</v>
      </c>
      <c r="CZ23">
        <f t="shared" si="37"/>
        <v>2963.28</v>
      </c>
    </row>
    <row r="24" spans="2:106" s="321" customFormat="1" x14ac:dyDescent="0.25">
      <c r="B24" s="348">
        <v>22</v>
      </c>
      <c r="C24" s="1">
        <v>18.38</v>
      </c>
      <c r="D24" s="361">
        <f>'Mines (2)'!D24+'Mines (2)'!I24+'Mines (2)'!W24+'Mines (2)'!AA24+'Mines (2)'!AE24</f>
        <v>2982.26</v>
      </c>
      <c r="E24" s="370">
        <f>'Mines (2)'!E24+'Mines (2)'!J24+'Mines (2)'!X24+'Mines (2)'!AB24+'Mines (2)'!AF24</f>
        <v>2405</v>
      </c>
      <c r="F24" s="361">
        <f t="shared" si="44"/>
        <v>162.25571273122961</v>
      </c>
      <c r="G24" s="1">
        <v>18.420000000000002</v>
      </c>
      <c r="H24" s="16">
        <f t="shared" si="38"/>
        <v>1851.0600168375195</v>
      </c>
      <c r="I24" s="300">
        <f t="shared" si="9"/>
        <v>1650.9300168375194</v>
      </c>
      <c r="J24" s="1">
        <v>1818</v>
      </c>
      <c r="K24" s="371">
        <f t="shared" si="47"/>
        <v>2464.5</v>
      </c>
      <c r="L24" s="371">
        <f>Clinker!EK24*1.55</f>
        <v>2464.5</v>
      </c>
      <c r="M24" s="36">
        <v>0</v>
      </c>
      <c r="N24" s="1">
        <v>2166</v>
      </c>
      <c r="O24" s="361">
        <f t="shared" si="1"/>
        <v>117.58957654723126</v>
      </c>
      <c r="P24" s="1">
        <v>11</v>
      </c>
      <c r="Q24" s="1">
        <v>98.37</v>
      </c>
      <c r="R24" s="364">
        <f t="shared" si="10"/>
        <v>8.9427272727272733</v>
      </c>
      <c r="S24" s="1">
        <v>18</v>
      </c>
      <c r="T24" s="360">
        <f t="shared" si="11"/>
        <v>45.609999999999843</v>
      </c>
      <c r="U24" s="1">
        <v>245</v>
      </c>
      <c r="V24" s="1">
        <v>242</v>
      </c>
      <c r="W24" s="353">
        <f t="shared" si="2"/>
        <v>48.609999999999843</v>
      </c>
      <c r="X24" s="361">
        <f t="shared" si="3"/>
        <v>13.611111111111111</v>
      </c>
      <c r="Y24" s="1">
        <v>22.24</v>
      </c>
      <c r="Z24" s="352">
        <f>Clinker!EK24</f>
        <v>1590</v>
      </c>
      <c r="AA24" s="361">
        <f t="shared" si="4"/>
        <v>71.492805755395693</v>
      </c>
      <c r="AB24" s="372">
        <f>'Daily CEM-1'!H25</f>
        <v>10.1</v>
      </c>
      <c r="AC24" s="352">
        <f>'Daily CEM-1'!C25</f>
        <v>695</v>
      </c>
      <c r="AD24" s="361">
        <f t="shared" si="5"/>
        <v>68.811881188118818</v>
      </c>
      <c r="AE24" s="372">
        <f>'Daily CEM-1'!I25</f>
        <v>0</v>
      </c>
      <c r="AF24" s="352">
        <f>'Daily CEM-1'!D25</f>
        <v>0</v>
      </c>
      <c r="AG24" s="361" t="e">
        <f t="shared" si="12"/>
        <v>#DIV/0!</v>
      </c>
      <c r="AH24" s="373">
        <f>'Daily CEM-1'!J25</f>
        <v>0</v>
      </c>
      <c r="AI24" s="373">
        <f>'Daily CEM-1'!E25</f>
        <v>0</v>
      </c>
      <c r="AJ24" s="373" t="e">
        <f>AI24/AH24</f>
        <v>#DIV/0!</v>
      </c>
      <c r="AK24" s="373">
        <f>'Daily CEM-1'!K25</f>
        <v>0</v>
      </c>
      <c r="AL24" s="373">
        <f>'Daily CEM-1'!F25</f>
        <v>0</v>
      </c>
      <c r="AM24" s="373" t="e">
        <f t="shared" si="13"/>
        <v>#DIV/0!</v>
      </c>
      <c r="AN24" s="60">
        <f>'Daily CEM-1'!L25</f>
        <v>2</v>
      </c>
      <c r="AO24" s="60">
        <f>'Daily CEM-1'!G25</f>
        <v>140</v>
      </c>
      <c r="AP24" s="60">
        <f t="shared" si="14"/>
        <v>70</v>
      </c>
      <c r="AQ24" s="372">
        <f>'Daily  CEM - 2'!H25</f>
        <v>23.46</v>
      </c>
      <c r="AR24" s="352">
        <f>'Daily  CEM - 2'!C25</f>
        <v>1410</v>
      </c>
      <c r="AS24" s="361">
        <f t="shared" si="6"/>
        <v>60.102301790281331</v>
      </c>
      <c r="AT24" s="372">
        <f>'Daily  CEM - 2'!I25</f>
        <v>0</v>
      </c>
      <c r="AU24" s="352">
        <f>'Daily  CEM - 2'!D25</f>
        <v>0</v>
      </c>
      <c r="AV24" s="361" t="e">
        <f t="shared" si="7"/>
        <v>#DIV/0!</v>
      </c>
      <c r="AW24" s="373">
        <f>'Daily  CEM - 2'!J25</f>
        <v>0</v>
      </c>
      <c r="AX24" s="373">
        <f>'Daily  CEM - 2'!E25</f>
        <v>0</v>
      </c>
      <c r="AY24" s="374" t="e">
        <f t="shared" si="15"/>
        <v>#DIV/0!</v>
      </c>
      <c r="AZ24" s="373">
        <f>'Daily  CEM - 2'!K25</f>
        <v>0</v>
      </c>
      <c r="BA24" s="373">
        <f>'Daily  CEM - 2'!F25</f>
        <v>0</v>
      </c>
      <c r="BB24" s="375" t="e">
        <f t="shared" si="16"/>
        <v>#DIV/0!</v>
      </c>
      <c r="BC24" s="61">
        <f>'Daily  CEM - 2'!L25</f>
        <v>0</v>
      </c>
      <c r="BD24" s="61">
        <f>'Daily  CEM - 2'!G25</f>
        <v>0</v>
      </c>
      <c r="BE24" s="375" t="e">
        <f t="shared" si="17"/>
        <v>#DIV/0!</v>
      </c>
      <c r="BF24" s="360">
        <f t="shared" si="18"/>
        <v>2189.7979999999793</v>
      </c>
      <c r="BG24" s="371">
        <f t="shared" si="19"/>
        <v>2105</v>
      </c>
      <c r="BH24" s="1">
        <v>1604.75</v>
      </c>
      <c r="BI24" s="18">
        <f>BF24+BG24-BH24-'Internal use cement'!F24</f>
        <v>2690.0479999999789</v>
      </c>
      <c r="BJ24" s="360">
        <f t="shared" si="20"/>
        <v>396.29999999999995</v>
      </c>
      <c r="BK24" s="371">
        <f t="shared" si="21"/>
        <v>0</v>
      </c>
      <c r="BL24" s="1">
        <v>30</v>
      </c>
      <c r="BM24" s="353">
        <f>BJ24+BK24-BL24-'Internal use cement'!AB24</f>
        <v>366.29999999999995</v>
      </c>
      <c r="BN24" s="353">
        <f t="shared" si="39"/>
        <v>9.0000000000849845E-2</v>
      </c>
      <c r="BO24" s="376">
        <f t="shared" si="45"/>
        <v>0</v>
      </c>
      <c r="BP24" s="1">
        <v>0</v>
      </c>
      <c r="BQ24" s="377">
        <f>BN24+BO24-BP24-'Internal use cement'!Q24</f>
        <v>9.0000000000849845E-2</v>
      </c>
      <c r="BR24" s="353">
        <f t="shared" si="40"/>
        <v>213.3</v>
      </c>
      <c r="BS24" s="376">
        <f t="shared" si="23"/>
        <v>0</v>
      </c>
      <c r="BT24" s="1">
        <v>63</v>
      </c>
      <c r="BU24" s="377">
        <f>BR24+BS24-BT24-'Internal use cement'!AG24</f>
        <v>150.30000000000001</v>
      </c>
      <c r="BV24" s="66">
        <f t="shared" si="41"/>
        <v>623.05000000000018</v>
      </c>
      <c r="BW24" s="34">
        <f t="shared" si="24"/>
        <v>140</v>
      </c>
      <c r="BX24" s="15">
        <v>463.84</v>
      </c>
      <c r="BY24" s="66">
        <f>BV24+BW24-BX24-'Internal use cement'!AO24</f>
        <v>299.21000000000021</v>
      </c>
      <c r="BZ24" s="1">
        <v>1740</v>
      </c>
      <c r="CA24" s="1">
        <v>2162</v>
      </c>
      <c r="CB24" s="1">
        <v>200</v>
      </c>
      <c r="CC24" s="322">
        <f t="shared" si="42"/>
        <v>4102</v>
      </c>
      <c r="CD24" s="15">
        <f t="shared" si="25"/>
        <v>3505.9479999999803</v>
      </c>
      <c r="CE24" s="269">
        <f t="shared" si="46"/>
        <v>596.05200000001969</v>
      </c>
      <c r="CF24" s="15">
        <f t="shared" si="26"/>
        <v>2161.59</v>
      </c>
      <c r="CG24" s="15">
        <f t="shared" si="27"/>
        <v>2245</v>
      </c>
      <c r="CH24" s="270">
        <f t="shared" si="28"/>
        <v>167.06998316248064</v>
      </c>
      <c r="CJ24" s="369">
        <f t="shared" si="8"/>
        <v>10.1</v>
      </c>
      <c r="CK24" s="322">
        <v>22</v>
      </c>
      <c r="CL24" s="322">
        <f t="shared" si="29"/>
        <v>5.5799999999999983</v>
      </c>
      <c r="CM24" s="322">
        <f t="shared" si="30"/>
        <v>6</v>
      </c>
      <c r="CN24" s="364">
        <f t="shared" si="31"/>
        <v>11.9</v>
      </c>
      <c r="CO24" s="364">
        <f t="shared" si="32"/>
        <v>0.53999999999999915</v>
      </c>
      <c r="CP24" s="322">
        <f t="shared" si="33"/>
        <v>1.7600000000000016</v>
      </c>
      <c r="CQ24" s="378">
        <v>22</v>
      </c>
      <c r="CR24" s="364">
        <f t="shared" si="34"/>
        <v>1410</v>
      </c>
      <c r="CS24" s="15">
        <f>'Daily CEM-1'!H25+'Daily CEM-1'!I25+'Daily CEM-1'!J25+'Daily CEM-1'!K25+'Daily CEM-1'!L25</f>
        <v>12.1</v>
      </c>
      <c r="CT24" s="15">
        <f>AQ24+AT24+AW24+'Daily  CEM - 2'!K25+'Daily  CEM - 2'!L25</f>
        <v>23.46</v>
      </c>
      <c r="CU24" s="369">
        <f t="shared" si="35"/>
        <v>11.9</v>
      </c>
      <c r="CW24" s="52">
        <f t="shared" si="36"/>
        <v>2264.37</v>
      </c>
      <c r="CX24" s="52">
        <v>22</v>
      </c>
      <c r="CZ24">
        <f t="shared" si="37"/>
        <v>2264.37</v>
      </c>
    </row>
    <row r="25" spans="2:106" s="321" customFormat="1" x14ac:dyDescent="0.25">
      <c r="B25" s="348">
        <v>23</v>
      </c>
      <c r="C25" s="1">
        <v>21.13</v>
      </c>
      <c r="D25" s="361">
        <f>'Mines (2)'!D25+'Mines (2)'!I25+'Mines (2)'!W25+'Mines (2)'!AA25+'Mines (2)'!AE25</f>
        <v>3988.5600000000004</v>
      </c>
      <c r="E25" s="370">
        <f>'Mines (2)'!E25+'Mines (2)'!J25+'Mines (2)'!X25+'Mines (2)'!AB25+'Mines (2)'!AF25</f>
        <v>2397</v>
      </c>
      <c r="F25" s="361">
        <f t="shared" si="44"/>
        <v>188.76289635589214</v>
      </c>
      <c r="G25" s="1">
        <v>17.649999999999999</v>
      </c>
      <c r="H25" s="16">
        <f t="shared" si="38"/>
        <v>1650.9300168375194</v>
      </c>
      <c r="I25" s="300">
        <f t="shared" si="9"/>
        <v>1831.0700168375192</v>
      </c>
      <c r="J25" s="1">
        <v>1928</v>
      </c>
      <c r="K25" s="371">
        <f t="shared" si="47"/>
        <v>2077</v>
      </c>
      <c r="L25" s="371">
        <f>Clinker!EK25*1.55</f>
        <v>2077</v>
      </c>
      <c r="M25" s="36">
        <v>0</v>
      </c>
      <c r="N25" s="1">
        <v>2102</v>
      </c>
      <c r="O25" s="361">
        <f t="shared" si="1"/>
        <v>119.09348441926346</v>
      </c>
      <c r="P25" s="1">
        <v>15.5</v>
      </c>
      <c r="Q25" s="1">
        <v>155.13999999999999</v>
      </c>
      <c r="R25" s="364">
        <f t="shared" si="10"/>
        <v>10.009032258064515</v>
      </c>
      <c r="S25" s="1">
        <v>14.5</v>
      </c>
      <c r="T25" s="360">
        <f t="shared" si="11"/>
        <v>48.609999999999843</v>
      </c>
      <c r="U25" s="1">
        <v>211</v>
      </c>
      <c r="V25" s="1">
        <v>216</v>
      </c>
      <c r="W25" s="353">
        <f t="shared" si="2"/>
        <v>43.609999999999843</v>
      </c>
      <c r="X25" s="361">
        <f t="shared" si="3"/>
        <v>14.551724137931034</v>
      </c>
      <c r="Y25" s="1">
        <v>20.079999999999998</v>
      </c>
      <c r="Z25" s="352">
        <f>Clinker!EK25</f>
        <v>1340</v>
      </c>
      <c r="AA25" s="361">
        <f t="shared" si="4"/>
        <v>66.733067729083672</v>
      </c>
      <c r="AB25" s="372">
        <f>'Daily CEM-1'!H26</f>
        <v>0</v>
      </c>
      <c r="AC25" s="352">
        <f>'Daily CEM-1'!C26</f>
        <v>0</v>
      </c>
      <c r="AD25" s="361" t="e">
        <f t="shared" si="5"/>
        <v>#DIV/0!</v>
      </c>
      <c r="AE25" s="372">
        <f>'Daily CEM-1'!I26</f>
        <v>0</v>
      </c>
      <c r="AF25" s="352">
        <f>'Daily CEM-1'!D26</f>
        <v>0</v>
      </c>
      <c r="AG25" s="361" t="e">
        <f t="shared" si="12"/>
        <v>#DIV/0!</v>
      </c>
      <c r="AH25" s="373">
        <f>'Daily CEM-1'!J26</f>
        <v>0</v>
      </c>
      <c r="AI25" s="373">
        <f>'Daily CEM-1'!E26</f>
        <v>0</v>
      </c>
      <c r="AJ25" s="373" t="e">
        <f t="shared" ref="AJ25:AJ33" si="48">AI25/AH25</f>
        <v>#DIV/0!</v>
      </c>
      <c r="AK25" s="373">
        <f>'Daily CEM-1'!K26</f>
        <v>2</v>
      </c>
      <c r="AL25" s="373">
        <f>'Daily CEM-1'!F26</f>
        <v>120</v>
      </c>
      <c r="AM25" s="373">
        <f t="shared" si="13"/>
        <v>60</v>
      </c>
      <c r="AN25" s="60">
        <f>'Daily CEM-1'!L26</f>
        <v>7</v>
      </c>
      <c r="AO25" s="60">
        <f>'Daily CEM-1'!G26</f>
        <v>501</v>
      </c>
      <c r="AP25" s="60">
        <f t="shared" si="14"/>
        <v>71.571428571428569</v>
      </c>
      <c r="AQ25" s="372">
        <f>'Daily  CEM - 2'!H26</f>
        <v>24</v>
      </c>
      <c r="AR25" s="352">
        <f>'Daily  CEM - 2'!C26</f>
        <v>1464</v>
      </c>
      <c r="AS25" s="361">
        <f t="shared" si="6"/>
        <v>61</v>
      </c>
      <c r="AT25" s="372">
        <f>'Daily  CEM - 2'!I26</f>
        <v>0</v>
      </c>
      <c r="AU25" s="352">
        <f>'Daily  CEM - 2'!D26</f>
        <v>0</v>
      </c>
      <c r="AV25" s="361" t="e">
        <f t="shared" si="7"/>
        <v>#DIV/0!</v>
      </c>
      <c r="AW25" s="373">
        <f>'Daily  CEM - 2'!J26</f>
        <v>0</v>
      </c>
      <c r="AX25" s="373">
        <f>'Daily  CEM - 2'!E26</f>
        <v>0</v>
      </c>
      <c r="AY25" s="374" t="e">
        <f t="shared" si="15"/>
        <v>#DIV/0!</v>
      </c>
      <c r="AZ25" s="373">
        <f>'Daily  CEM - 2'!K26</f>
        <v>0</v>
      </c>
      <c r="BA25" s="373">
        <f>'Daily  CEM - 2'!F26</f>
        <v>0</v>
      </c>
      <c r="BB25" s="375" t="e">
        <f t="shared" si="16"/>
        <v>#DIV/0!</v>
      </c>
      <c r="BC25" s="61">
        <f>'Daily  CEM - 2'!L26</f>
        <v>0</v>
      </c>
      <c r="BD25" s="61">
        <f>'Daily  CEM - 2'!G26</f>
        <v>0</v>
      </c>
      <c r="BE25" s="375" t="e">
        <f t="shared" si="17"/>
        <v>#DIV/0!</v>
      </c>
      <c r="BF25" s="360">
        <f t="shared" si="18"/>
        <v>2690.0479999999789</v>
      </c>
      <c r="BG25" s="371">
        <f t="shared" si="19"/>
        <v>1464</v>
      </c>
      <c r="BH25" s="1">
        <v>1621.5</v>
      </c>
      <c r="BI25" s="18">
        <f>BF25+BG25-BH25-'Internal use cement'!F25</f>
        <v>2532.5479999999789</v>
      </c>
      <c r="BJ25" s="360">
        <f t="shared" si="20"/>
        <v>366.29999999999995</v>
      </c>
      <c r="BK25" s="371">
        <f t="shared" si="21"/>
        <v>0</v>
      </c>
      <c r="BL25" s="1">
        <v>94</v>
      </c>
      <c r="BM25" s="353">
        <f>BJ25+BK25-BL25-'Internal use cement'!AB25</f>
        <v>272.29999999999995</v>
      </c>
      <c r="BN25" s="353">
        <f t="shared" si="39"/>
        <v>9.0000000000849845E-2</v>
      </c>
      <c r="BO25" s="376">
        <f t="shared" si="45"/>
        <v>0</v>
      </c>
      <c r="BP25" s="1">
        <v>0</v>
      </c>
      <c r="BQ25" s="377">
        <f>BN25+BO25-BP25-'Internal use cement'!Q25</f>
        <v>9.0000000000849845E-2</v>
      </c>
      <c r="BR25" s="353">
        <f t="shared" si="40"/>
        <v>150.30000000000001</v>
      </c>
      <c r="BS25" s="376">
        <f t="shared" si="23"/>
        <v>120</v>
      </c>
      <c r="BT25" s="1">
        <v>90</v>
      </c>
      <c r="BU25" s="377">
        <f>BR25+BS25-BT25-'Internal use cement'!AG25</f>
        <v>180.3</v>
      </c>
      <c r="BV25" s="66">
        <f t="shared" si="41"/>
        <v>299.21000000000021</v>
      </c>
      <c r="BW25" s="34">
        <f t="shared" si="24"/>
        <v>501</v>
      </c>
      <c r="BX25" s="15">
        <v>214.7</v>
      </c>
      <c r="BY25" s="66">
        <f>BV25+BW25-BX25-'Internal use cement'!AO25</f>
        <v>581.51000000000022</v>
      </c>
      <c r="BZ25" s="1">
        <v>1911</v>
      </c>
      <c r="CA25" s="1">
        <v>2293</v>
      </c>
      <c r="CB25" s="1">
        <v>205</v>
      </c>
      <c r="CC25" s="322">
        <f t="shared" si="42"/>
        <v>4409</v>
      </c>
      <c r="CD25" s="15">
        <f t="shared" si="25"/>
        <v>3566.7479999999805</v>
      </c>
      <c r="CE25" s="269">
        <f t="shared" si="46"/>
        <v>842.25200000001951</v>
      </c>
      <c r="CF25" s="15">
        <f t="shared" si="26"/>
        <v>2020.2</v>
      </c>
      <c r="CG25" s="15">
        <f t="shared" si="27"/>
        <v>2085</v>
      </c>
      <c r="CH25" s="270">
        <f t="shared" si="28"/>
        <v>96.929983162480767</v>
      </c>
      <c r="CJ25" s="369">
        <f t="shared" si="8"/>
        <v>0</v>
      </c>
      <c r="CK25" s="322">
        <v>23</v>
      </c>
      <c r="CL25" s="322">
        <f t="shared" ref="CL25:CL33" si="49">24-G25</f>
        <v>6.3500000000000014</v>
      </c>
      <c r="CM25" s="322">
        <f t="shared" si="30"/>
        <v>9.5</v>
      </c>
      <c r="CN25" s="364">
        <f t="shared" si="31"/>
        <v>15</v>
      </c>
      <c r="CO25" s="364">
        <f t="shared" si="32"/>
        <v>0</v>
      </c>
      <c r="CP25" s="322">
        <f t="shared" si="33"/>
        <v>3.9200000000000017</v>
      </c>
      <c r="CQ25" s="378">
        <v>23</v>
      </c>
      <c r="CR25" s="364">
        <f t="shared" si="34"/>
        <v>1464</v>
      </c>
      <c r="CS25" s="15">
        <f>'Daily CEM-1'!H26+'Daily CEM-1'!I26+'Daily CEM-1'!J26+'Daily CEM-1'!K26+'Daily CEM-1'!L26</f>
        <v>9</v>
      </c>
      <c r="CT25" s="15">
        <f>AQ25+AT25+AW25+'Daily  CEM - 2'!K26+'Daily  CEM - 2'!L26</f>
        <v>24</v>
      </c>
      <c r="CU25" s="369">
        <f t="shared" si="35"/>
        <v>15</v>
      </c>
      <c r="CW25" s="52">
        <f t="shared" si="36"/>
        <v>2257.14</v>
      </c>
      <c r="CX25" s="52">
        <v>23</v>
      </c>
      <c r="CY25"/>
    </row>
    <row r="26" spans="2:106" s="321" customFormat="1" x14ac:dyDescent="0.25">
      <c r="B26" s="348">
        <v>24</v>
      </c>
      <c r="C26" s="1">
        <v>20.65</v>
      </c>
      <c r="D26" s="361">
        <f>'Mines (2)'!D26+'Mines (2)'!I26+'Mines (2)'!W26+'Mines (2)'!AA26+'Mines (2)'!AE26</f>
        <v>2740.58</v>
      </c>
      <c r="E26" s="370">
        <f>'Mines (2)'!E26+'Mines (2)'!J26+'Mines (2)'!X26+'Mines (2)'!AB26+'Mines (2)'!AF26</f>
        <v>3137</v>
      </c>
      <c r="F26" s="361">
        <f>D26/C26</f>
        <v>132.71573849878936</v>
      </c>
      <c r="G26" s="1">
        <v>23.5</v>
      </c>
      <c r="H26" s="16">
        <f t="shared" si="38"/>
        <v>1831.0700168375192</v>
      </c>
      <c r="I26" s="300">
        <f t="shared" si="9"/>
        <v>2035.6900168375191</v>
      </c>
      <c r="J26" s="1">
        <v>2280</v>
      </c>
      <c r="K26" s="371">
        <f t="shared" si="47"/>
        <v>2802.4</v>
      </c>
      <c r="L26" s="371">
        <f>Clinker!EK26*1.55</f>
        <v>2802.4</v>
      </c>
      <c r="M26" s="36">
        <v>0</v>
      </c>
      <c r="N26" s="1">
        <v>2890</v>
      </c>
      <c r="O26" s="361">
        <f t="shared" si="1"/>
        <v>122.97872340425532</v>
      </c>
      <c r="P26" s="1">
        <v>12</v>
      </c>
      <c r="Q26" s="1">
        <v>117.02</v>
      </c>
      <c r="R26" s="364">
        <f t="shared" si="10"/>
        <v>9.7516666666666669</v>
      </c>
      <c r="S26" s="1">
        <v>19.75</v>
      </c>
      <c r="T26" s="360">
        <f t="shared" si="11"/>
        <v>43.609999999999843</v>
      </c>
      <c r="U26" s="1">
        <v>275</v>
      </c>
      <c r="V26" s="1">
        <v>271</v>
      </c>
      <c r="W26" s="353">
        <f t="shared" si="2"/>
        <v>47.609999999999843</v>
      </c>
      <c r="X26" s="361">
        <f t="shared" si="3"/>
        <v>13.924050632911392</v>
      </c>
      <c r="Y26" s="1">
        <v>24</v>
      </c>
      <c r="Z26" s="352">
        <f>Clinker!EK26</f>
        <v>1808</v>
      </c>
      <c r="AA26" s="361">
        <f>Z26/Y26</f>
        <v>75.333333333333329</v>
      </c>
      <c r="AB26" s="372">
        <f>'Daily CEM-1'!H27</f>
        <v>17.75</v>
      </c>
      <c r="AC26" s="352">
        <f>'Daily CEM-1'!C27</f>
        <v>1230</v>
      </c>
      <c r="AD26" s="361">
        <f>AC26/AB26</f>
        <v>69.295774647887328</v>
      </c>
      <c r="AE26" s="372">
        <f>'Daily CEM-1'!I27</f>
        <v>0</v>
      </c>
      <c r="AF26" s="352">
        <f>'Daily CEM-1'!D27</f>
        <v>0</v>
      </c>
      <c r="AG26" s="361" t="e">
        <f>AF26/AE26</f>
        <v>#DIV/0!</v>
      </c>
      <c r="AH26" s="373">
        <f>'Daily CEM-1'!J27</f>
        <v>0</v>
      </c>
      <c r="AI26" s="373">
        <f>'Daily CEM-1'!E27</f>
        <v>0</v>
      </c>
      <c r="AJ26" s="373" t="e">
        <f t="shared" si="48"/>
        <v>#DIV/0!</v>
      </c>
      <c r="AK26" s="373">
        <f>'Daily CEM-1'!K27</f>
        <v>0</v>
      </c>
      <c r="AL26" s="373">
        <f>'Daily CEM-1'!F27</f>
        <v>0</v>
      </c>
      <c r="AM26" s="373" t="e">
        <f t="shared" si="13"/>
        <v>#DIV/0!</v>
      </c>
      <c r="AN26" s="60">
        <f>'Daily CEM-1'!L27</f>
        <v>0</v>
      </c>
      <c r="AO26" s="60">
        <f>'Daily CEM-1'!G27</f>
        <v>0</v>
      </c>
      <c r="AP26" s="60" t="e">
        <f t="shared" si="14"/>
        <v>#DIV/0!</v>
      </c>
      <c r="AQ26" s="372">
        <f>'Daily  CEM - 2'!H27</f>
        <v>17.3</v>
      </c>
      <c r="AR26" s="352">
        <f>'Daily  CEM - 2'!C27</f>
        <v>1035</v>
      </c>
      <c r="AS26" s="361">
        <f>AR26/AQ26</f>
        <v>59.826589595375722</v>
      </c>
      <c r="AT26" s="372">
        <f>'Daily  CEM - 2'!I27</f>
        <v>0</v>
      </c>
      <c r="AU26" s="352">
        <f>'Daily  CEM - 2'!D27</f>
        <v>0</v>
      </c>
      <c r="AV26" s="361" t="e">
        <f>AU26/AT26</f>
        <v>#DIV/0!</v>
      </c>
      <c r="AW26" s="373">
        <f>'Daily  CEM - 2'!J27</f>
        <v>0</v>
      </c>
      <c r="AX26" s="373">
        <f>'Daily  CEM - 2'!E27</f>
        <v>0</v>
      </c>
      <c r="AY26" s="374" t="e">
        <f t="shared" si="15"/>
        <v>#DIV/0!</v>
      </c>
      <c r="AZ26" s="373">
        <f>'Daily  CEM - 2'!K27</f>
        <v>0</v>
      </c>
      <c r="BA26" s="373">
        <f>'Daily  CEM - 2'!F27</f>
        <v>0</v>
      </c>
      <c r="BB26" s="373" t="e">
        <f t="shared" ref="BB26:BB33" si="50">BA26/AZ26</f>
        <v>#DIV/0!</v>
      </c>
      <c r="BC26" s="61">
        <f>'Daily  CEM - 2'!L27</f>
        <v>4.78</v>
      </c>
      <c r="BD26" s="61">
        <f>'Daily  CEM - 2'!G27</f>
        <v>300</v>
      </c>
      <c r="BE26" s="373">
        <f t="shared" si="17"/>
        <v>62.761506276150627</v>
      </c>
      <c r="BF26" s="360">
        <f t="shared" si="18"/>
        <v>2532.5479999999789</v>
      </c>
      <c r="BG26" s="371">
        <f t="shared" si="19"/>
        <v>2265</v>
      </c>
      <c r="BH26" s="1">
        <v>2353.9</v>
      </c>
      <c r="BI26" s="18">
        <f>BF26+BG26-BH26-'Internal use cement'!F26</f>
        <v>2443.6479999999788</v>
      </c>
      <c r="BJ26" s="360">
        <f t="shared" si="20"/>
        <v>272.29999999999995</v>
      </c>
      <c r="BK26" s="371">
        <f t="shared" si="21"/>
        <v>0</v>
      </c>
      <c r="BL26" s="1">
        <v>30</v>
      </c>
      <c r="BM26" s="353">
        <f>BJ26+BK26-BL26-'Internal use cement'!AB26</f>
        <v>242.29999999999995</v>
      </c>
      <c r="BN26" s="377">
        <f>BQ25</f>
        <v>9.0000000000849845E-2</v>
      </c>
      <c r="BO26" s="376">
        <f t="shared" si="45"/>
        <v>0</v>
      </c>
      <c r="BP26" s="1">
        <v>0</v>
      </c>
      <c r="BQ26" s="377">
        <f>BN26+BO26-BP26-'Internal use cement'!Q26</f>
        <v>9.0000000000849845E-2</v>
      </c>
      <c r="BR26" s="353">
        <f t="shared" si="40"/>
        <v>180.3</v>
      </c>
      <c r="BS26" s="376">
        <f t="shared" si="23"/>
        <v>0</v>
      </c>
      <c r="BT26" s="1">
        <v>15</v>
      </c>
      <c r="BU26" s="377">
        <f>BR26+BS26-BT26-'Internal use cement'!AG26</f>
        <v>165.3</v>
      </c>
      <c r="BV26" s="66">
        <f t="shared" si="41"/>
        <v>581.51000000000022</v>
      </c>
      <c r="BW26" s="34">
        <f t="shared" si="24"/>
        <v>300</v>
      </c>
      <c r="BX26" s="15">
        <v>271.22000000000003</v>
      </c>
      <c r="BY26" s="66">
        <f>BV26+BW26-BX26-'Internal use cement'!AO26</f>
        <v>610.29000000000019</v>
      </c>
      <c r="BZ26" s="1">
        <v>1807</v>
      </c>
      <c r="CA26" s="1">
        <v>2338</v>
      </c>
      <c r="CB26" s="1">
        <v>182</v>
      </c>
      <c r="CC26" s="322">
        <f t="shared" si="42"/>
        <v>4327</v>
      </c>
      <c r="CD26" s="15">
        <f t="shared" si="25"/>
        <v>3461.6279999999797</v>
      </c>
      <c r="CE26" s="270">
        <f>CC26-CD26</f>
        <v>865.37200000002031</v>
      </c>
      <c r="CF26" s="15">
        <f t="shared" si="26"/>
        <v>2670.12</v>
      </c>
      <c r="CG26" s="15">
        <f t="shared" si="27"/>
        <v>2565</v>
      </c>
      <c r="CH26" s="270">
        <f t="shared" si="28"/>
        <v>244.30998316248088</v>
      </c>
      <c r="CI26"/>
      <c r="CJ26" s="369">
        <f t="shared" si="8"/>
        <v>17.75</v>
      </c>
      <c r="CK26" s="322">
        <v>24</v>
      </c>
      <c r="CL26" s="322">
        <f t="shared" si="49"/>
        <v>0.5</v>
      </c>
      <c r="CM26" s="322">
        <f t="shared" si="30"/>
        <v>4.25</v>
      </c>
      <c r="CN26" s="364">
        <f t="shared" si="31"/>
        <v>6.25</v>
      </c>
      <c r="CO26" s="364">
        <f t="shared" si="32"/>
        <v>1.9199999999999982</v>
      </c>
      <c r="CP26" s="322">
        <f t="shared" si="33"/>
        <v>0</v>
      </c>
      <c r="CQ26" s="378">
        <v>24</v>
      </c>
      <c r="CR26" s="364">
        <f t="shared" si="34"/>
        <v>1035</v>
      </c>
      <c r="CS26" s="15">
        <f>'Daily CEM-1'!H27+'Daily CEM-1'!I27+'Daily CEM-1'!J27+'Daily CEM-1'!K27+'Daily CEM-1'!L27</f>
        <v>17.75</v>
      </c>
      <c r="CT26" s="15">
        <f>AQ26+AT26+AW26+'Daily  CEM - 2'!K27+'Daily  CEM - 2'!L27</f>
        <v>22.080000000000002</v>
      </c>
      <c r="CU26" s="369">
        <f t="shared" si="35"/>
        <v>6.25</v>
      </c>
      <c r="CW26" s="52">
        <f t="shared" si="36"/>
        <v>3007.02</v>
      </c>
      <c r="CX26" s="52">
        <v>24</v>
      </c>
      <c r="CY26"/>
      <c r="CZ26"/>
      <c r="DA26" s="160"/>
      <c r="DB26"/>
    </row>
    <row r="27" spans="2:106" s="321" customFormat="1" x14ac:dyDescent="0.25">
      <c r="B27" s="348">
        <v>25</v>
      </c>
      <c r="C27" s="1">
        <v>19.12</v>
      </c>
      <c r="D27" s="361">
        <f>'Mines (2)'!D27+'Mines (2)'!I27+'Mines (2)'!W27+'Mines (2)'!AA27+'Mines (2)'!AE27</f>
        <v>2604.54</v>
      </c>
      <c r="E27" s="370">
        <f>'Mines (2)'!E27+'Mines (2)'!J27+'Mines (2)'!X27+'Mines (2)'!AB27+'Mines (2)'!AF27</f>
        <v>2546</v>
      </c>
      <c r="F27" s="361">
        <f t="shared" ref="F27:F34" si="51">D27/C27</f>
        <v>136.22071129707112</v>
      </c>
      <c r="G27" s="1">
        <v>20.37</v>
      </c>
      <c r="H27" s="16">
        <f t="shared" si="38"/>
        <v>2035.6900168375191</v>
      </c>
      <c r="I27" s="300">
        <f t="shared" si="9"/>
        <v>1531.2400168375189</v>
      </c>
      <c r="J27" s="1">
        <v>1950</v>
      </c>
      <c r="K27" s="371">
        <f t="shared" si="47"/>
        <v>2929.5</v>
      </c>
      <c r="L27" s="371">
        <f>Clinker!EK27*1.55</f>
        <v>2929.5</v>
      </c>
      <c r="M27" s="36">
        <v>0</v>
      </c>
      <c r="N27" s="1">
        <v>2425.0500000000002</v>
      </c>
      <c r="O27" s="361">
        <f t="shared" si="1"/>
        <v>119.05007363770251</v>
      </c>
      <c r="P27" s="1">
        <v>0</v>
      </c>
      <c r="Q27" s="1">
        <v>0</v>
      </c>
      <c r="R27" s="364" t="e">
        <f t="shared" si="10"/>
        <v>#DIV/0!</v>
      </c>
      <c r="S27" s="1">
        <v>18.829999999999998</v>
      </c>
      <c r="T27" s="360">
        <f t="shared" si="11"/>
        <v>47.609999999999843</v>
      </c>
      <c r="U27" s="1">
        <v>256.5</v>
      </c>
      <c r="V27" s="1">
        <v>276</v>
      </c>
      <c r="W27" s="353">
        <f t="shared" si="2"/>
        <v>28.109999999999843</v>
      </c>
      <c r="X27" s="361">
        <f t="shared" si="3"/>
        <v>13.621879978757303</v>
      </c>
      <c r="Y27" s="1">
        <v>24</v>
      </c>
      <c r="Z27" s="352">
        <f>Clinker!EK27</f>
        <v>1890</v>
      </c>
      <c r="AA27" s="361">
        <f t="shared" ref="AA27:AA34" si="52">Z27/Y27</f>
        <v>78.75</v>
      </c>
      <c r="AB27" s="372">
        <f>'Daily CEM-1'!H28</f>
        <v>6.88</v>
      </c>
      <c r="AC27" s="352">
        <f>'Daily CEM-1'!C28</f>
        <v>480</v>
      </c>
      <c r="AD27" s="361">
        <f t="shared" ref="AD27:AD34" si="53">AC27/AB27</f>
        <v>69.767441860465112</v>
      </c>
      <c r="AE27" s="372">
        <f>'Daily CEM-1'!I28</f>
        <v>0</v>
      </c>
      <c r="AF27" s="352">
        <f>'Daily CEM-1'!D28</f>
        <v>0</v>
      </c>
      <c r="AG27" s="361" t="e">
        <f t="shared" ref="AG27:AG34" si="54">AF27/AE27</f>
        <v>#DIV/0!</v>
      </c>
      <c r="AH27" s="373">
        <f>'Daily CEM-1'!J28</f>
        <v>0</v>
      </c>
      <c r="AI27" s="373">
        <f>'Daily CEM-1'!E28</f>
        <v>0</v>
      </c>
      <c r="AJ27" s="373" t="e">
        <f t="shared" si="48"/>
        <v>#DIV/0!</v>
      </c>
      <c r="AK27" s="373">
        <f>'Daily CEM-1'!K28</f>
        <v>0</v>
      </c>
      <c r="AL27" s="373">
        <f>'Daily CEM-1'!F28</f>
        <v>0</v>
      </c>
      <c r="AM27" s="373" t="e">
        <f t="shared" si="13"/>
        <v>#DIV/0!</v>
      </c>
      <c r="AN27" s="60">
        <f>'Daily CEM-1'!L28</f>
        <v>3</v>
      </c>
      <c r="AO27" s="60">
        <f>'Daily CEM-1'!G28</f>
        <v>210</v>
      </c>
      <c r="AP27" s="60">
        <f t="shared" si="14"/>
        <v>70</v>
      </c>
      <c r="AQ27" s="372">
        <f>'Daily  CEM - 2'!H28</f>
        <v>16.8</v>
      </c>
      <c r="AR27" s="352">
        <f>'Daily  CEM - 2'!C28</f>
        <v>1008</v>
      </c>
      <c r="AS27" s="361">
        <f t="shared" ref="AS27:AS34" si="55">AR27/AQ27</f>
        <v>60</v>
      </c>
      <c r="AT27" s="372">
        <f>'Daily  CEM - 2'!I28</f>
        <v>2.2000000000000002</v>
      </c>
      <c r="AU27" s="352">
        <f>'Daily  CEM - 2'!D28</f>
        <v>150</v>
      </c>
      <c r="AV27" s="361">
        <f t="shared" ref="AV27:AV34" si="56">AU27/AT27</f>
        <v>68.181818181818173</v>
      </c>
      <c r="AW27" s="373">
        <f>'Daily  CEM - 2'!J28</f>
        <v>0</v>
      </c>
      <c r="AX27" s="373">
        <f>'Daily  CEM - 2'!E28</f>
        <v>0</v>
      </c>
      <c r="AY27" s="374" t="e">
        <f t="shared" si="15"/>
        <v>#DIV/0!</v>
      </c>
      <c r="AZ27" s="373">
        <f>'Daily  CEM - 2'!K28</f>
        <v>2</v>
      </c>
      <c r="BA27" s="373">
        <f>'Daily  CEM - 2'!F28</f>
        <v>110</v>
      </c>
      <c r="BB27" s="373">
        <f t="shared" si="50"/>
        <v>55</v>
      </c>
      <c r="BC27" s="61">
        <f>'Daily  CEM - 2'!L28</f>
        <v>3</v>
      </c>
      <c r="BD27" s="61">
        <f>'Daily  CEM - 2'!G28</f>
        <v>200</v>
      </c>
      <c r="BE27" s="373">
        <f t="shared" si="17"/>
        <v>66.666666666666671</v>
      </c>
      <c r="BF27" s="360">
        <f t="shared" si="18"/>
        <v>2443.6479999999788</v>
      </c>
      <c r="BG27" s="371">
        <f t="shared" si="19"/>
        <v>1488</v>
      </c>
      <c r="BH27" s="1">
        <v>2109.25</v>
      </c>
      <c r="BI27" s="18">
        <f>BF27+BG27-BH27-'Internal use cement'!F27</f>
        <v>1822.3979999999788</v>
      </c>
      <c r="BJ27" s="360">
        <f t="shared" si="20"/>
        <v>242.29999999999995</v>
      </c>
      <c r="BK27" s="371">
        <f t="shared" si="21"/>
        <v>150</v>
      </c>
      <c r="BL27" s="1">
        <v>60</v>
      </c>
      <c r="BM27" s="353">
        <f>BJ27+BK27-BL27-'Internal use cement'!AB27</f>
        <v>332.29999999999995</v>
      </c>
      <c r="BN27" s="353">
        <f t="shared" si="39"/>
        <v>9.0000000000849845E-2</v>
      </c>
      <c r="BO27" s="376">
        <f t="shared" si="45"/>
        <v>0</v>
      </c>
      <c r="BP27" s="1">
        <v>0</v>
      </c>
      <c r="BQ27" s="377">
        <f>BN27+BO27-BP27-'Internal use cement'!Q27</f>
        <v>9.0000000000849845E-2</v>
      </c>
      <c r="BR27" s="377">
        <f>BU26</f>
        <v>165.3</v>
      </c>
      <c r="BS27" s="376">
        <f t="shared" si="23"/>
        <v>110</v>
      </c>
      <c r="BT27" s="1">
        <v>0</v>
      </c>
      <c r="BU27" s="377">
        <f>BR27+BS27-BT27-'Internal use cement'!AG27</f>
        <v>275.3</v>
      </c>
      <c r="BV27" s="66">
        <f>BY26</f>
        <v>610.29000000000019</v>
      </c>
      <c r="BW27" s="34">
        <f t="shared" si="24"/>
        <v>410</v>
      </c>
      <c r="BX27" s="15">
        <v>394.12</v>
      </c>
      <c r="BY27" s="66">
        <f>BV27+BW27-BX27-'Internal use cement'!AO27</f>
        <v>626.17000000000019</v>
      </c>
      <c r="BZ27" s="1">
        <v>1705</v>
      </c>
      <c r="CA27" s="1">
        <v>1972</v>
      </c>
      <c r="CB27" s="1">
        <v>315</v>
      </c>
      <c r="CC27" s="322">
        <f t="shared" si="42"/>
        <v>3992</v>
      </c>
      <c r="CD27" s="15">
        <f t="shared" si="25"/>
        <v>3056.2579999999798</v>
      </c>
      <c r="CE27" s="270">
        <f>CC27-CD27</f>
        <v>935.7420000000202</v>
      </c>
      <c r="CF27" s="15">
        <f t="shared" si="26"/>
        <v>2563.37</v>
      </c>
      <c r="CG27" s="15">
        <f t="shared" si="27"/>
        <v>2158</v>
      </c>
      <c r="CH27" s="270">
        <f t="shared" si="28"/>
        <v>418.75998316248115</v>
      </c>
      <c r="CJ27" s="369">
        <f t="shared" si="8"/>
        <v>6.88</v>
      </c>
      <c r="CK27" s="322">
        <v>25</v>
      </c>
      <c r="CL27" s="322">
        <f t="shared" si="49"/>
        <v>3.629999999999999</v>
      </c>
      <c r="CM27" s="322">
        <f t="shared" si="30"/>
        <v>5.1700000000000017</v>
      </c>
      <c r="CN27" s="364">
        <f t="shared" si="31"/>
        <v>14.120000000000001</v>
      </c>
      <c r="CO27" s="364">
        <f t="shared" si="32"/>
        <v>0</v>
      </c>
      <c r="CP27" s="322">
        <f t="shared" si="33"/>
        <v>0</v>
      </c>
      <c r="CQ27" s="378">
        <v>25</v>
      </c>
      <c r="CR27" s="364">
        <f t="shared" si="34"/>
        <v>1158</v>
      </c>
      <c r="CS27" s="15">
        <f>'Daily CEM-1'!H28+'Daily CEM-1'!I28+'Daily CEM-1'!J28+'Daily CEM-1'!K28+'Daily CEM-1'!L28</f>
        <v>9.879999999999999</v>
      </c>
      <c r="CT27" s="15">
        <f>AQ27+AT27+AW27+'Daily  CEM - 2'!K28+'Daily  CEM - 2'!L28</f>
        <v>24</v>
      </c>
      <c r="CU27" s="369">
        <f t="shared" si="35"/>
        <v>14.120000000000001</v>
      </c>
      <c r="CW27" s="52">
        <f t="shared" si="36"/>
        <v>2425.0500000000002</v>
      </c>
      <c r="CX27" s="52">
        <v>25</v>
      </c>
    </row>
    <row r="28" spans="2:106" s="321" customFormat="1" x14ac:dyDescent="0.25">
      <c r="B28" s="348">
        <v>26</v>
      </c>
      <c r="C28" s="1">
        <v>17.2</v>
      </c>
      <c r="D28" s="361">
        <f>'Mines (2)'!D28+'Mines (2)'!I28+'Mines (2)'!W28+'Mines (2)'!AA28+'Mines (2)'!AE28</f>
        <v>3027.4399999999996</v>
      </c>
      <c r="E28" s="370">
        <f>'Mines (2)'!E28+'Mines (2)'!J28+'Mines (2)'!X28+'Mines (2)'!AB28+'Mines (2)'!AF28</f>
        <v>1765</v>
      </c>
      <c r="F28" s="361">
        <f t="shared" si="51"/>
        <v>176.01395348837207</v>
      </c>
      <c r="G28" s="1">
        <v>14.33</v>
      </c>
      <c r="H28" s="16">
        <f t="shared" si="38"/>
        <v>1531.2400168375189</v>
      </c>
      <c r="I28" s="300">
        <f t="shared" si="9"/>
        <v>774.98001683751909</v>
      </c>
      <c r="J28" s="1">
        <v>1170</v>
      </c>
      <c r="K28" s="371">
        <f t="shared" si="47"/>
        <v>2438.15</v>
      </c>
      <c r="L28" s="371">
        <f>Clinker!EK28*1.55</f>
        <v>2438.15</v>
      </c>
      <c r="M28" s="36">
        <v>0</v>
      </c>
      <c r="N28" s="1">
        <v>1681.89</v>
      </c>
      <c r="O28" s="361">
        <f t="shared" si="1"/>
        <v>117.36845778087928</v>
      </c>
      <c r="P28" s="1">
        <v>0</v>
      </c>
      <c r="Q28" s="1">
        <v>0</v>
      </c>
      <c r="R28" s="364" t="e">
        <f t="shared" si="10"/>
        <v>#DIV/0!</v>
      </c>
      <c r="S28" s="1">
        <v>16</v>
      </c>
      <c r="T28" s="360">
        <f t="shared" si="11"/>
        <v>28.109999999999843</v>
      </c>
      <c r="U28" s="1">
        <v>246</v>
      </c>
      <c r="V28" s="1">
        <v>247</v>
      </c>
      <c r="W28" s="353">
        <f t="shared" ref="W28:W33" si="57">T28+U28-V28</f>
        <v>27.109999999999843</v>
      </c>
      <c r="X28" s="361">
        <f t="shared" si="3"/>
        <v>15.375</v>
      </c>
      <c r="Y28" s="1">
        <v>23.05</v>
      </c>
      <c r="Z28" s="352">
        <f>Clinker!EK28</f>
        <v>1573</v>
      </c>
      <c r="AA28" s="361">
        <f t="shared" si="52"/>
        <v>68.242950108459866</v>
      </c>
      <c r="AB28" s="372">
        <f>'Daily CEM-1'!H29</f>
        <v>20.5</v>
      </c>
      <c r="AC28" s="352">
        <f>'Daily CEM-1'!C29</f>
        <v>1430</v>
      </c>
      <c r="AD28" s="361">
        <f t="shared" si="53"/>
        <v>69.756097560975604</v>
      </c>
      <c r="AE28" s="372">
        <f>'Daily CEM-1'!I29</f>
        <v>0</v>
      </c>
      <c r="AF28" s="352">
        <f>'Daily CEM-1'!D29</f>
        <v>0</v>
      </c>
      <c r="AG28" s="361" t="e">
        <f t="shared" si="54"/>
        <v>#DIV/0!</v>
      </c>
      <c r="AH28" s="373">
        <f>'Daily CEM-1'!J29</f>
        <v>0</v>
      </c>
      <c r="AI28" s="373">
        <f>'Daily CEM-1'!E29</f>
        <v>0</v>
      </c>
      <c r="AJ28" s="373" t="e">
        <f t="shared" si="48"/>
        <v>#DIV/0!</v>
      </c>
      <c r="AK28" s="373">
        <f>'Daily CEM-1'!K29</f>
        <v>0</v>
      </c>
      <c r="AL28" s="373">
        <f>'Daily CEM-1'!F29</f>
        <v>0</v>
      </c>
      <c r="AM28" s="373" t="e">
        <f t="shared" si="13"/>
        <v>#DIV/0!</v>
      </c>
      <c r="AN28" s="60">
        <f>'Daily CEM-1'!L29</f>
        <v>0</v>
      </c>
      <c r="AO28" s="60">
        <f>'Daily CEM-1'!G29</f>
        <v>0</v>
      </c>
      <c r="AP28" s="60" t="e">
        <f t="shared" si="14"/>
        <v>#DIV/0!</v>
      </c>
      <c r="AQ28" s="372">
        <f>'Daily  CEM - 2'!H29</f>
        <v>17.899999999999999</v>
      </c>
      <c r="AR28" s="352">
        <f>'Daily  CEM - 2'!C29</f>
        <v>1060</v>
      </c>
      <c r="AS28" s="361">
        <f t="shared" si="55"/>
        <v>59.217877094972074</v>
      </c>
      <c r="AT28" s="372">
        <f>'Daily  CEM - 2'!I29</f>
        <v>0</v>
      </c>
      <c r="AU28" s="352">
        <f>'Daily  CEM - 2'!D29</f>
        <v>0</v>
      </c>
      <c r="AV28" s="361" t="e">
        <f t="shared" si="56"/>
        <v>#DIV/0!</v>
      </c>
      <c r="AW28" s="373">
        <f>'Daily  CEM - 2'!J29</f>
        <v>0</v>
      </c>
      <c r="AX28" s="373">
        <f>'Daily  CEM - 2'!E29</f>
        <v>0</v>
      </c>
      <c r="AY28" s="374" t="e">
        <f t="shared" si="15"/>
        <v>#DIV/0!</v>
      </c>
      <c r="AZ28" s="373">
        <f>'Daily  CEM - 2'!K29</f>
        <v>0</v>
      </c>
      <c r="BA28" s="373">
        <f>'Daily  CEM - 2'!F29</f>
        <v>0</v>
      </c>
      <c r="BB28" s="373" t="e">
        <f t="shared" si="50"/>
        <v>#DIV/0!</v>
      </c>
      <c r="BC28" s="61">
        <f>'Daily  CEM - 2'!L29</f>
        <v>4.8499999999999996</v>
      </c>
      <c r="BD28" s="61">
        <f>'Daily  CEM - 2'!G29</f>
        <v>298</v>
      </c>
      <c r="BE28" s="373">
        <f t="shared" si="17"/>
        <v>61.443298969072167</v>
      </c>
      <c r="BF28" s="360">
        <f t="shared" ref="BF28:BF33" si="58">BI27</f>
        <v>1822.3979999999788</v>
      </c>
      <c r="BG28" s="371">
        <f t="shared" si="19"/>
        <v>2490</v>
      </c>
      <c r="BH28" s="1">
        <v>1710.84</v>
      </c>
      <c r="BI28" s="18">
        <f>BF28+BG28-BH28-'Internal use cement'!F28</f>
        <v>2601.5579999999791</v>
      </c>
      <c r="BJ28" s="360">
        <f t="shared" ref="BJ28:BJ33" si="59">BM27</f>
        <v>332.29999999999995</v>
      </c>
      <c r="BK28" s="371">
        <f t="shared" si="21"/>
        <v>0</v>
      </c>
      <c r="BL28" s="1">
        <v>214</v>
      </c>
      <c r="BM28" s="353">
        <f>BJ28+BK28-BL28-'Internal use cement'!AB28</f>
        <v>118.29999999999995</v>
      </c>
      <c r="BN28" s="353">
        <f t="shared" si="39"/>
        <v>9.0000000000849845E-2</v>
      </c>
      <c r="BO28" s="376">
        <f t="shared" si="45"/>
        <v>0</v>
      </c>
      <c r="BP28" s="1">
        <v>0</v>
      </c>
      <c r="BQ28" s="377">
        <f>BN28+BO28-BP28-'Internal use cement'!Q28</f>
        <v>9.0000000000849845E-2</v>
      </c>
      <c r="BR28" s="377">
        <f>BU27</f>
        <v>275.3</v>
      </c>
      <c r="BS28" s="376">
        <f>BA28+AL28</f>
        <v>0</v>
      </c>
      <c r="BT28" s="1">
        <v>60</v>
      </c>
      <c r="BU28" s="377">
        <f>BR28+BS28-BT28-'Internal use cement'!AG28</f>
        <v>215.3</v>
      </c>
      <c r="BV28" s="66">
        <f t="shared" si="41"/>
        <v>626.17000000000019</v>
      </c>
      <c r="BW28" s="34">
        <f t="shared" si="24"/>
        <v>298</v>
      </c>
      <c r="BX28" s="15">
        <v>494.84</v>
      </c>
      <c r="BY28" s="66">
        <f>BV28+BW28-BX28-'Internal use cement'!AO28</f>
        <v>429.33000000000021</v>
      </c>
      <c r="BZ28" s="1">
        <v>1870</v>
      </c>
      <c r="CA28" s="1">
        <v>2214</v>
      </c>
      <c r="CB28" s="1">
        <v>229</v>
      </c>
      <c r="CC28" s="322">
        <f t="shared" si="42"/>
        <v>4313</v>
      </c>
      <c r="CD28" s="15">
        <f>BI28+BM28+BQ28+BU28+BY28</f>
        <v>3364.5779999999809</v>
      </c>
      <c r="CE28" s="269">
        <f t="shared" si="46"/>
        <v>948.42200000001912</v>
      </c>
      <c r="CF28" s="15">
        <f t="shared" si="26"/>
        <v>2479.6799999999998</v>
      </c>
      <c r="CG28" s="15">
        <f t="shared" si="27"/>
        <v>2788</v>
      </c>
      <c r="CH28" s="270">
        <f t="shared" si="28"/>
        <v>395.01998316248091</v>
      </c>
      <c r="CI28" s="321">
        <f>CG28*0.12</f>
        <v>334.56</v>
      </c>
      <c r="CJ28" s="369">
        <f t="shared" si="8"/>
        <v>20.5</v>
      </c>
      <c r="CK28" s="322">
        <v>26</v>
      </c>
      <c r="CL28" s="322">
        <f t="shared" si="49"/>
        <v>9.67</v>
      </c>
      <c r="CM28" s="322">
        <f t="shared" si="30"/>
        <v>8</v>
      </c>
      <c r="CN28" s="364">
        <f t="shared" si="31"/>
        <v>3.5</v>
      </c>
      <c r="CO28" s="364">
        <f t="shared" si="32"/>
        <v>1.25</v>
      </c>
      <c r="CP28" s="322">
        <f t="shared" si="33"/>
        <v>0.94999999999999929</v>
      </c>
      <c r="CQ28" s="378">
        <v>26</v>
      </c>
      <c r="CR28" s="364">
        <f t="shared" si="34"/>
        <v>1060</v>
      </c>
      <c r="CS28" s="15">
        <f>'Daily CEM-1'!H29+'Daily CEM-1'!I29+'Daily CEM-1'!J29+'Daily CEM-1'!K29+'Daily CEM-1'!L29</f>
        <v>20.5</v>
      </c>
      <c r="CT28" s="15">
        <f>AQ28+AT28+AW28+'Daily  CEM - 2'!K29+'Daily  CEM - 2'!L29</f>
        <v>22.75</v>
      </c>
      <c r="CU28" s="369">
        <f t="shared" si="35"/>
        <v>3.5</v>
      </c>
      <c r="CW28" s="52">
        <f t="shared" si="36"/>
        <v>1681.89</v>
      </c>
      <c r="CX28" s="52">
        <v>26</v>
      </c>
    </row>
    <row r="29" spans="2:106" x14ac:dyDescent="0.25">
      <c r="B29" s="4">
        <v>27</v>
      </c>
      <c r="C29" s="1">
        <v>18.27</v>
      </c>
      <c r="D29" s="34">
        <f>'Mines (2)'!D29+'Mines (2)'!I29+'Mines (2)'!W29+'Mines (2)'!AA29+'Mines (2)'!AE29</f>
        <v>3067.12</v>
      </c>
      <c r="E29" s="169">
        <f>'Mines (2)'!E29+'Mines (2)'!J29+'Mines (2)'!X29+'Mines (2)'!AB29+'Mines (2)'!AF29</f>
        <v>3083</v>
      </c>
      <c r="F29" s="34">
        <f t="shared" si="51"/>
        <v>167.87739463601531</v>
      </c>
      <c r="G29" s="1">
        <v>23.25</v>
      </c>
      <c r="H29" s="16">
        <f t="shared" si="38"/>
        <v>774.98001683751909</v>
      </c>
      <c r="I29" s="300">
        <f t="shared" si="9"/>
        <v>1065.0000168375191</v>
      </c>
      <c r="J29" s="1">
        <v>1836</v>
      </c>
      <c r="K29" s="36">
        <f t="shared" si="47"/>
        <v>2573</v>
      </c>
      <c r="L29" s="36">
        <f>Clinker!EK29*1.55</f>
        <v>2573</v>
      </c>
      <c r="M29" s="36">
        <v>0</v>
      </c>
      <c r="N29" s="1">
        <v>2863.02</v>
      </c>
      <c r="O29" s="34">
        <f t="shared" si="1"/>
        <v>123.14064516129032</v>
      </c>
      <c r="P29" s="1">
        <v>0</v>
      </c>
      <c r="Q29" s="1">
        <v>0</v>
      </c>
      <c r="R29" s="15" t="e">
        <f t="shared" si="10"/>
        <v>#DIV/0!</v>
      </c>
      <c r="S29" s="1">
        <v>17.420000000000002</v>
      </c>
      <c r="T29" s="16">
        <f>W28</f>
        <v>27.109999999999843</v>
      </c>
      <c r="U29" s="1">
        <v>261</v>
      </c>
      <c r="V29" s="1">
        <v>253</v>
      </c>
      <c r="W29" s="18">
        <f t="shared" si="57"/>
        <v>35.109999999999843</v>
      </c>
      <c r="X29" s="34">
        <f t="shared" si="3"/>
        <v>14.982778415614234</v>
      </c>
      <c r="Y29" s="1">
        <v>24</v>
      </c>
      <c r="Z29" s="33">
        <f>Clinker!EK29</f>
        <v>1660</v>
      </c>
      <c r="AA29" s="34">
        <f t="shared" si="52"/>
        <v>69.166666666666671</v>
      </c>
      <c r="AB29" s="37">
        <f>'Daily CEM-1'!H30</f>
        <v>3.72</v>
      </c>
      <c r="AC29" s="33">
        <f>'Daily CEM-1'!C30</f>
        <v>260</v>
      </c>
      <c r="AD29" s="34">
        <f t="shared" si="53"/>
        <v>69.892473118279568</v>
      </c>
      <c r="AE29" s="37">
        <f>'Daily CEM-1'!I30</f>
        <v>5.8</v>
      </c>
      <c r="AF29" s="33">
        <f>'Daily CEM-1'!D30</f>
        <v>410</v>
      </c>
      <c r="AG29" s="34">
        <f t="shared" si="54"/>
        <v>70.689655172413794</v>
      </c>
      <c r="AH29" s="61">
        <f>'Daily CEM-1'!J30</f>
        <v>0</v>
      </c>
      <c r="AI29" s="61">
        <f>'Daily CEM-1'!E30</f>
        <v>0</v>
      </c>
      <c r="AJ29" s="61" t="e">
        <f t="shared" si="48"/>
        <v>#DIV/0!</v>
      </c>
      <c r="AK29" s="61">
        <f>'Daily CEM-1'!K30</f>
        <v>0</v>
      </c>
      <c r="AL29" s="61">
        <f>'Daily CEM-1'!F30</f>
        <v>0</v>
      </c>
      <c r="AM29" s="61" t="e">
        <f t="shared" si="13"/>
        <v>#DIV/0!</v>
      </c>
      <c r="AN29" s="60">
        <f>'Daily CEM-1'!L30</f>
        <v>5.8</v>
      </c>
      <c r="AO29" s="60">
        <f>'Daily CEM-1'!G30</f>
        <v>410</v>
      </c>
      <c r="AP29" s="60">
        <f t="shared" si="14"/>
        <v>70.689655172413794</v>
      </c>
      <c r="AQ29" s="37">
        <f>'Daily  CEM - 2'!H30</f>
        <v>24</v>
      </c>
      <c r="AR29" s="33">
        <f>'Daily  CEM - 2'!C30</f>
        <v>1540</v>
      </c>
      <c r="AS29" s="34">
        <f t="shared" si="55"/>
        <v>64.166666666666671</v>
      </c>
      <c r="AT29" s="37">
        <f>'Daily  CEM - 2'!I30</f>
        <v>0</v>
      </c>
      <c r="AU29" s="33">
        <f>'Daily  CEM - 2'!D30</f>
        <v>0</v>
      </c>
      <c r="AV29" s="34" t="e">
        <f t="shared" si="56"/>
        <v>#DIV/0!</v>
      </c>
      <c r="AW29" s="61">
        <f>'Daily  CEM - 2'!J30</f>
        <v>0</v>
      </c>
      <c r="AX29" s="61">
        <f>'Daily  CEM - 2'!E30</f>
        <v>0</v>
      </c>
      <c r="AY29" s="197" t="e">
        <f t="shared" si="15"/>
        <v>#DIV/0!</v>
      </c>
      <c r="AZ29" s="61">
        <f>'Daily  CEM - 2'!K30</f>
        <v>0</v>
      </c>
      <c r="BA29" s="61">
        <f>'Daily  CEM - 2'!F30</f>
        <v>0</v>
      </c>
      <c r="BB29" s="61" t="e">
        <f t="shared" si="50"/>
        <v>#DIV/0!</v>
      </c>
      <c r="BC29" s="61">
        <f>'Daily  CEM - 2'!L30</f>
        <v>0</v>
      </c>
      <c r="BD29" s="61">
        <f>'Daily  CEM - 2'!G30</f>
        <v>0</v>
      </c>
      <c r="BE29" s="61" t="e">
        <f t="shared" si="17"/>
        <v>#DIV/0!</v>
      </c>
      <c r="BF29" s="16">
        <f t="shared" si="58"/>
        <v>2601.5579999999791</v>
      </c>
      <c r="BG29" s="36">
        <f t="shared" si="19"/>
        <v>1800</v>
      </c>
      <c r="BH29" s="1">
        <v>2063.4</v>
      </c>
      <c r="BI29" s="18">
        <f>BF29+BG29-BH29-'Internal use cement'!F29</f>
        <v>2338.157999999979</v>
      </c>
      <c r="BJ29" s="16">
        <f t="shared" si="59"/>
        <v>118.29999999999995</v>
      </c>
      <c r="BK29" s="36">
        <f t="shared" si="21"/>
        <v>410</v>
      </c>
      <c r="BL29" s="1">
        <v>160</v>
      </c>
      <c r="BM29" s="18">
        <f>BJ29+BK29-BL29-'Internal use cement'!AB29</f>
        <v>368.29999999999995</v>
      </c>
      <c r="BN29" s="18">
        <f t="shared" si="39"/>
        <v>9.0000000000849845E-2</v>
      </c>
      <c r="BO29" s="63">
        <f t="shared" si="45"/>
        <v>0</v>
      </c>
      <c r="BP29" s="1">
        <v>0</v>
      </c>
      <c r="BQ29" s="66">
        <f>BN29+BO29-BP29-'Internal use cement'!Q29</f>
        <v>9.0000000000849845E-2</v>
      </c>
      <c r="BR29" s="66">
        <f>BU28</f>
        <v>215.3</v>
      </c>
      <c r="BS29" s="63">
        <f t="shared" si="23"/>
        <v>0</v>
      </c>
      <c r="BT29" s="1">
        <v>0</v>
      </c>
      <c r="BU29" s="66">
        <f>BR29+BS29-BT29-'Internal use cement'!AG29</f>
        <v>215.3</v>
      </c>
      <c r="BV29" s="66">
        <f>BY28</f>
        <v>429.33000000000021</v>
      </c>
      <c r="BW29" s="34">
        <f t="shared" si="24"/>
        <v>410</v>
      </c>
      <c r="BX29" s="15">
        <v>281.74</v>
      </c>
      <c r="BY29" s="66">
        <f>BV29+BW29-BX29-'Internal use cement'!AO29</f>
        <v>557.59000000000015</v>
      </c>
      <c r="BZ29" s="1">
        <v>1998</v>
      </c>
      <c r="CA29" s="1">
        <v>2117</v>
      </c>
      <c r="CB29" s="1">
        <v>241</v>
      </c>
      <c r="CC29" s="1">
        <f>SUM(BZ29:CB29)</f>
        <v>4356</v>
      </c>
      <c r="CD29" s="15">
        <f>BI29+BM29+BQ29+BU29+BY29</f>
        <v>3479.4379999999801</v>
      </c>
      <c r="CE29" s="270">
        <f>CC29-CD29</f>
        <v>876.56200000001991</v>
      </c>
      <c r="CF29" s="15">
        <f t="shared" si="26"/>
        <v>2505.1400000000003</v>
      </c>
      <c r="CG29" s="15">
        <f t="shared" si="27"/>
        <v>2620</v>
      </c>
      <c r="CH29" s="270">
        <f t="shared" si="28"/>
        <v>770.99998316248093</v>
      </c>
      <c r="CI29">
        <f>CG29*0.12</f>
        <v>314.39999999999998</v>
      </c>
      <c r="CJ29" s="52">
        <f t="shared" si="8"/>
        <v>9.52</v>
      </c>
      <c r="CK29" s="1">
        <v>27</v>
      </c>
      <c r="CL29" s="1">
        <f t="shared" si="49"/>
        <v>0.75</v>
      </c>
      <c r="CM29" s="1">
        <f t="shared" si="30"/>
        <v>6.5799999999999983</v>
      </c>
      <c r="CN29" s="15">
        <f t="shared" si="31"/>
        <v>8.68</v>
      </c>
      <c r="CO29" s="15">
        <f t="shared" si="32"/>
        <v>0</v>
      </c>
      <c r="CP29" s="1">
        <f t="shared" si="33"/>
        <v>0</v>
      </c>
      <c r="CQ29" s="2">
        <v>27</v>
      </c>
      <c r="CR29" s="15">
        <f t="shared" si="34"/>
        <v>1540</v>
      </c>
      <c r="CS29" s="15">
        <f>'Daily CEM-1'!H30+'Daily CEM-1'!I30+'Daily CEM-1'!J30+'Daily CEM-1'!K30+'Daily CEM-1'!L30</f>
        <v>15.32</v>
      </c>
      <c r="CT29" s="15">
        <f>AQ29+AT29+AW29+'Daily  CEM - 2'!K30+'Daily  CEM - 2'!L30</f>
        <v>24</v>
      </c>
      <c r="CU29" s="52">
        <f t="shared" si="35"/>
        <v>8.68</v>
      </c>
      <c r="CW29" s="52">
        <f t="shared" si="36"/>
        <v>2863.02</v>
      </c>
      <c r="CX29" s="52">
        <v>27</v>
      </c>
    </row>
    <row r="30" spans="2:106" x14ac:dyDescent="0.25">
      <c r="B30" s="4">
        <v>28</v>
      </c>
      <c r="C30" s="1">
        <v>19.02</v>
      </c>
      <c r="D30" s="169">
        <f>'Mines (2)'!D30+'Mines (2)'!I30+'Mines (2)'!W30+'Mines (2)'!AA30+'Mines (2)'!AE30</f>
        <v>3289.48</v>
      </c>
      <c r="E30" s="169">
        <f>'Mines (2)'!E30+'Mines (2)'!J30+'Mines (2)'!X30+'Mines (2)'!AB30+'Mines (2)'!AF30</f>
        <v>3204</v>
      </c>
      <c r="F30" s="34">
        <f t="shared" si="51"/>
        <v>172.94847528916929</v>
      </c>
      <c r="G30" s="1">
        <v>24</v>
      </c>
      <c r="H30" s="16">
        <f t="shared" si="38"/>
        <v>1065.0000168375191</v>
      </c>
      <c r="I30" s="300">
        <f t="shared" si="9"/>
        <v>1210.9300168375189</v>
      </c>
      <c r="J30" s="1">
        <v>2428</v>
      </c>
      <c r="K30" s="36">
        <f t="shared" si="47"/>
        <v>2828.75</v>
      </c>
      <c r="L30" s="36">
        <f>Clinker!EK30*1.55</f>
        <v>2828.75</v>
      </c>
      <c r="M30" s="36">
        <v>0</v>
      </c>
      <c r="N30" s="1">
        <v>2974.68</v>
      </c>
      <c r="O30" s="34">
        <f t="shared" si="1"/>
        <v>123.94499999999999</v>
      </c>
      <c r="P30" s="1">
        <v>0</v>
      </c>
      <c r="Q30" s="1">
        <v>0</v>
      </c>
      <c r="R30" s="15" t="e">
        <f t="shared" si="10"/>
        <v>#DIV/0!</v>
      </c>
      <c r="S30" s="1">
        <v>18.059999999999999</v>
      </c>
      <c r="T30" s="16">
        <f>W29</f>
        <v>35.109999999999843</v>
      </c>
      <c r="U30" s="1">
        <v>269</v>
      </c>
      <c r="V30" s="1">
        <v>271</v>
      </c>
      <c r="W30" s="18">
        <f t="shared" si="57"/>
        <v>33.109999999999843</v>
      </c>
      <c r="X30" s="34">
        <f t="shared" si="3"/>
        <v>14.894795127353268</v>
      </c>
      <c r="Y30" s="1">
        <v>24</v>
      </c>
      <c r="Z30" s="33">
        <f>Clinker!EK30</f>
        <v>1825</v>
      </c>
      <c r="AA30" s="34">
        <f t="shared" si="52"/>
        <v>76.041666666666671</v>
      </c>
      <c r="AB30" s="37">
        <f>'Daily CEM-1'!H31</f>
        <v>4.38</v>
      </c>
      <c r="AC30" s="33">
        <f>'Daily CEM-1'!C31</f>
        <v>306</v>
      </c>
      <c r="AD30" s="34">
        <f t="shared" si="53"/>
        <v>69.863013698630141</v>
      </c>
      <c r="AE30" s="37">
        <f>'Daily CEM-1'!I31</f>
        <v>0</v>
      </c>
      <c r="AF30" s="33">
        <f>'Daily CEM-1'!D31</f>
        <v>0</v>
      </c>
      <c r="AG30" s="34" t="e">
        <f t="shared" si="54"/>
        <v>#DIV/0!</v>
      </c>
      <c r="AH30" s="61">
        <f>'Daily CEM-1'!J31</f>
        <v>0</v>
      </c>
      <c r="AI30" s="61">
        <f>'Daily CEM-1'!E31</f>
        <v>0</v>
      </c>
      <c r="AJ30" s="61" t="e">
        <f t="shared" si="48"/>
        <v>#DIV/0!</v>
      </c>
      <c r="AK30" s="61">
        <f>'Daily CEM-1'!K31</f>
        <v>0</v>
      </c>
      <c r="AL30" s="61">
        <f>'Daily CEM-1'!F31</f>
        <v>0</v>
      </c>
      <c r="AM30" s="61" t="e">
        <f t="shared" si="13"/>
        <v>#DIV/0!</v>
      </c>
      <c r="AN30" s="60">
        <f>'Daily CEM-1'!L31</f>
        <v>0</v>
      </c>
      <c r="AO30" s="60">
        <f>'Daily CEM-1'!G31</f>
        <v>0</v>
      </c>
      <c r="AP30" s="60" t="e">
        <f t="shared" si="14"/>
        <v>#DIV/0!</v>
      </c>
      <c r="AQ30" s="37">
        <f>'Daily  CEM - 2'!H31</f>
        <v>18.93</v>
      </c>
      <c r="AR30" s="33">
        <f>'Daily  CEM - 2'!C31</f>
        <v>1200</v>
      </c>
      <c r="AS30" s="34">
        <f t="shared" si="55"/>
        <v>63.391442155309036</v>
      </c>
      <c r="AT30" s="37">
        <f>'Daily  CEM - 2'!I31</f>
        <v>0</v>
      </c>
      <c r="AU30" s="33">
        <f>'Daily  CEM - 2'!D31</f>
        <v>0</v>
      </c>
      <c r="AV30" s="34" t="e">
        <f t="shared" si="56"/>
        <v>#DIV/0!</v>
      </c>
      <c r="AW30" s="61">
        <f>'Daily  CEM - 2'!J31</f>
        <v>0</v>
      </c>
      <c r="AX30" s="61">
        <f>'Daily  CEM - 2'!E31</f>
        <v>0</v>
      </c>
      <c r="AY30" s="197" t="e">
        <f t="shared" si="15"/>
        <v>#DIV/0!</v>
      </c>
      <c r="AZ30" s="61">
        <f>'Daily  CEM - 2'!K31</f>
        <v>0</v>
      </c>
      <c r="BA30" s="61">
        <f>'Daily  CEM - 2'!F31</f>
        <v>0</v>
      </c>
      <c r="BB30" s="61" t="e">
        <f t="shared" si="50"/>
        <v>#DIV/0!</v>
      </c>
      <c r="BC30" s="61">
        <f>'Daily  CEM - 2'!L31</f>
        <v>4.3</v>
      </c>
      <c r="BD30" s="61">
        <f>'Daily  CEM - 2'!G31</f>
        <v>286</v>
      </c>
      <c r="BE30" s="61">
        <f t="shared" si="17"/>
        <v>66.511627906976742</v>
      </c>
      <c r="BF30" s="16">
        <f t="shared" si="58"/>
        <v>2338.157999999979</v>
      </c>
      <c r="BG30" s="36">
        <f t="shared" si="19"/>
        <v>1506</v>
      </c>
      <c r="BH30" s="1">
        <v>1904.5</v>
      </c>
      <c r="BI30" s="18">
        <f>BF30+BG30-BH30-'Internal use cement'!F30</f>
        <v>1939.657999999979</v>
      </c>
      <c r="BJ30" s="16">
        <f t="shared" si="59"/>
        <v>368.29999999999995</v>
      </c>
      <c r="BK30" s="36">
        <f t="shared" si="21"/>
        <v>0</v>
      </c>
      <c r="BL30" s="1">
        <v>95</v>
      </c>
      <c r="BM30" s="18">
        <f>BJ30+BK30-BL30-'Internal use cement'!AB30</f>
        <v>273.29999999999995</v>
      </c>
      <c r="BN30" s="18">
        <f t="shared" si="39"/>
        <v>9.0000000000849845E-2</v>
      </c>
      <c r="BO30" s="63">
        <f t="shared" si="45"/>
        <v>0</v>
      </c>
      <c r="BP30" s="1">
        <v>0</v>
      </c>
      <c r="BQ30" s="66">
        <f>BN30+BO30-BP30-'Internal use cement'!Q30</f>
        <v>9.0000000000849845E-2</v>
      </c>
      <c r="BR30" s="18">
        <f t="shared" si="40"/>
        <v>215.3</v>
      </c>
      <c r="BS30" s="63">
        <f t="shared" si="23"/>
        <v>0</v>
      </c>
      <c r="BT30" s="1">
        <v>37.5</v>
      </c>
      <c r="BU30" s="66">
        <f>BR30+BS30-BT30-'Internal use cement'!AG30</f>
        <v>177.8</v>
      </c>
      <c r="BV30" s="66">
        <f>BY29</f>
        <v>557.59000000000015</v>
      </c>
      <c r="BW30" s="34">
        <f t="shared" si="24"/>
        <v>286</v>
      </c>
      <c r="BX30" s="15">
        <v>336.78</v>
      </c>
      <c r="BY30" s="66">
        <f>BV30+BW30-BX30-'Internal use cement'!AO30</f>
        <v>506.81000000000017</v>
      </c>
      <c r="BZ30" s="1">
        <v>1545</v>
      </c>
      <c r="CA30" s="1">
        <v>2093</v>
      </c>
      <c r="CB30" s="1">
        <v>170</v>
      </c>
      <c r="CC30" s="1">
        <f t="shared" si="42"/>
        <v>3808</v>
      </c>
      <c r="CD30" s="15">
        <f t="shared" si="25"/>
        <v>2897.6579999999803</v>
      </c>
      <c r="CE30" s="270">
        <f>CC30-CD30</f>
        <v>910.34200000001965</v>
      </c>
      <c r="CF30" s="15">
        <f t="shared" si="26"/>
        <v>2373.7799999999997</v>
      </c>
      <c r="CG30" s="15">
        <f t="shared" si="27"/>
        <v>1792</v>
      </c>
      <c r="CH30" s="270">
        <f t="shared" si="28"/>
        <v>1217.0699831624811</v>
      </c>
      <c r="CI30">
        <f>CG30*0.12</f>
        <v>215.04</v>
      </c>
      <c r="CJ30" s="52">
        <f t="shared" si="8"/>
        <v>4.38</v>
      </c>
      <c r="CK30" s="1">
        <v>28</v>
      </c>
      <c r="CL30" s="1">
        <f t="shared" si="49"/>
        <v>0</v>
      </c>
      <c r="CM30" s="1">
        <f t="shared" si="30"/>
        <v>5.9400000000000013</v>
      </c>
      <c r="CN30" s="15">
        <f t="shared" si="31"/>
        <v>19.62</v>
      </c>
      <c r="CO30" s="15">
        <f t="shared" si="32"/>
        <v>0.76999999999999957</v>
      </c>
      <c r="CP30" s="1">
        <f t="shared" si="33"/>
        <v>0</v>
      </c>
      <c r="CQ30" s="2">
        <v>28</v>
      </c>
      <c r="CR30" s="52">
        <f t="shared" si="34"/>
        <v>1200</v>
      </c>
      <c r="CS30" s="15">
        <f>'Daily CEM-1'!H31+'Daily CEM-1'!I31+'Daily CEM-1'!J31+'Daily CEM-1'!K31+'Daily CEM-1'!L31</f>
        <v>4.38</v>
      </c>
      <c r="CT30" s="15">
        <f>AQ30+AT30+AW30+'Daily  CEM - 2'!K31+'Daily  CEM - 2'!L31</f>
        <v>23.23</v>
      </c>
      <c r="CU30" s="52">
        <f t="shared" si="35"/>
        <v>19.62</v>
      </c>
      <c r="CW30" s="52">
        <f t="shared" si="36"/>
        <v>2974.68</v>
      </c>
      <c r="CX30" s="52">
        <v>28</v>
      </c>
    </row>
    <row r="31" spans="2:106" x14ac:dyDescent="0.25">
      <c r="B31" s="4">
        <v>29</v>
      </c>
      <c r="C31" s="1">
        <v>20.58</v>
      </c>
      <c r="D31" s="169">
        <f>'Mines (2)'!D31+'Mines (2)'!I31+'Mines (2)'!W31+'Mines (2)'!AA31+'Mines (2)'!AE31</f>
        <v>4072.2200000000012</v>
      </c>
      <c r="E31" s="169">
        <f>'Mines (2)'!E31+'Mines (2)'!J31+'Mines (2)'!X31+'Mines (2)'!AB31+'Mines (2)'!AF31</f>
        <v>2856</v>
      </c>
      <c r="F31" s="34">
        <f t="shared" si="51"/>
        <v>197.87269193391649</v>
      </c>
      <c r="G31" s="1">
        <v>20.72</v>
      </c>
      <c r="H31" s="16">
        <f t="shared" si="38"/>
        <v>1210.9300168375189</v>
      </c>
      <c r="I31" s="300">
        <f t="shared" si="9"/>
        <v>995.70001683751889</v>
      </c>
      <c r="J31" s="1">
        <v>2215</v>
      </c>
      <c r="K31" s="36">
        <f t="shared" si="47"/>
        <v>2867.5</v>
      </c>
      <c r="L31" s="36">
        <f>Clinker!EK31*1.55</f>
        <v>2867.5</v>
      </c>
      <c r="M31" s="36">
        <v>0</v>
      </c>
      <c r="N31" s="1">
        <v>2652.27</v>
      </c>
      <c r="O31" s="34">
        <f>N31/G31</f>
        <v>128.00530888030889</v>
      </c>
      <c r="P31" s="1">
        <v>0</v>
      </c>
      <c r="Q31" s="1">
        <v>0</v>
      </c>
      <c r="R31" s="15" t="e">
        <f t="shared" si="10"/>
        <v>#DIV/0!</v>
      </c>
      <c r="S31" s="1">
        <v>19</v>
      </c>
      <c r="T31" s="16">
        <f>W30</f>
        <v>33.109999999999843</v>
      </c>
      <c r="U31" s="1">
        <v>276</v>
      </c>
      <c r="V31" s="1">
        <v>273</v>
      </c>
      <c r="W31" s="18">
        <f t="shared" si="57"/>
        <v>36.109999999999843</v>
      </c>
      <c r="X31" s="34">
        <f t="shared" si="3"/>
        <v>14.526315789473685</v>
      </c>
      <c r="Y31" s="1">
        <v>24</v>
      </c>
      <c r="Z31" s="33">
        <f>Clinker!EK31</f>
        <v>1850</v>
      </c>
      <c r="AA31" s="34">
        <f t="shared" si="52"/>
        <v>77.083333333333329</v>
      </c>
      <c r="AB31" s="37">
        <f>'Daily CEM-1'!H32</f>
        <v>14.73</v>
      </c>
      <c r="AC31" s="33">
        <f>'Daily CEM-1'!C32</f>
        <v>1015</v>
      </c>
      <c r="AD31" s="34">
        <f t="shared" si="53"/>
        <v>68.906992532247116</v>
      </c>
      <c r="AE31" s="37">
        <f>'Daily CEM-1'!I32</f>
        <v>0</v>
      </c>
      <c r="AF31" s="33">
        <f>'Daily CEM-1'!D32</f>
        <v>0</v>
      </c>
      <c r="AG31" s="34" t="e">
        <f t="shared" si="54"/>
        <v>#DIV/0!</v>
      </c>
      <c r="AH31" s="61">
        <f>'Daily CEM-1'!J32</f>
        <v>0</v>
      </c>
      <c r="AI31" s="61">
        <f>'Daily CEM-1'!E32</f>
        <v>0</v>
      </c>
      <c r="AJ31" s="61" t="e">
        <f t="shared" si="48"/>
        <v>#DIV/0!</v>
      </c>
      <c r="AK31" s="61">
        <f>'Daily CEM-1'!K32</f>
        <v>0</v>
      </c>
      <c r="AL31" s="61">
        <f>'Daily CEM-1'!F32</f>
        <v>0</v>
      </c>
      <c r="AM31" s="61" t="e">
        <f t="shared" si="13"/>
        <v>#DIV/0!</v>
      </c>
      <c r="AN31" s="60">
        <f>'Daily CEM-1'!L32</f>
        <v>3</v>
      </c>
      <c r="AO31" s="60">
        <f>'Daily CEM-1'!G32</f>
        <v>210</v>
      </c>
      <c r="AP31" s="60">
        <f t="shared" si="14"/>
        <v>70</v>
      </c>
      <c r="AQ31" s="37">
        <f>'Daily  CEM - 2'!H32</f>
        <v>14.41</v>
      </c>
      <c r="AR31" s="33">
        <f>'Daily  CEM - 2'!C32</f>
        <v>871</v>
      </c>
      <c r="AS31" s="34">
        <f t="shared" si="55"/>
        <v>60.444136016655101</v>
      </c>
      <c r="AT31" s="37">
        <f>'Daily  CEM - 2'!I32</f>
        <v>0</v>
      </c>
      <c r="AU31" s="33">
        <f>'Daily  CEM - 2'!D32</f>
        <v>0</v>
      </c>
      <c r="AV31" s="34" t="e">
        <f t="shared" si="56"/>
        <v>#DIV/0!</v>
      </c>
      <c r="AW31" s="61">
        <f>'Daily  CEM - 2'!J32</f>
        <v>0</v>
      </c>
      <c r="AX31" s="61">
        <f>'Daily  CEM - 2'!E32</f>
        <v>0</v>
      </c>
      <c r="AY31" s="197" t="e">
        <f t="shared" si="15"/>
        <v>#DIV/0!</v>
      </c>
      <c r="AZ31" s="61">
        <f>'Daily  CEM - 2'!K32</f>
        <v>2</v>
      </c>
      <c r="BA31" s="61">
        <f>'Daily  CEM - 2'!F32</f>
        <v>110</v>
      </c>
      <c r="BB31" s="61">
        <f t="shared" si="50"/>
        <v>55</v>
      </c>
      <c r="BC31" s="61">
        <f>'Daily  CEM - 2'!L32</f>
        <v>0</v>
      </c>
      <c r="BD31" s="61">
        <f>'Daily  CEM - 2'!G32</f>
        <v>0</v>
      </c>
      <c r="BE31" s="61" t="e">
        <f t="shared" si="17"/>
        <v>#DIV/0!</v>
      </c>
      <c r="BF31" s="16">
        <f t="shared" si="58"/>
        <v>1939.657999999979</v>
      </c>
      <c r="BG31" s="36">
        <f t="shared" si="19"/>
        <v>1886</v>
      </c>
      <c r="BH31" s="1">
        <v>1795.75</v>
      </c>
      <c r="BI31" s="18">
        <f>BF31+BG31-BH31-'Internal use cement'!F31</f>
        <v>2019.907999999979</v>
      </c>
      <c r="BJ31" s="16">
        <f t="shared" si="59"/>
        <v>273.29999999999995</v>
      </c>
      <c r="BK31" s="36">
        <f t="shared" si="21"/>
        <v>0</v>
      </c>
      <c r="BL31" s="1">
        <v>120</v>
      </c>
      <c r="BM31" s="18">
        <f>BJ31+BK31-BL31-'Internal use cement'!AB31</f>
        <v>153.29999999999995</v>
      </c>
      <c r="BN31" s="18">
        <f t="shared" si="39"/>
        <v>9.0000000000849845E-2</v>
      </c>
      <c r="BO31" s="63">
        <f t="shared" si="45"/>
        <v>0</v>
      </c>
      <c r="BP31" s="1">
        <v>0</v>
      </c>
      <c r="BQ31" s="66">
        <f>BN31+BO31-BP31-'Internal use cement'!Q31</f>
        <v>9.0000000000849845E-2</v>
      </c>
      <c r="BR31" s="18">
        <f t="shared" si="40"/>
        <v>177.8</v>
      </c>
      <c r="BS31" s="63">
        <f t="shared" si="23"/>
        <v>110</v>
      </c>
      <c r="BT31" s="1">
        <v>120</v>
      </c>
      <c r="BU31" s="66">
        <f>BR31+BS31-BT31-'Internal use cement'!AG31</f>
        <v>167.70000000000002</v>
      </c>
      <c r="BV31" s="66">
        <f t="shared" si="41"/>
        <v>506.81000000000017</v>
      </c>
      <c r="BW31" s="34">
        <f t="shared" si="24"/>
        <v>210</v>
      </c>
      <c r="BX31" s="15">
        <v>398.8</v>
      </c>
      <c r="BY31" s="66">
        <f>BV31+BW31-BX31-'Internal use cement'!AO31</f>
        <v>318.01000000000016</v>
      </c>
      <c r="BZ31" s="1">
        <v>1255</v>
      </c>
      <c r="CA31" s="1">
        <v>1947</v>
      </c>
      <c r="CB31" s="1">
        <v>289</v>
      </c>
      <c r="CC31" s="1">
        <f t="shared" si="42"/>
        <v>3491</v>
      </c>
      <c r="CD31" s="15">
        <f t="shared" si="25"/>
        <v>2659.0079999999798</v>
      </c>
      <c r="CE31" s="269">
        <f t="shared" ref="CE31:CE34" si="60">CC31-CD31</f>
        <v>831.9920000000202</v>
      </c>
      <c r="CF31" s="15">
        <f t="shared" si="26"/>
        <v>2434.5500000000002</v>
      </c>
      <c r="CG31" s="15">
        <f t="shared" si="27"/>
        <v>2206</v>
      </c>
      <c r="CH31" s="270">
        <f t="shared" si="28"/>
        <v>1219.2999831624811</v>
      </c>
      <c r="CI31">
        <f>CG31*0.12</f>
        <v>264.71999999999997</v>
      </c>
      <c r="CJ31" s="52">
        <f t="shared" si="8"/>
        <v>14.73</v>
      </c>
      <c r="CK31" s="1">
        <v>29</v>
      </c>
      <c r="CL31" s="1">
        <f t="shared" si="49"/>
        <v>3.2800000000000011</v>
      </c>
      <c r="CM31" s="1">
        <f t="shared" si="30"/>
        <v>5</v>
      </c>
      <c r="CN31" s="15">
        <f t="shared" si="31"/>
        <v>6.27</v>
      </c>
      <c r="CO31" s="15">
        <f t="shared" si="32"/>
        <v>7.59</v>
      </c>
      <c r="CP31" s="1">
        <f t="shared" si="33"/>
        <v>0</v>
      </c>
      <c r="CQ31" s="2">
        <v>29</v>
      </c>
      <c r="CR31" s="52">
        <f t="shared" si="34"/>
        <v>871</v>
      </c>
      <c r="CS31" s="15">
        <f>'Daily CEM-1'!H32+'Daily CEM-1'!I32+'Daily CEM-1'!J32+'Daily CEM-1'!K32+'Daily CEM-1'!L32</f>
        <v>17.73</v>
      </c>
      <c r="CT31" s="15">
        <f>AQ31+AT31+AW31+'Daily  CEM - 2'!K32+'Daily  CEM - 2'!L32</f>
        <v>16.41</v>
      </c>
      <c r="CU31" s="52">
        <f t="shared" si="35"/>
        <v>6.27</v>
      </c>
      <c r="CW31" s="52">
        <f t="shared" si="36"/>
        <v>2652.27</v>
      </c>
      <c r="CX31" s="52">
        <v>29</v>
      </c>
    </row>
    <row r="32" spans="2:106" x14ac:dyDescent="0.25">
      <c r="B32" s="4">
        <v>30</v>
      </c>
      <c r="C32" s="1">
        <v>20.22</v>
      </c>
      <c r="D32" s="169">
        <f>'Mines (2)'!D32+'Mines (2)'!I32+'Mines (2)'!W32+'Mines (2)'!AA32+'Mines (2)'!AE32</f>
        <v>2860.6800000000003</v>
      </c>
      <c r="E32" s="169">
        <f>'Mines (2)'!E32+'Mines (2)'!J32+'Mines (2)'!X32+'Mines (2)'!AB32+'Mines (2)'!AF32</f>
        <v>3338</v>
      </c>
      <c r="F32" s="34">
        <f t="shared" si="51"/>
        <v>141.4777448071217</v>
      </c>
      <c r="G32" s="1">
        <v>23.65</v>
      </c>
      <c r="H32" s="16">
        <f t="shared" si="38"/>
        <v>995.70001683751889</v>
      </c>
      <c r="I32" s="300">
        <f t="shared" si="9"/>
        <v>1134.1400168375185</v>
      </c>
      <c r="J32" s="1">
        <v>2610</v>
      </c>
      <c r="K32" s="36">
        <f t="shared" si="47"/>
        <v>2969.8</v>
      </c>
      <c r="L32" s="36">
        <f>Clinker!EK32*1.55</f>
        <v>2969.8</v>
      </c>
      <c r="M32" s="36">
        <v>0</v>
      </c>
      <c r="N32" s="1">
        <v>3098</v>
      </c>
      <c r="O32" s="34">
        <f t="shared" si="1"/>
        <v>130.99365750528543</v>
      </c>
      <c r="P32" s="1">
        <v>1</v>
      </c>
      <c r="Q32" s="1">
        <v>10.24</v>
      </c>
      <c r="R32" s="15">
        <f t="shared" si="10"/>
        <v>10.24</v>
      </c>
      <c r="S32" s="1">
        <v>18.5</v>
      </c>
      <c r="T32" s="16">
        <f>W31</f>
        <v>36.109999999999843</v>
      </c>
      <c r="U32" s="1">
        <v>279</v>
      </c>
      <c r="V32" s="1">
        <v>282</v>
      </c>
      <c r="W32" s="18">
        <f t="shared" si="57"/>
        <v>33.109999999999843</v>
      </c>
      <c r="X32" s="34">
        <f t="shared" si="3"/>
        <v>15.081081081081081</v>
      </c>
      <c r="Y32" s="1">
        <v>24</v>
      </c>
      <c r="Z32" s="33">
        <f>Clinker!EK32</f>
        <v>1916</v>
      </c>
      <c r="AA32" s="34">
        <f t="shared" si="52"/>
        <v>79.833333333333329</v>
      </c>
      <c r="AB32" s="37">
        <f>'Daily CEM-1'!H33</f>
        <v>14.2</v>
      </c>
      <c r="AC32" s="33">
        <f>'Daily CEM-1'!C33</f>
        <v>970</v>
      </c>
      <c r="AD32" s="34">
        <f t="shared" si="53"/>
        <v>68.309859154929583</v>
      </c>
      <c r="AE32" s="37">
        <f>'Daily CEM-1'!I33</f>
        <v>2.8</v>
      </c>
      <c r="AF32" s="33">
        <f>'Daily CEM-1'!D33</f>
        <v>200</v>
      </c>
      <c r="AG32" s="34">
        <f t="shared" si="54"/>
        <v>71.428571428571431</v>
      </c>
      <c r="AH32" s="61">
        <f>'Daily CEM-1'!J33</f>
        <v>0</v>
      </c>
      <c r="AI32" s="61">
        <f>'Daily CEM-1'!E33</f>
        <v>0</v>
      </c>
      <c r="AJ32" s="61" t="e">
        <f t="shared" si="48"/>
        <v>#DIV/0!</v>
      </c>
      <c r="AK32" s="61">
        <f>'Daily CEM-1'!K32</f>
        <v>0</v>
      </c>
      <c r="AL32" s="61">
        <f>'Daily CEM-1'!F33</f>
        <v>0</v>
      </c>
      <c r="AM32" s="61" t="e">
        <f t="shared" si="13"/>
        <v>#DIV/0!</v>
      </c>
      <c r="AN32" s="60">
        <f>'Daily CEM-1'!L33</f>
        <v>7</v>
      </c>
      <c r="AO32" s="60">
        <f>'Daily CEM-1'!G33</f>
        <v>510</v>
      </c>
      <c r="AP32" s="60">
        <f t="shared" si="14"/>
        <v>72.857142857142861</v>
      </c>
      <c r="AQ32" s="37">
        <f>'Daily  CEM - 2'!H33</f>
        <v>22</v>
      </c>
      <c r="AR32" s="33">
        <f>'Daily  CEM - 2'!C33</f>
        <v>1354</v>
      </c>
      <c r="AS32" s="34">
        <f t="shared" si="55"/>
        <v>61.545454545454547</v>
      </c>
      <c r="AT32" s="37">
        <f>'Daily  CEM - 2'!I33</f>
        <v>0</v>
      </c>
      <c r="AU32" s="33">
        <f>'Daily  CEM - 2'!D33</f>
        <v>0</v>
      </c>
      <c r="AV32" s="34" t="e">
        <f t="shared" si="56"/>
        <v>#DIV/0!</v>
      </c>
      <c r="AW32" s="61">
        <f>'Daily  CEM - 2'!J33</f>
        <v>0</v>
      </c>
      <c r="AX32" s="61">
        <f>'Daily  CEM - 2'!E33</f>
        <v>0</v>
      </c>
      <c r="AY32" s="197" t="e">
        <f t="shared" si="15"/>
        <v>#DIV/0!</v>
      </c>
      <c r="AZ32" s="61">
        <f>'Daily  CEM - 2'!K33</f>
        <v>2</v>
      </c>
      <c r="BA32" s="61">
        <f>'Daily  CEM - 2'!F33</f>
        <v>110</v>
      </c>
      <c r="BB32" s="61">
        <f t="shared" si="50"/>
        <v>55</v>
      </c>
      <c r="BC32" s="61">
        <f>'Daily  CEM - 2'!L33</f>
        <v>0</v>
      </c>
      <c r="BD32" s="61">
        <f>'Daily  CEM - 2'!G33</f>
        <v>0</v>
      </c>
      <c r="BE32" s="61" t="e">
        <f t="shared" si="17"/>
        <v>#DIV/0!</v>
      </c>
      <c r="BF32" s="16">
        <f t="shared" si="58"/>
        <v>2019.907999999979</v>
      </c>
      <c r="BG32" s="36">
        <f t="shared" si="19"/>
        <v>2324</v>
      </c>
      <c r="BH32" s="1">
        <v>2343.0300000000002</v>
      </c>
      <c r="BI32" s="18">
        <f>BF32+BG32-BH32-'Internal use cement'!F32</f>
        <v>2000.8779999999792</v>
      </c>
      <c r="BJ32" s="16">
        <f t="shared" si="59"/>
        <v>153.29999999999995</v>
      </c>
      <c r="BK32" s="36">
        <f t="shared" si="21"/>
        <v>200</v>
      </c>
      <c r="BL32" s="1">
        <v>45</v>
      </c>
      <c r="BM32" s="18">
        <f>BJ32+BK32-BL32-'Internal use cement'!AB32</f>
        <v>308.29999999999995</v>
      </c>
      <c r="BN32" s="18">
        <f t="shared" si="39"/>
        <v>9.0000000000849845E-2</v>
      </c>
      <c r="BO32" s="63">
        <f t="shared" si="45"/>
        <v>0</v>
      </c>
      <c r="BP32" s="1">
        <v>0</v>
      </c>
      <c r="BQ32" s="66">
        <f>BN32+BO32-BP32-'Internal use cement'!Q32</f>
        <v>9.0000000000849845E-2</v>
      </c>
      <c r="BR32" s="18">
        <f t="shared" si="40"/>
        <v>167.70000000000002</v>
      </c>
      <c r="BS32" s="63">
        <f t="shared" si="23"/>
        <v>110</v>
      </c>
      <c r="BT32" s="1">
        <v>90</v>
      </c>
      <c r="BU32" s="66">
        <f>BR32+BS32-BT32-'Internal use cement'!AG32</f>
        <v>187.70000000000005</v>
      </c>
      <c r="BV32" s="66">
        <f t="shared" si="41"/>
        <v>318.01000000000016</v>
      </c>
      <c r="BW32" s="34">
        <f t="shared" si="24"/>
        <v>510</v>
      </c>
      <c r="BX32" s="15">
        <v>228.61</v>
      </c>
      <c r="BY32" s="66">
        <f>BV32+BW32-BX32-'Internal use cement'!AO32</f>
        <v>599.4000000000002</v>
      </c>
      <c r="BZ32" s="1">
        <v>1690</v>
      </c>
      <c r="CA32" s="1">
        <v>2145</v>
      </c>
      <c r="CB32" s="1">
        <v>221</v>
      </c>
      <c r="CC32" s="1">
        <f>SUM(BZ32:CB32)</f>
        <v>4056</v>
      </c>
      <c r="CD32" s="15">
        <f t="shared" si="25"/>
        <v>3096.3679999999799</v>
      </c>
      <c r="CE32" s="269">
        <f t="shared" si="60"/>
        <v>959.63200000002007</v>
      </c>
      <c r="CF32" s="15">
        <f t="shared" si="26"/>
        <v>2706.6400000000003</v>
      </c>
      <c r="CG32" s="15">
        <f t="shared" si="27"/>
        <v>3144</v>
      </c>
      <c r="CH32" s="270">
        <f t="shared" si="28"/>
        <v>1475.8599831624815</v>
      </c>
      <c r="CI32">
        <f>CG32*0.12</f>
        <v>377.28</v>
      </c>
      <c r="CK32" s="1">
        <v>30</v>
      </c>
      <c r="CL32" s="1">
        <f t="shared" si="49"/>
        <v>0.35000000000000142</v>
      </c>
      <c r="CM32" s="1">
        <f t="shared" si="30"/>
        <v>5.5</v>
      </c>
      <c r="CN32" s="15">
        <f t="shared" si="31"/>
        <v>0</v>
      </c>
      <c r="CO32" s="15">
        <f t="shared" si="32"/>
        <v>0</v>
      </c>
      <c r="CP32" s="1">
        <f t="shared" si="33"/>
        <v>0</v>
      </c>
      <c r="CQ32" s="2">
        <v>30</v>
      </c>
      <c r="CR32" s="52">
        <f t="shared" si="34"/>
        <v>1354</v>
      </c>
      <c r="CS32" s="15">
        <f>'Daily CEM-1'!H33+'Daily CEM-1'!I33+'Daily CEM-1'!J33+'Daily CEM-1'!K33+'Daily CEM-1'!L33</f>
        <v>24</v>
      </c>
      <c r="CT32" s="15">
        <f>AQ32+AT32+AW32+'Daily  CEM - 2'!K33+'Daily  CEM - 2'!L33</f>
        <v>24</v>
      </c>
      <c r="CU32" s="52">
        <f t="shared" si="35"/>
        <v>0</v>
      </c>
      <c r="CW32" s="52">
        <f t="shared" si="36"/>
        <v>3108.24</v>
      </c>
      <c r="CX32" s="52">
        <v>30</v>
      </c>
    </row>
    <row r="33" spans="2:102" s="160" customFormat="1" x14ac:dyDescent="0.25">
      <c r="B33" s="155">
        <v>31</v>
      </c>
      <c r="C33" s="1">
        <v>15.12</v>
      </c>
      <c r="D33" s="169">
        <f>'Mines (2)'!D33+'Mines (2)'!I33+'Mines (2)'!W33+'Mines (2)'!AA33+'Mines (2)'!AE33</f>
        <v>1723.32</v>
      </c>
      <c r="E33" s="169">
        <f>'Mines (2)'!E33+'Mines (2)'!J33+'Mines (2)'!X33+'Mines (2)'!AB33+'Mines (2)'!AF33</f>
        <v>3354</v>
      </c>
      <c r="F33" s="163">
        <f t="shared" si="51"/>
        <v>113.97619047619048</v>
      </c>
      <c r="G33" s="1">
        <v>23</v>
      </c>
      <c r="H33" s="16">
        <f t="shared" si="38"/>
        <v>1134.1400168375185</v>
      </c>
      <c r="I33" s="300">
        <f t="shared" si="9"/>
        <v>1267.6400168375185</v>
      </c>
      <c r="J33" s="1">
        <v>2603</v>
      </c>
      <c r="K33" s="166">
        <f t="shared" si="47"/>
        <v>3022.5</v>
      </c>
      <c r="L33" s="36">
        <f>Clinker!EK33*1.55</f>
        <v>3022.5</v>
      </c>
      <c r="M33" s="36">
        <v>0</v>
      </c>
      <c r="N33" s="1">
        <v>2967</v>
      </c>
      <c r="O33" s="163">
        <f t="shared" si="1"/>
        <v>129</v>
      </c>
      <c r="P33" s="1">
        <v>21</v>
      </c>
      <c r="Q33" s="1">
        <v>189</v>
      </c>
      <c r="R33" s="15">
        <f t="shared" si="10"/>
        <v>9</v>
      </c>
      <c r="S33" s="1">
        <v>19.3</v>
      </c>
      <c r="T33" s="166">
        <f>W32</f>
        <v>33.109999999999843</v>
      </c>
      <c r="U33" s="1">
        <v>295</v>
      </c>
      <c r="V33" s="1">
        <v>286</v>
      </c>
      <c r="W33" s="157">
        <f t="shared" si="57"/>
        <v>42.109999999999843</v>
      </c>
      <c r="X33" s="163">
        <f t="shared" si="3"/>
        <v>15.284974093264248</v>
      </c>
      <c r="Y33" s="1">
        <v>24</v>
      </c>
      <c r="Z33" s="157">
        <f>Clinker!EK33</f>
        <v>1950</v>
      </c>
      <c r="AA33" s="163">
        <f t="shared" si="52"/>
        <v>81.25</v>
      </c>
      <c r="AB33" s="37">
        <f>'Daily CEM-1'!H34</f>
        <v>14.2</v>
      </c>
      <c r="AC33" s="33">
        <f>'Daily CEM-1'!C34</f>
        <v>975</v>
      </c>
      <c r="AD33" s="163">
        <f t="shared" si="53"/>
        <v>68.661971830985919</v>
      </c>
      <c r="AE33" s="37">
        <f>'Daily CEM-1'!I34</f>
        <v>4.2</v>
      </c>
      <c r="AF33" s="33">
        <f>'Daily CEM-1'!D34</f>
        <v>300</v>
      </c>
      <c r="AG33" s="163">
        <f t="shared" si="54"/>
        <v>71.428571428571431</v>
      </c>
      <c r="AH33" s="61">
        <f>'Daily CEM-1'!J34</f>
        <v>0</v>
      </c>
      <c r="AI33" s="61">
        <f>'Daily CEM-1'!E34</f>
        <v>0</v>
      </c>
      <c r="AJ33" s="167" t="e">
        <f t="shared" si="48"/>
        <v>#DIV/0!</v>
      </c>
      <c r="AK33" s="167"/>
      <c r="AL33" s="61">
        <f>'Daily CEM-1'!F34</f>
        <v>0</v>
      </c>
      <c r="AM33" s="167"/>
      <c r="AN33" s="60">
        <f>'Daily CEM-1'!L34</f>
        <v>5.6</v>
      </c>
      <c r="AO33" s="60">
        <f>'Daily CEM-1'!G34</f>
        <v>400</v>
      </c>
      <c r="AP33" s="60">
        <f t="shared" si="14"/>
        <v>71.428571428571431</v>
      </c>
      <c r="AQ33" s="37">
        <f>'Daily  CEM - 2'!H34</f>
        <v>21</v>
      </c>
      <c r="AR33" s="33">
        <f>'Daily  CEM - 2'!C34</f>
        <v>1270</v>
      </c>
      <c r="AS33" s="163">
        <f t="shared" si="55"/>
        <v>60.476190476190474</v>
      </c>
      <c r="AT33" s="37">
        <f>'Daily  CEM - 2'!I34</f>
        <v>0</v>
      </c>
      <c r="AU33" s="33">
        <f>'Daily  CEM - 2'!D34</f>
        <v>0</v>
      </c>
      <c r="AV33" s="163" t="e">
        <f t="shared" si="56"/>
        <v>#DIV/0!</v>
      </c>
      <c r="AW33" s="61">
        <f>'Daily  CEM - 2'!J34</f>
        <v>0</v>
      </c>
      <c r="AX33" s="61">
        <f>'Daily  CEM - 2'!E34</f>
        <v>0</v>
      </c>
      <c r="AY33" s="197" t="e">
        <f t="shared" si="15"/>
        <v>#DIV/0!</v>
      </c>
      <c r="AZ33" s="61">
        <f>'Daily  CEM - 2'!K34</f>
        <v>0</v>
      </c>
      <c r="BA33" s="61">
        <f>'Daily  CEM - 2'!F34</f>
        <v>0</v>
      </c>
      <c r="BB33" s="167" t="e">
        <f t="shared" si="50"/>
        <v>#DIV/0!</v>
      </c>
      <c r="BC33" s="61">
        <f>'Daily  CEM - 2'!L34</f>
        <v>3</v>
      </c>
      <c r="BD33" s="61">
        <f>'Daily  CEM - 2'!G34</f>
        <v>200</v>
      </c>
      <c r="BE33" s="167">
        <f t="shared" si="17"/>
        <v>66.666666666666671</v>
      </c>
      <c r="BF33" s="166">
        <f t="shared" si="58"/>
        <v>2000.8779999999792</v>
      </c>
      <c r="BG33" s="36">
        <f t="shared" si="19"/>
        <v>2245</v>
      </c>
      <c r="BH33" s="1">
        <v>2429.15</v>
      </c>
      <c r="BI33" s="18">
        <f>BF33+BG33-BH33-'Internal use cement'!F33</f>
        <v>1816.7279999999787</v>
      </c>
      <c r="BJ33" s="166">
        <f t="shared" si="59"/>
        <v>308.29999999999995</v>
      </c>
      <c r="BK33" s="36">
        <f t="shared" si="21"/>
        <v>300</v>
      </c>
      <c r="BL33" s="1">
        <v>30</v>
      </c>
      <c r="BM33" s="18">
        <f>BJ33+BK33-BL33-'Internal use cement'!AB33</f>
        <v>578.29999999999995</v>
      </c>
      <c r="BN33" s="157">
        <f t="shared" si="39"/>
        <v>9.0000000000849845E-2</v>
      </c>
      <c r="BO33" s="63">
        <f t="shared" si="45"/>
        <v>0</v>
      </c>
      <c r="BP33" s="1">
        <v>0</v>
      </c>
      <c r="BQ33" s="66">
        <f>BN33+BO33-BP33-'Internal use cement'!Q33</f>
        <v>9.0000000000849845E-2</v>
      </c>
      <c r="BR33" s="157">
        <f t="shared" si="40"/>
        <v>187.70000000000005</v>
      </c>
      <c r="BS33" s="63">
        <f t="shared" si="23"/>
        <v>0</v>
      </c>
      <c r="BT33" s="1">
        <v>60</v>
      </c>
      <c r="BU33" s="66">
        <f>BR33+BS33-BT33-'Internal use cement'!AG33</f>
        <v>127.70000000000005</v>
      </c>
      <c r="BV33" s="66">
        <f t="shared" si="41"/>
        <v>599.4000000000002</v>
      </c>
      <c r="BW33" s="34">
        <f t="shared" si="24"/>
        <v>600</v>
      </c>
      <c r="BX33" s="15">
        <v>32</v>
      </c>
      <c r="BY33" s="66">
        <f>BV33+BW33-BX33-'Internal use cement'!AO33</f>
        <v>1167.4000000000001</v>
      </c>
      <c r="BZ33" s="1">
        <v>2008</v>
      </c>
      <c r="CA33" s="1">
        <v>2397</v>
      </c>
      <c r="CB33" s="1">
        <v>158</v>
      </c>
      <c r="CC33" s="1">
        <f>SUM(BZ33:CB33)</f>
        <v>4563</v>
      </c>
      <c r="CD33" s="15">
        <f>BI33+BM33+BQ33+BU33+BY33</f>
        <v>3690.2179999999794</v>
      </c>
      <c r="CE33" s="270">
        <f>CC33-CD33</f>
        <v>872.78200000002062</v>
      </c>
      <c r="CF33" s="15">
        <f>BH33+BL33+BP33+BT33+BX33</f>
        <v>2551.15</v>
      </c>
      <c r="CG33" s="15">
        <f t="shared" si="27"/>
        <v>3145</v>
      </c>
      <c r="CH33" s="270">
        <f t="shared" si="28"/>
        <v>1335.3599831624815</v>
      </c>
      <c r="CK33" s="265">
        <v>31</v>
      </c>
      <c r="CL33" s="265">
        <f t="shared" si="49"/>
        <v>1</v>
      </c>
      <c r="CM33" s="1">
        <f t="shared" si="30"/>
        <v>4.6999999999999993</v>
      </c>
      <c r="CN33" s="266">
        <f t="shared" ref="CN33" si="61">24-CS33</f>
        <v>0</v>
      </c>
      <c r="CO33" s="15">
        <f t="shared" si="32"/>
        <v>0</v>
      </c>
      <c r="CP33">
        <f t="shared" si="33"/>
        <v>0</v>
      </c>
      <c r="CQ33" s="2">
        <v>31</v>
      </c>
      <c r="CR33" s="52">
        <f t="shared" si="34"/>
        <v>1270</v>
      </c>
      <c r="CS33" s="15">
        <f>'Daily CEM-1'!H34+'Daily CEM-1'!I34+'Daily CEM-1'!J34+'Daily CEM-1'!K34+'Daily CEM-1'!L34</f>
        <v>24</v>
      </c>
      <c r="CT33" s="15">
        <f>AQ33+AT33+AW33+'Daily  CEM - 2'!K34+'Daily  CEM - 2'!L34</f>
        <v>24</v>
      </c>
      <c r="CU33" s="52">
        <f t="shared" si="35"/>
        <v>0</v>
      </c>
      <c r="CX33" s="52">
        <v>31</v>
      </c>
    </row>
    <row r="34" spans="2:102" ht="15.75" thickBot="1" x14ac:dyDescent="0.3">
      <c r="B34" s="5" t="s">
        <v>26</v>
      </c>
      <c r="C34" s="8">
        <f>SUM(C3:C33)</f>
        <v>536.65</v>
      </c>
      <c r="D34" s="8">
        <f t="shared" ref="D34:CC34" si="62">SUM(D3:D33)</f>
        <v>91881.579999999987</v>
      </c>
      <c r="E34" s="8">
        <f t="shared" si="62"/>
        <v>73144</v>
      </c>
      <c r="F34" s="34">
        <f t="shared" si="51"/>
        <v>171.21323022454112</v>
      </c>
      <c r="G34" s="8">
        <f t="shared" si="62"/>
        <v>576.31999999999994</v>
      </c>
      <c r="H34" s="16"/>
      <c r="I34" s="16"/>
      <c r="J34" s="2"/>
      <c r="K34" s="8">
        <f>SUM(K3:K33)</f>
        <v>69790.3</v>
      </c>
      <c r="L34" s="8">
        <f t="shared" si="62"/>
        <v>69790.3</v>
      </c>
      <c r="M34" s="8">
        <f t="shared" si="62"/>
        <v>0</v>
      </c>
      <c r="N34" s="8">
        <f t="shared" si="62"/>
        <v>67428.44</v>
      </c>
      <c r="O34" s="34">
        <f t="shared" si="1"/>
        <v>116.99826485285953</v>
      </c>
      <c r="P34" s="62">
        <f>SUM(P3:P33)</f>
        <v>209.38</v>
      </c>
      <c r="Q34" s="62">
        <f>SUM(Q3:Q33)</f>
        <v>1911.3799999999999</v>
      </c>
      <c r="R34" s="62"/>
      <c r="S34" s="8">
        <f t="shared" si="62"/>
        <v>506.96000000000004</v>
      </c>
      <c r="T34" s="8">
        <f t="shared" si="62"/>
        <v>1305.4099999999964</v>
      </c>
      <c r="U34" s="8">
        <f t="shared" si="62"/>
        <v>7092.9</v>
      </c>
      <c r="V34" s="255">
        <f t="shared" si="62"/>
        <v>7091</v>
      </c>
      <c r="W34" s="8">
        <f t="shared" si="62"/>
        <v>1307.3099999999963</v>
      </c>
      <c r="X34" s="34">
        <f t="shared" si="3"/>
        <v>13.991044658355687</v>
      </c>
      <c r="Y34" s="8">
        <f>SUM(Y3:Y33)</f>
        <v>696.54</v>
      </c>
      <c r="Z34" s="8">
        <f t="shared" si="62"/>
        <v>45026</v>
      </c>
      <c r="AA34" s="34">
        <f t="shared" si="52"/>
        <v>64.642375168690961</v>
      </c>
      <c r="AB34" s="8">
        <f t="shared" si="62"/>
        <v>292.13999999999993</v>
      </c>
      <c r="AC34" s="8">
        <f t="shared" si="62"/>
        <v>18901</v>
      </c>
      <c r="AD34" s="34">
        <f t="shared" si="53"/>
        <v>64.698432258506216</v>
      </c>
      <c r="AE34" s="8">
        <f t="shared" si="62"/>
        <v>30.7</v>
      </c>
      <c r="AF34" s="8">
        <f t="shared" si="62"/>
        <v>2060</v>
      </c>
      <c r="AG34" s="34">
        <f t="shared" si="54"/>
        <v>67.100977198697066</v>
      </c>
      <c r="AH34" s="62">
        <f>SUM(AH3:AH33)</f>
        <v>0</v>
      </c>
      <c r="AI34" s="62">
        <f>SUM(AI3:AI33)</f>
        <v>0</v>
      </c>
      <c r="AJ34" s="62" t="e">
        <f>AI34/AH34</f>
        <v>#DIV/0!</v>
      </c>
      <c r="AK34" s="62"/>
      <c r="AL34" s="62"/>
      <c r="AM34" s="62"/>
      <c r="AN34" s="62"/>
      <c r="AO34" s="62"/>
      <c r="AP34" s="62"/>
      <c r="AQ34" s="8">
        <f t="shared" ref="AQ34:AR34" si="63">SUM(AQ3:AQ33)</f>
        <v>434.41</v>
      </c>
      <c r="AR34" s="8">
        <f t="shared" si="63"/>
        <v>25821</v>
      </c>
      <c r="AS34" s="34">
        <f t="shared" si="55"/>
        <v>59.439239428189957</v>
      </c>
      <c r="AT34" s="8">
        <f t="shared" ref="AT34:AU34" si="64">SUM(AT3:AT33)</f>
        <v>12.329999999999998</v>
      </c>
      <c r="AU34" s="8">
        <f t="shared" si="64"/>
        <v>750</v>
      </c>
      <c r="AV34" s="34">
        <f t="shared" si="56"/>
        <v>60.827250608272514</v>
      </c>
      <c r="AW34" s="62">
        <f>SUM(AW3:AW33)</f>
        <v>0</v>
      </c>
      <c r="AX34" s="62">
        <f>SUM(AX3:AX33)</f>
        <v>0</v>
      </c>
      <c r="AY34" s="62" t="e">
        <f>AX34/AW34</f>
        <v>#DIV/0!</v>
      </c>
      <c r="AZ34" s="62">
        <f>SUM(AZ3:AZ33)</f>
        <v>15</v>
      </c>
      <c r="BA34" s="62">
        <f>SUM(BA3:BA33)</f>
        <v>827</v>
      </c>
      <c r="BB34" s="62">
        <f>BA34/AZ34</f>
        <v>55.133333333333333</v>
      </c>
      <c r="BC34" s="62">
        <f>SUM(BC3:BC33)</f>
        <v>53.699999999999996</v>
      </c>
      <c r="BD34" s="62">
        <f>SUM(BD3:BD33)</f>
        <v>3343</v>
      </c>
      <c r="BE34" s="62">
        <f>BD34/BC34</f>
        <v>62.253258845437621</v>
      </c>
      <c r="BF34" s="8"/>
      <c r="BG34" s="8">
        <f t="shared" si="62"/>
        <v>44722</v>
      </c>
      <c r="BH34" s="185">
        <f t="shared" si="62"/>
        <v>45574.559999999998</v>
      </c>
      <c r="BI34" s="8"/>
      <c r="BJ34" s="8"/>
      <c r="BK34" s="8">
        <f t="shared" si="62"/>
        <v>2810</v>
      </c>
      <c r="BL34" s="185">
        <f t="shared" si="62"/>
        <v>2643.5</v>
      </c>
      <c r="BM34" s="8"/>
      <c r="BN34" s="8"/>
      <c r="BO34" s="8">
        <f>SUM(BO3:BO33)</f>
        <v>0</v>
      </c>
      <c r="BP34" s="185">
        <f>SUM(BP3:BP33)</f>
        <v>0</v>
      </c>
      <c r="BQ34" s="8"/>
      <c r="BR34" s="8"/>
      <c r="BS34" s="8">
        <f>SUM(BS3:BS33)</f>
        <v>1127</v>
      </c>
      <c r="BT34" s="41">
        <f>SUM(BT3:BT33)</f>
        <v>1185.5</v>
      </c>
      <c r="BU34" s="8"/>
      <c r="BV34" s="8"/>
      <c r="BW34" s="185">
        <f>SUM(BW3:BW33)</f>
        <v>8989</v>
      </c>
      <c r="BX34" s="185">
        <f>SUM(BX3:BX33)</f>
        <v>8573.43</v>
      </c>
      <c r="BY34" s="8"/>
      <c r="BZ34" s="8">
        <f>SUM(BZ3:BZ33)</f>
        <v>52206</v>
      </c>
      <c r="CA34" s="8">
        <f t="shared" si="62"/>
        <v>65874</v>
      </c>
      <c r="CB34" s="8"/>
      <c r="CC34" s="426">
        <f t="shared" si="62"/>
        <v>124326</v>
      </c>
      <c r="CD34">
        <f t="shared" ref="CD34" si="65">BI34+BM34</f>
        <v>0</v>
      </c>
      <c r="CE34" s="269">
        <f t="shared" si="60"/>
        <v>124326</v>
      </c>
      <c r="CF34" s="52">
        <f>SUM(CF3:CF33)</f>
        <v>57976.990000000005</v>
      </c>
      <c r="CG34" s="51">
        <f>SUM(CG3:CG33)</f>
        <v>57648</v>
      </c>
      <c r="CH34" s="268"/>
      <c r="CN34" s="52"/>
      <c r="CS34" s="15"/>
      <c r="CT34" s="15">
        <f t="shared" ref="CT34" si="66">AQ34+AT34+AW34</f>
        <v>446.74</v>
      </c>
    </row>
    <row r="35" spans="2:102" s="17" customFormat="1" ht="13.5" customHeight="1" x14ac:dyDescent="0.25">
      <c r="B35" s="17" t="s">
        <v>27</v>
      </c>
      <c r="C35" s="17">
        <f>C36+SUM(C3:C33)</f>
        <v>969.13000000000011</v>
      </c>
      <c r="D35" s="172">
        <f>D36+SUM(D3:D33)</f>
        <v>156867.28</v>
      </c>
      <c r="E35" s="172">
        <f>E36+SUM(E3:E33)</f>
        <v>140031</v>
      </c>
      <c r="G35" s="17">
        <f>G36+SUM(G3:G33)</f>
        <v>1069.54</v>
      </c>
      <c r="K35" s="17">
        <f>K36+SUM(K3:K33)</f>
        <v>132565.29999999999</v>
      </c>
      <c r="L35" s="17">
        <f>L36+SUM(L3:L33)</f>
        <v>132565.29999999999</v>
      </c>
      <c r="N35" s="17">
        <f>N36+SUM(N3:N33)</f>
        <v>126285.59</v>
      </c>
      <c r="P35" s="17">
        <f t="shared" ref="P35:Q35" si="67">P36+SUM(P3:P33)</f>
        <v>615.66999999999996</v>
      </c>
      <c r="Q35" s="17">
        <f t="shared" si="67"/>
        <v>5553.62</v>
      </c>
      <c r="S35" s="17">
        <f>S36+SUM(S3:S33)</f>
        <v>953.33</v>
      </c>
      <c r="U35" s="17">
        <f>U36+SUM(U3:U33)</f>
        <v>13245.599999999999</v>
      </c>
      <c r="V35" s="17">
        <f>V36+SUM(V3:V33)</f>
        <v>13219</v>
      </c>
      <c r="Y35" s="17">
        <f>Y36+SUM(Y3:Y33)</f>
        <v>1314.81</v>
      </c>
      <c r="Z35" s="17">
        <f>Z36+SUM(Z3:Z33)</f>
        <v>85526</v>
      </c>
      <c r="AB35" s="17">
        <f>AB36+SUM(AB3:AB33)</f>
        <v>498.46999999999991</v>
      </c>
      <c r="AC35" s="17">
        <f>AC36+SUM(AC3:AC33)</f>
        <v>31330</v>
      </c>
      <c r="AE35" s="29">
        <f>AE36+SUM(AE3:AE33)</f>
        <v>39.700000000000003</v>
      </c>
      <c r="AF35" s="17">
        <f>AF36+SUM(AF3:AF33)</f>
        <v>2634</v>
      </c>
      <c r="AH35" s="29">
        <f>AH36+SUM(AH3:AH33)</f>
        <v>0</v>
      </c>
      <c r="AI35" s="29">
        <f>AI36+SUM(AI3:AI33)</f>
        <v>0</v>
      </c>
      <c r="AJ35" s="29"/>
      <c r="AK35" s="29">
        <f t="shared" ref="AK35:AP35" si="68">AK36+SUM(AK3:AK33)</f>
        <v>5</v>
      </c>
      <c r="AL35" s="29">
        <f t="shared" si="68"/>
        <v>300</v>
      </c>
      <c r="AM35" s="29" t="e">
        <f t="shared" si="68"/>
        <v>#DIV/0!</v>
      </c>
      <c r="AN35" s="29">
        <f t="shared" si="68"/>
        <v>126.16999999999999</v>
      </c>
      <c r="AO35" s="29">
        <f t="shared" si="68"/>
        <v>8178</v>
      </c>
      <c r="AP35" s="29" t="e">
        <f t="shared" si="68"/>
        <v>#DIV/0!</v>
      </c>
      <c r="AQ35" s="17">
        <f>AQ36+SUM(AQ3:AQ33)</f>
        <v>850.41000000000008</v>
      </c>
      <c r="AR35" s="17">
        <f>AR36+SUM(AR3:AR33)</f>
        <v>49961</v>
      </c>
      <c r="AT35" s="29">
        <f>AT36+SUM(AT3:AT33)</f>
        <v>45.429999999999993</v>
      </c>
      <c r="AU35" s="17">
        <f>AU36+SUM(AU3:AU33)</f>
        <v>2750</v>
      </c>
      <c r="AW35" s="29">
        <f>AW36+SUM(AW3:AW33)</f>
        <v>0</v>
      </c>
      <c r="AX35" s="29">
        <f>AX36+SUM(AX3:AX33)</f>
        <v>0</v>
      </c>
      <c r="AZ35" s="29">
        <f>AZ36+SUM(AZ3:AZ33)</f>
        <v>47.88</v>
      </c>
      <c r="BA35" s="29">
        <f>BA36+SUM(BA3:BA33)</f>
        <v>2647</v>
      </c>
      <c r="BC35" s="29">
        <f>BC36+SUM(BC3:BC33)</f>
        <v>108.67</v>
      </c>
      <c r="BD35" s="29">
        <f>BD36+SUM(BD3:BD33)</f>
        <v>6615</v>
      </c>
      <c r="BG35" s="17">
        <f>BG36+SUM(BG3:BG33)</f>
        <v>81291</v>
      </c>
      <c r="BH35" s="17">
        <f>BH36+SUM(BH3:BH33)</f>
        <v>80742.829999999987</v>
      </c>
      <c r="BK35" s="17">
        <f t="shared" ref="BK35:BL35" si="69">BK36+SUM(BK3:BK33)</f>
        <v>5384</v>
      </c>
      <c r="BL35" s="17">
        <f t="shared" si="69"/>
        <v>5038</v>
      </c>
      <c r="BO35" s="17">
        <f>BO36+SUM(BO3:BO33)</f>
        <v>0</v>
      </c>
      <c r="BP35" s="17">
        <f>BP36+SUM(BP3:BP33)</f>
        <v>-0.15</v>
      </c>
      <c r="BS35" s="29">
        <f>BS36+SUM(BS3:BS33)</f>
        <v>2947</v>
      </c>
      <c r="BT35" s="17">
        <f>BT36+SUM(BT3:BT33)</f>
        <v>3032.5</v>
      </c>
      <c r="BW35" s="17">
        <f t="shared" ref="BW35:BX35" si="70">BW36+SUM(BW3:BW33)</f>
        <v>14793</v>
      </c>
      <c r="BX35" s="17">
        <f t="shared" si="70"/>
        <v>13995.31</v>
      </c>
      <c r="CE35" s="268"/>
    </row>
    <row r="36" spans="2:102" ht="13.5" customHeight="1" x14ac:dyDescent="0.25">
      <c r="C36">
        <v>432.48000000000008</v>
      </c>
      <c r="D36" s="175">
        <v>64985.700000000004</v>
      </c>
      <c r="E36" s="175">
        <v>66887</v>
      </c>
      <c r="G36">
        <v>493.21999999999997</v>
      </c>
      <c r="K36">
        <v>62775</v>
      </c>
      <c r="L36">
        <v>62775</v>
      </c>
      <c r="N36">
        <v>58857.15</v>
      </c>
      <c r="P36">
        <v>406.28999999999996</v>
      </c>
      <c r="Q36" s="418">
        <v>3642.24</v>
      </c>
      <c r="S36">
        <v>446.37</v>
      </c>
      <c r="U36">
        <v>6152.7</v>
      </c>
      <c r="V36">
        <v>6128</v>
      </c>
      <c r="Y36">
        <v>618.27</v>
      </c>
      <c r="Z36">
        <v>40500</v>
      </c>
      <c r="AB36">
        <v>206.33</v>
      </c>
      <c r="AC36">
        <v>12429</v>
      </c>
      <c r="AE36" s="52">
        <v>9</v>
      </c>
      <c r="AF36">
        <v>574</v>
      </c>
      <c r="AH36" s="52">
        <v>0</v>
      </c>
      <c r="AI36" s="52">
        <v>0</v>
      </c>
      <c r="AK36">
        <v>0</v>
      </c>
      <c r="AL36">
        <v>0</v>
      </c>
      <c r="AN36">
        <v>40.65</v>
      </c>
      <c r="AO36">
        <v>2532</v>
      </c>
      <c r="AQ36">
        <v>416.00000000000006</v>
      </c>
      <c r="AR36">
        <v>24140</v>
      </c>
      <c r="AT36" s="52">
        <v>33.099999999999994</v>
      </c>
      <c r="AU36">
        <v>2000</v>
      </c>
      <c r="AW36" s="52">
        <v>0</v>
      </c>
      <c r="AX36" s="52">
        <v>0</v>
      </c>
      <c r="AZ36" s="52">
        <v>32.880000000000003</v>
      </c>
      <c r="BA36" s="52">
        <v>1820</v>
      </c>
      <c r="BC36" s="52">
        <v>54.970000000000006</v>
      </c>
      <c r="BD36" s="52">
        <v>3272</v>
      </c>
      <c r="BG36">
        <v>36569</v>
      </c>
      <c r="BH36">
        <v>35168.269999999997</v>
      </c>
      <c r="BK36" s="2">
        <v>2574</v>
      </c>
      <c r="BL36">
        <v>2394.5</v>
      </c>
      <c r="BO36">
        <v>0</v>
      </c>
      <c r="BP36">
        <v>-0.15</v>
      </c>
      <c r="BS36">
        <v>1820</v>
      </c>
      <c r="BT36">
        <v>1847</v>
      </c>
      <c r="BW36">
        <v>5804</v>
      </c>
      <c r="BX36" s="52">
        <v>5421.8799999999992</v>
      </c>
    </row>
    <row r="38" spans="2:102" x14ac:dyDescent="0.25">
      <c r="U38">
        <f>U34/S34</f>
        <v>13.991044658355687</v>
      </c>
    </row>
    <row r="39" spans="2:102" x14ac:dyDescent="0.25">
      <c r="Z39">
        <f>(Z34/Y34)*24</f>
        <v>1551.4170040485831</v>
      </c>
    </row>
    <row r="54" spans="7:7" x14ac:dyDescent="0.25">
      <c r="G54" t="s">
        <v>125</v>
      </c>
    </row>
  </sheetData>
  <mergeCells count="20">
    <mergeCell ref="C1:F1"/>
    <mergeCell ref="G1:O1"/>
    <mergeCell ref="S1:X1"/>
    <mergeCell ref="Y1:AA1"/>
    <mergeCell ref="AB1:AD1"/>
    <mergeCell ref="P1:R1"/>
    <mergeCell ref="AE1:AG1"/>
    <mergeCell ref="AH1:AJ1"/>
    <mergeCell ref="AQ1:AS1"/>
    <mergeCell ref="AT1:AV1"/>
    <mergeCell ref="AW1:AY1"/>
    <mergeCell ref="AK1:AM1"/>
    <mergeCell ref="BV1:BY1"/>
    <mergeCell ref="AN1:AP1"/>
    <mergeCell ref="BR1:BU1"/>
    <mergeCell ref="BN1:BQ1"/>
    <mergeCell ref="BF1:BI1"/>
    <mergeCell ref="BJ1:BM1"/>
    <mergeCell ref="AZ1:BB1"/>
    <mergeCell ref="BC1:BE1"/>
  </mergeCells>
  <pageMargins left="0" right="0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Z36"/>
  <sheetViews>
    <sheetView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9" sqref="I29"/>
    </sheetView>
  </sheetViews>
  <sheetFormatPr defaultRowHeight="15" x14ac:dyDescent="0.25"/>
  <cols>
    <col min="1" max="1" width="5.5703125" customWidth="1"/>
    <col min="2" max="2" width="8.140625" customWidth="1"/>
    <col min="3" max="3" width="9.140625" bestFit="1" customWidth="1"/>
    <col min="4" max="4" width="24.42578125" bestFit="1" customWidth="1"/>
    <col min="5" max="25" width="20.5703125" customWidth="1"/>
  </cols>
  <sheetData>
    <row r="1" spans="2:25" ht="15.75" thickBot="1" x14ac:dyDescent="0.3">
      <c r="B1" s="3" t="s">
        <v>28</v>
      </c>
      <c r="C1" s="3"/>
      <c r="D1" s="679" t="s">
        <v>68</v>
      </c>
      <c r="E1" s="680"/>
      <c r="F1" s="680"/>
      <c r="G1" s="680"/>
      <c r="H1" s="680"/>
      <c r="I1" s="680"/>
      <c r="J1" s="680"/>
      <c r="K1" s="680"/>
      <c r="L1" s="680"/>
      <c r="M1" s="680"/>
      <c r="N1" s="680"/>
      <c r="O1" s="680"/>
      <c r="P1" s="680"/>
      <c r="Q1" s="680"/>
      <c r="R1" s="680"/>
      <c r="S1" s="680"/>
      <c r="T1" s="680"/>
      <c r="U1" s="680"/>
      <c r="V1" s="680"/>
      <c r="W1" s="680"/>
      <c r="X1" s="680"/>
      <c r="Y1" s="680"/>
    </row>
    <row r="2" spans="2:25" x14ac:dyDescent="0.25">
      <c r="B2" s="4" t="s">
        <v>9</v>
      </c>
      <c r="C2" s="4" t="s">
        <v>126</v>
      </c>
      <c r="D2" s="22" t="s">
        <v>127</v>
      </c>
      <c r="E2" s="22" t="s">
        <v>128</v>
      </c>
      <c r="F2" s="22" t="s">
        <v>129</v>
      </c>
      <c r="G2" s="188" t="s">
        <v>130</v>
      </c>
      <c r="H2" s="22" t="s">
        <v>131</v>
      </c>
      <c r="I2" s="22" t="s">
        <v>132</v>
      </c>
      <c r="J2" s="22" t="s">
        <v>133</v>
      </c>
      <c r="K2" s="22" t="s">
        <v>46</v>
      </c>
      <c r="L2" s="22" t="s">
        <v>134</v>
      </c>
      <c r="M2" s="22" t="s">
        <v>135</v>
      </c>
      <c r="N2" s="22" t="s">
        <v>136</v>
      </c>
      <c r="O2" s="22" t="s">
        <v>137</v>
      </c>
      <c r="P2" s="22" t="s">
        <v>52</v>
      </c>
      <c r="Q2" s="22" t="s">
        <v>53</v>
      </c>
      <c r="R2" s="188" t="s">
        <v>54</v>
      </c>
      <c r="S2" s="22" t="s">
        <v>55</v>
      </c>
      <c r="T2" s="22" t="s">
        <v>138</v>
      </c>
      <c r="U2" s="22" t="s">
        <v>139</v>
      </c>
      <c r="V2" s="22" t="s">
        <v>140</v>
      </c>
      <c r="W2" s="188" t="s">
        <v>59</v>
      </c>
      <c r="X2" s="22" t="s">
        <v>60</v>
      </c>
      <c r="Y2" s="22" t="s">
        <v>61</v>
      </c>
    </row>
    <row r="3" spans="2:25" x14ac:dyDescent="0.25">
      <c r="B3" s="4">
        <v>1</v>
      </c>
      <c r="C3" s="4">
        <v>0</v>
      </c>
      <c r="D3" s="4">
        <v>0</v>
      </c>
      <c r="E3" s="4">
        <v>0</v>
      </c>
      <c r="F3" s="4">
        <v>0</v>
      </c>
      <c r="G3" s="4">
        <v>48</v>
      </c>
      <c r="H3" s="4">
        <v>48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</row>
    <row r="4" spans="2:25" x14ac:dyDescent="0.25">
      <c r="B4" s="4">
        <v>2</v>
      </c>
      <c r="C4" s="4">
        <v>0</v>
      </c>
      <c r="D4" s="4">
        <v>0</v>
      </c>
      <c r="E4" s="4">
        <v>0</v>
      </c>
      <c r="F4" s="4">
        <v>0</v>
      </c>
      <c r="G4" s="4">
        <v>68</v>
      </c>
      <c r="H4" s="4">
        <v>67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2:25" x14ac:dyDescent="0.25"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72</v>
      </c>
      <c r="H5" s="4">
        <v>72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</row>
    <row r="6" spans="2:25" x14ac:dyDescent="0.25">
      <c r="B6" s="4">
        <v>4</v>
      </c>
      <c r="C6" s="4">
        <v>0</v>
      </c>
      <c r="D6" s="4">
        <v>0</v>
      </c>
      <c r="E6" s="4">
        <v>0</v>
      </c>
      <c r="F6" s="4">
        <v>0</v>
      </c>
      <c r="G6" s="4">
        <v>49</v>
      </c>
      <c r="H6" s="4">
        <v>74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</row>
    <row r="7" spans="2:25" x14ac:dyDescent="0.25">
      <c r="B7" s="4">
        <v>5</v>
      </c>
      <c r="C7" s="4">
        <v>0</v>
      </c>
      <c r="D7" s="4">
        <v>0</v>
      </c>
      <c r="E7" s="4">
        <v>0</v>
      </c>
      <c r="F7" s="4">
        <v>0</v>
      </c>
      <c r="G7" s="4">
        <v>60</v>
      </c>
      <c r="H7" s="4">
        <v>60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2:25" x14ac:dyDescent="0.25">
      <c r="B8" s="4">
        <v>6</v>
      </c>
      <c r="C8" s="4">
        <v>0</v>
      </c>
      <c r="D8" s="4">
        <v>0</v>
      </c>
      <c r="E8" s="4">
        <v>0</v>
      </c>
      <c r="F8" s="4">
        <v>0</v>
      </c>
      <c r="G8" s="4">
        <v>114</v>
      </c>
      <c r="H8" s="4">
        <v>10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</row>
    <row r="9" spans="2:25" x14ac:dyDescent="0.25">
      <c r="B9" s="4">
        <v>7</v>
      </c>
      <c r="C9" s="4">
        <v>0</v>
      </c>
      <c r="D9" s="4">
        <v>0</v>
      </c>
      <c r="E9" s="4">
        <v>0</v>
      </c>
      <c r="F9" s="4">
        <v>0</v>
      </c>
      <c r="G9" s="4">
        <v>57</v>
      </c>
      <c r="H9" s="4">
        <v>57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</row>
    <row r="10" spans="2:25" x14ac:dyDescent="0.25">
      <c r="B10" s="4">
        <v>8</v>
      </c>
      <c r="C10" s="4">
        <v>0</v>
      </c>
      <c r="D10" s="4">
        <v>0</v>
      </c>
      <c r="E10" s="4">
        <v>0</v>
      </c>
      <c r="F10" s="4">
        <v>0</v>
      </c>
      <c r="G10" s="4">
        <v>120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</row>
    <row r="11" spans="2:25" x14ac:dyDescent="0.25">
      <c r="B11" s="4">
        <v>9</v>
      </c>
      <c r="C11" s="4">
        <v>0</v>
      </c>
      <c r="D11" s="4">
        <v>0</v>
      </c>
      <c r="E11" s="4">
        <v>0</v>
      </c>
      <c r="F11" s="4">
        <v>0</v>
      </c>
      <c r="G11" s="4">
        <v>130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2:25" ht="13.5" customHeight="1" x14ac:dyDescent="0.25">
      <c r="B12" s="4">
        <v>10</v>
      </c>
      <c r="C12" s="4">
        <v>0</v>
      </c>
      <c r="D12" s="4">
        <v>0</v>
      </c>
      <c r="E12" s="4">
        <v>0</v>
      </c>
      <c r="F12" s="4">
        <v>0</v>
      </c>
      <c r="G12" s="4">
        <v>140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</row>
    <row r="13" spans="2:25" x14ac:dyDescent="0.25">
      <c r="B13" s="4">
        <v>11</v>
      </c>
      <c r="C13" s="4">
        <v>0</v>
      </c>
      <c r="D13" s="4">
        <v>0</v>
      </c>
      <c r="E13" s="4">
        <v>0</v>
      </c>
      <c r="F13" s="4">
        <v>0</v>
      </c>
      <c r="G13" s="4">
        <v>138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2:25" x14ac:dyDescent="0.25">
      <c r="B14" s="4">
        <v>12</v>
      </c>
      <c r="C14" s="4">
        <v>0</v>
      </c>
      <c r="D14" s="4">
        <v>0</v>
      </c>
      <c r="E14" s="4">
        <v>0</v>
      </c>
      <c r="F14" s="4">
        <v>0</v>
      </c>
      <c r="G14" s="4">
        <v>138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</row>
    <row r="15" spans="2:25" x14ac:dyDescent="0.25">
      <c r="B15" s="4">
        <v>13</v>
      </c>
      <c r="C15" s="4">
        <v>0</v>
      </c>
      <c r="D15" s="4">
        <v>0</v>
      </c>
      <c r="E15" s="4">
        <v>0</v>
      </c>
      <c r="F15" s="4">
        <v>0</v>
      </c>
      <c r="G15" s="4">
        <v>142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2:25" x14ac:dyDescent="0.25">
      <c r="B16" s="4">
        <v>14</v>
      </c>
      <c r="C16" s="4">
        <v>0</v>
      </c>
      <c r="D16" s="4">
        <v>0</v>
      </c>
      <c r="E16" s="4">
        <v>0</v>
      </c>
      <c r="F16" s="4">
        <v>0</v>
      </c>
      <c r="G16" s="4">
        <v>136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</row>
    <row r="17" spans="2:25" x14ac:dyDescent="0.25">
      <c r="B17" s="4">
        <v>15</v>
      </c>
      <c r="C17" s="4">
        <v>0</v>
      </c>
      <c r="D17" s="4">
        <v>0</v>
      </c>
      <c r="E17" s="4">
        <v>0</v>
      </c>
      <c r="F17" s="4">
        <v>0</v>
      </c>
      <c r="G17" s="4">
        <v>113</v>
      </c>
      <c r="H17" s="4">
        <v>20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</row>
    <row r="18" spans="2:25" x14ac:dyDescent="0.25">
      <c r="B18" s="4">
        <v>16</v>
      </c>
      <c r="C18" s="4">
        <v>0</v>
      </c>
      <c r="D18" s="4">
        <v>0</v>
      </c>
      <c r="E18" s="4">
        <v>0</v>
      </c>
      <c r="F18" s="4">
        <v>0</v>
      </c>
      <c r="G18" s="4">
        <v>145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2:25" x14ac:dyDescent="0.25">
      <c r="B19" s="4">
        <v>17</v>
      </c>
      <c r="C19" s="4">
        <v>0</v>
      </c>
      <c r="D19" s="4">
        <v>0</v>
      </c>
      <c r="E19" s="4">
        <v>0</v>
      </c>
      <c r="F19" s="4">
        <v>0</v>
      </c>
      <c r="G19" s="4">
        <v>146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</row>
    <row r="20" spans="2:25" x14ac:dyDescent="0.25">
      <c r="B20" s="4">
        <v>18</v>
      </c>
      <c r="C20" s="4">
        <v>0</v>
      </c>
      <c r="D20" s="4">
        <v>0</v>
      </c>
      <c r="E20" s="4">
        <v>0</v>
      </c>
      <c r="F20" s="4">
        <v>0</v>
      </c>
      <c r="G20" s="4">
        <v>143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</row>
    <row r="21" spans="2:25" x14ac:dyDescent="0.25">
      <c r="B21" s="4">
        <v>19</v>
      </c>
      <c r="C21" s="4">
        <v>0</v>
      </c>
      <c r="D21" s="4">
        <v>0</v>
      </c>
      <c r="E21" s="4">
        <v>0</v>
      </c>
      <c r="F21" s="4">
        <v>0</v>
      </c>
      <c r="G21" s="4">
        <v>153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</row>
    <row r="22" spans="2:25" x14ac:dyDescent="0.25">
      <c r="B22" s="4">
        <v>20</v>
      </c>
      <c r="C22" s="4">
        <v>0</v>
      </c>
      <c r="D22" s="4">
        <v>0</v>
      </c>
      <c r="E22" s="4">
        <v>0</v>
      </c>
      <c r="F22" s="4">
        <v>0</v>
      </c>
      <c r="G22" s="4">
        <v>154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</row>
    <row r="23" spans="2:25" x14ac:dyDescent="0.25">
      <c r="B23" s="4">
        <v>21</v>
      </c>
      <c r="C23" s="4">
        <v>0</v>
      </c>
      <c r="D23" s="4">
        <v>0</v>
      </c>
      <c r="E23" s="4">
        <v>0</v>
      </c>
      <c r="F23" s="4">
        <v>0</v>
      </c>
      <c r="G23" s="4">
        <v>154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</row>
    <row r="24" spans="2:25" x14ac:dyDescent="0.25">
      <c r="B24" s="4">
        <v>22</v>
      </c>
      <c r="C24" s="4">
        <v>0</v>
      </c>
      <c r="D24" s="4">
        <v>0</v>
      </c>
      <c r="E24" s="4">
        <v>0</v>
      </c>
      <c r="F24" s="4">
        <v>0</v>
      </c>
      <c r="G24" s="4">
        <v>136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</row>
    <row r="25" spans="2:25" x14ac:dyDescent="0.25">
      <c r="B25" s="4">
        <v>23</v>
      </c>
      <c r="C25" s="4">
        <v>0</v>
      </c>
      <c r="D25" s="4">
        <v>0</v>
      </c>
      <c r="E25" s="4">
        <v>0</v>
      </c>
      <c r="F25" s="4">
        <v>0</v>
      </c>
      <c r="G25" s="4">
        <v>142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2:25" x14ac:dyDescent="0.25">
      <c r="B26" s="4">
        <v>24</v>
      </c>
      <c r="C26" s="4">
        <v>0</v>
      </c>
      <c r="D26" s="4">
        <v>0</v>
      </c>
      <c r="E26" s="4">
        <v>0</v>
      </c>
      <c r="F26" s="4">
        <v>0</v>
      </c>
      <c r="G26" s="4">
        <v>160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</row>
    <row r="27" spans="2:25" x14ac:dyDescent="0.25">
      <c r="B27" s="4">
        <v>25</v>
      </c>
      <c r="C27" s="4">
        <v>0</v>
      </c>
      <c r="D27" s="4">
        <v>0</v>
      </c>
      <c r="E27" s="4">
        <v>0</v>
      </c>
      <c r="F27" s="4">
        <v>0</v>
      </c>
      <c r="G27" s="4">
        <v>144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</row>
    <row r="28" spans="2:25" x14ac:dyDescent="0.25">
      <c r="B28" s="4">
        <v>26</v>
      </c>
      <c r="C28" s="4">
        <v>0</v>
      </c>
      <c r="D28" s="4">
        <v>0</v>
      </c>
      <c r="E28" s="4">
        <v>0</v>
      </c>
      <c r="F28" s="4">
        <v>0</v>
      </c>
      <c r="G28" s="4">
        <v>134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</row>
    <row r="29" spans="2:25" x14ac:dyDescent="0.25">
      <c r="B29" s="4">
        <v>27</v>
      </c>
      <c r="C29" s="4">
        <v>0</v>
      </c>
      <c r="D29" s="4">
        <v>0</v>
      </c>
      <c r="E29" s="4">
        <v>0</v>
      </c>
      <c r="F29" s="4">
        <v>0</v>
      </c>
      <c r="G29" s="4">
        <v>148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</row>
    <row r="30" spans="2:25" x14ac:dyDescent="0.25">
      <c r="B30" s="4">
        <v>28</v>
      </c>
      <c r="C30" s="4">
        <v>0</v>
      </c>
      <c r="D30" s="4">
        <v>0</v>
      </c>
      <c r="E30" s="4">
        <v>0</v>
      </c>
      <c r="F30" s="4">
        <v>0</v>
      </c>
      <c r="G30" s="4">
        <v>154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</row>
    <row r="31" spans="2:25" x14ac:dyDescent="0.25">
      <c r="B31" s="4">
        <v>29</v>
      </c>
      <c r="C31" s="4">
        <v>0</v>
      </c>
      <c r="D31" s="4">
        <v>0</v>
      </c>
      <c r="E31" s="4">
        <v>0</v>
      </c>
      <c r="F31" s="4">
        <v>0</v>
      </c>
      <c r="G31" s="4">
        <v>142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</row>
    <row r="32" spans="2:25" x14ac:dyDescent="0.25">
      <c r="B32" s="4">
        <v>30</v>
      </c>
      <c r="C32" s="4">
        <v>0</v>
      </c>
      <c r="D32" s="4">
        <v>0</v>
      </c>
      <c r="E32" s="4">
        <v>0</v>
      </c>
      <c r="F32" s="4">
        <v>0</v>
      </c>
      <c r="G32" s="4">
        <v>155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</row>
    <row r="33" spans="2:26" x14ac:dyDescent="0.25">
      <c r="B33" s="4">
        <v>31</v>
      </c>
      <c r="C33" s="4">
        <v>0</v>
      </c>
      <c r="D33" s="4">
        <v>0</v>
      </c>
      <c r="E33" s="4">
        <v>0</v>
      </c>
      <c r="F33" s="4">
        <v>0</v>
      </c>
      <c r="G33" s="4">
        <v>160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</row>
    <row r="34" spans="2:26" ht="15.75" thickBot="1" x14ac:dyDescent="0.3">
      <c r="B34" s="21" t="s">
        <v>26</v>
      </c>
      <c r="C34" s="21">
        <f>SUM(C3:C33)</f>
        <v>0</v>
      </c>
      <c r="D34" s="21">
        <f t="shared" ref="D34:Y34" si="0">SUM(D3:D33)</f>
        <v>0</v>
      </c>
      <c r="E34" s="21">
        <f t="shared" si="0"/>
        <v>0</v>
      </c>
      <c r="F34" s="21">
        <f t="shared" si="0"/>
        <v>0</v>
      </c>
      <c r="G34" s="21">
        <f t="shared" si="0"/>
        <v>3895</v>
      </c>
      <c r="H34" s="21">
        <f t="shared" si="0"/>
        <v>408</v>
      </c>
      <c r="I34" s="21">
        <f t="shared" si="0"/>
        <v>0</v>
      </c>
      <c r="J34" s="21">
        <f t="shared" si="0"/>
        <v>0</v>
      </c>
      <c r="K34" s="21">
        <f t="shared" si="0"/>
        <v>0</v>
      </c>
      <c r="L34" s="21">
        <f t="shared" si="0"/>
        <v>0</v>
      </c>
      <c r="M34" s="21">
        <f t="shared" si="0"/>
        <v>0</v>
      </c>
      <c r="N34" s="21">
        <f t="shared" si="0"/>
        <v>0</v>
      </c>
      <c r="O34" s="21">
        <f t="shared" si="0"/>
        <v>0</v>
      </c>
      <c r="P34" s="21">
        <f t="shared" si="0"/>
        <v>0</v>
      </c>
      <c r="Q34" s="21">
        <f t="shared" si="0"/>
        <v>0</v>
      </c>
      <c r="R34" s="21">
        <f t="shared" si="0"/>
        <v>0</v>
      </c>
      <c r="S34" s="21">
        <f t="shared" si="0"/>
        <v>0</v>
      </c>
      <c r="T34" s="21">
        <f t="shared" si="0"/>
        <v>0</v>
      </c>
      <c r="U34" s="21">
        <f t="shared" si="0"/>
        <v>0</v>
      </c>
      <c r="V34" s="21">
        <f t="shared" si="0"/>
        <v>0</v>
      </c>
      <c r="W34" s="21">
        <f t="shared" si="0"/>
        <v>0</v>
      </c>
      <c r="X34" s="21">
        <f t="shared" si="0"/>
        <v>0</v>
      </c>
      <c r="Y34" s="21">
        <f t="shared" si="0"/>
        <v>0</v>
      </c>
    </row>
    <row r="35" spans="2:26" x14ac:dyDescent="0.25">
      <c r="B35" t="s">
        <v>27</v>
      </c>
      <c r="D35" s="17">
        <f>D36+SUM(D3:D33)</f>
        <v>0</v>
      </c>
      <c r="E35" s="17">
        <f t="shared" ref="E35:Z35" si="1">E36+SUM(E3:E33)</f>
        <v>0</v>
      </c>
      <c r="F35" s="17">
        <f t="shared" si="1"/>
        <v>0</v>
      </c>
      <c r="G35" s="17">
        <f t="shared" si="1"/>
        <v>6825</v>
      </c>
      <c r="H35" s="17">
        <f t="shared" si="1"/>
        <v>1327</v>
      </c>
      <c r="I35" s="17">
        <f t="shared" si="1"/>
        <v>0</v>
      </c>
      <c r="J35" s="17">
        <f t="shared" si="1"/>
        <v>0</v>
      </c>
      <c r="K35" s="17">
        <f t="shared" si="1"/>
        <v>0</v>
      </c>
      <c r="L35" s="17">
        <f t="shared" si="1"/>
        <v>0</v>
      </c>
      <c r="M35" s="17">
        <f t="shared" si="1"/>
        <v>0</v>
      </c>
      <c r="N35" s="17">
        <f t="shared" si="1"/>
        <v>0</v>
      </c>
      <c r="O35" s="17">
        <f t="shared" si="1"/>
        <v>0</v>
      </c>
      <c r="P35" s="17">
        <f t="shared" si="1"/>
        <v>0</v>
      </c>
      <c r="Q35" s="17">
        <f t="shared" si="1"/>
        <v>0</v>
      </c>
      <c r="R35" s="17">
        <f t="shared" si="1"/>
        <v>0</v>
      </c>
      <c r="S35" s="17">
        <f t="shared" si="1"/>
        <v>0</v>
      </c>
      <c r="T35" s="17">
        <f t="shared" si="1"/>
        <v>0</v>
      </c>
      <c r="U35" s="17">
        <f t="shared" si="1"/>
        <v>0</v>
      </c>
      <c r="V35" s="17">
        <f t="shared" si="1"/>
        <v>0</v>
      </c>
      <c r="W35" s="17">
        <f t="shared" si="1"/>
        <v>0</v>
      </c>
      <c r="X35" s="17">
        <f t="shared" si="1"/>
        <v>20</v>
      </c>
      <c r="Y35" s="17">
        <f t="shared" si="1"/>
        <v>0</v>
      </c>
      <c r="Z35" s="17">
        <f t="shared" si="1"/>
        <v>0</v>
      </c>
    </row>
    <row r="36" spans="2:26" x14ac:dyDescent="0.25">
      <c r="B36" t="s">
        <v>27</v>
      </c>
      <c r="D36">
        <v>0</v>
      </c>
      <c r="E36">
        <v>0</v>
      </c>
      <c r="F36">
        <v>0</v>
      </c>
      <c r="G36">
        <v>2930</v>
      </c>
      <c r="H36">
        <v>919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20</v>
      </c>
      <c r="Y36">
        <v>0</v>
      </c>
      <c r="Z36">
        <v>0</v>
      </c>
    </row>
  </sheetData>
  <mergeCells count="1">
    <mergeCell ref="D1:Y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T55"/>
  <sheetViews>
    <sheetView topLeftCell="S1" zoomScale="80" zoomScaleNormal="80" workbookViewId="0">
      <pane ySplit="2" topLeftCell="A12" activePane="bottomLeft" state="frozen"/>
      <selection pane="bottomLeft" activeCell="AI28" sqref="AI28"/>
    </sheetView>
  </sheetViews>
  <sheetFormatPr defaultRowHeight="15" x14ac:dyDescent="0.25"/>
  <cols>
    <col min="2" max="2" width="12.5703125" bestFit="1" customWidth="1"/>
    <col min="3" max="3" width="12.28515625" bestFit="1" customWidth="1"/>
    <col min="4" max="4" width="12.28515625" customWidth="1"/>
    <col min="5" max="5" width="14" bestFit="1" customWidth="1"/>
    <col min="6" max="6" width="13.28515625" bestFit="1" customWidth="1"/>
    <col min="7" max="7" width="17" bestFit="1" customWidth="1"/>
    <col min="8" max="8" width="10.140625" bestFit="1" customWidth="1"/>
    <col min="9" max="9" width="9" bestFit="1" customWidth="1"/>
    <col min="10" max="10" width="43.140625" bestFit="1" customWidth="1"/>
    <col min="11" max="11" width="10.5703125" bestFit="1" customWidth="1"/>
    <col min="18" max="18" width="9.42578125" customWidth="1"/>
    <col min="19" max="19" width="8.85546875" customWidth="1"/>
    <col min="20" max="21" width="8.5703125" customWidth="1"/>
    <col min="23" max="23" width="8.140625" customWidth="1"/>
    <col min="30" max="30" width="10.5703125" bestFit="1" customWidth="1"/>
  </cols>
  <sheetData>
    <row r="1" spans="1:34" x14ac:dyDescent="0.25">
      <c r="A1" t="s">
        <v>28</v>
      </c>
    </row>
    <row r="2" spans="1:34" ht="45" x14ac:dyDescent="0.25">
      <c r="A2" t="s">
        <v>9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M2" s="290" t="s">
        <v>151</v>
      </c>
      <c r="N2" s="292" t="s">
        <v>152</v>
      </c>
      <c r="O2" s="292" t="s">
        <v>153</v>
      </c>
      <c r="P2" s="291" t="s">
        <v>154</v>
      </c>
      <c r="Q2" s="291" t="s">
        <v>155</v>
      </c>
      <c r="R2" s="292" t="s">
        <v>156</v>
      </c>
      <c r="S2" s="292" t="s">
        <v>157</v>
      </c>
      <c r="T2" s="291" t="s">
        <v>158</v>
      </c>
      <c r="U2" s="291" t="s">
        <v>159</v>
      </c>
      <c r="V2" s="291" t="s">
        <v>160</v>
      </c>
      <c r="W2" s="291" t="s">
        <v>161</v>
      </c>
      <c r="AA2" s="284">
        <v>45839</v>
      </c>
      <c r="AB2" s="281" t="s">
        <v>162</v>
      </c>
      <c r="AC2" s="283" t="s">
        <v>163</v>
      </c>
      <c r="AD2" s="281" t="s">
        <v>164</v>
      </c>
      <c r="AE2" s="281" t="s">
        <v>165</v>
      </c>
      <c r="AH2" t="s">
        <v>166</v>
      </c>
    </row>
    <row r="3" spans="1:34" x14ac:dyDescent="0.25">
      <c r="A3">
        <v>1</v>
      </c>
      <c r="B3" s="1">
        <v>2149</v>
      </c>
      <c r="C3" s="275">
        <f>N3+O3</f>
        <v>16114</v>
      </c>
      <c r="D3" s="275">
        <v>0</v>
      </c>
      <c r="E3" s="1">
        <v>19857</v>
      </c>
      <c r="F3" s="1">
        <v>5069</v>
      </c>
      <c r="G3" s="275">
        <f>R3+S3</f>
        <v>47493</v>
      </c>
      <c r="H3" s="1">
        <v>850</v>
      </c>
      <c r="I3" s="1">
        <v>4880</v>
      </c>
      <c r="J3" s="1">
        <v>4863</v>
      </c>
      <c r="K3">
        <f>SUM(B3:J3)</f>
        <v>101275</v>
      </c>
      <c r="M3" s="290">
        <v>0</v>
      </c>
      <c r="N3" s="290">
        <v>10736</v>
      </c>
      <c r="O3" s="290">
        <v>5378</v>
      </c>
      <c r="P3" s="275">
        <f>N3/Production2!N3</f>
        <v>46.749401262791203</v>
      </c>
      <c r="Q3" s="275" t="e">
        <f>O3/Production2!Q3</f>
        <v>#DIV/0!</v>
      </c>
      <c r="R3" s="290">
        <v>4857</v>
      </c>
      <c r="S3" s="290">
        <v>42636</v>
      </c>
      <c r="T3" s="276" t="e">
        <f>R3/'Daily CEM-1'!AX4</f>
        <v>#DIV/0!</v>
      </c>
      <c r="U3" s="276">
        <f>S3/'Daily  CEM - 2'!AU4</f>
        <v>39.477777777777774</v>
      </c>
      <c r="V3" s="276">
        <f>F34/Production2!U3</f>
        <v>8038.34</v>
      </c>
      <c r="W3" s="276">
        <f>E3/Production2!Z3</f>
        <v>88.25333333333333</v>
      </c>
      <c r="Z3" t="e">
        <f>#REF!/Clinker!EK3</f>
        <v>#REF!</v>
      </c>
      <c r="AA3" s="281">
        <v>1</v>
      </c>
      <c r="AB3" s="281">
        <f>Clinker!EK3</f>
        <v>225</v>
      </c>
      <c r="AC3" s="281">
        <f>Production2!V3</f>
        <v>51</v>
      </c>
      <c r="AD3" s="282">
        <f>'1'!Q51</f>
        <v>5289</v>
      </c>
      <c r="AE3" s="282">
        <f>'1'!Q52</f>
        <v>1198.8399999999999</v>
      </c>
      <c r="AH3" s="52">
        <f>Production2!V3/Production2!Z3</f>
        <v>0.22666666666666666</v>
      </c>
    </row>
    <row r="4" spans="1:34" x14ac:dyDescent="0.25">
      <c r="A4">
        <v>2</v>
      </c>
      <c r="B4" s="1">
        <v>1293</v>
      </c>
      <c r="C4" s="275">
        <f>N4+O4</f>
        <v>59457</v>
      </c>
      <c r="D4" s="275">
        <v>0</v>
      </c>
      <c r="E4" s="1">
        <v>50073</v>
      </c>
      <c r="F4" s="1">
        <v>13784</v>
      </c>
      <c r="G4" s="275">
        <f t="shared" ref="G4:G33" si="0">R4+S4</f>
        <v>51844</v>
      </c>
      <c r="H4" s="1">
        <v>1625</v>
      </c>
      <c r="I4" s="1">
        <v>5564</v>
      </c>
      <c r="J4" s="1">
        <v>4815</v>
      </c>
      <c r="K4">
        <f>SUM(B4:J4)</f>
        <v>188455</v>
      </c>
      <c r="M4" s="290">
        <v>0</v>
      </c>
      <c r="N4" s="290">
        <v>53086</v>
      </c>
      <c r="O4" s="290">
        <v>6371</v>
      </c>
      <c r="P4" s="275">
        <f>N4/Production2!N4</f>
        <v>20.941222879684418</v>
      </c>
      <c r="Q4" s="275">
        <f>O4/Production2!Q4</f>
        <v>49.734582357533178</v>
      </c>
      <c r="R4" s="290">
        <v>3603</v>
      </c>
      <c r="S4" s="290">
        <v>48241</v>
      </c>
      <c r="T4" s="276" t="e">
        <f>R4/'Daily CEM-1'!AX5</f>
        <v>#DIV/0!</v>
      </c>
      <c r="U4" s="276">
        <f>S4/'Daily  CEM - 2'!AU5</f>
        <v>41.302226027397261</v>
      </c>
      <c r="V4" s="276">
        <f>F4/Production2!U4</f>
        <v>57.43333333333333</v>
      </c>
      <c r="W4" s="276">
        <f>E4/Production2!Z4</f>
        <v>34.652595155709342</v>
      </c>
      <c r="Z4">
        <f>E3/Clinker!EK4</f>
        <v>13.741868512110727</v>
      </c>
      <c r="AA4" s="281">
        <v>2</v>
      </c>
      <c r="AB4" s="281">
        <f>Clinker!EK4</f>
        <v>1445</v>
      </c>
      <c r="AC4" s="281">
        <f>Production2!V4</f>
        <v>236</v>
      </c>
      <c r="AD4" s="282">
        <f>'2'!$Q$51</f>
        <v>5311</v>
      </c>
      <c r="AE4" s="282">
        <f>'2'!$Q$52</f>
        <v>867.40207612456754</v>
      </c>
      <c r="AH4" s="52">
        <f>Production2!V4/Production2!Z4</f>
        <v>0.16332179930795848</v>
      </c>
    </row>
    <row r="5" spans="1:34" x14ac:dyDescent="0.25">
      <c r="A5">
        <v>3</v>
      </c>
      <c r="B5" s="1">
        <v>2530</v>
      </c>
      <c r="C5" s="275">
        <f t="shared" ref="C5:C33" si="1">N5+O5</f>
        <v>59446</v>
      </c>
      <c r="D5" s="275">
        <v>0</v>
      </c>
      <c r="E5" s="1">
        <v>54125</v>
      </c>
      <c r="F5" s="1">
        <v>16021</v>
      </c>
      <c r="G5" s="275">
        <f t="shared" si="0"/>
        <v>14902</v>
      </c>
      <c r="H5" s="1">
        <v>1353</v>
      </c>
      <c r="I5" s="1">
        <v>4976</v>
      </c>
      <c r="J5" s="1">
        <v>4608</v>
      </c>
      <c r="K5">
        <f>SUM(B5:J5)</f>
        <v>157961</v>
      </c>
      <c r="M5" s="290">
        <v>0</v>
      </c>
      <c r="N5" s="290">
        <v>50429</v>
      </c>
      <c r="O5" s="290">
        <v>9017</v>
      </c>
      <c r="P5" s="275">
        <f>N5/Production2!N5</f>
        <v>22.563310961968678</v>
      </c>
      <c r="Q5" s="275">
        <f>O5/Production2!Q5</f>
        <v>49.977829508923627</v>
      </c>
      <c r="R5" s="290">
        <v>4115</v>
      </c>
      <c r="S5" s="290">
        <v>10787</v>
      </c>
      <c r="T5" s="276" t="e">
        <f>R5/'Daily CEM-1'!AX6</f>
        <v>#DIV/0!</v>
      </c>
      <c r="U5" s="276">
        <f>S5/'Daily  CEM - 2'!AU6</f>
        <v>43.148000000000003</v>
      </c>
      <c r="V5" s="276">
        <f>F5/Production2!U5</f>
        <v>67.174004192872118</v>
      </c>
      <c r="W5" s="276">
        <f>E5/Production2!Z5</f>
        <v>33.307692307692307</v>
      </c>
      <c r="Z5">
        <f>E4/Clinker!EK5</f>
        <v>30.814153846153847</v>
      </c>
      <c r="AA5" s="281">
        <v>3</v>
      </c>
      <c r="AB5" s="281">
        <f>Clinker!EK5</f>
        <v>1625</v>
      </c>
      <c r="AC5" s="281">
        <f>Production2!V5</f>
        <v>241</v>
      </c>
      <c r="AD5" s="282">
        <f>'3'!$Q$51</f>
        <v>5385</v>
      </c>
      <c r="AE5" s="282">
        <f>'3'!$Q$52</f>
        <v>798.63692307692315</v>
      </c>
      <c r="AH5" s="52">
        <f>Production2!V5/Production2!Z5</f>
        <v>0.14830769230769231</v>
      </c>
    </row>
    <row r="6" spans="1:34" x14ac:dyDescent="0.25">
      <c r="A6">
        <v>4</v>
      </c>
      <c r="B6" s="1">
        <v>2716</v>
      </c>
      <c r="C6" s="275">
        <f t="shared" si="1"/>
        <v>50283</v>
      </c>
      <c r="D6" s="275">
        <v>0</v>
      </c>
      <c r="E6" s="1">
        <v>52945</v>
      </c>
      <c r="F6" s="1">
        <v>15996</v>
      </c>
      <c r="G6" s="275">
        <f t="shared" si="0"/>
        <v>36690</v>
      </c>
      <c r="H6" s="1">
        <v>1411</v>
      </c>
      <c r="I6" s="1">
        <v>4504</v>
      </c>
      <c r="J6" s="1">
        <v>4872</v>
      </c>
      <c r="K6">
        <f>SUM(B6:J6)</f>
        <v>169417</v>
      </c>
      <c r="M6" s="290">
        <v>0</v>
      </c>
      <c r="N6" s="290">
        <v>44079</v>
      </c>
      <c r="O6" s="290">
        <v>6204</v>
      </c>
      <c r="P6" s="275">
        <f>N6/Production2!N6</f>
        <v>26.237500000000001</v>
      </c>
      <c r="Q6" s="275">
        <f>O6/Production2!Q6</f>
        <v>64.044595850108394</v>
      </c>
      <c r="R6" s="290">
        <v>32786</v>
      </c>
      <c r="S6" s="290">
        <v>3904</v>
      </c>
      <c r="T6" s="276">
        <f>R6/'Daily CEM-1'!AX7</f>
        <v>38.571764705882352</v>
      </c>
      <c r="U6" s="276" t="e">
        <f>S6/'Daily  CEM - 2'!AU7</f>
        <v>#DIV/0!</v>
      </c>
      <c r="V6" s="276">
        <f>F6/Production2!U6</f>
        <v>71.093333333333334</v>
      </c>
      <c r="W6" s="276">
        <f>E6/Production2!Z6</f>
        <v>35.89491525423729</v>
      </c>
      <c r="Z6">
        <f>E6/Clinker!EK6</f>
        <v>35.89491525423729</v>
      </c>
      <c r="AA6" s="281">
        <v>4</v>
      </c>
      <c r="AB6" s="281">
        <f>Clinker!EK6</f>
        <v>1475</v>
      </c>
      <c r="AC6" s="281">
        <f>Production2!V6</f>
        <v>222</v>
      </c>
      <c r="AD6" s="282">
        <f>'4'!$Q$51</f>
        <v>5399</v>
      </c>
      <c r="AE6" s="282">
        <f>'4'!$Q$52</f>
        <v>812.59525423728803</v>
      </c>
      <c r="AH6" s="52">
        <f>Production2!V6/Production2!Z6</f>
        <v>0.15050847457627117</v>
      </c>
    </row>
    <row r="7" spans="1:34" x14ac:dyDescent="0.25">
      <c r="A7">
        <v>5</v>
      </c>
      <c r="B7" s="1">
        <v>2597</v>
      </c>
      <c r="C7" s="275">
        <f t="shared" si="1"/>
        <v>45155</v>
      </c>
      <c r="D7" s="275">
        <v>0</v>
      </c>
      <c r="E7" s="1">
        <v>50723</v>
      </c>
      <c r="F7" s="1">
        <v>15979</v>
      </c>
      <c r="G7" s="275">
        <f>R7+S7</f>
        <v>40037</v>
      </c>
      <c r="H7" s="1">
        <v>1442</v>
      </c>
      <c r="I7" s="1">
        <v>5635</v>
      </c>
      <c r="J7" s="1">
        <v>5031</v>
      </c>
      <c r="K7">
        <f>SUM(B7:J7)</f>
        <v>166599</v>
      </c>
      <c r="M7" s="290">
        <v>0</v>
      </c>
      <c r="N7" s="290">
        <v>44423</v>
      </c>
      <c r="O7" s="290">
        <v>732</v>
      </c>
      <c r="P7" s="275">
        <f>N7/Production2!N7</f>
        <v>26.47377830750894</v>
      </c>
      <c r="Q7" s="275">
        <f>O7/Production2!Q7</f>
        <v>9.15343253720145</v>
      </c>
      <c r="R7" s="290">
        <v>36075</v>
      </c>
      <c r="S7" s="290">
        <v>3962</v>
      </c>
      <c r="T7" s="276">
        <f>R7/'Daily CEM-1'!AX8</f>
        <v>56.3671875</v>
      </c>
      <c r="U7" s="276" t="e">
        <f>S7/'Daily  CEM - 2'!AU8</f>
        <v>#DIV/0!</v>
      </c>
      <c r="V7" s="276">
        <f>F7/Production2!U7</f>
        <v>77.193236714975839</v>
      </c>
      <c r="W7" s="276">
        <f>E7/Production2!Z7</f>
        <v>38.719847328244278</v>
      </c>
      <c r="Z7">
        <f>E7/Clinker!EK7</f>
        <v>38.719847328244278</v>
      </c>
      <c r="AA7" s="281">
        <v>5</v>
      </c>
      <c r="AB7" s="281">
        <f>Clinker!EK7</f>
        <v>1310</v>
      </c>
      <c r="AC7" s="281">
        <f>Production2!V7</f>
        <v>202</v>
      </c>
      <c r="AD7" s="282">
        <f>'5'!$Q$51</f>
        <v>5375</v>
      </c>
      <c r="AE7" s="282">
        <f>'5'!$Q$52</f>
        <v>828.81679389312967</v>
      </c>
      <c r="AH7" s="52">
        <f>Production2!V7/Production2!Z7</f>
        <v>0.15419847328244274</v>
      </c>
    </row>
    <row r="8" spans="1:34" x14ac:dyDescent="0.25">
      <c r="A8">
        <v>6</v>
      </c>
      <c r="B8" s="1">
        <v>2202</v>
      </c>
      <c r="C8" s="275">
        <f t="shared" si="1"/>
        <v>53702</v>
      </c>
      <c r="D8" s="275">
        <v>0</v>
      </c>
      <c r="E8" s="1">
        <v>50975</v>
      </c>
      <c r="F8" s="1">
        <v>13553</v>
      </c>
      <c r="G8" s="275">
        <f t="shared" si="0"/>
        <v>64451</v>
      </c>
      <c r="H8" s="1">
        <v>1654</v>
      </c>
      <c r="I8" s="1">
        <v>5643</v>
      </c>
      <c r="J8" s="1">
        <v>4954</v>
      </c>
      <c r="K8" s="175">
        <f t="shared" ref="K8:K10" si="2">SUM(B8:J8)</f>
        <v>197134</v>
      </c>
      <c r="M8" s="290">
        <v>0</v>
      </c>
      <c r="N8" s="290">
        <v>53513</v>
      </c>
      <c r="O8" s="290">
        <v>189</v>
      </c>
      <c r="P8" s="275">
        <f>N8/Production2!N8</f>
        <v>25.173466555648073</v>
      </c>
      <c r="Q8" s="275" t="e">
        <f>O8/Production2!Q8</f>
        <v>#DIV/0!</v>
      </c>
      <c r="R8" s="290">
        <v>60367</v>
      </c>
      <c r="S8" s="290">
        <v>4084</v>
      </c>
      <c r="T8" s="276">
        <f>R8/'Daily CEM-1'!AX9</f>
        <v>44.882527881040893</v>
      </c>
      <c r="U8" s="276" t="e">
        <f>S8/'Daily  CEM - 2'!AU9</f>
        <v>#DIV/0!</v>
      </c>
      <c r="V8" s="276">
        <f>F8/Production2!U8</f>
        <v>64.630424415832138</v>
      </c>
      <c r="W8" s="276">
        <f>E8/Production2!Z8</f>
        <v>37.75925925925926</v>
      </c>
      <c r="Z8">
        <f>E8/Clinker!EK8</f>
        <v>37.75925925925926</v>
      </c>
      <c r="AA8" s="281">
        <v>6</v>
      </c>
      <c r="AB8" s="281">
        <f>Clinker!EK8</f>
        <v>1350</v>
      </c>
      <c r="AC8" s="281">
        <f>Production2!V8</f>
        <v>207</v>
      </c>
      <c r="AD8" s="282">
        <f>'6'!$Q$51</f>
        <v>5288</v>
      </c>
      <c r="AE8" s="282">
        <f>'6'!$Q$52</f>
        <v>810.8266666666666</v>
      </c>
      <c r="AH8" s="52">
        <f>Production2!V8/Production2!Z8</f>
        <v>0.15333333333333332</v>
      </c>
    </row>
    <row r="9" spans="1:34" x14ac:dyDescent="0.25">
      <c r="A9">
        <v>7</v>
      </c>
      <c r="B9" s="1">
        <v>2317</v>
      </c>
      <c r="C9" s="275">
        <f t="shared" si="1"/>
        <v>30961</v>
      </c>
      <c r="D9" s="275">
        <v>0</v>
      </c>
      <c r="E9" s="1">
        <v>37630</v>
      </c>
      <c r="F9" s="1">
        <v>9070</v>
      </c>
      <c r="G9" s="275">
        <f t="shared" si="0"/>
        <v>48043</v>
      </c>
      <c r="H9" s="1">
        <v>1189</v>
      </c>
      <c r="I9" s="1">
        <v>5730</v>
      </c>
      <c r="J9" s="1">
        <v>5011</v>
      </c>
      <c r="K9">
        <f>SUM(B9:J9)</f>
        <v>139951</v>
      </c>
      <c r="M9" s="290">
        <v>0</v>
      </c>
      <c r="N9" s="290">
        <v>30894</v>
      </c>
      <c r="O9" s="290">
        <v>67</v>
      </c>
      <c r="P9" s="275">
        <f>N9/Production2!N9</f>
        <v>31.514842395185148</v>
      </c>
      <c r="Q9" s="275" t="e">
        <f>O9/Production2!Q9</f>
        <v>#DIV/0!</v>
      </c>
      <c r="R9" s="290">
        <v>20656</v>
      </c>
      <c r="S9" s="290">
        <v>27387</v>
      </c>
      <c r="T9" s="276">
        <f>R9/'Daily CEM-1'!AX10</f>
        <v>91.804444444444442</v>
      </c>
      <c r="U9" s="276">
        <f>S9/'Daily  CEM - 2'!AU10</f>
        <v>31.845348837209304</v>
      </c>
      <c r="V9" s="276">
        <f>F9/Production2!U9</f>
        <v>63.38225017470301</v>
      </c>
      <c r="W9" s="276">
        <f>E9/Production2!Z9</f>
        <v>51.903448275862068</v>
      </c>
      <c r="Z9">
        <f>E9/Clinker!EK9</f>
        <v>51.903448275862068</v>
      </c>
      <c r="AA9" s="281">
        <v>7</v>
      </c>
      <c r="AB9" s="281">
        <f>Clinker!EK9</f>
        <v>725</v>
      </c>
      <c r="AC9" s="281">
        <f>Production2!V9</f>
        <v>145</v>
      </c>
      <c r="AD9" s="282">
        <f>'7'!$Q$51</f>
        <v>5359</v>
      </c>
      <c r="AE9" s="282">
        <f>'7'!$Q$52</f>
        <v>1071.8</v>
      </c>
      <c r="AH9" s="52">
        <f>Production2!V9/Production2!Z9</f>
        <v>0.2</v>
      </c>
    </row>
    <row r="10" spans="1:34" x14ac:dyDescent="0.25">
      <c r="A10">
        <v>8</v>
      </c>
      <c r="B10" s="1">
        <v>2678</v>
      </c>
      <c r="C10" s="275">
        <f t="shared" si="1"/>
        <v>41363</v>
      </c>
      <c r="D10" s="275">
        <v>0</v>
      </c>
      <c r="E10" s="1">
        <v>47227</v>
      </c>
      <c r="F10" s="1">
        <v>13081</v>
      </c>
      <c r="G10" s="275">
        <f t="shared" si="0"/>
        <v>53016</v>
      </c>
      <c r="H10" s="1">
        <v>1458</v>
      </c>
      <c r="I10" s="1">
        <v>5074</v>
      </c>
      <c r="J10" s="1">
        <v>5139</v>
      </c>
      <c r="K10">
        <f t="shared" si="2"/>
        <v>169036</v>
      </c>
      <c r="M10" s="290">
        <v>0</v>
      </c>
      <c r="N10" s="290">
        <v>41298</v>
      </c>
      <c r="O10" s="290">
        <v>65</v>
      </c>
      <c r="P10" s="275">
        <f>N10/Production2!N10</f>
        <v>21.286531622081338</v>
      </c>
      <c r="Q10" s="275" t="e">
        <f>O10/Production2!Q10</f>
        <v>#DIV/0!</v>
      </c>
      <c r="R10" s="290">
        <v>5060</v>
      </c>
      <c r="S10" s="290">
        <v>47956</v>
      </c>
      <c r="T10" s="276">
        <f>R10/'Daily CEM-1'!AX11</f>
        <v>63.25</v>
      </c>
      <c r="U10" s="276">
        <f>S10/'Daily  CEM - 2'!AU11</f>
        <v>33.41881533101045</v>
      </c>
      <c r="V10" s="276">
        <f>F10/Production2!U10</f>
        <v>64.438423645320199</v>
      </c>
      <c r="W10" s="276">
        <f>E10/Production2!Z10</f>
        <v>36.328461538461539</v>
      </c>
      <c r="Z10">
        <f>E10/Clinker!EK10</f>
        <v>36.328461538461539</v>
      </c>
      <c r="AA10" s="281">
        <v>8</v>
      </c>
      <c r="AB10" s="281">
        <f>Clinker!EK10</f>
        <v>1300</v>
      </c>
      <c r="AC10" s="281">
        <f>Production2!V10</f>
        <v>207</v>
      </c>
      <c r="AD10" s="282">
        <f>'8'!$Q$51</f>
        <v>5180</v>
      </c>
      <c r="AE10" s="282">
        <f>'8'!$Q$52</f>
        <v>824.81538461538469</v>
      </c>
      <c r="AH10" s="52">
        <f>Production2!V10/Production2!Z10</f>
        <v>0.15923076923076923</v>
      </c>
    </row>
    <row r="11" spans="1:34" x14ac:dyDescent="0.25">
      <c r="A11">
        <v>9</v>
      </c>
      <c r="B11" s="1">
        <v>2679</v>
      </c>
      <c r="C11" s="275">
        <f t="shared" si="1"/>
        <v>40205</v>
      </c>
      <c r="D11" s="275">
        <v>0</v>
      </c>
      <c r="E11" s="1">
        <v>44361</v>
      </c>
      <c r="F11" s="1">
        <v>11983</v>
      </c>
      <c r="G11" s="275">
        <f t="shared" ref="G11:G15" si="3">R11+S11</f>
        <v>105573</v>
      </c>
      <c r="H11" s="1">
        <v>1831</v>
      </c>
      <c r="I11" s="1">
        <v>6531</v>
      </c>
      <c r="J11" s="1">
        <v>4815</v>
      </c>
      <c r="K11">
        <f>SUM(B11:J11)</f>
        <v>217978</v>
      </c>
      <c r="M11" s="290">
        <v>0</v>
      </c>
      <c r="N11" s="290">
        <v>39396</v>
      </c>
      <c r="O11" s="290">
        <v>809</v>
      </c>
      <c r="P11" s="275">
        <f>N11/Production2!N11</f>
        <v>24.098950304631874</v>
      </c>
      <c r="Q11" s="275" t="e">
        <f>O11/Production2!Q11</f>
        <v>#DIV/0!</v>
      </c>
      <c r="R11" s="290">
        <v>55587</v>
      </c>
      <c r="S11" s="290">
        <v>49986</v>
      </c>
      <c r="T11" s="276">
        <f>R11/'Daily CEM-1'!AX12</f>
        <v>43.700471698113205</v>
      </c>
      <c r="U11" s="276">
        <f>S11/'Daily  CEM - 2'!AU12</f>
        <v>40.278807413376306</v>
      </c>
      <c r="V11" s="276">
        <f>F11/Production2!U11</f>
        <v>63.402116402116405</v>
      </c>
      <c r="W11" s="276">
        <f>E11/Production2!Z11</f>
        <v>40.109403254972875</v>
      </c>
      <c r="Z11">
        <f>E11/Clinker!EK11</f>
        <v>40.109403254972875</v>
      </c>
      <c r="AA11" s="281">
        <v>9</v>
      </c>
      <c r="AB11" s="281">
        <f>Clinker!EK11</f>
        <v>1106</v>
      </c>
      <c r="AC11" s="281">
        <f>Production2!V11</f>
        <v>202</v>
      </c>
      <c r="AD11" s="282">
        <f>'9'!$Q$51</f>
        <v>4583</v>
      </c>
      <c r="AE11" s="282">
        <f>'9'!$Q$52</f>
        <v>837.03978300180836</v>
      </c>
      <c r="AH11" s="52">
        <f>Production2!V11/Production2!Z11</f>
        <v>0.18264014466546113</v>
      </c>
    </row>
    <row r="12" spans="1:34" x14ac:dyDescent="0.25">
      <c r="A12">
        <v>10</v>
      </c>
      <c r="B12" s="1">
        <v>2153</v>
      </c>
      <c r="C12" s="275">
        <f t="shared" si="1"/>
        <v>45229</v>
      </c>
      <c r="D12" s="275">
        <v>0</v>
      </c>
      <c r="E12" s="1">
        <v>47233</v>
      </c>
      <c r="F12" s="1">
        <v>12546</v>
      </c>
      <c r="G12" s="275">
        <f t="shared" si="3"/>
        <v>67756</v>
      </c>
      <c r="H12" s="1">
        <v>1546</v>
      </c>
      <c r="I12" s="1">
        <v>5641</v>
      </c>
      <c r="J12" s="1">
        <v>4713</v>
      </c>
      <c r="K12">
        <f t="shared" ref="K12:K33" si="4">SUM(B12:J12)</f>
        <v>186817</v>
      </c>
      <c r="M12" s="290">
        <v>0</v>
      </c>
      <c r="N12" s="290">
        <v>43916</v>
      </c>
      <c r="O12" s="290">
        <v>1313</v>
      </c>
      <c r="P12" s="275">
        <f>N12/Production2!N12</f>
        <v>24.536819756397364</v>
      </c>
      <c r="Q12" s="275" t="e">
        <f>O12/Production2!Q12</f>
        <v>#DIV/0!</v>
      </c>
      <c r="R12" s="290">
        <v>32445</v>
      </c>
      <c r="S12" s="290">
        <v>35311</v>
      </c>
      <c r="T12" s="276">
        <f>R12/'Daily CEM-1'!AX13</f>
        <v>41.331210191082803</v>
      </c>
      <c r="U12" s="276">
        <f>S12/'Daily  CEM - 2'!AU13</f>
        <v>37.968817204301075</v>
      </c>
      <c r="V12" s="276">
        <f>F12/Production2!U12</f>
        <v>60.608695652173914</v>
      </c>
      <c r="W12" s="276">
        <f>E12/Production2!Z12</f>
        <v>39.035537190082643</v>
      </c>
      <c r="Z12">
        <f>E12/Clinker!EK12</f>
        <v>39.035537190082643</v>
      </c>
      <c r="AA12" s="281">
        <v>10</v>
      </c>
      <c r="AB12" s="281">
        <f>Clinker!EK12</f>
        <v>1210</v>
      </c>
      <c r="AC12" s="281">
        <f>Production2!V12</f>
        <v>195</v>
      </c>
      <c r="AD12" s="282">
        <f>'10'!$Q$51</f>
        <v>5150</v>
      </c>
      <c r="AE12" s="282">
        <f>'10'!$Q$52</f>
        <v>829.95867768595042</v>
      </c>
      <c r="AH12" s="52">
        <f>Production2!V12/Production2!Z12</f>
        <v>0.16115702479338842</v>
      </c>
    </row>
    <row r="13" spans="1:34" x14ac:dyDescent="0.25">
      <c r="A13">
        <v>11</v>
      </c>
      <c r="B13" s="1">
        <v>1535</v>
      </c>
      <c r="C13" s="275">
        <f t="shared" si="1"/>
        <v>44230</v>
      </c>
      <c r="D13" s="275">
        <v>0</v>
      </c>
      <c r="E13" s="1">
        <v>43833</v>
      </c>
      <c r="F13" s="1">
        <v>12906</v>
      </c>
      <c r="G13" s="275">
        <f t="shared" si="3"/>
        <v>75978</v>
      </c>
      <c r="H13" s="1">
        <v>1613</v>
      </c>
      <c r="I13" s="1">
        <v>5604</v>
      </c>
      <c r="J13" s="1">
        <v>4999</v>
      </c>
      <c r="K13">
        <f t="shared" si="4"/>
        <v>190698</v>
      </c>
      <c r="M13" s="290">
        <v>0</v>
      </c>
      <c r="N13" s="290">
        <v>43175</v>
      </c>
      <c r="O13" s="290">
        <v>1055</v>
      </c>
      <c r="P13" s="275">
        <f>N13/Production2!N13</f>
        <v>23.847793906453678</v>
      </c>
      <c r="Q13" s="275" t="e">
        <f>O13/Production2!Q13</f>
        <v>#DIV/0!</v>
      </c>
      <c r="R13" s="290">
        <v>46315</v>
      </c>
      <c r="S13" s="290">
        <v>29663</v>
      </c>
      <c r="T13" s="276">
        <f>R13/'Daily CEM-1'!AX14</f>
        <v>50.783991228070178</v>
      </c>
      <c r="U13" s="276">
        <f>S13/'Daily  CEM - 2'!AU14</f>
        <v>41.778873239436621</v>
      </c>
      <c r="V13" s="276">
        <f>F13/Production2!U13</f>
        <v>63.733333333333334</v>
      </c>
      <c r="W13" s="276">
        <f>E13/Production2!Z13</f>
        <v>39.48918918918919</v>
      </c>
      <c r="Z13">
        <f>E13/Clinker!EK13</f>
        <v>39.48918918918919</v>
      </c>
      <c r="AA13" s="281">
        <v>11</v>
      </c>
      <c r="AB13" s="281">
        <f>Clinker!EK13</f>
        <v>1110</v>
      </c>
      <c r="AC13" s="281">
        <f>Production2!V13</f>
        <v>195</v>
      </c>
      <c r="AD13" s="282">
        <f>'11'!$Q$51</f>
        <v>5363</v>
      </c>
      <c r="AE13" s="282">
        <f>'11'!$Q$52</f>
        <v>942.14864864864865</v>
      </c>
      <c r="AH13" s="52">
        <f>Production2!V13/Production2!Z13</f>
        <v>0.17567567567567569</v>
      </c>
    </row>
    <row r="14" spans="1:34" x14ac:dyDescent="0.25">
      <c r="A14">
        <v>12</v>
      </c>
      <c r="B14" s="1">
        <v>1556</v>
      </c>
      <c r="C14" s="275">
        <f t="shared" si="1"/>
        <v>47534</v>
      </c>
      <c r="D14" s="275">
        <v>0</v>
      </c>
      <c r="E14" s="1">
        <v>46913</v>
      </c>
      <c r="F14" s="1">
        <v>12972</v>
      </c>
      <c r="G14" s="275">
        <f t="shared" si="3"/>
        <v>63969</v>
      </c>
      <c r="H14" s="1">
        <v>1603</v>
      </c>
      <c r="I14" s="1">
        <v>5698</v>
      </c>
      <c r="J14" s="1">
        <v>5295</v>
      </c>
      <c r="K14" s="175">
        <f t="shared" si="4"/>
        <v>185540</v>
      </c>
      <c r="M14" s="290">
        <v>0</v>
      </c>
      <c r="N14" s="290">
        <v>45653</v>
      </c>
      <c r="O14" s="290">
        <v>1881</v>
      </c>
      <c r="P14" s="275">
        <f>N14/Production2!N14</f>
        <v>25.64789689829718</v>
      </c>
      <c r="Q14" s="275" t="e">
        <f>O14/Production2!Q14</f>
        <v>#DIV/0!</v>
      </c>
      <c r="R14" s="290">
        <v>14463</v>
      </c>
      <c r="S14" s="290">
        <v>49506</v>
      </c>
      <c r="T14" s="276">
        <f>R14/'Daily CEM-1'!AX15</f>
        <v>131.48181818181817</v>
      </c>
      <c r="U14" s="276">
        <f>S14/'Daily  CEM - 2'!AU15</f>
        <v>36.671111111111109</v>
      </c>
      <c r="V14" s="276">
        <f>F14/Production2!U14</f>
        <v>61.333333333333336</v>
      </c>
      <c r="W14" s="276">
        <f>E14/Production2!Z14</f>
        <v>38.611522633744855</v>
      </c>
      <c r="Z14">
        <f>E14/Clinker!EK14</f>
        <v>38.611522633744855</v>
      </c>
      <c r="AA14" s="281">
        <v>12</v>
      </c>
      <c r="AB14" s="281">
        <f>Clinker!EK14</f>
        <v>1215</v>
      </c>
      <c r="AC14" s="281">
        <f>Production2!V14</f>
        <v>210</v>
      </c>
      <c r="AD14" s="282">
        <f>'12'!$Q$51</f>
        <v>4700</v>
      </c>
      <c r="AE14" s="282">
        <f>'12'!$Q$52</f>
        <v>812.34567901234561</v>
      </c>
      <c r="AH14" s="52">
        <f>Production2!V14/Production2!Z14</f>
        <v>0.1728395061728395</v>
      </c>
    </row>
    <row r="15" spans="1:34" x14ac:dyDescent="0.25">
      <c r="A15">
        <v>13</v>
      </c>
      <c r="B15" s="1">
        <v>2581</v>
      </c>
      <c r="C15" s="275">
        <f t="shared" si="1"/>
        <v>47399</v>
      </c>
      <c r="D15" s="275">
        <v>0</v>
      </c>
      <c r="E15" s="1">
        <v>50175</v>
      </c>
      <c r="F15" s="1">
        <v>12900</v>
      </c>
      <c r="G15" s="275">
        <f t="shared" si="3"/>
        <v>85249</v>
      </c>
      <c r="H15" s="1">
        <v>1795</v>
      </c>
      <c r="I15" s="1">
        <v>6116</v>
      </c>
      <c r="J15" s="1">
        <v>5255</v>
      </c>
      <c r="K15">
        <f t="shared" si="4"/>
        <v>211470</v>
      </c>
      <c r="M15" s="290">
        <v>0</v>
      </c>
      <c r="N15" s="290">
        <v>46209</v>
      </c>
      <c r="O15" s="290">
        <v>1190</v>
      </c>
      <c r="P15" s="275">
        <f>N15/Production2!N15</f>
        <v>21.895122887318941</v>
      </c>
      <c r="Q15" s="275" t="e">
        <f>O15/Production2!Q15</f>
        <v>#DIV/0!</v>
      </c>
      <c r="R15" s="290">
        <v>34195</v>
      </c>
      <c r="S15" s="290">
        <v>51054</v>
      </c>
      <c r="T15" s="276">
        <f>R15/'Daily CEM-1'!AX16</f>
        <v>50.659259259259258</v>
      </c>
      <c r="U15" s="276">
        <f>S15/'Daily  CEM - 2'!AU16</f>
        <v>39.121839080459772</v>
      </c>
      <c r="V15" s="276">
        <f>F15/Production2!U15</f>
        <v>60.224089635854348</v>
      </c>
      <c r="W15" s="276">
        <f>E15/Production2!Z15</f>
        <v>39.352941176470587</v>
      </c>
      <c r="Z15">
        <f>E15/Clinker!EK15</f>
        <v>39.352941176470587</v>
      </c>
      <c r="AA15" s="281">
        <v>13</v>
      </c>
      <c r="AB15" s="281">
        <f>Clinker!EK15</f>
        <v>1275</v>
      </c>
      <c r="AC15" s="281">
        <f>Production2!V15</f>
        <v>215</v>
      </c>
      <c r="AD15" s="282">
        <f>'13'!$Q$51</f>
        <v>4800</v>
      </c>
      <c r="AE15" s="282">
        <f>'13'!$Q$52</f>
        <v>809.41176470588243</v>
      </c>
      <c r="AH15" s="52">
        <f>Production2!V15/Production2!Z15</f>
        <v>0.16862745098039217</v>
      </c>
    </row>
    <row r="16" spans="1:34" x14ac:dyDescent="0.25">
      <c r="A16">
        <v>14</v>
      </c>
      <c r="B16" s="1">
        <v>2620</v>
      </c>
      <c r="C16" s="275">
        <f t="shared" si="1"/>
        <v>44104</v>
      </c>
      <c r="D16" s="275">
        <v>0</v>
      </c>
      <c r="E16" s="1">
        <v>51268</v>
      </c>
      <c r="F16" s="1">
        <v>13302</v>
      </c>
      <c r="G16" s="275">
        <f t="shared" si="0"/>
        <v>80968</v>
      </c>
      <c r="H16" s="1">
        <v>1749</v>
      </c>
      <c r="I16" s="1">
        <v>5894</v>
      </c>
      <c r="J16" s="1">
        <v>5417</v>
      </c>
      <c r="K16">
        <f t="shared" si="4"/>
        <v>205322</v>
      </c>
      <c r="M16" s="290">
        <v>0</v>
      </c>
      <c r="N16" s="290">
        <v>43239</v>
      </c>
      <c r="O16" s="290">
        <v>865</v>
      </c>
      <c r="P16" s="275">
        <f>N16/Production2!N16</f>
        <v>21.184061613533814</v>
      </c>
      <c r="Q16" s="275" t="e">
        <f>O16/Production2!Q16</f>
        <v>#DIV/0!</v>
      </c>
      <c r="R16" s="290">
        <v>31553</v>
      </c>
      <c r="S16" s="290">
        <v>49415</v>
      </c>
      <c r="T16" s="276">
        <f>R16/'Daily CEM-1'!AX17</f>
        <v>49.925632911392405</v>
      </c>
      <c r="U16" s="276">
        <f>S16/'Daily  CEM - 2'!AU17</f>
        <v>37.378971255673221</v>
      </c>
      <c r="V16" s="276">
        <f>F16/Production2!U16</f>
        <v>61.583333333333336</v>
      </c>
      <c r="W16" s="276">
        <f>E16/Production2!Z16</f>
        <v>41.014400000000002</v>
      </c>
      <c r="Z16">
        <f>E16/Clinker!EK16</f>
        <v>41.014400000000002</v>
      </c>
      <c r="AA16" s="281">
        <v>14</v>
      </c>
      <c r="AB16" s="281">
        <f>Clinker!EK16</f>
        <v>1250</v>
      </c>
      <c r="AC16" s="281">
        <f>Production2!V16</f>
        <v>218</v>
      </c>
      <c r="AD16" s="282">
        <f>'14'!$Q$51</f>
        <v>4800</v>
      </c>
      <c r="AE16" s="282">
        <f>'14'!$Q$52</f>
        <v>837.12</v>
      </c>
      <c r="AH16" s="52">
        <f>Production2!V16/Production2!Z16</f>
        <v>0.1744</v>
      </c>
    </row>
    <row r="17" spans="1:34" x14ac:dyDescent="0.25">
      <c r="A17">
        <v>15</v>
      </c>
      <c r="B17" s="1">
        <v>1965</v>
      </c>
      <c r="C17" s="275">
        <f t="shared" si="1"/>
        <v>45078</v>
      </c>
      <c r="D17" s="275">
        <v>0</v>
      </c>
      <c r="E17" s="1">
        <v>46219</v>
      </c>
      <c r="F17" s="1">
        <v>11754</v>
      </c>
      <c r="G17" s="275">
        <f t="shared" si="0"/>
        <v>87017</v>
      </c>
      <c r="H17" s="1">
        <v>1737</v>
      </c>
      <c r="I17" s="1">
        <v>5721</v>
      </c>
      <c r="J17" s="1">
        <v>5718</v>
      </c>
      <c r="K17">
        <f t="shared" si="4"/>
        <v>205209</v>
      </c>
      <c r="M17" s="290">
        <v>0</v>
      </c>
      <c r="N17" s="290">
        <v>45012</v>
      </c>
      <c r="O17" s="290">
        <v>66</v>
      </c>
      <c r="P17" s="275">
        <f>N17/Production2!N17</f>
        <v>25.430939507449278</v>
      </c>
      <c r="Q17" s="275" t="e">
        <f>O17/Production2!Q17</f>
        <v>#DIV/0!</v>
      </c>
      <c r="R17" s="290">
        <v>59104</v>
      </c>
      <c r="S17" s="290">
        <v>27913</v>
      </c>
      <c r="T17" s="276">
        <f>R17/'Daily CEM-1'!AX18</f>
        <v>47.283200000000001</v>
      </c>
      <c r="U17" s="276">
        <f>S17/'Daily  CEM - 2'!AU18</f>
        <v>41.048529411764704</v>
      </c>
      <c r="V17" s="276">
        <f>F17/Production2!U17</f>
        <v>63.535135135135135</v>
      </c>
      <c r="W17" s="276">
        <f>E17/Production2!Z17</f>
        <v>45.091707317073173</v>
      </c>
      <c r="Z17">
        <f>E17/Clinker!EK17</f>
        <v>45.091707317073173</v>
      </c>
      <c r="AA17" s="281">
        <v>15</v>
      </c>
      <c r="AB17" s="281">
        <f>Clinker!EK17</f>
        <v>1025</v>
      </c>
      <c r="AC17" s="281">
        <f>Production2!V17</f>
        <v>190</v>
      </c>
      <c r="AD17" s="282">
        <f>'15'!$Q$51</f>
        <v>4750</v>
      </c>
      <c r="AE17" s="282">
        <f>'15'!$Q$52</f>
        <v>880.48780487804879</v>
      </c>
      <c r="AH17" s="52">
        <f>Production2!V17/Production2!Z17</f>
        <v>0.18536585365853658</v>
      </c>
    </row>
    <row r="18" spans="1:34" x14ac:dyDescent="0.25">
      <c r="A18">
        <v>16</v>
      </c>
      <c r="B18" s="1">
        <v>2379</v>
      </c>
      <c r="C18" s="275">
        <f t="shared" si="1"/>
        <v>56294</v>
      </c>
      <c r="D18" s="275">
        <v>0</v>
      </c>
      <c r="E18" s="1">
        <v>46837</v>
      </c>
      <c r="F18" s="1">
        <v>12376</v>
      </c>
      <c r="G18" s="275">
        <f t="shared" si="0"/>
        <v>97777</v>
      </c>
      <c r="H18" s="1">
        <v>1994</v>
      </c>
      <c r="I18" s="1">
        <v>6264</v>
      </c>
      <c r="J18" s="1">
        <v>4794</v>
      </c>
      <c r="K18">
        <f t="shared" si="4"/>
        <v>228715</v>
      </c>
      <c r="M18" s="290">
        <v>0</v>
      </c>
      <c r="N18" s="290">
        <v>53742</v>
      </c>
      <c r="O18" s="290">
        <v>2552</v>
      </c>
      <c r="P18" s="275">
        <f>N18/Production2!N18</f>
        <v>21.547047715272015</v>
      </c>
      <c r="Q18" s="275" t="e">
        <f>O18/Production2!Q18</f>
        <v>#DIV/0!</v>
      </c>
      <c r="R18" s="290">
        <v>64491</v>
      </c>
      <c r="S18" s="290">
        <v>33286</v>
      </c>
      <c r="T18" s="276">
        <f>R18/'Daily CEM-1'!AX19</f>
        <v>43.871428571428574</v>
      </c>
      <c r="U18" s="276">
        <f>S18/'Daily  CEM - 2'!AU19</f>
        <v>50.43333333333333</v>
      </c>
      <c r="V18" s="276">
        <f>F18/Production2!U18</f>
        <v>52</v>
      </c>
      <c r="W18" s="276">
        <f>E18/Production2!Z18</f>
        <v>33.030324400564176</v>
      </c>
      <c r="Z18">
        <f>E18/Clinker!EK18</f>
        <v>33.030324400564176</v>
      </c>
      <c r="AA18" s="281">
        <v>16</v>
      </c>
      <c r="AB18" s="281">
        <f>Clinker!EK18</f>
        <v>1418</v>
      </c>
      <c r="AC18" s="281">
        <f>Production2!V18</f>
        <v>257</v>
      </c>
      <c r="AD18" s="282">
        <f>'16'!$Q$51</f>
        <v>4640</v>
      </c>
      <c r="AE18" s="282">
        <f>'16'!$Q$52</f>
        <v>840.95909732016912</v>
      </c>
      <c r="AH18" s="52">
        <f>Production2!V18/Production2!Z18</f>
        <v>0.18124118476727785</v>
      </c>
    </row>
    <row r="19" spans="1:34" x14ac:dyDescent="0.25">
      <c r="A19">
        <v>17</v>
      </c>
      <c r="B19" s="1">
        <v>2700</v>
      </c>
      <c r="C19" s="275">
        <f t="shared" si="1"/>
        <v>54300</v>
      </c>
      <c r="D19" s="275">
        <v>0</v>
      </c>
      <c r="E19" s="1">
        <v>54686</v>
      </c>
      <c r="F19" s="1">
        <v>13990</v>
      </c>
      <c r="G19" s="275">
        <f t="shared" si="0"/>
        <v>67727</v>
      </c>
      <c r="H19" s="1">
        <v>1792</v>
      </c>
      <c r="I19" s="1">
        <v>5991</v>
      </c>
      <c r="J19" s="1">
        <v>4431</v>
      </c>
      <c r="K19">
        <f t="shared" si="4"/>
        <v>205617</v>
      </c>
      <c r="M19" s="290">
        <v>0</v>
      </c>
      <c r="N19" s="290">
        <v>48767</v>
      </c>
      <c r="O19" s="290">
        <v>5533</v>
      </c>
      <c r="P19" s="275">
        <f>N19/Production2!N19</f>
        <v>21.147875108412837</v>
      </c>
      <c r="Q19" s="275">
        <f>O19/Production2!Q19</f>
        <v>58.377294787929941</v>
      </c>
      <c r="R19" s="290">
        <v>64850</v>
      </c>
      <c r="S19" s="290">
        <v>2877</v>
      </c>
      <c r="T19" s="276">
        <f>R19/'Daily CEM-1'!AX20</f>
        <v>41.570512820512818</v>
      </c>
      <c r="U19" s="276" t="e">
        <f>S19/'Daily  CEM - 2'!AU20</f>
        <v>#DIV/0!</v>
      </c>
      <c r="V19" s="276">
        <f>F19/Production2!U19</f>
        <v>54.541910331384017</v>
      </c>
      <c r="W19" s="276">
        <f>E19/Production2!Z19</f>
        <v>32.943373493975905</v>
      </c>
      <c r="AA19" s="281">
        <v>17</v>
      </c>
      <c r="AB19" s="281">
        <f>Clinker!EK19</f>
        <v>1660</v>
      </c>
      <c r="AC19" s="281">
        <f>Production2!V19</f>
        <v>254</v>
      </c>
      <c r="AD19" s="282">
        <f>'17'!$Q$51</f>
        <v>5350</v>
      </c>
      <c r="AE19" s="282">
        <f>'17'!$Q$52</f>
        <v>818.61445783132524</v>
      </c>
      <c r="AH19" s="52">
        <f>Production2!V19/Production2!Z19</f>
        <v>0.15301204819277109</v>
      </c>
    </row>
    <row r="20" spans="1:34" x14ac:dyDescent="0.25">
      <c r="A20">
        <v>18</v>
      </c>
      <c r="B20" s="1">
        <v>2675</v>
      </c>
      <c r="C20" s="275">
        <f t="shared" si="1"/>
        <v>65379</v>
      </c>
      <c r="D20" s="275">
        <v>0</v>
      </c>
      <c r="E20" s="1">
        <v>54359</v>
      </c>
      <c r="F20" s="1">
        <v>13261</v>
      </c>
      <c r="G20" s="275">
        <f t="shared" si="0"/>
        <v>54989</v>
      </c>
      <c r="H20" s="1">
        <v>1719</v>
      </c>
      <c r="I20" s="1">
        <v>5549</v>
      </c>
      <c r="J20" s="1">
        <v>4327</v>
      </c>
      <c r="K20">
        <f t="shared" si="4"/>
        <v>202258</v>
      </c>
      <c r="M20" s="290">
        <v>0</v>
      </c>
      <c r="N20" s="290">
        <v>55444</v>
      </c>
      <c r="O20" s="290">
        <v>9935</v>
      </c>
      <c r="P20" s="275">
        <f>N20/Production2!N20</f>
        <v>23.898275862068967</v>
      </c>
      <c r="Q20" s="275">
        <f>O20/Production2!Q20</f>
        <v>49.749624436654983</v>
      </c>
      <c r="R20" s="290">
        <v>52299</v>
      </c>
      <c r="S20" s="290">
        <v>2690</v>
      </c>
      <c r="T20" s="276">
        <f>R20/'Daily CEM-1'!AX21</f>
        <v>41.939855653568564</v>
      </c>
      <c r="U20" s="276" t="e">
        <f>S20/'Daily  CEM - 2'!AU21</f>
        <v>#DIV/0!</v>
      </c>
      <c r="V20" s="276">
        <f>F20/Production2!U20</f>
        <v>56.914163090128753</v>
      </c>
      <c r="W20" s="276">
        <f>E20/Production2!Z20</f>
        <v>35.999337748344374</v>
      </c>
      <c r="AA20" s="281">
        <v>18</v>
      </c>
      <c r="AB20" s="281">
        <f>Clinker!EK20</f>
        <v>1510</v>
      </c>
      <c r="AC20" s="281">
        <f>Production2!V20</f>
        <v>227</v>
      </c>
      <c r="AD20" s="282">
        <f>'18'!$Q$51</f>
        <v>5467</v>
      </c>
      <c r="AE20" s="282">
        <f>'18'!$Q$52</f>
        <v>821.86026490066229</v>
      </c>
      <c r="AH20" s="52">
        <f>Production2!V20/Production2!Z20</f>
        <v>0.15033112582781458</v>
      </c>
    </row>
    <row r="21" spans="1:34" x14ac:dyDescent="0.25">
      <c r="A21">
        <v>19</v>
      </c>
      <c r="B21" s="1">
        <v>2883</v>
      </c>
      <c r="C21" s="275">
        <f t="shared" si="1"/>
        <v>66278</v>
      </c>
      <c r="D21" s="275">
        <v>0</v>
      </c>
      <c r="E21" s="1">
        <v>52178</v>
      </c>
      <c r="F21" s="1">
        <v>12525</v>
      </c>
      <c r="G21" s="275">
        <f t="shared" si="0"/>
        <v>62563</v>
      </c>
      <c r="H21" s="1">
        <v>1768</v>
      </c>
      <c r="I21" s="1">
        <v>5648</v>
      </c>
      <c r="J21" s="1">
        <v>4413</v>
      </c>
      <c r="K21">
        <f t="shared" si="4"/>
        <v>208256</v>
      </c>
      <c r="M21" s="290">
        <v>0</v>
      </c>
      <c r="N21" s="290">
        <v>58376</v>
      </c>
      <c r="O21" s="290">
        <v>7902</v>
      </c>
      <c r="P21" s="275">
        <f>N21/Production2!N21</f>
        <v>21.19680464778504</v>
      </c>
      <c r="Q21" s="275">
        <f>O21/Production2!Q21</f>
        <v>54.234728894989708</v>
      </c>
      <c r="R21" s="290">
        <v>33050</v>
      </c>
      <c r="S21" s="290">
        <v>29513</v>
      </c>
      <c r="T21" s="276">
        <f>R21/'Daily CEM-1'!AX22</f>
        <v>58.495575221238937</v>
      </c>
      <c r="U21" s="276">
        <f>S21/'Daily  CEM - 2'!AU22</f>
        <v>33.922988505747128</v>
      </c>
      <c r="V21" s="276">
        <f>F21/Production2!U21</f>
        <v>47.264150943396224</v>
      </c>
      <c r="W21" s="276">
        <f>E21/Production2!Z21</f>
        <v>30.51345029239766</v>
      </c>
      <c r="AA21" s="281">
        <v>19</v>
      </c>
      <c r="AB21" s="281">
        <f>Clinker!EK21</f>
        <v>1710</v>
      </c>
      <c r="AC21" s="281">
        <f>Production2!V21</f>
        <v>254</v>
      </c>
      <c r="AD21" s="282">
        <f>'19'!$Q$51</f>
        <v>5362</v>
      </c>
      <c r="AE21" s="282">
        <f>'19'!$Q$52</f>
        <v>796.46081871345041</v>
      </c>
      <c r="AH21" s="52">
        <f>Production2!V21/Production2!Z21</f>
        <v>0.14853801169590644</v>
      </c>
    </row>
    <row r="22" spans="1:34" x14ac:dyDescent="0.25">
      <c r="A22">
        <v>20</v>
      </c>
      <c r="B22" s="1">
        <v>3323</v>
      </c>
      <c r="C22" s="275">
        <f t="shared" si="1"/>
        <v>65251</v>
      </c>
      <c r="D22" s="275">
        <v>0</v>
      </c>
      <c r="E22" s="1">
        <v>56746</v>
      </c>
      <c r="F22" s="1">
        <v>13573</v>
      </c>
      <c r="G22" s="275">
        <f t="shared" si="0"/>
        <v>97284</v>
      </c>
      <c r="H22" s="1">
        <v>2160</v>
      </c>
      <c r="I22" s="1">
        <v>6519</v>
      </c>
      <c r="J22" s="1">
        <v>4456</v>
      </c>
      <c r="K22">
        <f t="shared" si="4"/>
        <v>249312</v>
      </c>
      <c r="M22" s="290">
        <v>0</v>
      </c>
      <c r="N22" s="290">
        <v>55839</v>
      </c>
      <c r="O22" s="290">
        <v>9412</v>
      </c>
      <c r="P22" s="275">
        <f>N22/Production2!N22</f>
        <v>21.06337231233497</v>
      </c>
      <c r="Q22" s="275">
        <f>O22/Production2!Q22</f>
        <v>48.071913785177998</v>
      </c>
      <c r="R22" s="290">
        <v>45920</v>
      </c>
      <c r="S22" s="290">
        <v>51364</v>
      </c>
      <c r="T22" s="276">
        <f>R22/'Daily CEM-1'!AX23</f>
        <v>41.369369369369366</v>
      </c>
      <c r="U22" s="276">
        <f>S22/'Daily  CEM - 2'!AU23</f>
        <v>34.611859838274931</v>
      </c>
      <c r="V22" s="276">
        <f>F22/Production2!U22</f>
        <v>48.492318685244733</v>
      </c>
      <c r="W22" s="276">
        <f>E22/Production2!Z22</f>
        <v>31.438227146814405</v>
      </c>
      <c r="AA22" s="281">
        <v>20</v>
      </c>
      <c r="AB22" s="281">
        <f>Clinker!EK22</f>
        <v>1805</v>
      </c>
      <c r="AC22" s="281">
        <f>Production2!V22</f>
        <v>270</v>
      </c>
      <c r="AD22" s="282">
        <f>'20'!Q51</f>
        <v>5400</v>
      </c>
      <c r="AE22" s="282">
        <f>'20'!$Q$52</f>
        <v>807.75623268698052</v>
      </c>
      <c r="AH22" s="52">
        <f>'20'!Q50</f>
        <v>14.958448753462603</v>
      </c>
    </row>
    <row r="23" spans="1:34" x14ac:dyDescent="0.25">
      <c r="A23">
        <v>21</v>
      </c>
      <c r="B23" s="1">
        <v>3802</v>
      </c>
      <c r="C23" s="275">
        <f t="shared" si="1"/>
        <v>63001</v>
      </c>
      <c r="D23" s="275">
        <v>0</v>
      </c>
      <c r="E23" s="1">
        <v>59739</v>
      </c>
      <c r="F23" s="1">
        <v>14230</v>
      </c>
      <c r="G23" s="275">
        <f t="shared" si="0"/>
        <v>113028</v>
      </c>
      <c r="H23" s="1">
        <v>2252</v>
      </c>
      <c r="I23" s="1">
        <v>6118</v>
      </c>
      <c r="J23" s="1">
        <v>4593</v>
      </c>
      <c r="K23">
        <f t="shared" si="4"/>
        <v>266763</v>
      </c>
      <c r="M23" s="290">
        <v>0</v>
      </c>
      <c r="N23" s="290">
        <v>53314</v>
      </c>
      <c r="O23" s="290">
        <v>9687</v>
      </c>
      <c r="P23" s="275">
        <f>N23/Production2!N23</f>
        <v>19.436383521691578</v>
      </c>
      <c r="Q23" s="275">
        <f>O23/Production2!Q23</f>
        <v>43.975848919556924</v>
      </c>
      <c r="R23" s="290">
        <v>62434</v>
      </c>
      <c r="S23" s="290">
        <v>50594</v>
      </c>
      <c r="T23" s="276">
        <f>R23/'Daily CEM-1'!AX24</f>
        <v>44.373845060412222</v>
      </c>
      <c r="U23" s="276">
        <f>S23/'Daily  CEM - 2'!AU24</f>
        <v>35.629577464788731</v>
      </c>
      <c r="V23" s="276">
        <f>F23/Production2!U23</f>
        <v>53.596986817325799</v>
      </c>
      <c r="W23" s="276">
        <f>E23/Production2!Z23</f>
        <v>31.860800000000001</v>
      </c>
      <c r="AA23" s="281">
        <v>21</v>
      </c>
      <c r="AB23" s="281">
        <f>Clinker!EK23</f>
        <v>1875</v>
      </c>
      <c r="AC23" s="281">
        <f>Production2!V23</f>
        <v>276</v>
      </c>
      <c r="AD23" s="282">
        <f>'21'!$Q$51</f>
        <v>5473</v>
      </c>
      <c r="AE23" s="282">
        <f>'21'!Q52</f>
        <v>805.62559999999996</v>
      </c>
      <c r="AH23" s="52" t="e">
        <f>#REF!</f>
        <v>#REF!</v>
      </c>
    </row>
    <row r="24" spans="1:34" x14ac:dyDescent="0.25">
      <c r="A24">
        <v>22</v>
      </c>
      <c r="B24" s="1">
        <v>3898</v>
      </c>
      <c r="C24" s="275">
        <f t="shared" ref="C24:C25" si="5">N24+O24</f>
        <v>50336</v>
      </c>
      <c r="D24" s="275">
        <v>0</v>
      </c>
      <c r="E24" s="1">
        <v>54428</v>
      </c>
      <c r="F24" s="1">
        <v>13117</v>
      </c>
      <c r="G24" s="275">
        <f t="shared" ref="G24:G25" si="6">R24+S24</f>
        <v>87122</v>
      </c>
      <c r="H24" s="1">
        <v>1894</v>
      </c>
      <c r="I24" s="1">
        <v>5851</v>
      </c>
      <c r="J24" s="1">
        <v>4526</v>
      </c>
      <c r="K24">
        <f t="shared" ref="K24" si="7">SUM(B24:J24)</f>
        <v>221172</v>
      </c>
      <c r="M24" s="290">
        <v>0</v>
      </c>
      <c r="N24" s="290">
        <v>44444</v>
      </c>
      <c r="O24" s="290">
        <v>5892</v>
      </c>
      <c r="P24" s="275">
        <f>N24/Production2!N24</f>
        <v>20.518928901200368</v>
      </c>
      <c r="Q24" s="275">
        <f>O24/Production2!Q24</f>
        <v>59.896309850564194</v>
      </c>
      <c r="R24" s="290">
        <v>35179</v>
      </c>
      <c r="S24" s="290">
        <v>51943</v>
      </c>
      <c r="T24" s="276">
        <f>R24/'Daily CEM-1'!AX25</f>
        <v>42.130538922155687</v>
      </c>
      <c r="U24" s="276">
        <f>S24/'Daily  CEM - 2'!AU25</f>
        <v>36.839007092198578</v>
      </c>
      <c r="V24" s="276">
        <f>F24/Production2!U24</f>
        <v>53.538775510204083</v>
      </c>
      <c r="W24" s="276">
        <f>E24/Production2!Z24</f>
        <v>34.231446540880505</v>
      </c>
      <c r="AA24" s="281">
        <v>22</v>
      </c>
      <c r="AB24" s="281">
        <f>Clinker!EK24</f>
        <v>1590</v>
      </c>
      <c r="AC24" s="281">
        <f>Production2!V24</f>
        <v>242</v>
      </c>
      <c r="AD24" s="282">
        <f>'22'!$Q$51</f>
        <v>5490</v>
      </c>
      <c r="AE24" s="282">
        <f>'22'!$Q$52</f>
        <v>835.58490566037722</v>
      </c>
      <c r="AH24" s="52" t="e">
        <f>#REF!</f>
        <v>#REF!</v>
      </c>
    </row>
    <row r="25" spans="1:34" x14ac:dyDescent="0.25">
      <c r="A25">
        <v>23</v>
      </c>
      <c r="B25" s="1">
        <v>3827</v>
      </c>
      <c r="C25" s="275">
        <f t="shared" si="5"/>
        <v>52248</v>
      </c>
      <c r="D25" s="275">
        <v>0</v>
      </c>
      <c r="E25" s="1">
        <v>48151</v>
      </c>
      <c r="F25" s="1">
        <v>12241</v>
      </c>
      <c r="G25" s="275">
        <f t="shared" si="6"/>
        <v>78935</v>
      </c>
      <c r="H25" s="1">
        <v>1783</v>
      </c>
      <c r="I25" s="1">
        <v>6064</v>
      </c>
      <c r="J25" s="1">
        <v>4504</v>
      </c>
      <c r="K25">
        <f>SUM(B25:J25)</f>
        <v>207753</v>
      </c>
      <c r="M25" s="290">
        <v>0</v>
      </c>
      <c r="N25" s="290">
        <v>45769</v>
      </c>
      <c r="O25" s="290">
        <v>6479</v>
      </c>
      <c r="P25" s="275">
        <f>N25/Production2!N25</f>
        <v>21.774024738344433</v>
      </c>
      <c r="Q25" s="275">
        <f>O25/Production2!Q25</f>
        <v>41.762279231661729</v>
      </c>
      <c r="R25" s="290">
        <v>26813</v>
      </c>
      <c r="S25" s="290">
        <v>52122</v>
      </c>
      <c r="T25" s="276">
        <f>R25/'Daily CEM-1'!AX26</f>
        <v>43.177133655394528</v>
      </c>
      <c r="U25" s="276">
        <f>S25/'Daily  CEM - 2'!AU26</f>
        <v>35.602459016393439</v>
      </c>
      <c r="V25" s="276">
        <f>F25/Production2!U25</f>
        <v>58.014218009478675</v>
      </c>
      <c r="W25" s="276">
        <f>E25/Production2!Z25</f>
        <v>35.933582089552239</v>
      </c>
      <c r="AA25" s="281">
        <v>23</v>
      </c>
      <c r="AB25" s="281">
        <f>Clinker!EK25</f>
        <v>1340</v>
      </c>
      <c r="AC25" s="281">
        <f>Production2!V25</f>
        <v>216</v>
      </c>
      <c r="AD25" s="282">
        <f>'23'!$Q$51</f>
        <v>5214</v>
      </c>
      <c r="AE25" s="282">
        <f>'23'!$Q$52</f>
        <v>840.465671641791</v>
      </c>
      <c r="AH25" s="52" t="e">
        <f>#REF!</f>
        <v>#REF!</v>
      </c>
    </row>
    <row r="26" spans="1:34" x14ac:dyDescent="0.25">
      <c r="A26">
        <v>24</v>
      </c>
      <c r="B26" s="1">
        <v>2882</v>
      </c>
      <c r="C26" s="275">
        <f t="shared" si="1"/>
        <v>69421</v>
      </c>
      <c r="D26" s="275">
        <v>0</v>
      </c>
      <c r="E26" s="1">
        <v>58300</v>
      </c>
      <c r="F26" s="1">
        <v>13412</v>
      </c>
      <c r="G26" s="275">
        <f t="shared" si="0"/>
        <v>103600</v>
      </c>
      <c r="H26" s="1">
        <v>2278</v>
      </c>
      <c r="I26" s="1">
        <v>6357</v>
      </c>
      <c r="J26" s="1">
        <v>4410</v>
      </c>
      <c r="K26">
        <f>SUM(B26:J26)</f>
        <v>260660</v>
      </c>
      <c r="M26" s="290">
        <v>0</v>
      </c>
      <c r="N26" s="290">
        <v>63333</v>
      </c>
      <c r="O26" s="290">
        <v>6088</v>
      </c>
      <c r="P26" s="275">
        <f>N26/Production2!N26</f>
        <v>21.91453287197232</v>
      </c>
      <c r="Q26" s="275">
        <f>O26/Production2!Q26</f>
        <v>52.025294821398056</v>
      </c>
      <c r="R26" s="290">
        <v>53192</v>
      </c>
      <c r="S26" s="290">
        <v>50408</v>
      </c>
      <c r="T26" s="276">
        <f>R26/'Daily CEM-1'!AX27</f>
        <v>43.24552845528455</v>
      </c>
      <c r="U26" s="276">
        <f>S26/'Daily  CEM - 2'!AU27</f>
        <v>37.75880149812734</v>
      </c>
      <c r="V26" s="276">
        <f>F26/Production2!U26</f>
        <v>48.770909090909093</v>
      </c>
      <c r="W26" s="276">
        <f>E26/Production2!Z26</f>
        <v>32.245575221238937</v>
      </c>
      <c r="AA26" s="281">
        <v>24</v>
      </c>
      <c r="AB26" s="281">
        <f>Clinker!EK26</f>
        <v>1808</v>
      </c>
      <c r="AC26" s="281">
        <f>Production2!V26</f>
        <v>271</v>
      </c>
      <c r="AD26" s="282">
        <f>'24'!$Q$51</f>
        <v>5380</v>
      </c>
      <c r="AE26" s="282">
        <f>'24'!$Q$52</f>
        <v>806.40486725663709</v>
      </c>
      <c r="AH26" s="52" t="e">
        <f>#REF!</f>
        <v>#REF!</v>
      </c>
    </row>
    <row r="27" spans="1:34" x14ac:dyDescent="0.25">
      <c r="A27">
        <v>25</v>
      </c>
      <c r="B27" s="1">
        <v>2753</v>
      </c>
      <c r="C27" s="275">
        <f t="shared" si="1"/>
        <v>54151</v>
      </c>
      <c r="D27" s="275">
        <v>0</v>
      </c>
      <c r="E27" s="1">
        <v>60474</v>
      </c>
      <c r="F27" s="1">
        <v>13451</v>
      </c>
      <c r="G27" s="275">
        <f t="shared" si="0"/>
        <v>81835</v>
      </c>
      <c r="H27" s="1">
        <v>1993</v>
      </c>
      <c r="I27" s="1">
        <v>5446</v>
      </c>
      <c r="J27" s="1">
        <v>4757</v>
      </c>
      <c r="K27">
        <f t="shared" si="4"/>
        <v>224860</v>
      </c>
      <c r="M27" s="290">
        <v>0</v>
      </c>
      <c r="N27" s="290">
        <v>52233</v>
      </c>
      <c r="O27" s="290">
        <v>1918</v>
      </c>
      <c r="P27" s="275">
        <f>N27/Production2!N27</f>
        <v>21.538937341498112</v>
      </c>
      <c r="Q27" s="275" t="e">
        <f>O27/Production2!Q27</f>
        <v>#DIV/0!</v>
      </c>
      <c r="R27" s="290">
        <v>31446</v>
      </c>
      <c r="S27" s="290">
        <v>50389</v>
      </c>
      <c r="T27" s="276">
        <f>R27/'Daily CEM-1'!AX28</f>
        <v>45.573913043478264</v>
      </c>
      <c r="U27" s="276">
        <f>S27/'Daily  CEM - 2'!AU28</f>
        <v>34.324931880108991</v>
      </c>
      <c r="V27" s="276">
        <f>F27/Production2!U27</f>
        <v>52.44054580896686</v>
      </c>
      <c r="W27" s="276">
        <f>E27/Production2!Z27</f>
        <v>31.996825396825397</v>
      </c>
      <c r="AA27" s="281">
        <v>25</v>
      </c>
      <c r="AB27" s="281">
        <f>Clinker!EK27</f>
        <v>1890</v>
      </c>
      <c r="AC27" s="281">
        <f>Production2!V27</f>
        <v>276</v>
      </c>
      <c r="AD27" s="282">
        <f>'25'!$Q$51</f>
        <v>5384</v>
      </c>
      <c r="AE27" s="282">
        <f>'25'!$Q$52</f>
        <v>786.23492063492074</v>
      </c>
      <c r="AH27" s="52" t="e">
        <f>#REF!</f>
        <v>#REF!</v>
      </c>
    </row>
    <row r="28" spans="1:34" x14ac:dyDescent="0.25">
      <c r="A28">
        <v>26</v>
      </c>
      <c r="B28" s="1">
        <v>1416</v>
      </c>
      <c r="C28" s="275">
        <f t="shared" si="1"/>
        <v>41303</v>
      </c>
      <c r="D28" s="275">
        <v>0</v>
      </c>
      <c r="E28" s="1">
        <v>54629</v>
      </c>
      <c r="F28" s="1">
        <v>12451</v>
      </c>
      <c r="G28" s="275">
        <f t="shared" si="0"/>
        <v>113834</v>
      </c>
      <c r="H28" s="1">
        <v>1987</v>
      </c>
      <c r="I28" s="1">
        <v>5667</v>
      </c>
      <c r="J28" s="1">
        <v>5454</v>
      </c>
      <c r="K28">
        <f t="shared" si="4"/>
        <v>236741</v>
      </c>
      <c r="M28" s="290">
        <v>0</v>
      </c>
      <c r="N28" s="290">
        <v>40284</v>
      </c>
      <c r="O28" s="290">
        <v>1019</v>
      </c>
      <c r="P28" s="275">
        <f>N28/Production2!N28</f>
        <v>23.95162584949075</v>
      </c>
      <c r="Q28" s="275" t="e">
        <f>O28/Production2!Q28</f>
        <v>#DIV/0!</v>
      </c>
      <c r="R28" s="290">
        <v>61432</v>
      </c>
      <c r="S28" s="290">
        <v>52402</v>
      </c>
      <c r="T28" s="276">
        <f>R28/'Daily CEM-1'!AX29</f>
        <v>42.959440559440559</v>
      </c>
      <c r="U28" s="276">
        <f>S28/'Daily  CEM - 2'!AU29</f>
        <v>38.587628865979383</v>
      </c>
      <c r="V28" s="276">
        <f>F28/Production2!U28</f>
        <v>50.613821138211385</v>
      </c>
      <c r="W28" s="276">
        <f>E28/Production2!Z28</f>
        <v>34.729179910998091</v>
      </c>
      <c r="AA28" s="281">
        <v>26</v>
      </c>
      <c r="AB28" s="281">
        <f>Clinker!EK28</f>
        <v>1573</v>
      </c>
      <c r="AC28" s="281">
        <f>Production2!V28</f>
        <v>247</v>
      </c>
      <c r="AD28" s="282">
        <f>'26'!$Q$51</f>
        <v>5378</v>
      </c>
      <c r="AE28" s="282">
        <f>'26'!$Q$52</f>
        <v>844.47933884297527</v>
      </c>
      <c r="AH28" s="52" t="e">
        <f>#REF!</f>
        <v>#REF!</v>
      </c>
    </row>
    <row r="29" spans="1:34" x14ac:dyDescent="0.25">
      <c r="A29">
        <v>27</v>
      </c>
      <c r="B29" s="1">
        <v>1419</v>
      </c>
      <c r="C29" s="275">
        <f t="shared" si="1"/>
        <v>63591</v>
      </c>
      <c r="D29" s="275">
        <v>0</v>
      </c>
      <c r="E29" s="1">
        <v>55127</v>
      </c>
      <c r="F29" s="1">
        <v>11978</v>
      </c>
      <c r="G29" s="275">
        <f t="shared" si="0"/>
        <v>100321</v>
      </c>
      <c r="H29" s="1">
        <v>2097</v>
      </c>
      <c r="I29" s="1">
        <v>6489</v>
      </c>
      <c r="J29" s="1">
        <v>4531</v>
      </c>
      <c r="K29">
        <f>SUM(B29:J29)</f>
        <v>245553</v>
      </c>
      <c r="M29" s="290">
        <v>0</v>
      </c>
      <c r="N29" s="290">
        <v>63356</v>
      </c>
      <c r="O29" s="290">
        <v>235</v>
      </c>
      <c r="P29" s="275">
        <f>N29/Production2!N29</f>
        <v>22.129080481449659</v>
      </c>
      <c r="Q29" s="275" t="e">
        <f>O29/Production2!Q29</f>
        <v>#DIV/0!</v>
      </c>
      <c r="R29" s="290">
        <v>48073</v>
      </c>
      <c r="S29" s="290">
        <v>52248</v>
      </c>
      <c r="T29" s="276">
        <f>R29/'Daily CEM-1'!AX30</f>
        <v>44.51203703703704</v>
      </c>
      <c r="U29" s="276">
        <f>S29/'Daily  CEM - 2'!AU30</f>
        <v>33.927272727272729</v>
      </c>
      <c r="V29" s="276">
        <f>F29/Production2!U29</f>
        <v>45.892720306513411</v>
      </c>
      <c r="W29" s="276">
        <f>E29/Production2!Z29</f>
        <v>33.209036144578313</v>
      </c>
      <c r="AA29" s="281">
        <v>27</v>
      </c>
      <c r="AB29" s="281">
        <f>Clinker!EK29</f>
        <v>1660</v>
      </c>
      <c r="AC29" s="281">
        <f>Production2!V29</f>
        <v>253</v>
      </c>
      <c r="AD29" s="282">
        <f>'27'!$Q$51</f>
        <v>5439</v>
      </c>
      <c r="AE29" s="282">
        <f>'27'!$Q$52</f>
        <v>828.9560240963857</v>
      </c>
      <c r="AH29" s="52" t="e">
        <f>#REF!</f>
        <v>#REF!</v>
      </c>
    </row>
    <row r="30" spans="1:34" x14ac:dyDescent="0.25">
      <c r="A30">
        <v>28</v>
      </c>
      <c r="B30" s="1">
        <v>1898</v>
      </c>
      <c r="C30" s="275">
        <f t="shared" si="1"/>
        <v>66582</v>
      </c>
      <c r="D30" s="275">
        <v>0</v>
      </c>
      <c r="E30" s="1">
        <v>59605</v>
      </c>
      <c r="F30" s="1">
        <v>13574</v>
      </c>
      <c r="G30" s="275">
        <f>R30+S30</f>
        <v>63909</v>
      </c>
      <c r="H30" s="1">
        <v>1897</v>
      </c>
      <c r="I30" s="1">
        <v>6473</v>
      </c>
      <c r="J30" s="1">
        <v>5188</v>
      </c>
      <c r="K30">
        <f>SUM(B30:J30)</f>
        <v>219126</v>
      </c>
      <c r="M30" s="290">
        <v>0</v>
      </c>
      <c r="N30" s="290">
        <v>66514</v>
      </c>
      <c r="O30" s="290">
        <v>68</v>
      </c>
      <c r="P30" s="275">
        <f>N30/Production2!N30</f>
        <v>22.360052173679186</v>
      </c>
      <c r="Q30" s="275" t="e">
        <f>O30/Production2!Q30</f>
        <v>#DIV/0!</v>
      </c>
      <c r="R30" s="290">
        <v>13884</v>
      </c>
      <c r="S30" s="290">
        <v>50025</v>
      </c>
      <c r="T30" s="276">
        <f>R30/'Daily CEM-1'!AX31</f>
        <v>45.372549019607845</v>
      </c>
      <c r="U30" s="276">
        <f>S30/'Daily  CEM - 2'!AU31</f>
        <v>33.664199192462988</v>
      </c>
      <c r="V30" s="276">
        <f>F30/Production2!U30</f>
        <v>50.460966542750931</v>
      </c>
      <c r="W30" s="276">
        <f>E30/Production2!Z30</f>
        <v>32.660273972602738</v>
      </c>
      <c r="AA30" s="281">
        <v>28</v>
      </c>
      <c r="AB30" s="281">
        <f>Clinker!EK30</f>
        <v>1825</v>
      </c>
      <c r="AC30" s="281">
        <f>Production2!V30</f>
        <v>271</v>
      </c>
      <c r="AD30" s="282">
        <f>'28'!$Q$51</f>
        <v>5448</v>
      </c>
      <c r="AE30" s="282">
        <f>'28'!$Q$52</f>
        <v>808.99068493150685</v>
      </c>
      <c r="AH30" s="52" t="e">
        <f>#REF!</f>
        <v>#REF!</v>
      </c>
    </row>
    <row r="31" spans="1:34" x14ac:dyDescent="0.25">
      <c r="A31">
        <v>29</v>
      </c>
      <c r="B31" s="1">
        <v>2320</v>
      </c>
      <c r="C31" s="275">
        <f t="shared" si="1"/>
        <v>52310</v>
      </c>
      <c r="D31" s="275">
        <v>0</v>
      </c>
      <c r="E31" s="1">
        <v>59245</v>
      </c>
      <c r="F31" s="1">
        <v>13410</v>
      </c>
      <c r="G31" s="275">
        <f t="shared" si="0"/>
        <v>89548</v>
      </c>
      <c r="H31" s="1">
        <v>1997</v>
      </c>
      <c r="I31" s="1">
        <v>6184</v>
      </c>
      <c r="J31" s="1">
        <v>4864</v>
      </c>
      <c r="K31">
        <f t="shared" si="4"/>
        <v>229878</v>
      </c>
      <c r="M31" s="290">
        <v>0</v>
      </c>
      <c r="N31" s="290">
        <v>52270</v>
      </c>
      <c r="O31" s="290">
        <v>40</v>
      </c>
      <c r="P31" s="275">
        <f>N31/Production2!N31</f>
        <v>19.707646657391592</v>
      </c>
      <c r="Q31" s="275" t="e">
        <f>O31/Production2!Q31</f>
        <v>#DIV/0!</v>
      </c>
      <c r="R31" s="290">
        <v>52492</v>
      </c>
      <c r="S31" s="290">
        <v>37056</v>
      </c>
      <c r="T31" s="276">
        <f>R31/'Daily CEM-1'!AX32</f>
        <v>42.85061224489796</v>
      </c>
      <c r="U31" s="276">
        <f>S31/'Daily  CEM - 2'!AU32</f>
        <v>37.773700305810401</v>
      </c>
      <c r="V31" s="276">
        <f>F31/Production2!U31</f>
        <v>48.586956521739133</v>
      </c>
      <c r="W31" s="276">
        <f>E31/Production2!Z31</f>
        <v>32.024324324324326</v>
      </c>
      <c r="AA31" s="281">
        <v>29</v>
      </c>
      <c r="AB31" s="281">
        <f>Clinker!EK31</f>
        <v>1850</v>
      </c>
      <c r="AC31" s="281">
        <f>Production2!V31</f>
        <v>273</v>
      </c>
      <c r="AD31" s="282">
        <f>'29'!$Q$51</f>
        <v>5400</v>
      </c>
      <c r="AE31" s="282">
        <f>'29'!$Q$52</f>
        <v>796.86486486486478</v>
      </c>
      <c r="AH31" s="52" t="e">
        <f>#REF!</f>
        <v>#REF!</v>
      </c>
    </row>
    <row r="32" spans="1:34" x14ac:dyDescent="0.25">
      <c r="A32">
        <v>30</v>
      </c>
      <c r="B32" s="1">
        <v>2225</v>
      </c>
      <c r="C32" s="275">
        <f t="shared" si="1"/>
        <v>68190</v>
      </c>
      <c r="D32" s="275">
        <v>0</v>
      </c>
      <c r="E32" s="1">
        <v>57998</v>
      </c>
      <c r="F32" s="1">
        <v>13839</v>
      </c>
      <c r="G32" s="275">
        <f t="shared" si="0"/>
        <v>119512</v>
      </c>
      <c r="H32" s="1">
        <v>2398</v>
      </c>
      <c r="I32" s="1">
        <v>6510</v>
      </c>
      <c r="J32" s="1">
        <v>4666</v>
      </c>
      <c r="K32">
        <f t="shared" si="4"/>
        <v>275338</v>
      </c>
      <c r="M32" s="290">
        <v>0</v>
      </c>
      <c r="N32" s="290">
        <v>68034</v>
      </c>
      <c r="O32" s="290">
        <v>156</v>
      </c>
      <c r="P32" s="275">
        <f>N32/Production2!N32</f>
        <v>21.96061975468044</v>
      </c>
      <c r="Q32" s="275">
        <f>O32/Production2!Q32</f>
        <v>15.234375</v>
      </c>
      <c r="R32" s="290">
        <v>66205</v>
      </c>
      <c r="S32" s="290">
        <v>53307</v>
      </c>
      <c r="T32" s="276">
        <f>R32/'Daily CEM-1'!AX33</f>
        <v>39.407738095238095</v>
      </c>
      <c r="U32" s="276">
        <f>S32/'Daily  CEM - 2'!AU33</f>
        <v>36.411885245901637</v>
      </c>
      <c r="V32" s="276">
        <f>F32/Production2!U32</f>
        <v>49.602150537634408</v>
      </c>
      <c r="W32" s="276">
        <f>E32/Production2!Z32</f>
        <v>30.27035490605428</v>
      </c>
      <c r="AA32" s="281">
        <v>30</v>
      </c>
      <c r="AB32" s="281">
        <f>Clinker!EK32</f>
        <v>1916</v>
      </c>
      <c r="AC32" s="281">
        <f>Production2!V32</f>
        <v>282</v>
      </c>
      <c r="AD32" s="282">
        <f>'30'!$Q$51</f>
        <v>5386</v>
      </c>
      <c r="AE32" s="282">
        <f>'30'!$Q$52</f>
        <v>792.72025052192066</v>
      </c>
      <c r="AH32" s="52" t="e">
        <f>#REF!</f>
        <v>#REF!</v>
      </c>
    </row>
    <row r="33" spans="1:46" x14ac:dyDescent="0.25">
      <c r="A33">
        <v>31</v>
      </c>
      <c r="B33" s="1">
        <v>1535</v>
      </c>
      <c r="C33" s="275">
        <f t="shared" si="1"/>
        <v>73849</v>
      </c>
      <c r="D33" s="275">
        <v>0</v>
      </c>
      <c r="E33" s="1">
        <v>60126</v>
      </c>
      <c r="F33" s="1">
        <v>13573</v>
      </c>
      <c r="G33" s="275">
        <f t="shared" si="0"/>
        <v>116405</v>
      </c>
      <c r="H33" s="1">
        <v>2360</v>
      </c>
      <c r="I33" s="1">
        <v>6176</v>
      </c>
      <c r="J33" s="1">
        <v>5289</v>
      </c>
      <c r="K33">
        <f t="shared" si="4"/>
        <v>279313</v>
      </c>
      <c r="M33" s="290">
        <v>0</v>
      </c>
      <c r="N33" s="290">
        <v>63914</v>
      </c>
      <c r="O33" s="290">
        <v>9935</v>
      </c>
      <c r="P33" s="275">
        <f>N33/Production2!N33</f>
        <v>21.541624536568925</v>
      </c>
      <c r="Q33" s="275">
        <f>O33/Production2!Q33</f>
        <v>52.566137566137563</v>
      </c>
      <c r="R33" s="290">
        <v>65797</v>
      </c>
      <c r="S33" s="290">
        <v>50608</v>
      </c>
      <c r="T33" s="276">
        <f>R33/'Daily CEM-1'!AX34</f>
        <v>39.281791044776121</v>
      </c>
      <c r="U33" s="276">
        <f>S33/'Daily  CEM - 2'!AU34</f>
        <v>34.427210884353741</v>
      </c>
      <c r="V33" s="276">
        <f>F33/Production2!U33</f>
        <v>46.010169491525424</v>
      </c>
      <c r="W33" s="276">
        <f>E33/Production2!Z33</f>
        <v>30.833846153846153</v>
      </c>
      <c r="AA33" s="281">
        <v>31</v>
      </c>
      <c r="AB33" s="281">
        <f>Clinker!EK33</f>
        <v>1950</v>
      </c>
      <c r="AC33" s="281">
        <f>Production2!V33</f>
        <v>286</v>
      </c>
      <c r="AD33" s="282">
        <f>'31'!$Q$51</f>
        <v>5380</v>
      </c>
      <c r="AE33" s="282">
        <f>(AC33/AB33)*AD33</f>
        <v>789.06666666666672</v>
      </c>
      <c r="AH33" s="52" t="e">
        <f>#REF!</f>
        <v>#REF!</v>
      </c>
    </row>
    <row r="34" spans="1:46" x14ac:dyDescent="0.25">
      <c r="A34" s="17" t="s">
        <v>167</v>
      </c>
      <c r="B34" s="17">
        <f>SUM(B3:B33)</f>
        <v>75506</v>
      </c>
      <c r="C34" s="17">
        <f t="shared" ref="C34:K34" si="8">SUM(C3:C33)</f>
        <v>1632744</v>
      </c>
      <c r="D34" s="17"/>
      <c r="E34" s="17">
        <f t="shared" si="8"/>
        <v>1586185</v>
      </c>
      <c r="F34" s="17">
        <f t="shared" si="8"/>
        <v>401917</v>
      </c>
      <c r="G34" s="17">
        <f t="shared" si="8"/>
        <v>2371375</v>
      </c>
      <c r="H34" s="17">
        <f t="shared" si="8"/>
        <v>55225</v>
      </c>
      <c r="I34" s="17">
        <f t="shared" si="8"/>
        <v>180517</v>
      </c>
      <c r="J34" s="17">
        <f t="shared" si="8"/>
        <v>150708</v>
      </c>
      <c r="K34" s="17">
        <f t="shared" si="8"/>
        <v>6454177</v>
      </c>
      <c r="L34" t="s">
        <v>26</v>
      </c>
      <c r="N34" s="17">
        <f>SUM(N3:N33)</f>
        <v>1520691</v>
      </c>
      <c r="O34" s="17">
        <f>SUM(O3:O33)</f>
        <v>112053</v>
      </c>
      <c r="P34" s="17">
        <f>N34/Production2!N34</f>
        <v>22.552664721295642</v>
      </c>
      <c r="Q34">
        <f>O34/Production2!Q34</f>
        <v>58.624135441408832</v>
      </c>
      <c r="R34">
        <f>SUM(R3:R33)</f>
        <v>1218738</v>
      </c>
      <c r="S34">
        <f>SUM(S3:S33)</f>
        <v>1152637</v>
      </c>
      <c r="T34">
        <f>R34/'Daily CEM-1'!AX40</f>
        <v>48.301284083703237</v>
      </c>
      <c r="U34">
        <f>S34/'Daily  CEM - 2'!AU41</f>
        <v>37.495104258156857</v>
      </c>
      <c r="AA34" s="281" t="s">
        <v>150</v>
      </c>
      <c r="AB34" s="281">
        <f>SUM(AB3:AB33)</f>
        <v>45026</v>
      </c>
      <c r="AC34" s="281">
        <f>SUM(AC3:AC33)</f>
        <v>7091</v>
      </c>
      <c r="AD34" s="282">
        <f>AVERAGE(AD3:AD33)</f>
        <v>5236.2258064516127</v>
      </c>
      <c r="AE34" s="282">
        <f>(AC34/AB34)*AD34</f>
        <v>824.63636995399065</v>
      </c>
      <c r="AH34" s="52" t="e">
        <f>AVERAGE(AH3:AH25,AH27:AH33)</f>
        <v>#REF!</v>
      </c>
    </row>
    <row r="36" spans="1:46" x14ac:dyDescent="0.25">
      <c r="A36" t="s">
        <v>168</v>
      </c>
      <c r="B36">
        <f>B34/Production2!D34</f>
        <v>0.82177515885120833</v>
      </c>
      <c r="C36">
        <f>C34/(Production2!N34+Production2!Q34)</f>
        <v>23.546989305712071</v>
      </c>
      <c r="E36">
        <f>E34/Production2!Z34</f>
        <v>35.228201483587263</v>
      </c>
      <c r="F36">
        <f>F34/Production2!U34</f>
        <v>56.664692861875963</v>
      </c>
    </row>
    <row r="37" spans="1:46" x14ac:dyDescent="0.25">
      <c r="A37" t="s">
        <v>169</v>
      </c>
      <c r="B37">
        <f>B36*('31'!J9/'31'!K34)</f>
        <v>1.3349602944745877</v>
      </c>
      <c r="C37">
        <f>C36*1.55</f>
        <v>36.497833423853713</v>
      </c>
      <c r="E37">
        <f>E36</f>
        <v>35.228201483587263</v>
      </c>
      <c r="F37">
        <f>F36*(Production2!V34/Production2!Z34)</f>
        <v>8.9239403252245921</v>
      </c>
      <c r="J37">
        <f>SUM(B37:I37)</f>
        <v>81.984935527140166</v>
      </c>
      <c r="AA37">
        <v>794.94736842105249</v>
      </c>
      <c r="AB37">
        <v>794.94736842105249</v>
      </c>
      <c r="AC37">
        <v>809.3608695652174</v>
      </c>
      <c r="AD37">
        <v>807.18081395348838</v>
      </c>
      <c r="AE37">
        <v>760.84911242603539</v>
      </c>
      <c r="AF37">
        <v>770.6467836257309</v>
      </c>
      <c r="AG37">
        <v>796.54437869822493</v>
      </c>
      <c r="AH37">
        <v>793.07109826589601</v>
      </c>
      <c r="AI37">
        <v>795.79303797468344</v>
      </c>
      <c r="AJ37">
        <v>790.85679012345679</v>
      </c>
      <c r="AK37">
        <v>778.82000000000016</v>
      </c>
      <c r="AL37">
        <v>846.48674698795196</v>
      </c>
      <c r="AM37">
        <v>796.10557184750724</v>
      </c>
      <c r="AN37">
        <v>795.80887573964492</v>
      </c>
      <c r="AO37">
        <v>797.25301204819277</v>
      </c>
      <c r="AP37">
        <v>811.14074074074074</v>
      </c>
      <c r="AQ37">
        <v>798.53333333333342</v>
      </c>
      <c r="AR37">
        <v>794.31345029239776</v>
      </c>
      <c r="AS37">
        <v>792.61954022988505</v>
      </c>
      <c r="AT37">
        <v>793.10399999999993</v>
      </c>
    </row>
    <row r="38" spans="1:46" x14ac:dyDescent="0.25">
      <c r="A38" t="s">
        <v>170</v>
      </c>
      <c r="B38">
        <f>B37*((Clinker!EL34+Clinker!EQ34)/Production2!CG34)</f>
        <v>1.0189087921599982</v>
      </c>
      <c r="C38">
        <f>C37*((Clinker!EL34+Clinker!EQ34)/Production2!CG34)</f>
        <v>27.85698085873932</v>
      </c>
      <c r="E38">
        <f>E37*((Clinker!EL34+Clinker!EQ34)/Production2!CG34)</f>
        <v>26.887933949929351</v>
      </c>
      <c r="F38">
        <f>F37*((Clinker!EL34+Clinker!EQ34)/Production2!CG34)</f>
        <v>6.8111997755417724</v>
      </c>
      <c r="G38">
        <f>G34/Production2!CG34</f>
        <v>41.135425339994448</v>
      </c>
      <c r="H38">
        <f>H34/Production2!CG34</f>
        <v>0.95796905356647244</v>
      </c>
      <c r="I38">
        <f>I34/Production2!CF34</f>
        <v>3.1135973081734662</v>
      </c>
      <c r="J38">
        <f>J34/Production2!CG34</f>
        <v>2.6142797668609492</v>
      </c>
      <c r="K38">
        <f>SUM(B38:J38)</f>
        <v>110.39629484496578</v>
      </c>
      <c r="AA38">
        <v>809.3608695652174</v>
      </c>
    </row>
    <row r="39" spans="1:46" x14ac:dyDescent="0.25">
      <c r="AA39">
        <v>807.18081395348838</v>
      </c>
    </row>
    <row r="40" spans="1:46" x14ac:dyDescent="0.25">
      <c r="AA40">
        <v>760.84911242603539</v>
      </c>
    </row>
    <row r="41" spans="1:46" x14ac:dyDescent="0.25">
      <c r="AA41">
        <v>770.6467836257309</v>
      </c>
    </row>
    <row r="42" spans="1:46" x14ac:dyDescent="0.25">
      <c r="AA42">
        <v>796.54437869822493</v>
      </c>
    </row>
    <row r="43" spans="1:46" x14ac:dyDescent="0.25">
      <c r="AA43">
        <v>793.07109826589601</v>
      </c>
    </row>
    <row r="44" spans="1:46" x14ac:dyDescent="0.25">
      <c r="AA44">
        <v>795.79303797468344</v>
      </c>
    </row>
    <row r="45" spans="1:46" x14ac:dyDescent="0.25">
      <c r="AA45">
        <v>790.85679012345679</v>
      </c>
    </row>
    <row r="46" spans="1:46" x14ac:dyDescent="0.25">
      <c r="AA46">
        <v>778.82000000000016</v>
      </c>
    </row>
    <row r="47" spans="1:46" x14ac:dyDescent="0.25">
      <c r="AA47">
        <v>846.48674698795196</v>
      </c>
    </row>
    <row r="48" spans="1:46" x14ac:dyDescent="0.25">
      <c r="AA48">
        <v>796.10557184750724</v>
      </c>
    </row>
    <row r="49" spans="27:27" x14ac:dyDescent="0.25">
      <c r="AA49">
        <v>795.80887573964492</v>
      </c>
    </row>
    <row r="50" spans="27:27" x14ac:dyDescent="0.25">
      <c r="AA50">
        <v>797.25301204819277</v>
      </c>
    </row>
    <row r="51" spans="27:27" x14ac:dyDescent="0.25">
      <c r="AA51">
        <v>811.14074074074074</v>
      </c>
    </row>
    <row r="52" spans="27:27" x14ac:dyDescent="0.25">
      <c r="AA52">
        <v>798.53333333333342</v>
      </c>
    </row>
    <row r="53" spans="27:27" x14ac:dyDescent="0.25">
      <c r="AA53">
        <v>794.31345029239776</v>
      </c>
    </row>
    <row r="54" spans="27:27" x14ac:dyDescent="0.25">
      <c r="AA54">
        <v>792.61954022988505</v>
      </c>
    </row>
    <row r="55" spans="27:27" x14ac:dyDescent="0.25">
      <c r="AA55">
        <v>793.10399999999993</v>
      </c>
    </row>
  </sheetData>
  <pageMargins left="0.7" right="0.7" top="0.75" bottom="0.75" header="0.3" footer="0.3"/>
  <pageSetup paperSize="11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CE52"/>
  <sheetViews>
    <sheetView topLeftCell="AE1" zoomScale="70" zoomScaleNormal="70" workbookViewId="0">
      <pane ySplit="3" topLeftCell="A4" activePane="bottomLeft" state="frozen"/>
      <selection pane="bottomLeft" activeCell="BA4" sqref="BA4:CE4"/>
    </sheetView>
  </sheetViews>
  <sheetFormatPr defaultRowHeight="15" x14ac:dyDescent="0.25"/>
  <cols>
    <col min="3" max="3" width="9.140625" customWidth="1"/>
    <col min="7" max="7" width="10.7109375" customWidth="1"/>
    <col min="9" max="12" width="12.7109375" customWidth="1"/>
    <col min="13" max="17" width="9.140625" customWidth="1"/>
    <col min="18" max="18" width="17.28515625" bestFit="1" customWidth="1"/>
    <col min="19" max="19" width="14.42578125" bestFit="1" customWidth="1"/>
    <col min="20" max="20" width="17.28515625" bestFit="1" customWidth="1"/>
    <col min="21" max="21" width="14.42578125" bestFit="1" customWidth="1"/>
    <col min="22" max="22" width="22.5703125" customWidth="1"/>
    <col min="23" max="27" width="14.42578125" customWidth="1"/>
    <col min="28" max="28" width="15.7109375" customWidth="1"/>
    <col min="29" max="32" width="16.140625" customWidth="1"/>
    <col min="33" max="33" width="16.7109375" customWidth="1"/>
    <col min="34" max="34" width="12.85546875" customWidth="1"/>
    <col min="35" max="35" width="10.42578125" bestFit="1" customWidth="1"/>
    <col min="36" max="36" width="14.5703125" customWidth="1"/>
    <col min="37" max="37" width="10.140625" bestFit="1" customWidth="1"/>
    <col min="39" max="39" width="13" bestFit="1" customWidth="1"/>
  </cols>
  <sheetData>
    <row r="1" spans="2:83" x14ac:dyDescent="0.25"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2"/>
    </row>
    <row r="2" spans="2:83" x14ac:dyDescent="0.25">
      <c r="B2" s="30" t="s">
        <v>28</v>
      </c>
      <c r="C2" s="661" t="s">
        <v>171</v>
      </c>
      <c r="D2" s="684"/>
      <c r="E2" s="662"/>
      <c r="F2" s="193"/>
      <c r="G2" s="193"/>
      <c r="H2" s="681" t="s">
        <v>100</v>
      </c>
      <c r="I2" s="682"/>
      <c r="J2" s="683"/>
      <c r="K2" s="196"/>
      <c r="L2" s="196"/>
      <c r="M2" s="30" t="s">
        <v>172</v>
      </c>
      <c r="N2" s="30" t="s">
        <v>173</v>
      </c>
      <c r="O2" s="30" t="s">
        <v>174</v>
      </c>
      <c r="P2" s="30" t="s">
        <v>175</v>
      </c>
      <c r="Q2" s="1" t="s">
        <v>301</v>
      </c>
      <c r="R2" s="30" t="s">
        <v>176</v>
      </c>
      <c r="S2" s="30" t="s">
        <v>177</v>
      </c>
      <c r="T2" s="30" t="s">
        <v>178</v>
      </c>
      <c r="U2" s="30" t="s">
        <v>179</v>
      </c>
      <c r="V2" s="30" t="s">
        <v>180</v>
      </c>
      <c r="W2" s="30" t="s">
        <v>181</v>
      </c>
      <c r="X2" s="30" t="s">
        <v>182</v>
      </c>
      <c r="Y2" s="30" t="s">
        <v>183</v>
      </c>
      <c r="Z2" s="30" t="s">
        <v>302</v>
      </c>
      <c r="AA2" s="30" t="s">
        <v>303</v>
      </c>
      <c r="AB2" s="30" t="s">
        <v>184</v>
      </c>
      <c r="AC2" s="30" t="s">
        <v>185</v>
      </c>
      <c r="AD2" s="433" t="s">
        <v>186</v>
      </c>
      <c r="AE2" s="233" t="s">
        <v>187</v>
      </c>
      <c r="AF2" s="233" t="s">
        <v>307</v>
      </c>
      <c r="AG2" t="s">
        <v>188</v>
      </c>
      <c r="AH2" t="s">
        <v>189</v>
      </c>
      <c r="AI2" t="s">
        <v>190</v>
      </c>
      <c r="AJ2" t="s">
        <v>191</v>
      </c>
      <c r="AK2" t="s">
        <v>192</v>
      </c>
      <c r="AL2" t="s">
        <v>193</v>
      </c>
      <c r="AM2" t="s">
        <v>194</v>
      </c>
      <c r="AN2">
        <v>42.5</v>
      </c>
      <c r="AO2">
        <v>32.5</v>
      </c>
      <c r="AP2" t="s">
        <v>195</v>
      </c>
      <c r="AX2" t="s">
        <v>198</v>
      </c>
    </row>
    <row r="3" spans="2:83" x14ac:dyDescent="0.25">
      <c r="B3" s="1" t="s">
        <v>199</v>
      </c>
      <c r="C3" s="1">
        <v>42.5</v>
      </c>
      <c r="D3" s="1">
        <v>32.5</v>
      </c>
      <c r="E3" s="1" t="s">
        <v>195</v>
      </c>
      <c r="F3" s="1" t="s">
        <v>175</v>
      </c>
      <c r="G3" s="1" t="s">
        <v>301</v>
      </c>
      <c r="H3" s="186">
        <v>42.5</v>
      </c>
      <c r="I3" s="186">
        <v>32.5</v>
      </c>
      <c r="J3" s="186" t="s">
        <v>195</v>
      </c>
      <c r="K3" s="186" t="s">
        <v>175</v>
      </c>
      <c r="L3" s="1" t="s">
        <v>301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>
        <f>F4*0.05</f>
        <v>0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2:83" x14ac:dyDescent="0.25"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 t="e">
        <f t="shared" ref="M4" si="0">C4/H4</f>
        <v>#DIV/0!</v>
      </c>
      <c r="N4" s="1" t="e">
        <f t="shared" ref="N4" si="1">D4/I4</f>
        <v>#DIV/0!</v>
      </c>
      <c r="O4" s="1" t="e">
        <f t="shared" ref="O4" si="2">E4/J4</f>
        <v>#DIV/0!</v>
      </c>
      <c r="P4" s="1" t="e">
        <f>F4/K4</f>
        <v>#DIV/0!</v>
      </c>
      <c r="Q4" s="1" t="e">
        <f>G4/L4</f>
        <v>#DIV/0!</v>
      </c>
      <c r="R4" s="1">
        <f>C4*(0.194444444444444*0.9)</f>
        <v>0</v>
      </c>
      <c r="S4" s="1">
        <f>C4*0.05</f>
        <v>0</v>
      </c>
      <c r="T4" s="1">
        <f>D4*(0.288888888888888*0.9)</f>
        <v>0</v>
      </c>
      <c r="U4" s="1">
        <f>D4*0.05</f>
        <v>0</v>
      </c>
      <c r="V4" s="1">
        <f>E4*(0.277777777777777*0.9)</f>
        <v>0</v>
      </c>
      <c r="W4" s="1">
        <f>E4*0.05</f>
        <v>0</v>
      </c>
      <c r="X4" s="1"/>
      <c r="Y4" s="1">
        <f>F5*0.05</f>
        <v>0</v>
      </c>
      <c r="Z4" s="1">
        <f>G4*(0.277777777777777*0.9)</f>
        <v>0</v>
      </c>
      <c r="AA4" s="1">
        <f>G4*0.05</f>
        <v>0</v>
      </c>
      <c r="AB4" s="44">
        <f>C4-R4-S4</f>
        <v>0</v>
      </c>
      <c r="AC4" s="42">
        <f>D4-T4-U4</f>
        <v>0</v>
      </c>
      <c r="AD4" s="42">
        <f>E4-V4-W4</f>
        <v>0</v>
      </c>
      <c r="AE4" s="275">
        <f t="shared" ref="AE4:AE34" si="3">F4-Y4</f>
        <v>0</v>
      </c>
      <c r="AF4" s="275">
        <f t="shared" ref="AF4:AF37" si="4">G4-Z4-AA4</f>
        <v>0</v>
      </c>
      <c r="AG4" s="43">
        <f>AB4+AC4+AD4+AE4+AF4</f>
        <v>0</v>
      </c>
      <c r="AH4" s="42">
        <f t="shared" ref="AH4:AH26" si="5">R4+T4+V4+Z4</f>
        <v>0</v>
      </c>
      <c r="AI4" s="44">
        <f t="shared" ref="AI4:AI35" si="6">S4+U4+W4+Y4+AA4</f>
        <v>0</v>
      </c>
      <c r="AJ4" s="1">
        <v>0</v>
      </c>
      <c r="AK4" s="6">
        <v>0</v>
      </c>
      <c r="AL4" s="45" t="e">
        <f t="shared" ref="AL4:AL24" si="7">AG4/(C4+D4)*100</f>
        <v>#DIV/0!</v>
      </c>
      <c r="AM4" s="44">
        <f>AG4+AH4+AI4</f>
        <v>0</v>
      </c>
      <c r="AN4" t="e">
        <f>(R4)/C4*100</f>
        <v>#DIV/0!</v>
      </c>
      <c r="AO4" t="e">
        <f>(T4)/D4*100</f>
        <v>#DIV/0!</v>
      </c>
      <c r="AP4" t="e">
        <f>Z4/G4</f>
        <v>#DIV/0!</v>
      </c>
      <c r="AS4">
        <f t="shared" ref="AS4:AS33" si="8">C4+D4+E4</f>
        <v>0</v>
      </c>
      <c r="AT4" t="e">
        <f t="shared" ref="AT4:AT29" si="9">AB4/C4</f>
        <v>#DIV/0!</v>
      </c>
      <c r="AU4" t="e">
        <f t="shared" ref="AU4:AU29" si="10">AC4/D4</f>
        <v>#DIV/0!</v>
      </c>
      <c r="AV4" t="e">
        <f t="shared" ref="AV4:AV29" si="11">AD4/E4</f>
        <v>#DIV/0!</v>
      </c>
      <c r="AW4" t="e">
        <f t="shared" ref="AW4:AW29" si="12">AE4/F4</f>
        <v>#DIV/0!</v>
      </c>
      <c r="AX4">
        <f>C4+D4+E4+F4+G4</f>
        <v>0</v>
      </c>
      <c r="AY4">
        <f>AX4+'Daily  CEM - 2'!AU4</f>
        <v>1080</v>
      </c>
      <c r="AZ4">
        <v>1080</v>
      </c>
      <c r="BA4">
        <v>1080</v>
      </c>
      <c r="BB4">
        <v>1168</v>
      </c>
      <c r="BC4">
        <v>250</v>
      </c>
      <c r="BD4" s="268">
        <v>850</v>
      </c>
      <c r="BE4" s="258">
        <v>640</v>
      </c>
      <c r="BF4" s="258">
        <v>1345</v>
      </c>
      <c r="BG4" s="258">
        <v>1085</v>
      </c>
      <c r="BH4" s="258">
        <v>1515</v>
      </c>
      <c r="BI4" s="327">
        <v>2513</v>
      </c>
      <c r="BJ4" s="258">
        <v>1715</v>
      </c>
      <c r="BK4" s="258">
        <v>1622</v>
      </c>
      <c r="BL4" s="258">
        <v>1460</v>
      </c>
      <c r="BM4" s="258">
        <v>1980</v>
      </c>
      <c r="BN4">
        <v>1954</v>
      </c>
      <c r="BO4" s="321">
        <v>1930</v>
      </c>
      <c r="BP4" s="321">
        <v>2130</v>
      </c>
      <c r="BQ4" s="333">
        <v>1560</v>
      </c>
      <c r="BR4" s="344">
        <v>1247</v>
      </c>
      <c r="BS4" s="321">
        <v>1435</v>
      </c>
      <c r="BT4" s="321">
        <v>2594</v>
      </c>
      <c r="BU4" s="404">
        <v>2827</v>
      </c>
      <c r="BV4" s="409">
        <v>2245</v>
      </c>
      <c r="BW4" s="321">
        <v>2085</v>
      </c>
      <c r="BX4" s="321">
        <v>2565</v>
      </c>
      <c r="BY4" s="321">
        <v>2158</v>
      </c>
      <c r="BZ4" s="321">
        <v>2788</v>
      </c>
      <c r="CA4">
        <v>2620</v>
      </c>
      <c r="CB4">
        <v>1792</v>
      </c>
      <c r="CC4">
        <v>2206</v>
      </c>
      <c r="CD4" s="160">
        <v>3144</v>
      </c>
      <c r="CE4">
        <v>3145</v>
      </c>
    </row>
    <row r="5" spans="2:83" ht="13.5" customHeight="1" x14ac:dyDescent="0.25">
      <c r="B5" s="1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e">
        <f t="shared" ref="M5:O6" si="13">C5/H5</f>
        <v>#DIV/0!</v>
      </c>
      <c r="N5" s="1" t="e">
        <f t="shared" si="13"/>
        <v>#DIV/0!</v>
      </c>
      <c r="O5" s="1" t="e">
        <f t="shared" si="13"/>
        <v>#DIV/0!</v>
      </c>
      <c r="P5" s="1" t="e">
        <f t="shared" ref="P5:P35" si="14">F5/K5</f>
        <v>#DIV/0!</v>
      </c>
      <c r="Q5" s="1" t="e">
        <f t="shared" ref="Q5:Q35" si="15">G5/L5</f>
        <v>#DIV/0!</v>
      </c>
      <c r="R5" s="1">
        <f>C5*(0.19679524*0.9)</f>
        <v>0</v>
      </c>
      <c r="S5" s="15">
        <f>C5*0.050086355</f>
        <v>0</v>
      </c>
      <c r="T5" s="1">
        <f>D5*(0.31111111111111*0.9)</f>
        <v>0</v>
      </c>
      <c r="U5" s="1">
        <f>D5*0.05</f>
        <v>0</v>
      </c>
      <c r="V5" s="1">
        <f>E5*(0.2905982909*0.9)</f>
        <v>0</v>
      </c>
      <c r="W5" s="1">
        <f>E5*0.04615384617</f>
        <v>0</v>
      </c>
      <c r="X5" s="1"/>
      <c r="Y5" s="1">
        <f>F6*0.05</f>
        <v>0</v>
      </c>
      <c r="Z5" s="1">
        <f>G5*(0.288800705*0.9)</f>
        <v>0</v>
      </c>
      <c r="AA5" s="1">
        <f t="shared" ref="AA5:AA38" si="16">G5*0.05</f>
        <v>0</v>
      </c>
      <c r="AB5" s="44">
        <f t="shared" ref="AB5:AB40" si="17">C5-R5-S5</f>
        <v>0</v>
      </c>
      <c r="AC5" s="42">
        <f t="shared" ref="AC5:AC40" si="18">D5-T5-U5</f>
        <v>0</v>
      </c>
      <c r="AD5" s="42">
        <f t="shared" ref="AD5:AD40" si="19">E5-V5-W5</f>
        <v>0</v>
      </c>
      <c r="AE5" s="275">
        <f t="shared" si="3"/>
        <v>0</v>
      </c>
      <c r="AF5" s="275">
        <f t="shared" si="4"/>
        <v>0</v>
      </c>
      <c r="AG5" s="43">
        <f t="shared" ref="AG5:AG36" si="20">AB5+AC5+AD5+AE5+AF5</f>
        <v>0</v>
      </c>
      <c r="AH5" s="42">
        <f t="shared" si="5"/>
        <v>0</v>
      </c>
      <c r="AI5" s="44">
        <f t="shared" si="6"/>
        <v>0</v>
      </c>
      <c r="AJ5" s="1">
        <v>0</v>
      </c>
      <c r="AK5" s="6">
        <v>0</v>
      </c>
      <c r="AL5" s="45" t="e">
        <f t="shared" si="7"/>
        <v>#DIV/0!</v>
      </c>
      <c r="AM5" s="44">
        <f t="shared" ref="AM5:AM39" si="21">AG5+AH5+AI5</f>
        <v>0</v>
      </c>
      <c r="AN5" t="e">
        <f t="shared" ref="AN5:AN34" si="22">(R5)/C5*100</f>
        <v>#DIV/0!</v>
      </c>
      <c r="AO5" t="e">
        <f t="shared" ref="AO5:AO34" si="23">(T5)/D5*100</f>
        <v>#DIV/0!</v>
      </c>
      <c r="AP5" t="e">
        <f t="shared" ref="AP5:AP35" si="24">Z5/G5</f>
        <v>#DIV/0!</v>
      </c>
      <c r="AS5">
        <f t="shared" si="8"/>
        <v>0</v>
      </c>
      <c r="AT5" t="e">
        <f t="shared" si="9"/>
        <v>#DIV/0!</v>
      </c>
      <c r="AU5" t="e">
        <f t="shared" si="10"/>
        <v>#DIV/0!</v>
      </c>
      <c r="AV5" t="e">
        <f t="shared" si="11"/>
        <v>#DIV/0!</v>
      </c>
      <c r="AW5" t="e">
        <f t="shared" si="12"/>
        <v>#DIV/0!</v>
      </c>
      <c r="AX5">
        <f t="shared" ref="AX5:AX36" si="25">C5+D5+E5+F5+G5</f>
        <v>0</v>
      </c>
      <c r="AY5">
        <f>AX5+'Daily  CEM - 2'!AU5</f>
        <v>1168</v>
      </c>
      <c r="AZ5">
        <v>1168</v>
      </c>
    </row>
    <row r="6" spans="2:83" x14ac:dyDescent="0.25">
      <c r="B6" s="1">
        <v>3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 t="e">
        <f t="shared" si="13"/>
        <v>#DIV/0!</v>
      </c>
      <c r="N6" s="1" t="e">
        <f t="shared" si="13"/>
        <v>#DIV/0!</v>
      </c>
      <c r="O6" s="1" t="e">
        <f t="shared" si="13"/>
        <v>#DIV/0!</v>
      </c>
      <c r="P6" s="1" t="e">
        <f t="shared" si="14"/>
        <v>#DIV/0!</v>
      </c>
      <c r="Q6" s="1" t="e">
        <f t="shared" si="15"/>
        <v>#DIV/0!</v>
      </c>
      <c r="R6" s="1">
        <f>C6*(0.19315518*0.9)</f>
        <v>0</v>
      </c>
      <c r="S6" s="1">
        <f>C6*0.05042194</f>
        <v>0</v>
      </c>
      <c r="T6" s="1">
        <f>D6*(0.302222222222222*0.9)</f>
        <v>0</v>
      </c>
      <c r="U6" s="1">
        <f>D6*0.05</f>
        <v>0</v>
      </c>
      <c r="V6" s="1">
        <f>E6*(0.2895148677*0.9)</f>
        <v>0</v>
      </c>
      <c r="W6" s="1">
        <f>E6*0.05</f>
        <v>0</v>
      </c>
      <c r="X6" s="1"/>
      <c r="Y6" s="1">
        <f>F7*0.05</f>
        <v>0</v>
      </c>
      <c r="Z6" s="1">
        <f>G6*(0.277777777*0.9)</f>
        <v>0</v>
      </c>
      <c r="AA6" s="1">
        <f t="shared" si="16"/>
        <v>0</v>
      </c>
      <c r="AB6" s="44">
        <f t="shared" si="17"/>
        <v>0</v>
      </c>
      <c r="AC6" s="42">
        <f t="shared" si="18"/>
        <v>0</v>
      </c>
      <c r="AD6" s="42">
        <f t="shared" si="19"/>
        <v>0</v>
      </c>
      <c r="AE6" s="275">
        <f t="shared" si="3"/>
        <v>0</v>
      </c>
      <c r="AF6" s="275">
        <f t="shared" si="4"/>
        <v>0</v>
      </c>
      <c r="AG6" s="43">
        <f t="shared" si="20"/>
        <v>0</v>
      </c>
      <c r="AH6" s="42">
        <f>R6+T6+V6+Z6</f>
        <v>0</v>
      </c>
      <c r="AI6" s="44">
        <f t="shared" si="6"/>
        <v>0</v>
      </c>
      <c r="AJ6" s="1">
        <v>0</v>
      </c>
      <c r="AK6" s="6">
        <v>0</v>
      </c>
      <c r="AL6" s="45" t="e">
        <f t="shared" si="7"/>
        <v>#DIV/0!</v>
      </c>
      <c r="AM6" s="44">
        <f t="shared" si="21"/>
        <v>0</v>
      </c>
      <c r="AN6" t="e">
        <f t="shared" si="22"/>
        <v>#DIV/0!</v>
      </c>
      <c r="AO6" t="e">
        <f t="shared" si="23"/>
        <v>#DIV/0!</v>
      </c>
      <c r="AP6" t="e">
        <f t="shared" si="24"/>
        <v>#DIV/0!</v>
      </c>
      <c r="AS6">
        <f t="shared" si="8"/>
        <v>0</v>
      </c>
      <c r="AT6" t="e">
        <f t="shared" si="9"/>
        <v>#DIV/0!</v>
      </c>
      <c r="AU6" t="e">
        <f t="shared" si="10"/>
        <v>#DIV/0!</v>
      </c>
      <c r="AV6" t="e">
        <f t="shared" si="11"/>
        <v>#DIV/0!</v>
      </c>
      <c r="AW6" t="e">
        <f t="shared" si="12"/>
        <v>#DIV/0!</v>
      </c>
      <c r="AX6">
        <f t="shared" si="25"/>
        <v>0</v>
      </c>
      <c r="AY6">
        <f>AX6+'Daily  CEM - 2'!AU6</f>
        <v>250</v>
      </c>
      <c r="AZ6">
        <v>250</v>
      </c>
    </row>
    <row r="7" spans="2:83" s="268" customFormat="1" x14ac:dyDescent="0.25">
      <c r="B7" s="269">
        <v>4</v>
      </c>
      <c r="C7" s="1">
        <v>850</v>
      </c>
      <c r="D7" s="1">
        <v>0</v>
      </c>
      <c r="E7" s="1">
        <v>0</v>
      </c>
      <c r="F7" s="1">
        <v>0</v>
      </c>
      <c r="G7" s="1">
        <v>0</v>
      </c>
      <c r="H7" s="1">
        <v>13.77</v>
      </c>
      <c r="I7" s="1">
        <v>0</v>
      </c>
      <c r="J7" s="1">
        <v>0</v>
      </c>
      <c r="K7" s="1">
        <v>0</v>
      </c>
      <c r="L7" s="1">
        <v>0</v>
      </c>
      <c r="M7" s="269">
        <f t="shared" ref="M7:M25" si="26">C7/H7</f>
        <v>61.728395061728399</v>
      </c>
      <c r="N7" s="269" t="e">
        <f t="shared" ref="N7:N33" si="27">D7/I7</f>
        <v>#DIV/0!</v>
      </c>
      <c r="O7" s="269" t="e">
        <f t="shared" ref="O7:O34" si="28">E7/J7</f>
        <v>#DIV/0!</v>
      </c>
      <c r="P7" s="1" t="e">
        <f t="shared" si="14"/>
        <v>#DIV/0!</v>
      </c>
      <c r="Q7" s="1" t="e">
        <f t="shared" si="15"/>
        <v>#DIV/0!</v>
      </c>
      <c r="R7" s="269">
        <f>C7*(0.177777777777777*0.9)</f>
        <v>135.9999999999994</v>
      </c>
      <c r="S7" s="269">
        <f>C7*0.05</f>
        <v>42.5</v>
      </c>
      <c r="T7" s="269">
        <f>D7*(0.311111111111111*0.9)</f>
        <v>0</v>
      </c>
      <c r="U7" s="269">
        <f>D7*0.05</f>
        <v>0</v>
      </c>
      <c r="V7" s="269">
        <f>E7*(0.288888888888888*0.9)</f>
        <v>0</v>
      </c>
      <c r="W7" s="269">
        <f>E7*0.05</f>
        <v>0</v>
      </c>
      <c r="X7" s="269"/>
      <c r="Y7" s="319">
        <f t="shared" ref="Y7:Y15" si="29">F7*0.05</f>
        <v>0</v>
      </c>
      <c r="Z7" s="1">
        <f>G7*(0.277777777*0.9)</f>
        <v>0</v>
      </c>
      <c r="AA7" s="1">
        <f>G7*0.042307692</f>
        <v>0</v>
      </c>
      <c r="AB7" s="44">
        <f t="shared" si="17"/>
        <v>671.50000000000057</v>
      </c>
      <c r="AC7" s="42">
        <f t="shared" si="18"/>
        <v>0</v>
      </c>
      <c r="AD7" s="42">
        <f t="shared" si="19"/>
        <v>0</v>
      </c>
      <c r="AE7" s="275">
        <f t="shared" si="3"/>
        <v>0</v>
      </c>
      <c r="AF7" s="275">
        <f t="shared" si="4"/>
        <v>0</v>
      </c>
      <c r="AG7" s="43">
        <f t="shared" si="20"/>
        <v>671.50000000000057</v>
      </c>
      <c r="AH7" s="42">
        <f t="shared" si="5"/>
        <v>135.9999999999994</v>
      </c>
      <c r="AI7" s="44">
        <f>S7+U7+W7+Y7+AA7</f>
        <v>42.5</v>
      </c>
      <c r="AJ7" s="269">
        <v>0</v>
      </c>
      <c r="AK7" s="271">
        <v>0</v>
      </c>
      <c r="AL7" s="272">
        <f t="shared" si="7"/>
        <v>79.000000000000071</v>
      </c>
      <c r="AM7" s="44">
        <f t="shared" si="21"/>
        <v>850</v>
      </c>
      <c r="AN7">
        <f t="shared" si="22"/>
        <v>15.999999999999931</v>
      </c>
      <c r="AO7" t="e">
        <f t="shared" si="23"/>
        <v>#DIV/0!</v>
      </c>
      <c r="AP7" t="e">
        <f t="shared" si="24"/>
        <v>#DIV/0!</v>
      </c>
      <c r="AS7" s="268">
        <f t="shared" si="8"/>
        <v>850</v>
      </c>
      <c r="AT7" s="268">
        <f t="shared" si="9"/>
        <v>0.7900000000000007</v>
      </c>
      <c r="AU7" s="268" t="e">
        <f t="shared" si="10"/>
        <v>#DIV/0!</v>
      </c>
      <c r="AV7" s="268" t="e">
        <f t="shared" si="11"/>
        <v>#DIV/0!</v>
      </c>
      <c r="AW7" s="268" t="e">
        <f t="shared" si="12"/>
        <v>#DIV/0!</v>
      </c>
      <c r="AX7">
        <f t="shared" si="25"/>
        <v>850</v>
      </c>
      <c r="AY7">
        <f>AX7+'Daily  CEM - 2'!AU7</f>
        <v>850</v>
      </c>
      <c r="AZ7" s="268">
        <v>850</v>
      </c>
    </row>
    <row r="8" spans="2:83" s="258" customFormat="1" x14ac:dyDescent="0.25">
      <c r="B8" s="275">
        <v>5</v>
      </c>
      <c r="C8" s="1">
        <v>240</v>
      </c>
      <c r="D8" s="1">
        <v>200</v>
      </c>
      <c r="E8" s="1">
        <v>0</v>
      </c>
      <c r="F8" s="1">
        <v>0</v>
      </c>
      <c r="G8" s="1">
        <v>200</v>
      </c>
      <c r="H8" s="1">
        <v>4.43</v>
      </c>
      <c r="I8" s="1">
        <v>3.6</v>
      </c>
      <c r="J8" s="1">
        <v>0</v>
      </c>
      <c r="K8" s="1">
        <v>0</v>
      </c>
      <c r="L8" s="1">
        <v>3.6</v>
      </c>
      <c r="M8" s="275">
        <f t="shared" si="26"/>
        <v>54.176072234762984</v>
      </c>
      <c r="N8" s="275">
        <f>D8/I8</f>
        <v>55.555555555555557</v>
      </c>
      <c r="O8" s="275" t="e">
        <f t="shared" si="28"/>
        <v>#DIV/0!</v>
      </c>
      <c r="P8" s="1" t="e">
        <f t="shared" si="14"/>
        <v>#DIV/0!</v>
      </c>
      <c r="Q8" s="1">
        <f t="shared" si="15"/>
        <v>55.555555555555557</v>
      </c>
      <c r="R8" s="276">
        <f>C8*(0.177777777777777*0.9)</f>
        <v>38.399999999999835</v>
      </c>
      <c r="S8" s="276">
        <f>C8*0.05</f>
        <v>12</v>
      </c>
      <c r="T8" s="275">
        <f>D8*(0.3*0.9)</f>
        <v>54</v>
      </c>
      <c r="U8" s="275">
        <f>D8*0.05</f>
        <v>10</v>
      </c>
      <c r="V8" s="275">
        <f>E8*(0.288888888888888*0.9)</f>
        <v>0</v>
      </c>
      <c r="W8" s="275">
        <f>E8*0.05</f>
        <v>0</v>
      </c>
      <c r="X8" s="275"/>
      <c r="Y8" s="319">
        <f t="shared" si="29"/>
        <v>0</v>
      </c>
      <c r="Z8" s="1">
        <f>G8*(0.288888888888888*0.9)</f>
        <v>51.999999999999837</v>
      </c>
      <c r="AA8" s="1">
        <f>G8*0.05</f>
        <v>10</v>
      </c>
      <c r="AB8" s="44">
        <f t="shared" si="17"/>
        <v>189.60000000000016</v>
      </c>
      <c r="AC8" s="42">
        <f t="shared" si="18"/>
        <v>136</v>
      </c>
      <c r="AD8" s="42">
        <f t="shared" si="19"/>
        <v>0</v>
      </c>
      <c r="AE8" s="275">
        <f t="shared" si="3"/>
        <v>0</v>
      </c>
      <c r="AF8" s="275">
        <f t="shared" si="4"/>
        <v>138.00000000000017</v>
      </c>
      <c r="AG8" s="43">
        <f t="shared" si="20"/>
        <v>463.60000000000031</v>
      </c>
      <c r="AH8" s="42">
        <f t="shared" si="5"/>
        <v>144.39999999999966</v>
      </c>
      <c r="AI8" s="44">
        <f t="shared" si="6"/>
        <v>32</v>
      </c>
      <c r="AJ8" s="275">
        <v>0</v>
      </c>
      <c r="AK8" s="277">
        <v>0</v>
      </c>
      <c r="AL8" s="278">
        <f t="shared" si="7"/>
        <v>105.36363636363643</v>
      </c>
      <c r="AM8" s="44">
        <f t="shared" si="21"/>
        <v>640</v>
      </c>
      <c r="AN8">
        <f t="shared" si="22"/>
        <v>15.999999999999931</v>
      </c>
      <c r="AO8">
        <f t="shared" si="23"/>
        <v>27</v>
      </c>
      <c r="AP8">
        <f t="shared" si="24"/>
        <v>0.25999999999999918</v>
      </c>
      <c r="AS8" s="258">
        <f t="shared" si="8"/>
        <v>440</v>
      </c>
      <c r="AT8" s="258">
        <f t="shared" si="9"/>
        <v>0.7900000000000007</v>
      </c>
      <c r="AU8" s="258">
        <f t="shared" si="10"/>
        <v>0.68</v>
      </c>
      <c r="AV8" s="258" t="e">
        <f t="shared" si="11"/>
        <v>#DIV/0!</v>
      </c>
      <c r="AW8" s="258" t="e">
        <f t="shared" si="12"/>
        <v>#DIV/0!</v>
      </c>
      <c r="AX8">
        <f t="shared" si="25"/>
        <v>640</v>
      </c>
      <c r="AY8">
        <f>AX8+'Daily  CEM - 2'!AU8</f>
        <v>640</v>
      </c>
      <c r="AZ8" s="258">
        <v>640</v>
      </c>
    </row>
    <row r="9" spans="2:83" s="258" customFormat="1" ht="15.75" customHeight="1" x14ac:dyDescent="0.25">
      <c r="B9" s="275">
        <v>6</v>
      </c>
      <c r="C9" s="1">
        <v>930</v>
      </c>
      <c r="D9" s="1">
        <v>0</v>
      </c>
      <c r="E9" s="1">
        <v>0</v>
      </c>
      <c r="F9" s="1">
        <v>0</v>
      </c>
      <c r="G9" s="1">
        <v>415</v>
      </c>
      <c r="H9" s="1">
        <v>16.32</v>
      </c>
      <c r="I9" s="1">
        <v>0</v>
      </c>
      <c r="J9" s="1">
        <v>0</v>
      </c>
      <c r="K9" s="1">
        <v>0</v>
      </c>
      <c r="L9" s="1">
        <v>7.2</v>
      </c>
      <c r="M9" s="275">
        <f t="shared" si="26"/>
        <v>56.985294117647058</v>
      </c>
      <c r="N9" s="275" t="e">
        <f t="shared" si="27"/>
        <v>#DIV/0!</v>
      </c>
      <c r="O9" s="275" t="e">
        <f t="shared" si="28"/>
        <v>#DIV/0!</v>
      </c>
      <c r="P9" s="1" t="e">
        <f t="shared" si="14"/>
        <v>#DIV/0!</v>
      </c>
      <c r="Q9" s="1">
        <f t="shared" si="15"/>
        <v>57.638888888888886</v>
      </c>
      <c r="R9" s="275">
        <f>C9*(0.178888888888888*0.9)</f>
        <v>149.72999999999925</v>
      </c>
      <c r="S9" s="275">
        <f>C9*0.05</f>
        <v>46.5</v>
      </c>
      <c r="T9" s="275">
        <f>D9*(0.3*0.9)</f>
        <v>0</v>
      </c>
      <c r="U9" s="275">
        <f t="shared" ref="U9:U15" si="30">D9*0.05</f>
        <v>0</v>
      </c>
      <c r="V9" s="275">
        <f>E9*(0.254728304*0.9)</f>
        <v>0</v>
      </c>
      <c r="W9" s="275">
        <f>E9*0.051386861</f>
        <v>0</v>
      </c>
      <c r="X9" s="275"/>
      <c r="Y9" s="319">
        <f t="shared" si="29"/>
        <v>0</v>
      </c>
      <c r="Z9" s="1">
        <f>G9*(0.266666666666666*0.9)</f>
        <v>99.599999999999753</v>
      </c>
      <c r="AA9" s="1">
        <f t="shared" si="16"/>
        <v>20.75</v>
      </c>
      <c r="AB9" s="44">
        <f t="shared" si="17"/>
        <v>733.77000000000078</v>
      </c>
      <c r="AC9" s="42">
        <f t="shared" si="18"/>
        <v>0</v>
      </c>
      <c r="AD9" s="42">
        <f t="shared" si="19"/>
        <v>0</v>
      </c>
      <c r="AE9" s="275">
        <f t="shared" si="3"/>
        <v>0</v>
      </c>
      <c r="AF9" s="275">
        <f t="shared" si="4"/>
        <v>294.65000000000026</v>
      </c>
      <c r="AG9" s="43">
        <f t="shared" si="20"/>
        <v>1028.420000000001</v>
      </c>
      <c r="AH9" s="42">
        <f t="shared" si="5"/>
        <v>249.32999999999902</v>
      </c>
      <c r="AI9" s="44">
        <f t="shared" si="6"/>
        <v>67.25</v>
      </c>
      <c r="AJ9" s="275">
        <v>0</v>
      </c>
      <c r="AK9" s="277">
        <v>0</v>
      </c>
      <c r="AL9" s="278">
        <f t="shared" si="7"/>
        <v>110.58279569892484</v>
      </c>
      <c r="AM9" s="44">
        <f t="shared" si="21"/>
        <v>1345</v>
      </c>
      <c r="AN9">
        <f t="shared" si="22"/>
        <v>16.09999999999992</v>
      </c>
      <c r="AO9" t="e">
        <f t="shared" si="23"/>
        <v>#DIV/0!</v>
      </c>
      <c r="AP9">
        <f t="shared" si="24"/>
        <v>0.23999999999999941</v>
      </c>
      <c r="AS9" s="258">
        <f t="shared" si="8"/>
        <v>930</v>
      </c>
      <c r="AT9" s="258">
        <f t="shared" si="9"/>
        <v>0.78900000000000081</v>
      </c>
      <c r="AU9" s="258" t="e">
        <f t="shared" si="10"/>
        <v>#DIV/0!</v>
      </c>
      <c r="AV9" s="258" t="e">
        <f t="shared" si="11"/>
        <v>#DIV/0!</v>
      </c>
      <c r="AW9" s="258" t="e">
        <f t="shared" si="12"/>
        <v>#DIV/0!</v>
      </c>
      <c r="AX9">
        <f t="shared" si="25"/>
        <v>1345</v>
      </c>
      <c r="AY9">
        <f>AX9+'Daily  CEM - 2'!AU9</f>
        <v>1345</v>
      </c>
      <c r="AZ9" s="258">
        <v>1345</v>
      </c>
    </row>
    <row r="10" spans="2:83" s="258" customFormat="1" x14ac:dyDescent="0.25">
      <c r="B10" s="275">
        <v>7</v>
      </c>
      <c r="C10" s="1">
        <v>225</v>
      </c>
      <c r="D10" s="1">
        <v>0</v>
      </c>
      <c r="E10" s="1">
        <v>0</v>
      </c>
      <c r="F10" s="1">
        <v>0</v>
      </c>
      <c r="G10" s="1">
        <v>0</v>
      </c>
      <c r="H10" s="1">
        <v>4.17</v>
      </c>
      <c r="I10" s="1">
        <v>0</v>
      </c>
      <c r="J10" s="1">
        <v>0</v>
      </c>
      <c r="K10" s="1">
        <v>0</v>
      </c>
      <c r="L10" s="1">
        <v>0</v>
      </c>
      <c r="M10" s="275">
        <f t="shared" si="26"/>
        <v>53.956834532374103</v>
      </c>
      <c r="N10" s="275" t="e">
        <f t="shared" si="27"/>
        <v>#DIV/0!</v>
      </c>
      <c r="O10" s="275" t="e">
        <f t="shared" si="28"/>
        <v>#DIV/0!</v>
      </c>
      <c r="P10" s="1" t="e">
        <f t="shared" si="14"/>
        <v>#DIV/0!</v>
      </c>
      <c r="Q10" s="1" t="e">
        <f t="shared" si="15"/>
        <v>#DIV/0!</v>
      </c>
      <c r="R10" s="275">
        <f>C10*(0.188888888888888*0.9)</f>
        <v>38.249999999999822</v>
      </c>
      <c r="S10" s="275">
        <f>C10*0.05</f>
        <v>11.25</v>
      </c>
      <c r="T10" s="275">
        <f>D10*(0.311111111111111*0.9)</f>
        <v>0</v>
      </c>
      <c r="U10" s="275">
        <f t="shared" si="30"/>
        <v>0</v>
      </c>
      <c r="V10" s="275">
        <f>E10*(0.288888888888888*0.9)</f>
        <v>0</v>
      </c>
      <c r="W10" s="275">
        <f>E10*0.05</f>
        <v>0</v>
      </c>
      <c r="X10" s="275"/>
      <c r="Y10" s="275">
        <f t="shared" si="29"/>
        <v>0</v>
      </c>
      <c r="Z10" s="1">
        <f t="shared" ref="Z10:Z38" si="31">G10*(0.288800705*0.9)</f>
        <v>0</v>
      </c>
      <c r="AA10" s="1">
        <f t="shared" si="16"/>
        <v>0</v>
      </c>
      <c r="AB10" s="44">
        <f t="shared" si="17"/>
        <v>175.50000000000017</v>
      </c>
      <c r="AC10" s="42">
        <f t="shared" si="18"/>
        <v>0</v>
      </c>
      <c r="AD10" s="42">
        <f t="shared" si="19"/>
        <v>0</v>
      </c>
      <c r="AE10" s="275">
        <f t="shared" si="3"/>
        <v>0</v>
      </c>
      <c r="AF10" s="275">
        <f t="shared" si="4"/>
        <v>0</v>
      </c>
      <c r="AG10" s="43">
        <f t="shared" si="20"/>
        <v>175.50000000000017</v>
      </c>
      <c r="AH10" s="42">
        <f t="shared" si="5"/>
        <v>38.249999999999822</v>
      </c>
      <c r="AI10" s="44">
        <f t="shared" si="6"/>
        <v>11.25</v>
      </c>
      <c r="AJ10" s="275">
        <v>0</v>
      </c>
      <c r="AK10" s="277">
        <v>0</v>
      </c>
      <c r="AL10" s="278">
        <f t="shared" si="7"/>
        <v>78.000000000000085</v>
      </c>
      <c r="AM10" s="44">
        <f t="shared" si="21"/>
        <v>225</v>
      </c>
      <c r="AN10">
        <f t="shared" si="22"/>
        <v>16.999999999999922</v>
      </c>
      <c r="AO10" t="e">
        <f t="shared" si="23"/>
        <v>#DIV/0!</v>
      </c>
      <c r="AP10" t="e">
        <f t="shared" si="24"/>
        <v>#DIV/0!</v>
      </c>
      <c r="AS10" s="258">
        <f t="shared" si="8"/>
        <v>225</v>
      </c>
      <c r="AT10" s="258">
        <f t="shared" si="9"/>
        <v>0.7800000000000008</v>
      </c>
      <c r="AU10" s="258" t="e">
        <f t="shared" si="10"/>
        <v>#DIV/0!</v>
      </c>
      <c r="AV10" s="258" t="e">
        <f t="shared" si="11"/>
        <v>#DIV/0!</v>
      </c>
      <c r="AW10" s="258" t="e">
        <f t="shared" si="12"/>
        <v>#DIV/0!</v>
      </c>
      <c r="AX10">
        <f t="shared" si="25"/>
        <v>225</v>
      </c>
      <c r="AY10">
        <f>AX10+'Daily  CEM - 2'!AU10</f>
        <v>1085</v>
      </c>
      <c r="AZ10" s="258">
        <v>1085</v>
      </c>
    </row>
    <row r="11" spans="2:83" s="258" customFormat="1" x14ac:dyDescent="0.25">
      <c r="B11" s="275">
        <v>8</v>
      </c>
      <c r="C11" s="1">
        <v>80</v>
      </c>
      <c r="D11" s="1">
        <v>0</v>
      </c>
      <c r="E11" s="1">
        <v>0</v>
      </c>
      <c r="F11" s="1">
        <v>0</v>
      </c>
      <c r="G11" s="1">
        <v>0</v>
      </c>
      <c r="H11" s="1">
        <v>1.4</v>
      </c>
      <c r="I11" s="1">
        <v>0</v>
      </c>
      <c r="J11" s="1">
        <v>0</v>
      </c>
      <c r="K11" s="1">
        <v>0</v>
      </c>
      <c r="L11" s="1">
        <v>0</v>
      </c>
      <c r="M11" s="275">
        <f t="shared" si="26"/>
        <v>57.142857142857146</v>
      </c>
      <c r="N11" s="275" t="e">
        <f t="shared" si="27"/>
        <v>#DIV/0!</v>
      </c>
      <c r="O11" s="275" t="e">
        <f t="shared" si="28"/>
        <v>#DIV/0!</v>
      </c>
      <c r="P11" s="1" t="e">
        <f t="shared" si="14"/>
        <v>#DIV/0!</v>
      </c>
      <c r="Q11" s="1" t="e">
        <f t="shared" si="15"/>
        <v>#DIV/0!</v>
      </c>
      <c r="R11" s="275">
        <f>C11*(0.199875*0.9)</f>
        <v>14.391</v>
      </c>
      <c r="S11" s="275">
        <f>C11*0.0501125</f>
        <v>4.0089999999999995</v>
      </c>
      <c r="T11" s="275">
        <f>D11*(0.3*0.9)</f>
        <v>0</v>
      </c>
      <c r="U11" s="275">
        <f t="shared" si="30"/>
        <v>0</v>
      </c>
      <c r="V11" s="275">
        <f>E11*(0.257309944*0.9)</f>
        <v>0</v>
      </c>
      <c r="W11" s="275">
        <f>E11*0.052631579</f>
        <v>0</v>
      </c>
      <c r="X11" s="275"/>
      <c r="Y11" s="275">
        <f t="shared" si="29"/>
        <v>0</v>
      </c>
      <c r="Z11" s="1">
        <f>G11*(0.3*0.9)</f>
        <v>0</v>
      </c>
      <c r="AA11" s="1">
        <f t="shared" si="16"/>
        <v>0</v>
      </c>
      <c r="AB11" s="44">
        <f t="shared" si="17"/>
        <v>61.599999999999994</v>
      </c>
      <c r="AC11" s="42">
        <f t="shared" si="18"/>
        <v>0</v>
      </c>
      <c r="AD11" s="42">
        <f t="shared" si="19"/>
        <v>0</v>
      </c>
      <c r="AE11" s="275">
        <f t="shared" si="3"/>
        <v>0</v>
      </c>
      <c r="AF11" s="275">
        <f t="shared" si="4"/>
        <v>0</v>
      </c>
      <c r="AG11" s="43">
        <f t="shared" si="20"/>
        <v>61.599999999999994</v>
      </c>
      <c r="AH11" s="42">
        <f t="shared" si="5"/>
        <v>14.391</v>
      </c>
      <c r="AI11" s="618">
        <f t="shared" si="6"/>
        <v>4.0089999999999995</v>
      </c>
      <c r="AJ11" s="275">
        <v>0</v>
      </c>
      <c r="AK11" s="277">
        <v>0</v>
      </c>
      <c r="AL11" s="278">
        <f t="shared" si="7"/>
        <v>76.999999999999986</v>
      </c>
      <c r="AM11" s="44">
        <f t="shared" si="21"/>
        <v>80</v>
      </c>
      <c r="AN11">
        <f t="shared" si="22"/>
        <v>17.98875</v>
      </c>
      <c r="AO11" t="e">
        <f t="shared" si="23"/>
        <v>#DIV/0!</v>
      </c>
      <c r="AP11" t="e">
        <f t="shared" si="24"/>
        <v>#DIV/0!</v>
      </c>
      <c r="AS11" s="258">
        <f t="shared" si="8"/>
        <v>80</v>
      </c>
      <c r="AT11" s="258">
        <f t="shared" si="9"/>
        <v>0.76999999999999991</v>
      </c>
      <c r="AU11" s="258" t="e">
        <f t="shared" si="10"/>
        <v>#DIV/0!</v>
      </c>
      <c r="AV11" s="258" t="e">
        <f t="shared" si="11"/>
        <v>#DIV/0!</v>
      </c>
      <c r="AW11" s="258" t="e">
        <f t="shared" si="12"/>
        <v>#DIV/0!</v>
      </c>
      <c r="AX11">
        <f t="shared" si="25"/>
        <v>80</v>
      </c>
      <c r="AY11">
        <f>AX11+'Daily  CEM - 2'!AU11</f>
        <v>1515</v>
      </c>
      <c r="AZ11" s="258">
        <v>1515</v>
      </c>
    </row>
    <row r="12" spans="2:83" s="327" customFormat="1" x14ac:dyDescent="0.25">
      <c r="B12" s="324">
        <v>9</v>
      </c>
      <c r="C12" s="1">
        <v>1092</v>
      </c>
      <c r="D12" s="1">
        <v>0</v>
      </c>
      <c r="E12" s="1">
        <v>0</v>
      </c>
      <c r="F12" s="1">
        <v>180</v>
      </c>
      <c r="G12" s="1">
        <v>0</v>
      </c>
      <c r="H12" s="1">
        <v>15.93</v>
      </c>
      <c r="I12" s="1">
        <v>0</v>
      </c>
      <c r="J12" s="1">
        <v>0</v>
      </c>
      <c r="K12" s="1">
        <v>3</v>
      </c>
      <c r="L12" s="1">
        <v>0</v>
      </c>
      <c r="M12" s="324">
        <f t="shared" si="26"/>
        <v>68.549905838041425</v>
      </c>
      <c r="N12" s="324" t="e">
        <f t="shared" si="27"/>
        <v>#DIV/0!</v>
      </c>
      <c r="O12" s="324" t="e">
        <f t="shared" si="28"/>
        <v>#DIV/0!</v>
      </c>
      <c r="P12" s="322">
        <f t="shared" si="14"/>
        <v>60</v>
      </c>
      <c r="Q12" s="1" t="e">
        <f t="shared" si="15"/>
        <v>#DIV/0!</v>
      </c>
      <c r="R12" s="324">
        <f>C12*(0.211117216*0.9)</f>
        <v>207.48599988480001</v>
      </c>
      <c r="S12" s="324">
        <f>C12*0.049996337</f>
        <v>54.596000004000004</v>
      </c>
      <c r="T12" s="324">
        <f>D12*(0.3099415205*0.9)</f>
        <v>0</v>
      </c>
      <c r="U12" s="324">
        <f>D12*0.052631579</f>
        <v>0</v>
      </c>
      <c r="V12" s="324">
        <f>E12*(0.3003003*0.9)</f>
        <v>0</v>
      </c>
      <c r="W12" s="324">
        <f>E12*0.081081081</f>
        <v>0</v>
      </c>
      <c r="X12" s="324"/>
      <c r="Y12" s="324">
        <f t="shared" si="29"/>
        <v>9</v>
      </c>
      <c r="Z12" s="1">
        <f t="shared" si="31"/>
        <v>0</v>
      </c>
      <c r="AA12" s="1">
        <f t="shared" si="16"/>
        <v>0</v>
      </c>
      <c r="AB12" s="44">
        <f t="shared" si="17"/>
        <v>829.91800011120006</v>
      </c>
      <c r="AC12" s="42">
        <f t="shared" si="18"/>
        <v>0</v>
      </c>
      <c r="AD12" s="42">
        <f t="shared" si="19"/>
        <v>0</v>
      </c>
      <c r="AE12" s="324">
        <f t="shared" si="3"/>
        <v>171</v>
      </c>
      <c r="AF12" s="275">
        <f t="shared" si="4"/>
        <v>0</v>
      </c>
      <c r="AG12" s="618">
        <f t="shared" si="20"/>
        <v>1000.9180001112001</v>
      </c>
      <c r="AH12" s="42">
        <f t="shared" si="5"/>
        <v>207.48599988480001</v>
      </c>
      <c r="AI12" s="618">
        <f t="shared" si="6"/>
        <v>63.596000004000004</v>
      </c>
      <c r="AJ12" s="324">
        <v>0</v>
      </c>
      <c r="AK12" s="328">
        <v>0</v>
      </c>
      <c r="AL12" s="329">
        <f t="shared" si="7"/>
        <v>91.659157519340667</v>
      </c>
      <c r="AM12" s="44">
        <f t="shared" si="21"/>
        <v>1272</v>
      </c>
      <c r="AN12">
        <f t="shared" si="22"/>
        <v>19.00054944</v>
      </c>
      <c r="AO12" t="e">
        <f t="shared" si="23"/>
        <v>#DIV/0!</v>
      </c>
      <c r="AP12" t="e">
        <f t="shared" si="24"/>
        <v>#DIV/0!</v>
      </c>
      <c r="AS12" s="327">
        <f t="shared" si="8"/>
        <v>1092</v>
      </c>
      <c r="AT12" s="327">
        <f t="shared" si="9"/>
        <v>0.75999816860000002</v>
      </c>
      <c r="AU12" s="327" t="e">
        <f t="shared" si="10"/>
        <v>#DIV/0!</v>
      </c>
      <c r="AV12" s="327" t="e">
        <f t="shared" si="11"/>
        <v>#DIV/0!</v>
      </c>
      <c r="AW12" s="327">
        <f t="shared" si="12"/>
        <v>0.95</v>
      </c>
      <c r="AX12">
        <f t="shared" si="25"/>
        <v>1272</v>
      </c>
      <c r="AY12">
        <f>AX12+'Daily  CEM - 2'!AU12</f>
        <v>2513</v>
      </c>
      <c r="AZ12" s="327">
        <v>2513</v>
      </c>
    </row>
    <row r="13" spans="2:83" s="258" customFormat="1" x14ac:dyDescent="0.25">
      <c r="B13" s="275">
        <v>10</v>
      </c>
      <c r="C13" s="1">
        <v>285</v>
      </c>
      <c r="D13" s="1">
        <v>200</v>
      </c>
      <c r="E13" s="1">
        <v>0</v>
      </c>
      <c r="F13" s="1">
        <v>0</v>
      </c>
      <c r="G13" s="1">
        <v>300</v>
      </c>
      <c r="H13" s="1">
        <v>4.63</v>
      </c>
      <c r="I13" s="1">
        <v>3.2</v>
      </c>
      <c r="J13" s="1">
        <v>0</v>
      </c>
      <c r="K13" s="1">
        <v>0</v>
      </c>
      <c r="L13" s="1">
        <v>4.8</v>
      </c>
      <c r="M13" s="275">
        <f t="shared" si="26"/>
        <v>61.555075593952488</v>
      </c>
      <c r="N13" s="275">
        <f t="shared" si="27"/>
        <v>62.5</v>
      </c>
      <c r="O13" s="275" t="e">
        <f>E13/J13</f>
        <v>#DIV/0!</v>
      </c>
      <c r="P13" s="1" t="e">
        <f t="shared" si="14"/>
        <v>#DIV/0!</v>
      </c>
      <c r="Q13" s="1">
        <f t="shared" si="15"/>
        <v>62.5</v>
      </c>
      <c r="R13" s="275">
        <f>C13*(0.177777777777777*0.9)</f>
        <v>45.599999999999802</v>
      </c>
      <c r="S13" s="275">
        <f t="shared" ref="S13:S14" si="32">C13*0.05</f>
        <v>14.25</v>
      </c>
      <c r="T13" s="275">
        <f>D13*(0.288888888888888*0.9)</f>
        <v>51.999999999999837</v>
      </c>
      <c r="U13" s="275">
        <f t="shared" si="30"/>
        <v>10</v>
      </c>
      <c r="V13" s="275">
        <f>E13*(0.222222222222222*0.9)</f>
        <v>0</v>
      </c>
      <c r="W13" s="275">
        <f>E13*0.05</f>
        <v>0</v>
      </c>
      <c r="X13" s="275"/>
      <c r="Y13" s="275">
        <f t="shared" si="29"/>
        <v>0</v>
      </c>
      <c r="Z13" s="1">
        <f>G13*(0.277777777777777*0.9)</f>
        <v>74.999999999999787</v>
      </c>
      <c r="AA13" s="1">
        <f t="shared" si="16"/>
        <v>15</v>
      </c>
      <c r="AB13" s="44">
        <f t="shared" si="17"/>
        <v>225.1500000000002</v>
      </c>
      <c r="AC13" s="42">
        <f t="shared" si="18"/>
        <v>138.00000000000017</v>
      </c>
      <c r="AD13" s="42">
        <f t="shared" si="19"/>
        <v>0</v>
      </c>
      <c r="AE13" s="275">
        <f t="shared" si="3"/>
        <v>0</v>
      </c>
      <c r="AF13" s="275">
        <f t="shared" si="4"/>
        <v>210.00000000000023</v>
      </c>
      <c r="AG13" s="43">
        <f t="shared" si="20"/>
        <v>573.15000000000055</v>
      </c>
      <c r="AH13" s="42">
        <f t="shared" si="5"/>
        <v>172.59999999999943</v>
      </c>
      <c r="AI13" s="44">
        <f t="shared" si="6"/>
        <v>39.25</v>
      </c>
      <c r="AJ13" s="275">
        <v>0</v>
      </c>
      <c r="AK13" s="277">
        <v>0</v>
      </c>
      <c r="AL13" s="278">
        <f t="shared" si="7"/>
        <v>118.17525773195887</v>
      </c>
      <c r="AM13" s="44">
        <f t="shared" si="21"/>
        <v>785</v>
      </c>
      <c r="AN13">
        <f t="shared" si="22"/>
        <v>15.999999999999931</v>
      </c>
      <c r="AO13">
        <f t="shared" si="23"/>
        <v>25.999999999999918</v>
      </c>
      <c r="AP13">
        <f t="shared" si="24"/>
        <v>0.24999999999999928</v>
      </c>
      <c r="AS13" s="258">
        <f t="shared" si="8"/>
        <v>485</v>
      </c>
      <c r="AT13" s="258">
        <f t="shared" si="9"/>
        <v>0.7900000000000007</v>
      </c>
      <c r="AU13" s="258">
        <f t="shared" si="10"/>
        <v>0.69000000000000083</v>
      </c>
      <c r="AV13" s="258" t="e">
        <f t="shared" si="11"/>
        <v>#DIV/0!</v>
      </c>
      <c r="AW13" s="258" t="e">
        <f t="shared" si="12"/>
        <v>#DIV/0!</v>
      </c>
      <c r="AX13">
        <f t="shared" si="25"/>
        <v>785</v>
      </c>
      <c r="AY13">
        <f>AX13+'Daily  CEM - 2'!AU13</f>
        <v>1715</v>
      </c>
      <c r="AZ13" s="258">
        <v>1715</v>
      </c>
    </row>
    <row r="14" spans="2:83" s="258" customFormat="1" x14ac:dyDescent="0.25">
      <c r="B14" s="275">
        <v>11</v>
      </c>
      <c r="C14" s="1">
        <v>612</v>
      </c>
      <c r="D14" s="1">
        <v>0</v>
      </c>
      <c r="E14" s="1">
        <v>0</v>
      </c>
      <c r="F14" s="1">
        <v>0</v>
      </c>
      <c r="G14" s="1">
        <v>300</v>
      </c>
      <c r="H14" s="1">
        <v>10.8</v>
      </c>
      <c r="I14" s="1">
        <v>0</v>
      </c>
      <c r="J14" s="1">
        <v>0</v>
      </c>
      <c r="K14" s="1">
        <v>0</v>
      </c>
      <c r="L14" s="1">
        <v>5.2</v>
      </c>
      <c r="M14" s="275">
        <f t="shared" si="26"/>
        <v>56.666666666666664</v>
      </c>
      <c r="N14" s="275" t="e">
        <f t="shared" ref="N14" si="33">D14/I14</f>
        <v>#DIV/0!</v>
      </c>
      <c r="O14" s="275" t="e">
        <f t="shared" ref="O14" si="34">E14/J14</f>
        <v>#DIV/0!</v>
      </c>
      <c r="P14" s="1" t="e">
        <f t="shared" si="14"/>
        <v>#DIV/0!</v>
      </c>
      <c r="Q14" s="1">
        <f t="shared" si="15"/>
        <v>57.692307692307693</v>
      </c>
      <c r="R14" s="275">
        <f>C14*(0.177777777777777*0.9)</f>
        <v>97.919999999999575</v>
      </c>
      <c r="S14" s="275">
        <f t="shared" si="32"/>
        <v>30.6</v>
      </c>
      <c r="T14" s="275">
        <f>D14*(0.3114478112*0.9)</f>
        <v>0</v>
      </c>
      <c r="U14" s="275">
        <f t="shared" si="30"/>
        <v>0</v>
      </c>
      <c r="V14" s="275">
        <f>E14*(0.2085470086*0.9)</f>
        <v>0</v>
      </c>
      <c r="W14" s="275">
        <f>E14*0.0492307693</f>
        <v>0</v>
      </c>
      <c r="X14" s="275"/>
      <c r="Y14" s="275">
        <f t="shared" si="29"/>
        <v>0</v>
      </c>
      <c r="Z14" s="1">
        <f>G14*(0.277777777777777*0.9)</f>
        <v>74.999999999999787</v>
      </c>
      <c r="AA14" s="1">
        <f t="shared" si="16"/>
        <v>15</v>
      </c>
      <c r="AB14" s="44">
        <f t="shared" si="17"/>
        <v>483.48000000000036</v>
      </c>
      <c r="AC14" s="42">
        <f t="shared" si="18"/>
        <v>0</v>
      </c>
      <c r="AD14" s="42">
        <f t="shared" si="19"/>
        <v>0</v>
      </c>
      <c r="AE14" s="275">
        <f t="shared" si="3"/>
        <v>0</v>
      </c>
      <c r="AF14" s="275">
        <f t="shared" si="4"/>
        <v>210.00000000000023</v>
      </c>
      <c r="AG14" s="43">
        <f t="shared" si="20"/>
        <v>693.48000000000059</v>
      </c>
      <c r="AH14" s="42">
        <f t="shared" si="5"/>
        <v>172.91999999999936</v>
      </c>
      <c r="AI14" s="44">
        <f t="shared" si="6"/>
        <v>45.6</v>
      </c>
      <c r="AJ14" s="275">
        <v>0</v>
      </c>
      <c r="AK14" s="277">
        <v>0</v>
      </c>
      <c r="AL14" s="278">
        <f t="shared" si="7"/>
        <v>113.31372549019618</v>
      </c>
      <c r="AM14" s="44">
        <f t="shared" si="21"/>
        <v>912</v>
      </c>
      <c r="AN14">
        <f t="shared" si="22"/>
        <v>15.999999999999931</v>
      </c>
      <c r="AO14" t="e">
        <f t="shared" si="23"/>
        <v>#DIV/0!</v>
      </c>
      <c r="AP14">
        <f t="shared" si="24"/>
        <v>0.24999999999999928</v>
      </c>
      <c r="AS14" s="258">
        <f t="shared" si="8"/>
        <v>612</v>
      </c>
      <c r="AT14" s="258">
        <f t="shared" si="9"/>
        <v>0.79000000000000059</v>
      </c>
      <c r="AU14" s="258" t="e">
        <f t="shared" si="10"/>
        <v>#DIV/0!</v>
      </c>
      <c r="AV14" s="258" t="e">
        <f t="shared" si="11"/>
        <v>#DIV/0!</v>
      </c>
      <c r="AW14" s="258" t="e">
        <f t="shared" si="12"/>
        <v>#DIV/0!</v>
      </c>
      <c r="AX14">
        <f t="shared" si="25"/>
        <v>912</v>
      </c>
      <c r="AY14">
        <f>AX14+'Daily  CEM - 2'!AU14</f>
        <v>1622</v>
      </c>
      <c r="AZ14" s="258">
        <v>1622</v>
      </c>
    </row>
    <row r="15" spans="2:83" s="258" customFormat="1" x14ac:dyDescent="0.25">
      <c r="B15" s="275">
        <v>12</v>
      </c>
      <c r="C15" s="1">
        <v>110</v>
      </c>
      <c r="D15" s="1">
        <v>0</v>
      </c>
      <c r="E15" s="1">
        <v>0</v>
      </c>
      <c r="F15" s="1">
        <v>0</v>
      </c>
      <c r="G15" s="1">
        <v>0</v>
      </c>
      <c r="H15" s="1">
        <v>2.0299999999999998</v>
      </c>
      <c r="I15" s="1">
        <v>0</v>
      </c>
      <c r="J15" s="1">
        <v>0</v>
      </c>
      <c r="K15" s="1">
        <v>0</v>
      </c>
      <c r="L15" s="1">
        <v>0</v>
      </c>
      <c r="M15" s="275">
        <f t="shared" si="26"/>
        <v>54.187192118226605</v>
      </c>
      <c r="N15" s="275" t="e">
        <f t="shared" si="27"/>
        <v>#DIV/0!</v>
      </c>
      <c r="O15" s="275" t="e">
        <f t="shared" si="28"/>
        <v>#DIV/0!</v>
      </c>
      <c r="P15" s="1" t="e">
        <f t="shared" si="14"/>
        <v>#DIV/0!</v>
      </c>
      <c r="Q15" s="1" t="e">
        <f t="shared" si="15"/>
        <v>#DIV/0!</v>
      </c>
      <c r="R15" s="275">
        <f>C15*(0.188888888888888*0.9)</f>
        <v>18.699999999999914</v>
      </c>
      <c r="S15" s="275">
        <f>C15*0.051</f>
        <v>5.6099999999999994</v>
      </c>
      <c r="T15" s="275">
        <f>D15*(0.322222222222222*0.9)</f>
        <v>0</v>
      </c>
      <c r="U15" s="275">
        <f t="shared" si="30"/>
        <v>0</v>
      </c>
      <c r="V15" s="275">
        <f>E15*(0.297777777777777*0.9)</f>
        <v>0</v>
      </c>
      <c r="W15" s="275">
        <f>E15*0.052</f>
        <v>0</v>
      </c>
      <c r="X15" s="275"/>
      <c r="Y15" s="275">
        <f t="shared" si="29"/>
        <v>0</v>
      </c>
      <c r="Z15" s="1">
        <f t="shared" si="31"/>
        <v>0</v>
      </c>
      <c r="AA15" s="1">
        <f t="shared" si="16"/>
        <v>0</v>
      </c>
      <c r="AB15" s="44">
        <f t="shared" si="17"/>
        <v>85.690000000000083</v>
      </c>
      <c r="AC15" s="42">
        <f t="shared" si="18"/>
        <v>0</v>
      </c>
      <c r="AD15" s="42">
        <f t="shared" si="19"/>
        <v>0</v>
      </c>
      <c r="AE15" s="275">
        <f t="shared" si="3"/>
        <v>0</v>
      </c>
      <c r="AF15" s="275">
        <f t="shared" si="4"/>
        <v>0</v>
      </c>
      <c r="AG15" s="43">
        <f t="shared" si="20"/>
        <v>85.690000000000083</v>
      </c>
      <c r="AH15" s="42">
        <f t="shared" si="5"/>
        <v>18.699999999999914</v>
      </c>
      <c r="AI15" s="44">
        <f t="shared" si="6"/>
        <v>5.6099999999999994</v>
      </c>
      <c r="AJ15" s="275">
        <v>0</v>
      </c>
      <c r="AK15" s="277">
        <v>0</v>
      </c>
      <c r="AL15" s="278">
        <f t="shared" si="7"/>
        <v>77.900000000000077</v>
      </c>
      <c r="AM15" s="44">
        <f t="shared" si="21"/>
        <v>110</v>
      </c>
      <c r="AN15">
        <f t="shared" si="22"/>
        <v>16.999999999999922</v>
      </c>
      <c r="AO15" t="e">
        <f t="shared" si="23"/>
        <v>#DIV/0!</v>
      </c>
      <c r="AP15" t="e">
        <f t="shared" si="24"/>
        <v>#DIV/0!</v>
      </c>
      <c r="AS15" s="258">
        <f t="shared" si="8"/>
        <v>110</v>
      </c>
      <c r="AT15" s="258">
        <f t="shared" si="9"/>
        <v>0.7790000000000008</v>
      </c>
      <c r="AU15" s="258" t="e">
        <f t="shared" si="10"/>
        <v>#DIV/0!</v>
      </c>
      <c r="AV15" s="258" t="e">
        <f t="shared" si="11"/>
        <v>#DIV/0!</v>
      </c>
      <c r="AW15" s="258" t="e">
        <f t="shared" si="12"/>
        <v>#DIV/0!</v>
      </c>
      <c r="AX15">
        <f t="shared" si="25"/>
        <v>110</v>
      </c>
      <c r="AY15">
        <f>AX15+'Daily  CEM - 2'!AU15</f>
        <v>1460</v>
      </c>
      <c r="AZ15" s="258">
        <v>1460</v>
      </c>
    </row>
    <row r="16" spans="2:83" s="258" customFormat="1" x14ac:dyDescent="0.25">
      <c r="B16" s="275">
        <v>13</v>
      </c>
      <c r="C16" s="1">
        <v>675</v>
      </c>
      <c r="D16" s="1">
        <v>0</v>
      </c>
      <c r="E16" s="1">
        <v>0</v>
      </c>
      <c r="F16" s="1">
        <v>0</v>
      </c>
      <c r="G16" s="1">
        <v>0</v>
      </c>
      <c r="H16" s="1">
        <v>11.68</v>
      </c>
      <c r="I16" s="1">
        <v>0</v>
      </c>
      <c r="J16" s="1">
        <v>0</v>
      </c>
      <c r="K16" s="1">
        <v>0</v>
      </c>
      <c r="L16" s="1">
        <v>0</v>
      </c>
      <c r="M16" s="275">
        <f t="shared" si="26"/>
        <v>57.791095890410958</v>
      </c>
      <c r="N16" s="275" t="e">
        <f t="shared" si="27"/>
        <v>#DIV/0!</v>
      </c>
      <c r="O16" s="275" t="e">
        <f t="shared" si="28"/>
        <v>#DIV/0!</v>
      </c>
      <c r="P16" s="1" t="e">
        <f t="shared" si="14"/>
        <v>#DIV/0!</v>
      </c>
      <c r="Q16" s="1" t="e">
        <f t="shared" si="15"/>
        <v>#DIV/0!</v>
      </c>
      <c r="R16" s="296">
        <f>C16*(0.2*0.9)</f>
        <v>121.50000000000001</v>
      </c>
      <c r="S16" s="296">
        <f>C16*0.05</f>
        <v>33.75</v>
      </c>
      <c r="T16" s="275">
        <f>D16*(0.294685999999999*0.9)</f>
        <v>0</v>
      </c>
      <c r="U16" s="275">
        <f>D16*0.05217399</f>
        <v>0</v>
      </c>
      <c r="V16" s="275">
        <f>E16*(0.3*0.9)</f>
        <v>0</v>
      </c>
      <c r="W16" s="275">
        <f>E16*0.06</f>
        <v>0</v>
      </c>
      <c r="X16" s="275"/>
      <c r="Y16" s="275"/>
      <c r="Z16" s="1">
        <f t="shared" si="31"/>
        <v>0</v>
      </c>
      <c r="AA16" s="1">
        <f t="shared" si="16"/>
        <v>0</v>
      </c>
      <c r="AB16" s="44">
        <f t="shared" si="17"/>
        <v>519.75</v>
      </c>
      <c r="AC16" s="42">
        <f t="shared" si="18"/>
        <v>0</v>
      </c>
      <c r="AD16" s="42">
        <f t="shared" si="19"/>
        <v>0</v>
      </c>
      <c r="AE16" s="275">
        <f t="shared" si="3"/>
        <v>0</v>
      </c>
      <c r="AF16" s="275">
        <f t="shared" si="4"/>
        <v>0</v>
      </c>
      <c r="AG16" s="43">
        <f t="shared" si="20"/>
        <v>519.75</v>
      </c>
      <c r="AH16" s="42">
        <f t="shared" si="5"/>
        <v>121.50000000000001</v>
      </c>
      <c r="AI16" s="44">
        <f t="shared" si="6"/>
        <v>33.75</v>
      </c>
      <c r="AJ16" s="275">
        <v>0</v>
      </c>
      <c r="AK16" s="277">
        <v>0</v>
      </c>
      <c r="AL16" s="278">
        <f t="shared" si="7"/>
        <v>77</v>
      </c>
      <c r="AM16" s="44">
        <f t="shared" si="21"/>
        <v>675</v>
      </c>
      <c r="AN16">
        <f t="shared" si="22"/>
        <v>18.000000000000004</v>
      </c>
      <c r="AO16" t="e">
        <f t="shared" si="23"/>
        <v>#DIV/0!</v>
      </c>
      <c r="AP16" t="e">
        <f t="shared" si="24"/>
        <v>#DIV/0!</v>
      </c>
      <c r="AS16" s="258">
        <f t="shared" si="8"/>
        <v>675</v>
      </c>
      <c r="AT16" s="258">
        <f t="shared" si="9"/>
        <v>0.77</v>
      </c>
      <c r="AU16" s="258" t="e">
        <f t="shared" si="10"/>
        <v>#DIV/0!</v>
      </c>
      <c r="AV16" s="258" t="e">
        <f t="shared" si="11"/>
        <v>#DIV/0!</v>
      </c>
      <c r="AW16" s="258" t="e">
        <f t="shared" si="12"/>
        <v>#DIV/0!</v>
      </c>
      <c r="AX16">
        <f t="shared" si="25"/>
        <v>675</v>
      </c>
      <c r="AY16">
        <f>AX16+'Daily  CEM - 2'!AU16</f>
        <v>1980</v>
      </c>
      <c r="AZ16" s="258">
        <v>1980</v>
      </c>
    </row>
    <row r="17" spans="2:52" x14ac:dyDescent="0.25">
      <c r="B17" s="1">
        <v>14</v>
      </c>
      <c r="C17" s="1">
        <v>632</v>
      </c>
      <c r="D17" s="1">
        <v>0</v>
      </c>
      <c r="E17" s="1">
        <v>0</v>
      </c>
      <c r="F17" s="1">
        <v>0</v>
      </c>
      <c r="G17" s="1">
        <v>0</v>
      </c>
      <c r="H17" s="1">
        <v>9.8800000000000008</v>
      </c>
      <c r="I17" s="1">
        <v>0</v>
      </c>
      <c r="J17" s="1">
        <v>0</v>
      </c>
      <c r="K17" s="1">
        <v>0</v>
      </c>
      <c r="L17" s="1">
        <v>0</v>
      </c>
      <c r="M17" s="1">
        <f t="shared" si="26"/>
        <v>63.967611336032384</v>
      </c>
      <c r="N17" s="1" t="e">
        <f t="shared" si="27"/>
        <v>#DIV/0!</v>
      </c>
      <c r="O17" s="1" t="e">
        <f t="shared" si="28"/>
        <v>#DIV/0!</v>
      </c>
      <c r="P17" s="1" t="e">
        <f t="shared" si="14"/>
        <v>#DIV/0!</v>
      </c>
      <c r="Q17" s="1" t="e">
        <f t="shared" si="15"/>
        <v>#DIV/0!</v>
      </c>
      <c r="R17" s="1">
        <f>C17*(0.2*0.9)</f>
        <v>113.76000000000002</v>
      </c>
      <c r="S17" s="1">
        <f>C17*0.05</f>
        <v>31.6</v>
      </c>
      <c r="T17" s="1">
        <f>D17*(0.380116959*0.9)</f>
        <v>0</v>
      </c>
      <c r="U17" s="1">
        <f>D17*0.026315789</f>
        <v>0</v>
      </c>
      <c r="V17" s="1">
        <f>E17*(0.288888888888888*0.9)</f>
        <v>0</v>
      </c>
      <c r="W17" s="1">
        <f>E17*0.05</f>
        <v>0</v>
      </c>
      <c r="X17" s="1"/>
      <c r="Y17" s="1"/>
      <c r="Z17" s="1">
        <f t="shared" si="31"/>
        <v>0</v>
      </c>
      <c r="AA17" s="1">
        <f t="shared" si="16"/>
        <v>0</v>
      </c>
      <c r="AB17" s="44">
        <f t="shared" si="17"/>
        <v>486.64</v>
      </c>
      <c r="AC17" s="42">
        <f t="shared" si="18"/>
        <v>0</v>
      </c>
      <c r="AD17" s="42">
        <f t="shared" si="19"/>
        <v>0</v>
      </c>
      <c r="AE17" s="275">
        <f t="shared" si="3"/>
        <v>0</v>
      </c>
      <c r="AF17" s="275">
        <f t="shared" si="4"/>
        <v>0</v>
      </c>
      <c r="AG17" s="43">
        <f t="shared" si="20"/>
        <v>486.64</v>
      </c>
      <c r="AH17" s="42">
        <f t="shared" si="5"/>
        <v>113.76000000000002</v>
      </c>
      <c r="AI17" s="44">
        <f t="shared" si="6"/>
        <v>31.6</v>
      </c>
      <c r="AJ17" s="1">
        <v>0</v>
      </c>
      <c r="AK17" s="6">
        <v>0</v>
      </c>
      <c r="AL17" s="32">
        <f t="shared" si="7"/>
        <v>77</v>
      </c>
      <c r="AM17" s="44">
        <f t="shared" si="21"/>
        <v>632</v>
      </c>
      <c r="AN17">
        <f t="shared" si="22"/>
        <v>18.000000000000004</v>
      </c>
      <c r="AO17" t="e">
        <f t="shared" si="23"/>
        <v>#DIV/0!</v>
      </c>
      <c r="AP17" t="e">
        <f t="shared" si="24"/>
        <v>#DIV/0!</v>
      </c>
      <c r="AS17">
        <f t="shared" si="8"/>
        <v>632</v>
      </c>
      <c r="AT17">
        <f t="shared" si="9"/>
        <v>0.77</v>
      </c>
      <c r="AU17" t="e">
        <f t="shared" si="10"/>
        <v>#DIV/0!</v>
      </c>
      <c r="AV17" t="e">
        <f t="shared" si="11"/>
        <v>#DIV/0!</v>
      </c>
      <c r="AW17" t="e">
        <f t="shared" si="12"/>
        <v>#DIV/0!</v>
      </c>
      <c r="AX17">
        <f t="shared" si="25"/>
        <v>632</v>
      </c>
      <c r="AY17">
        <f>AX17+'Daily  CEM - 2'!AU17</f>
        <v>1954</v>
      </c>
      <c r="AZ17">
        <v>1954</v>
      </c>
    </row>
    <row r="18" spans="2:52" s="321" customFormat="1" x14ac:dyDescent="0.25">
      <c r="B18" s="322">
        <v>15</v>
      </c>
      <c r="C18" s="1">
        <v>1250</v>
      </c>
      <c r="D18" s="1">
        <v>0</v>
      </c>
      <c r="E18" s="1">
        <v>0</v>
      </c>
      <c r="F18" s="1">
        <v>0</v>
      </c>
      <c r="G18" s="1">
        <v>0</v>
      </c>
      <c r="H18" s="1">
        <v>21.28</v>
      </c>
      <c r="I18" s="1">
        <v>0</v>
      </c>
      <c r="J18" s="1">
        <v>0</v>
      </c>
      <c r="K18" s="1">
        <v>0</v>
      </c>
      <c r="L18" s="1">
        <v>0</v>
      </c>
      <c r="M18" s="322">
        <f t="shared" si="26"/>
        <v>58.740601503759393</v>
      </c>
      <c r="N18" s="322" t="e">
        <f t="shared" si="27"/>
        <v>#DIV/0!</v>
      </c>
      <c r="O18" s="322" t="e">
        <f t="shared" si="28"/>
        <v>#DIV/0!</v>
      </c>
      <c r="P18" s="322" t="e">
        <f t="shared" si="14"/>
        <v>#DIV/0!</v>
      </c>
      <c r="Q18" s="1" t="e">
        <f t="shared" si="15"/>
        <v>#DIV/0!</v>
      </c>
      <c r="R18" s="322">
        <f>C18*(0.2*0.9)</f>
        <v>225.00000000000003</v>
      </c>
      <c r="S18" s="322">
        <f>C18*0.0500008</f>
        <v>62.500999999999998</v>
      </c>
      <c r="T18" s="322">
        <f>D18*(0.322222222222222*0.9)</f>
        <v>0</v>
      </c>
      <c r="U18" s="322">
        <f>D18*0.05</f>
        <v>0</v>
      </c>
      <c r="V18" s="322">
        <f>E18*(0.288888888888888*0.9)</f>
        <v>0</v>
      </c>
      <c r="W18" s="322">
        <f>E18*0.05</f>
        <v>0</v>
      </c>
      <c r="X18" s="322">
        <f>F18*(0*0.9)</f>
        <v>0</v>
      </c>
      <c r="Y18" s="322">
        <f>F18*0.05</f>
        <v>0</v>
      </c>
      <c r="Z18" s="1">
        <f t="shared" si="31"/>
        <v>0</v>
      </c>
      <c r="AA18" s="1">
        <f t="shared" si="16"/>
        <v>0</v>
      </c>
      <c r="AB18" s="44">
        <f t="shared" si="17"/>
        <v>962.49900000000002</v>
      </c>
      <c r="AC18" s="42">
        <f t="shared" si="18"/>
        <v>0</v>
      </c>
      <c r="AD18" s="42">
        <f t="shared" si="19"/>
        <v>0</v>
      </c>
      <c r="AE18" s="324">
        <f t="shared" si="3"/>
        <v>0</v>
      </c>
      <c r="AF18" s="275">
        <f t="shared" si="4"/>
        <v>0</v>
      </c>
      <c r="AG18" s="43">
        <f t="shared" si="20"/>
        <v>962.49900000000002</v>
      </c>
      <c r="AH18" s="42">
        <f t="shared" si="5"/>
        <v>225.00000000000003</v>
      </c>
      <c r="AI18" s="618">
        <f t="shared" si="6"/>
        <v>62.500999999999998</v>
      </c>
      <c r="AJ18" s="322">
        <v>0</v>
      </c>
      <c r="AK18" s="325">
        <v>0</v>
      </c>
      <c r="AL18" s="326">
        <f t="shared" si="7"/>
        <v>76.999920000000003</v>
      </c>
      <c r="AM18" s="44">
        <f t="shared" si="21"/>
        <v>1250</v>
      </c>
      <c r="AN18">
        <f t="shared" si="22"/>
        <v>18.000000000000004</v>
      </c>
      <c r="AO18" t="e">
        <f t="shared" si="23"/>
        <v>#DIV/0!</v>
      </c>
      <c r="AP18" t="e">
        <f t="shared" si="24"/>
        <v>#DIV/0!</v>
      </c>
      <c r="AS18" s="321">
        <f t="shared" si="8"/>
        <v>1250</v>
      </c>
      <c r="AT18" s="321">
        <f t="shared" si="9"/>
        <v>0.76999919999999999</v>
      </c>
      <c r="AU18" s="321" t="e">
        <f t="shared" si="10"/>
        <v>#DIV/0!</v>
      </c>
      <c r="AV18" s="321" t="e">
        <f t="shared" si="11"/>
        <v>#DIV/0!</v>
      </c>
      <c r="AW18" s="321" t="e">
        <f t="shared" si="12"/>
        <v>#DIV/0!</v>
      </c>
      <c r="AX18">
        <f t="shared" si="25"/>
        <v>1250</v>
      </c>
      <c r="AY18">
        <f>AX18+'Daily  CEM - 2'!AU18</f>
        <v>1930</v>
      </c>
      <c r="AZ18" s="321">
        <v>1930</v>
      </c>
    </row>
    <row r="19" spans="2:52" s="321" customFormat="1" x14ac:dyDescent="0.25">
      <c r="B19" s="322">
        <v>16</v>
      </c>
      <c r="C19" s="1">
        <v>1170</v>
      </c>
      <c r="D19" s="1">
        <v>0</v>
      </c>
      <c r="E19" s="1">
        <v>0</v>
      </c>
      <c r="F19" s="1">
        <v>0</v>
      </c>
      <c r="G19" s="1">
        <v>300</v>
      </c>
      <c r="H19" s="1">
        <v>18.25</v>
      </c>
      <c r="I19" s="1">
        <v>0</v>
      </c>
      <c r="J19" s="1">
        <v>0</v>
      </c>
      <c r="K19" s="1">
        <v>0</v>
      </c>
      <c r="L19" s="1">
        <v>5</v>
      </c>
      <c r="M19" s="322">
        <f t="shared" si="26"/>
        <v>64.109589041095887</v>
      </c>
      <c r="N19" s="322" t="e">
        <f>D19/I19</f>
        <v>#DIV/0!</v>
      </c>
      <c r="O19" s="322" t="e">
        <f t="shared" si="28"/>
        <v>#DIV/0!</v>
      </c>
      <c r="P19" s="322" t="e">
        <f t="shared" si="14"/>
        <v>#DIV/0!</v>
      </c>
      <c r="Q19" s="1">
        <f t="shared" si="15"/>
        <v>60</v>
      </c>
      <c r="R19" s="322">
        <f>C19*(0.199230769*0.9)</f>
        <v>209.789999757</v>
      </c>
      <c r="S19" s="322">
        <f>C19*0.050690598</f>
        <v>59.307999660000007</v>
      </c>
      <c r="T19" s="322">
        <f>D19*(0.288888888888888*0.9)</f>
        <v>0</v>
      </c>
      <c r="U19" s="322">
        <f>D19*0.055</f>
        <v>0</v>
      </c>
      <c r="V19" s="322">
        <f>E19*(0.271416455*0.9)</f>
        <v>0</v>
      </c>
      <c r="W19" s="322">
        <f>E19*0.0480916033</f>
        <v>0</v>
      </c>
      <c r="X19" s="322"/>
      <c r="Y19" s="322">
        <f>F19*0.05</f>
        <v>0</v>
      </c>
      <c r="Z19" s="1">
        <f>G19*(0.311111111*0.9)</f>
        <v>83.999999970000005</v>
      </c>
      <c r="AA19" s="1">
        <f t="shared" si="16"/>
        <v>15</v>
      </c>
      <c r="AB19" s="44">
        <f t="shared" si="17"/>
        <v>900.90200058300002</v>
      </c>
      <c r="AC19" s="42">
        <f t="shared" si="18"/>
        <v>0</v>
      </c>
      <c r="AD19" s="42">
        <f t="shared" si="19"/>
        <v>0</v>
      </c>
      <c r="AE19" s="324">
        <f t="shared" si="3"/>
        <v>0</v>
      </c>
      <c r="AF19" s="275">
        <f t="shared" si="4"/>
        <v>201.00000003</v>
      </c>
      <c r="AG19" s="43">
        <f t="shared" si="20"/>
        <v>1101.9020006129999</v>
      </c>
      <c r="AH19" s="618">
        <f>R19+T19+V19+Z19</f>
        <v>293.78999972700001</v>
      </c>
      <c r="AI19" s="618">
        <f t="shared" si="6"/>
        <v>74.307999660000007</v>
      </c>
      <c r="AJ19" s="322">
        <v>0</v>
      </c>
      <c r="AK19" s="325">
        <v>0</v>
      </c>
      <c r="AL19" s="326">
        <f t="shared" si="7"/>
        <v>94.179658172051276</v>
      </c>
      <c r="AM19" s="44">
        <f t="shared" si="21"/>
        <v>1470</v>
      </c>
      <c r="AN19">
        <f t="shared" si="22"/>
        <v>17.930769210000001</v>
      </c>
      <c r="AO19" t="e">
        <f t="shared" si="23"/>
        <v>#DIV/0!</v>
      </c>
      <c r="AP19">
        <f t="shared" si="24"/>
        <v>0.27999999990000002</v>
      </c>
      <c r="AS19" s="321">
        <f t="shared" si="8"/>
        <v>1170</v>
      </c>
      <c r="AT19" s="321">
        <f t="shared" si="9"/>
        <v>0.77000170990000005</v>
      </c>
      <c r="AU19" s="321" t="e">
        <f t="shared" si="10"/>
        <v>#DIV/0!</v>
      </c>
      <c r="AV19" s="321" t="e">
        <f t="shared" si="11"/>
        <v>#DIV/0!</v>
      </c>
      <c r="AW19" s="321" t="e">
        <f t="shared" si="12"/>
        <v>#DIV/0!</v>
      </c>
      <c r="AX19">
        <f t="shared" si="25"/>
        <v>1470</v>
      </c>
      <c r="AY19">
        <f>AX19+'Daily  CEM - 2'!AU19</f>
        <v>2130</v>
      </c>
      <c r="AZ19" s="321">
        <v>2130</v>
      </c>
    </row>
    <row r="20" spans="2:52" s="333" customFormat="1" ht="17.25" customHeight="1" x14ac:dyDescent="0.25">
      <c r="B20" s="334">
        <v>17</v>
      </c>
      <c r="C20" s="1">
        <v>710</v>
      </c>
      <c r="D20" s="1">
        <v>450</v>
      </c>
      <c r="E20" s="1">
        <v>0</v>
      </c>
      <c r="F20" s="1">
        <v>0</v>
      </c>
      <c r="G20" s="1">
        <v>400</v>
      </c>
      <c r="H20" s="1">
        <v>11.1</v>
      </c>
      <c r="I20" s="1">
        <v>6.7</v>
      </c>
      <c r="J20" s="1"/>
      <c r="K20" s="1">
        <v>0</v>
      </c>
      <c r="L20" s="1">
        <v>6.2</v>
      </c>
      <c r="M20" s="334">
        <f t="shared" si="26"/>
        <v>63.963963963963963</v>
      </c>
      <c r="N20" s="334">
        <f t="shared" si="27"/>
        <v>67.164179104477611</v>
      </c>
      <c r="O20" s="334" t="e">
        <f t="shared" si="28"/>
        <v>#DIV/0!</v>
      </c>
      <c r="P20" s="322" t="e">
        <f t="shared" si="14"/>
        <v>#DIV/0!</v>
      </c>
      <c r="Q20" s="1">
        <f t="shared" si="15"/>
        <v>64.516129032258064</v>
      </c>
      <c r="R20" s="334">
        <f>C20*(0.2*0.9)</f>
        <v>127.80000000000001</v>
      </c>
      <c r="S20" s="334">
        <f t="shared" ref="S20" si="35">C20*0.05</f>
        <v>35.5</v>
      </c>
      <c r="T20" s="334">
        <f>D20*(0.3*0.9)</f>
        <v>121.50000000000001</v>
      </c>
      <c r="U20" s="334">
        <f>D20*0.05</f>
        <v>22.5</v>
      </c>
      <c r="V20" s="334">
        <f>E20*(0.29436152566678*0.9)</f>
        <v>0</v>
      </c>
      <c r="W20" s="334">
        <f>E20*0.05</f>
        <v>0</v>
      </c>
      <c r="X20" s="334"/>
      <c r="Y20" s="335">
        <f>F20*0.0583333333333333</f>
        <v>0</v>
      </c>
      <c r="Z20" s="1">
        <f>G20*(0.305555555555555*0.9)</f>
        <v>109.99999999999982</v>
      </c>
      <c r="AA20" s="1">
        <f t="shared" si="16"/>
        <v>20</v>
      </c>
      <c r="AB20" s="44">
        <f t="shared" si="17"/>
        <v>546.70000000000005</v>
      </c>
      <c r="AC20" s="42">
        <f t="shared" si="18"/>
        <v>306</v>
      </c>
      <c r="AD20" s="42">
        <f t="shared" si="19"/>
        <v>0</v>
      </c>
      <c r="AE20" s="324">
        <f t="shared" si="3"/>
        <v>0</v>
      </c>
      <c r="AF20" s="275">
        <f t="shared" si="4"/>
        <v>270.00000000000017</v>
      </c>
      <c r="AG20" s="43">
        <f t="shared" si="20"/>
        <v>1122.7000000000003</v>
      </c>
      <c r="AH20" s="42">
        <f t="shared" si="5"/>
        <v>359.29999999999984</v>
      </c>
      <c r="AI20" s="44">
        <f t="shared" si="6"/>
        <v>78</v>
      </c>
      <c r="AJ20" s="334">
        <v>0</v>
      </c>
      <c r="AK20" s="336">
        <v>0</v>
      </c>
      <c r="AL20" s="337">
        <f t="shared" si="7"/>
        <v>96.784482758620712</v>
      </c>
      <c r="AM20" s="44">
        <f t="shared" si="21"/>
        <v>1560</v>
      </c>
      <c r="AN20">
        <f t="shared" si="22"/>
        <v>18.000000000000004</v>
      </c>
      <c r="AO20">
        <f t="shared" si="23"/>
        <v>27</v>
      </c>
      <c r="AP20">
        <f t="shared" si="24"/>
        <v>0.27499999999999952</v>
      </c>
      <c r="AS20" s="333">
        <f t="shared" si="8"/>
        <v>1160</v>
      </c>
      <c r="AT20" s="333">
        <f t="shared" si="9"/>
        <v>0.77</v>
      </c>
      <c r="AU20" s="321">
        <f t="shared" si="10"/>
        <v>0.68</v>
      </c>
      <c r="AV20" s="321" t="e">
        <f t="shared" si="11"/>
        <v>#DIV/0!</v>
      </c>
      <c r="AW20" s="321" t="e">
        <f t="shared" si="12"/>
        <v>#DIV/0!</v>
      </c>
      <c r="AX20">
        <f t="shared" si="25"/>
        <v>1560</v>
      </c>
      <c r="AY20">
        <f>AX20+'Daily  CEM - 2'!AU20</f>
        <v>1560</v>
      </c>
      <c r="AZ20" s="333">
        <v>1560</v>
      </c>
    </row>
    <row r="21" spans="2:52" s="344" customFormat="1" x14ac:dyDescent="0.25">
      <c r="B21" s="345">
        <v>18</v>
      </c>
      <c r="C21" s="1">
        <v>547</v>
      </c>
      <c r="D21" s="1">
        <v>300</v>
      </c>
      <c r="E21" s="1">
        <v>0</v>
      </c>
      <c r="F21" s="1">
        <v>0</v>
      </c>
      <c r="G21" s="1">
        <v>400</v>
      </c>
      <c r="H21" s="1">
        <v>8.3800000000000008</v>
      </c>
      <c r="I21" s="1">
        <v>4.4000000000000004</v>
      </c>
      <c r="J21" s="1">
        <v>0</v>
      </c>
      <c r="K21" s="1">
        <v>0</v>
      </c>
      <c r="L21" s="1">
        <v>5.9</v>
      </c>
      <c r="M21" s="345">
        <f t="shared" si="26"/>
        <v>65.274463007159895</v>
      </c>
      <c r="N21" s="345">
        <f>D21/I21</f>
        <v>68.181818181818173</v>
      </c>
      <c r="O21" s="345" t="e">
        <f t="shared" si="28"/>
        <v>#DIV/0!</v>
      </c>
      <c r="P21" s="322" t="e">
        <f t="shared" si="14"/>
        <v>#DIV/0!</v>
      </c>
      <c r="Q21" s="1">
        <f t="shared" si="15"/>
        <v>67.796610169491515</v>
      </c>
      <c r="R21" s="345">
        <f>C21*(0.177777777777777*0.9)</f>
        <v>87.519999999999627</v>
      </c>
      <c r="S21" s="345">
        <f>C21*0.05</f>
        <v>27.35</v>
      </c>
      <c r="T21" s="345">
        <f>D21*(0.288888888888888*0.9)</f>
        <v>77.999999999999758</v>
      </c>
      <c r="U21" s="345">
        <f>D21*0.05</f>
        <v>15</v>
      </c>
      <c r="V21" s="345">
        <f>E21*(0.188034188*0.9)</f>
        <v>0</v>
      </c>
      <c r="W21" s="345">
        <f>E21*0.046153846</f>
        <v>0</v>
      </c>
      <c r="X21" s="345"/>
      <c r="Y21" s="335">
        <f>F21*0.055</f>
        <v>0</v>
      </c>
      <c r="Z21" s="1">
        <f>G21*(0.277777777777777*0.9)</f>
        <v>99.999999999999716</v>
      </c>
      <c r="AA21" s="1">
        <f>G21*0.05</f>
        <v>20</v>
      </c>
      <c r="AB21" s="44">
        <f t="shared" si="17"/>
        <v>432.13000000000034</v>
      </c>
      <c r="AC21" s="42">
        <f t="shared" si="18"/>
        <v>207.00000000000023</v>
      </c>
      <c r="AD21" s="42">
        <f t="shared" si="19"/>
        <v>0</v>
      </c>
      <c r="AE21" s="324">
        <f t="shared" si="3"/>
        <v>0</v>
      </c>
      <c r="AF21" s="275">
        <f t="shared" si="4"/>
        <v>280.00000000000028</v>
      </c>
      <c r="AG21" s="43">
        <f t="shared" si="20"/>
        <v>919.13000000000079</v>
      </c>
      <c r="AH21" s="42">
        <f t="shared" si="5"/>
        <v>265.51999999999907</v>
      </c>
      <c r="AI21" s="44">
        <f t="shared" si="6"/>
        <v>62.35</v>
      </c>
      <c r="AJ21" s="345">
        <v>0</v>
      </c>
      <c r="AK21" s="346">
        <v>0</v>
      </c>
      <c r="AL21" s="347">
        <f t="shared" si="7"/>
        <v>108.51593860684778</v>
      </c>
      <c r="AM21" s="44">
        <f t="shared" si="21"/>
        <v>1246.9999999999998</v>
      </c>
      <c r="AN21">
        <f t="shared" si="22"/>
        <v>15.999999999999931</v>
      </c>
      <c r="AO21">
        <f t="shared" si="23"/>
        <v>25.999999999999918</v>
      </c>
      <c r="AP21">
        <f t="shared" si="24"/>
        <v>0.24999999999999928</v>
      </c>
      <c r="AS21" s="344">
        <f t="shared" si="8"/>
        <v>847</v>
      </c>
      <c r="AT21" s="344">
        <f t="shared" si="9"/>
        <v>0.79000000000000059</v>
      </c>
      <c r="AU21" s="321">
        <f t="shared" si="10"/>
        <v>0.69000000000000072</v>
      </c>
      <c r="AV21" s="321" t="e">
        <f t="shared" si="11"/>
        <v>#DIV/0!</v>
      </c>
      <c r="AW21" s="321" t="e">
        <f t="shared" si="12"/>
        <v>#DIV/0!</v>
      </c>
      <c r="AX21">
        <f t="shared" si="25"/>
        <v>1247</v>
      </c>
      <c r="AY21">
        <f>AX21+'Daily  CEM - 2'!AU21</f>
        <v>1247</v>
      </c>
      <c r="AZ21" s="344">
        <v>1247</v>
      </c>
    </row>
    <row r="22" spans="2:52" s="321" customFormat="1" x14ac:dyDescent="0.25">
      <c r="B22" s="322">
        <v>19</v>
      </c>
      <c r="C22" s="1">
        <v>65</v>
      </c>
      <c r="D22" s="1">
        <v>0</v>
      </c>
      <c r="E22" s="1">
        <v>0</v>
      </c>
      <c r="F22" s="1">
        <v>0</v>
      </c>
      <c r="G22" s="1">
        <v>500</v>
      </c>
      <c r="H22" s="1">
        <v>1</v>
      </c>
      <c r="I22" s="1">
        <v>0</v>
      </c>
      <c r="J22" s="1">
        <v>0</v>
      </c>
      <c r="K22" s="1">
        <v>0</v>
      </c>
      <c r="L22" s="1">
        <v>7.62</v>
      </c>
      <c r="M22" s="322">
        <f t="shared" si="26"/>
        <v>65</v>
      </c>
      <c r="N22" s="322" t="e">
        <f t="shared" si="27"/>
        <v>#DIV/0!</v>
      </c>
      <c r="O22" s="322" t="e">
        <f t="shared" si="28"/>
        <v>#DIV/0!</v>
      </c>
      <c r="P22" s="322" t="e">
        <f>F22/K22</f>
        <v>#DIV/0!</v>
      </c>
      <c r="Q22" s="1">
        <f t="shared" si="15"/>
        <v>65.616797900262469</v>
      </c>
      <c r="R22" s="364">
        <f>C22*(0.177777777777777*0.9)</f>
        <v>10.399999999999956</v>
      </c>
      <c r="S22" s="364">
        <f>C22*0.05</f>
        <v>3.25</v>
      </c>
      <c r="T22" s="322">
        <f>D22*(0.333333333333333*0.9)</f>
        <v>0</v>
      </c>
      <c r="U22" s="322">
        <f>D22*0.05</f>
        <v>0</v>
      </c>
      <c r="V22" s="322">
        <f>E22*(0.277777777777777*0.9)</f>
        <v>0</v>
      </c>
      <c r="W22" s="322">
        <f>E22*0.05</f>
        <v>0</v>
      </c>
      <c r="X22" s="322"/>
      <c r="Y22" s="322">
        <f>F22*0.111111111111111</f>
        <v>0</v>
      </c>
      <c r="Z22" s="1">
        <f>G22*(0.283333333333333*0.9)</f>
        <v>127.49999999999986</v>
      </c>
      <c r="AA22" s="1">
        <f t="shared" si="16"/>
        <v>25</v>
      </c>
      <c r="AB22" s="44">
        <f t="shared" si="17"/>
        <v>51.350000000000044</v>
      </c>
      <c r="AC22" s="42">
        <f t="shared" si="18"/>
        <v>0</v>
      </c>
      <c r="AD22" s="42">
        <f t="shared" si="19"/>
        <v>0</v>
      </c>
      <c r="AE22" s="324">
        <f t="shared" si="3"/>
        <v>0</v>
      </c>
      <c r="AF22" s="275">
        <f t="shared" si="4"/>
        <v>347.50000000000011</v>
      </c>
      <c r="AG22" s="43">
        <f t="shared" si="20"/>
        <v>398.85000000000014</v>
      </c>
      <c r="AH22" s="42">
        <f t="shared" si="5"/>
        <v>137.89999999999981</v>
      </c>
      <c r="AI22" s="44">
        <f t="shared" si="6"/>
        <v>28.25</v>
      </c>
      <c r="AJ22" s="322">
        <v>0</v>
      </c>
      <c r="AK22" s="325">
        <v>0</v>
      </c>
      <c r="AL22" s="326">
        <f t="shared" si="7"/>
        <v>613.61538461538487</v>
      </c>
      <c r="AM22" s="44">
        <f t="shared" si="21"/>
        <v>565</v>
      </c>
      <c r="AN22">
        <f t="shared" si="22"/>
        <v>15.999999999999931</v>
      </c>
      <c r="AO22" t="e">
        <f t="shared" si="23"/>
        <v>#DIV/0!</v>
      </c>
      <c r="AP22">
        <f t="shared" si="24"/>
        <v>0.25499999999999973</v>
      </c>
      <c r="AS22" s="321">
        <f t="shared" si="8"/>
        <v>65</v>
      </c>
      <c r="AT22" s="321">
        <f t="shared" si="9"/>
        <v>0.7900000000000007</v>
      </c>
      <c r="AU22" s="321" t="e">
        <f t="shared" si="10"/>
        <v>#DIV/0!</v>
      </c>
      <c r="AV22" s="321" t="e">
        <f t="shared" si="11"/>
        <v>#DIV/0!</v>
      </c>
      <c r="AW22" s="321" t="e">
        <f t="shared" si="12"/>
        <v>#DIV/0!</v>
      </c>
      <c r="AX22">
        <f t="shared" si="25"/>
        <v>565</v>
      </c>
      <c r="AY22">
        <f>AX22+'Daily  CEM - 2'!AU22</f>
        <v>1435</v>
      </c>
      <c r="AZ22" s="321">
        <v>1435</v>
      </c>
    </row>
    <row r="23" spans="2:52" s="321" customFormat="1" x14ac:dyDescent="0.25">
      <c r="B23" s="322">
        <v>20</v>
      </c>
      <c r="C23" s="1">
        <v>800</v>
      </c>
      <c r="D23" s="1">
        <v>0</v>
      </c>
      <c r="E23" s="1">
        <v>0</v>
      </c>
      <c r="F23" s="1">
        <v>0</v>
      </c>
      <c r="G23" s="1">
        <v>310</v>
      </c>
      <c r="H23" s="1">
        <v>12.23</v>
      </c>
      <c r="I23" s="1">
        <v>0</v>
      </c>
      <c r="J23" s="1">
        <v>0</v>
      </c>
      <c r="K23" s="1">
        <v>0</v>
      </c>
      <c r="L23" s="1">
        <v>4.5999999999999996</v>
      </c>
      <c r="M23" s="322">
        <f t="shared" si="26"/>
        <v>65.412919051512674</v>
      </c>
      <c r="N23" s="322" t="e">
        <f t="shared" si="27"/>
        <v>#DIV/0!</v>
      </c>
      <c r="O23" s="322" t="e">
        <f t="shared" si="28"/>
        <v>#DIV/0!</v>
      </c>
      <c r="P23" s="322" t="e">
        <f t="shared" si="14"/>
        <v>#DIV/0!</v>
      </c>
      <c r="Q23" s="1">
        <f t="shared" si="15"/>
        <v>67.391304347826093</v>
      </c>
      <c r="R23" s="322">
        <f>C23*(0.183333333333333*0.9)</f>
        <v>131.99999999999977</v>
      </c>
      <c r="S23" s="322">
        <f>C23*0.05</f>
        <v>40</v>
      </c>
      <c r="T23" s="322">
        <f>D23*(0.331723027*0.9)</f>
        <v>0</v>
      </c>
      <c r="U23" s="322">
        <f>D23*0.049275362</f>
        <v>0</v>
      </c>
      <c r="V23" s="322">
        <f>E23*(0.3*0.9)</f>
        <v>0</v>
      </c>
      <c r="W23" s="322">
        <f>E23*0.05</f>
        <v>0</v>
      </c>
      <c r="X23" s="322"/>
      <c r="Y23" s="335">
        <f>F23*0.055</f>
        <v>0</v>
      </c>
      <c r="Z23" s="1">
        <f>G23*(0.277777777777777*0.9)</f>
        <v>77.499999999999787</v>
      </c>
      <c r="AA23" s="1">
        <f t="shared" si="16"/>
        <v>15.5</v>
      </c>
      <c r="AB23" s="44">
        <f t="shared" si="17"/>
        <v>628.00000000000023</v>
      </c>
      <c r="AC23" s="42">
        <f t="shared" si="18"/>
        <v>0</v>
      </c>
      <c r="AD23" s="42">
        <f t="shared" si="19"/>
        <v>0</v>
      </c>
      <c r="AE23" s="324">
        <f t="shared" si="3"/>
        <v>0</v>
      </c>
      <c r="AF23" s="275">
        <f t="shared" si="4"/>
        <v>217.00000000000023</v>
      </c>
      <c r="AG23" s="43">
        <f t="shared" si="20"/>
        <v>845.00000000000045</v>
      </c>
      <c r="AH23" s="42">
        <f t="shared" si="5"/>
        <v>209.49999999999955</v>
      </c>
      <c r="AI23" s="44">
        <f t="shared" si="6"/>
        <v>55.5</v>
      </c>
      <c r="AJ23" s="322">
        <v>0</v>
      </c>
      <c r="AK23" s="325">
        <v>0</v>
      </c>
      <c r="AL23" s="331">
        <f t="shared" si="7"/>
        <v>105.62500000000006</v>
      </c>
      <c r="AM23" s="44">
        <f t="shared" si="21"/>
        <v>1110</v>
      </c>
      <c r="AN23">
        <f t="shared" si="22"/>
        <v>16.499999999999972</v>
      </c>
      <c r="AO23" t="e">
        <f t="shared" si="23"/>
        <v>#DIV/0!</v>
      </c>
      <c r="AP23">
        <f t="shared" si="24"/>
        <v>0.24999999999999931</v>
      </c>
      <c r="AS23" s="321">
        <f t="shared" si="8"/>
        <v>800</v>
      </c>
      <c r="AT23" s="321">
        <f t="shared" si="9"/>
        <v>0.78500000000000025</v>
      </c>
      <c r="AU23" s="321" t="e">
        <f t="shared" si="10"/>
        <v>#DIV/0!</v>
      </c>
      <c r="AV23" s="321" t="e">
        <f t="shared" si="11"/>
        <v>#DIV/0!</v>
      </c>
      <c r="AW23" s="321" t="e">
        <f t="shared" si="12"/>
        <v>#DIV/0!</v>
      </c>
      <c r="AX23">
        <f t="shared" si="25"/>
        <v>1110</v>
      </c>
      <c r="AY23">
        <f>AX23+'Daily  CEM - 2'!AU23</f>
        <v>2594</v>
      </c>
      <c r="AZ23" s="321">
        <v>2594</v>
      </c>
    </row>
    <row r="24" spans="2:52" s="404" customFormat="1" x14ac:dyDescent="0.25">
      <c r="B24" s="405">
        <v>21</v>
      </c>
      <c r="C24" s="1">
        <v>1267</v>
      </c>
      <c r="D24" s="1">
        <v>0</v>
      </c>
      <c r="E24" s="1">
        <v>0</v>
      </c>
      <c r="F24" s="1">
        <v>0</v>
      </c>
      <c r="G24" s="1">
        <v>140</v>
      </c>
      <c r="H24" s="1">
        <v>18.399999999999999</v>
      </c>
      <c r="I24" s="1">
        <v>0</v>
      </c>
      <c r="J24" s="1">
        <v>0</v>
      </c>
      <c r="K24" s="1">
        <v>0</v>
      </c>
      <c r="L24" s="1">
        <v>2</v>
      </c>
      <c r="M24" s="405">
        <f t="shared" si="26"/>
        <v>68.858695652173921</v>
      </c>
      <c r="N24" s="405" t="e">
        <f t="shared" si="27"/>
        <v>#DIV/0!</v>
      </c>
      <c r="O24" s="405" t="e">
        <f t="shared" si="28"/>
        <v>#DIV/0!</v>
      </c>
      <c r="P24" s="405" t="e">
        <f t="shared" si="14"/>
        <v>#DIV/0!</v>
      </c>
      <c r="Q24" s="1">
        <f t="shared" si="15"/>
        <v>70</v>
      </c>
      <c r="R24" s="405">
        <f>C24*(0.188888888888888*0.9)</f>
        <v>215.38999999999899</v>
      </c>
      <c r="S24" s="405">
        <f>C24*0.05</f>
        <v>63.35</v>
      </c>
      <c r="T24" s="405">
        <f>D24*(0.2888888888889*0.9)</f>
        <v>0</v>
      </c>
      <c r="U24" s="405">
        <f>D24*0.05</f>
        <v>0</v>
      </c>
      <c r="V24" s="405">
        <f>E24*(0.257309941*0.9)</f>
        <v>0</v>
      </c>
      <c r="W24" s="405">
        <f>E24*0.052631578</f>
        <v>0</v>
      </c>
      <c r="X24" s="405"/>
      <c r="Y24" s="405">
        <f>F24*0.055</f>
        <v>0</v>
      </c>
      <c r="Z24" s="1">
        <f>G24*(0.240476199*0.9)</f>
        <v>30.300001074000001</v>
      </c>
      <c r="AA24" s="1">
        <f t="shared" si="16"/>
        <v>7</v>
      </c>
      <c r="AB24" s="44">
        <f t="shared" si="17"/>
        <v>988.26000000000101</v>
      </c>
      <c r="AC24" s="42">
        <f t="shared" si="18"/>
        <v>0</v>
      </c>
      <c r="AD24" s="42">
        <f t="shared" si="19"/>
        <v>0</v>
      </c>
      <c r="AE24" s="405">
        <f t="shared" si="3"/>
        <v>0</v>
      </c>
      <c r="AF24" s="275">
        <f t="shared" si="4"/>
        <v>102.69999892600001</v>
      </c>
      <c r="AG24" s="43">
        <f t="shared" si="20"/>
        <v>1090.9599989260009</v>
      </c>
      <c r="AH24" s="42">
        <f t="shared" si="5"/>
        <v>245.69000107399899</v>
      </c>
      <c r="AI24" s="44">
        <f t="shared" si="6"/>
        <v>70.349999999999994</v>
      </c>
      <c r="AJ24" s="405">
        <v>0</v>
      </c>
      <c r="AK24" s="406">
        <v>0</v>
      </c>
      <c r="AL24" s="407">
        <f t="shared" si="7"/>
        <v>86.105761556906145</v>
      </c>
      <c r="AM24" s="44">
        <f t="shared" si="21"/>
        <v>1406.9999999999998</v>
      </c>
      <c r="AN24">
        <f t="shared" si="22"/>
        <v>16.999999999999922</v>
      </c>
      <c r="AO24" t="e">
        <f t="shared" si="23"/>
        <v>#DIV/0!</v>
      </c>
      <c r="AP24">
        <f t="shared" si="24"/>
        <v>0.21642857910000002</v>
      </c>
      <c r="AS24" s="404">
        <f t="shared" si="8"/>
        <v>1267</v>
      </c>
      <c r="AT24" s="404">
        <f t="shared" si="9"/>
        <v>0.7800000000000008</v>
      </c>
      <c r="AU24" s="404" t="e">
        <f t="shared" si="10"/>
        <v>#DIV/0!</v>
      </c>
      <c r="AV24" s="404" t="e">
        <f t="shared" si="11"/>
        <v>#DIV/0!</v>
      </c>
      <c r="AW24" s="404" t="e">
        <f t="shared" si="12"/>
        <v>#DIV/0!</v>
      </c>
      <c r="AX24">
        <f t="shared" si="25"/>
        <v>1407</v>
      </c>
      <c r="AY24">
        <f>AX24+'Daily  CEM - 2'!AU24</f>
        <v>2827</v>
      </c>
      <c r="AZ24" s="404">
        <v>2827</v>
      </c>
    </row>
    <row r="25" spans="2:52" s="409" customFormat="1" x14ac:dyDescent="0.25">
      <c r="B25" s="410">
        <v>22</v>
      </c>
      <c r="C25" s="1">
        <v>695</v>
      </c>
      <c r="D25" s="1">
        <v>0</v>
      </c>
      <c r="E25" s="1">
        <v>0</v>
      </c>
      <c r="F25" s="1">
        <v>0</v>
      </c>
      <c r="G25" s="1">
        <v>140</v>
      </c>
      <c r="H25" s="1">
        <v>10.1</v>
      </c>
      <c r="I25" s="1">
        <v>0</v>
      </c>
      <c r="J25" s="1">
        <v>0</v>
      </c>
      <c r="K25" s="1">
        <v>0</v>
      </c>
      <c r="L25" s="1">
        <v>2</v>
      </c>
      <c r="M25" s="410">
        <f t="shared" si="26"/>
        <v>68.811881188118818</v>
      </c>
      <c r="N25" s="410" t="e">
        <f t="shared" si="27"/>
        <v>#DIV/0!</v>
      </c>
      <c r="O25" s="410" t="e">
        <f t="shared" si="28"/>
        <v>#DIV/0!</v>
      </c>
      <c r="P25" s="322" t="e">
        <f t="shared" si="14"/>
        <v>#DIV/0!</v>
      </c>
      <c r="Q25" s="1">
        <f t="shared" si="15"/>
        <v>70</v>
      </c>
      <c r="R25" s="410">
        <f>C25*(0.202222222*0.9)</f>
        <v>126.489999861</v>
      </c>
      <c r="S25" s="410">
        <f>C25*0.052</f>
        <v>36.14</v>
      </c>
      <c r="T25" s="410">
        <f>D25*(0.277777777777777*0.9)</f>
        <v>0</v>
      </c>
      <c r="U25" s="410">
        <f>D25*0.0533333333333333</f>
        <v>0</v>
      </c>
      <c r="V25" s="410">
        <f>E25*(0.222222222222222*0.9)</f>
        <v>0</v>
      </c>
      <c r="W25" s="410">
        <f>E25*0.05</f>
        <v>0</v>
      </c>
      <c r="X25" s="410"/>
      <c r="Y25" s="410">
        <f>F25*0.052631579</f>
        <v>0</v>
      </c>
      <c r="Z25" s="1">
        <f>G25*(0.24047619*0.9)</f>
        <v>30.299999940000003</v>
      </c>
      <c r="AA25" s="1">
        <f t="shared" si="16"/>
        <v>7</v>
      </c>
      <c r="AB25" s="44">
        <f t="shared" si="17"/>
        <v>532.37000013900001</v>
      </c>
      <c r="AC25" s="42">
        <f t="shared" si="18"/>
        <v>0</v>
      </c>
      <c r="AD25" s="42">
        <f t="shared" si="19"/>
        <v>0</v>
      </c>
      <c r="AE25" s="324">
        <f t="shared" si="3"/>
        <v>0</v>
      </c>
      <c r="AF25" s="275">
        <f t="shared" si="4"/>
        <v>102.70000005999999</v>
      </c>
      <c r="AG25" s="44">
        <f t="shared" si="20"/>
        <v>635.07000019899999</v>
      </c>
      <c r="AH25" s="44">
        <f t="shared" si="5"/>
        <v>156.78999980099999</v>
      </c>
      <c r="AI25" s="618">
        <f t="shared" si="6"/>
        <v>43.14</v>
      </c>
      <c r="AJ25" s="410">
        <v>0</v>
      </c>
      <c r="AK25" s="411">
        <v>0</v>
      </c>
      <c r="AL25" s="412">
        <f>AG25/(C25+D25+E25)*100</f>
        <v>91.376978445899283</v>
      </c>
      <c r="AM25" s="44">
        <f t="shared" si="21"/>
        <v>835</v>
      </c>
      <c r="AN25">
        <f t="shared" si="22"/>
        <v>18.199999980000001</v>
      </c>
      <c r="AO25" t="e">
        <f t="shared" si="23"/>
        <v>#DIV/0!</v>
      </c>
      <c r="AP25">
        <f t="shared" si="24"/>
        <v>0.21642857100000001</v>
      </c>
      <c r="AS25" s="409">
        <f t="shared" si="8"/>
        <v>695</v>
      </c>
      <c r="AT25" s="409">
        <f t="shared" si="9"/>
        <v>0.76600000020000003</v>
      </c>
      <c r="AU25" s="321" t="e">
        <f t="shared" si="10"/>
        <v>#DIV/0!</v>
      </c>
      <c r="AV25" s="321" t="e">
        <f t="shared" si="11"/>
        <v>#DIV/0!</v>
      </c>
      <c r="AW25" s="321" t="e">
        <f t="shared" si="12"/>
        <v>#DIV/0!</v>
      </c>
      <c r="AX25">
        <f t="shared" si="25"/>
        <v>835</v>
      </c>
      <c r="AY25">
        <f>AX25+'Daily  CEM - 2'!AU25</f>
        <v>2245</v>
      </c>
      <c r="AZ25" s="409">
        <v>2245</v>
      </c>
    </row>
    <row r="26" spans="2:52" s="321" customFormat="1" x14ac:dyDescent="0.25">
      <c r="B26" s="322">
        <v>23</v>
      </c>
      <c r="C26" s="1">
        <v>0</v>
      </c>
      <c r="D26" s="1">
        <v>0</v>
      </c>
      <c r="E26" s="1">
        <v>0</v>
      </c>
      <c r="F26" s="1">
        <v>120</v>
      </c>
      <c r="G26" s="1">
        <v>501</v>
      </c>
      <c r="H26" s="1">
        <v>0</v>
      </c>
      <c r="I26" s="1">
        <v>0</v>
      </c>
      <c r="J26" s="1">
        <v>0</v>
      </c>
      <c r="K26" s="1">
        <v>2</v>
      </c>
      <c r="L26" s="1">
        <v>7</v>
      </c>
      <c r="M26" s="322" t="e">
        <f t="shared" ref="M26" si="36">C26/H26</f>
        <v>#DIV/0!</v>
      </c>
      <c r="N26" s="322" t="e">
        <f t="shared" ref="N26" si="37">D26/I26</f>
        <v>#DIV/0!</v>
      </c>
      <c r="O26" s="322" t="e">
        <f t="shared" ref="O26" si="38">E26/J26</f>
        <v>#DIV/0!</v>
      </c>
      <c r="P26" s="322">
        <f t="shared" si="14"/>
        <v>60</v>
      </c>
      <c r="Q26" s="1">
        <f t="shared" si="15"/>
        <v>71.571428571428569</v>
      </c>
      <c r="R26" s="414">
        <f>C26*(0.1944287066*0.9)</f>
        <v>0</v>
      </c>
      <c r="S26" s="323">
        <f>C26*0.05</f>
        <v>0</v>
      </c>
      <c r="T26" s="322">
        <f>D26*(0.326797385*0.9)</f>
        <v>0</v>
      </c>
      <c r="U26" s="322">
        <f>D26*0.051470588</f>
        <v>0</v>
      </c>
      <c r="V26" s="322">
        <f>E26*(0.277777777777777*0.9)</f>
        <v>0</v>
      </c>
      <c r="W26" s="322">
        <f>E26*0.05</f>
        <v>0</v>
      </c>
      <c r="X26" s="322"/>
      <c r="Y26" s="335">
        <f>F26*0.05</f>
        <v>6</v>
      </c>
      <c r="Z26" s="1">
        <f>G26*(0.277777777*0.9)</f>
        <v>125.24999964929999</v>
      </c>
      <c r="AA26" s="1">
        <f>G26*0.05</f>
        <v>25.05</v>
      </c>
      <c r="AB26" s="44">
        <f t="shared" si="17"/>
        <v>0</v>
      </c>
      <c r="AC26" s="42">
        <f t="shared" si="18"/>
        <v>0</v>
      </c>
      <c r="AD26" s="42">
        <f t="shared" si="19"/>
        <v>0</v>
      </c>
      <c r="AE26" s="324">
        <f t="shared" si="3"/>
        <v>114</v>
      </c>
      <c r="AF26" s="275">
        <f t="shared" si="4"/>
        <v>350.70000035070001</v>
      </c>
      <c r="AG26" s="43">
        <f t="shared" si="20"/>
        <v>464.70000035070001</v>
      </c>
      <c r="AH26" s="618">
        <f t="shared" si="5"/>
        <v>125.24999964929999</v>
      </c>
      <c r="AI26" s="44">
        <f t="shared" si="6"/>
        <v>31.05</v>
      </c>
      <c r="AJ26" s="322">
        <v>0</v>
      </c>
      <c r="AK26" s="325">
        <v>0</v>
      </c>
      <c r="AL26" s="331" t="e">
        <f>AG26/(C26+D26+E26)*100</f>
        <v>#DIV/0!</v>
      </c>
      <c r="AM26" s="44">
        <f t="shared" si="21"/>
        <v>621</v>
      </c>
      <c r="AN26" t="e">
        <f t="shared" si="22"/>
        <v>#DIV/0!</v>
      </c>
      <c r="AO26" t="e">
        <f t="shared" si="23"/>
        <v>#DIV/0!</v>
      </c>
      <c r="AP26">
        <f t="shared" si="24"/>
        <v>0.2499999993</v>
      </c>
      <c r="AS26" s="321">
        <f t="shared" si="8"/>
        <v>0</v>
      </c>
      <c r="AT26" s="321" t="e">
        <f t="shared" si="9"/>
        <v>#DIV/0!</v>
      </c>
      <c r="AU26" s="321" t="e">
        <f t="shared" si="10"/>
        <v>#DIV/0!</v>
      </c>
      <c r="AV26" s="321" t="e">
        <f t="shared" si="11"/>
        <v>#DIV/0!</v>
      </c>
      <c r="AW26" s="321">
        <f t="shared" si="12"/>
        <v>0.95</v>
      </c>
      <c r="AX26">
        <f t="shared" si="25"/>
        <v>621</v>
      </c>
      <c r="AY26">
        <f>AX26+'Daily  CEM - 2'!AU26</f>
        <v>2085</v>
      </c>
      <c r="AZ26" s="321">
        <v>2085</v>
      </c>
    </row>
    <row r="27" spans="2:52" s="321" customFormat="1" x14ac:dyDescent="0.25">
      <c r="B27" s="415">
        <v>24</v>
      </c>
      <c r="C27" s="1">
        <v>1230</v>
      </c>
      <c r="D27" s="1">
        <v>0</v>
      </c>
      <c r="E27" s="1">
        <v>0</v>
      </c>
      <c r="F27" s="1">
        <v>0</v>
      </c>
      <c r="G27" s="1">
        <v>0</v>
      </c>
      <c r="H27" s="1">
        <v>17.75</v>
      </c>
      <c r="I27" s="1">
        <v>0</v>
      </c>
      <c r="J27" s="1">
        <v>0</v>
      </c>
      <c r="K27" s="1">
        <v>0</v>
      </c>
      <c r="L27" s="1">
        <v>0</v>
      </c>
      <c r="M27" s="415">
        <f>C27/H27</f>
        <v>69.295774647887328</v>
      </c>
      <c r="N27" s="415" t="e">
        <f t="shared" si="27"/>
        <v>#DIV/0!</v>
      </c>
      <c r="O27" s="415" t="e">
        <f t="shared" si="28"/>
        <v>#DIV/0!</v>
      </c>
      <c r="P27" s="322" t="e">
        <f t="shared" si="14"/>
        <v>#DIV/0!</v>
      </c>
      <c r="Q27" s="1" t="e">
        <f t="shared" si="15"/>
        <v>#DIV/0!</v>
      </c>
      <c r="R27" s="415">
        <f>C27*(0.183333333333333*0.9)</f>
        <v>202.94999999999965</v>
      </c>
      <c r="S27" s="415">
        <f>C27*0.05</f>
        <v>61.5</v>
      </c>
      <c r="T27" s="322">
        <f>D27*(0.282051282*0.9)</f>
        <v>0</v>
      </c>
      <c r="U27" s="322">
        <f>D27*0.053846153</f>
        <v>0</v>
      </c>
      <c r="V27" s="322">
        <f>E27*(0.188679245*0.9)</f>
        <v>0</v>
      </c>
      <c r="W27" s="322">
        <f>E27*0.049056603</f>
        <v>0</v>
      </c>
      <c r="X27" s="322"/>
      <c r="Y27" s="335">
        <f t="shared" ref="Y27:Y32" si="39">F27*0.055</f>
        <v>0</v>
      </c>
      <c r="Z27" s="1">
        <f t="shared" si="31"/>
        <v>0</v>
      </c>
      <c r="AA27" s="1">
        <f t="shared" si="16"/>
        <v>0</v>
      </c>
      <c r="AB27" s="44">
        <f t="shared" si="17"/>
        <v>965.55000000000041</v>
      </c>
      <c r="AC27" s="42">
        <f t="shared" si="18"/>
        <v>0</v>
      </c>
      <c r="AD27" s="42">
        <f t="shared" si="19"/>
        <v>0</v>
      </c>
      <c r="AE27" s="324">
        <f t="shared" si="3"/>
        <v>0</v>
      </c>
      <c r="AF27" s="275">
        <f t="shared" si="4"/>
        <v>0</v>
      </c>
      <c r="AG27" s="43">
        <f t="shared" si="20"/>
        <v>965.55000000000041</v>
      </c>
      <c r="AH27" s="42">
        <f>R27+T27+V27+Z27</f>
        <v>202.94999999999965</v>
      </c>
      <c r="AI27" s="44">
        <f t="shared" si="6"/>
        <v>61.5</v>
      </c>
      <c r="AJ27" s="322">
        <v>0</v>
      </c>
      <c r="AK27" s="325">
        <v>0</v>
      </c>
      <c r="AL27" s="331">
        <f>AG27/(C27+D27+E27)*100</f>
        <v>78.500000000000043</v>
      </c>
      <c r="AM27" s="44">
        <f t="shared" si="21"/>
        <v>1230</v>
      </c>
      <c r="AN27">
        <f t="shared" si="22"/>
        <v>16.499999999999972</v>
      </c>
      <c r="AO27" t="e">
        <f t="shared" si="23"/>
        <v>#DIV/0!</v>
      </c>
      <c r="AP27" t="e">
        <f t="shared" si="24"/>
        <v>#DIV/0!</v>
      </c>
      <c r="AS27" s="321">
        <f t="shared" si="8"/>
        <v>1230</v>
      </c>
      <c r="AT27" s="321">
        <f t="shared" si="9"/>
        <v>0.78500000000000036</v>
      </c>
      <c r="AU27" s="321" t="e">
        <f t="shared" si="10"/>
        <v>#DIV/0!</v>
      </c>
      <c r="AV27" s="321" t="e">
        <f t="shared" si="11"/>
        <v>#DIV/0!</v>
      </c>
      <c r="AW27" s="321" t="e">
        <f t="shared" si="12"/>
        <v>#DIV/0!</v>
      </c>
      <c r="AX27">
        <f t="shared" si="25"/>
        <v>1230</v>
      </c>
      <c r="AY27">
        <f>AX27+'Daily  CEM - 2'!AU27</f>
        <v>2565</v>
      </c>
      <c r="AZ27" s="321">
        <v>2565</v>
      </c>
    </row>
    <row r="28" spans="2:52" s="321" customFormat="1" x14ac:dyDescent="0.25">
      <c r="B28" s="322">
        <v>25</v>
      </c>
      <c r="C28" s="1">
        <v>480</v>
      </c>
      <c r="D28" s="1">
        <v>0</v>
      </c>
      <c r="E28" s="1">
        <v>0</v>
      </c>
      <c r="F28" s="1">
        <v>0</v>
      </c>
      <c r="G28" s="1">
        <v>210</v>
      </c>
      <c r="H28" s="1">
        <v>6.88</v>
      </c>
      <c r="I28" s="1">
        <v>0</v>
      </c>
      <c r="J28" s="1">
        <v>0</v>
      </c>
      <c r="K28" s="1">
        <v>0</v>
      </c>
      <c r="L28" s="1">
        <v>3</v>
      </c>
      <c r="M28" s="322">
        <f>C28/H28</f>
        <v>69.767441860465112</v>
      </c>
      <c r="N28" s="322" t="e">
        <f>D28/I28</f>
        <v>#DIV/0!</v>
      </c>
      <c r="O28" s="322" t="e">
        <f>E28/J28</f>
        <v>#DIV/0!</v>
      </c>
      <c r="P28" s="322" t="e">
        <f t="shared" si="14"/>
        <v>#DIV/0!</v>
      </c>
      <c r="Q28" s="1">
        <f t="shared" si="15"/>
        <v>70</v>
      </c>
      <c r="R28" s="416">
        <f>C28*(0.177777777777778*0.9)</f>
        <v>76.800000000000097</v>
      </c>
      <c r="S28" s="416">
        <f t="shared" ref="S28:S34" si="40">C28*0.05</f>
        <v>24</v>
      </c>
      <c r="T28" s="416">
        <f>D28*(0.244444444444444*0.9)</f>
        <v>0</v>
      </c>
      <c r="U28" s="416">
        <f>D28*0.055</f>
        <v>0</v>
      </c>
      <c r="V28" s="322">
        <f>E28*(0.27481217888*0.9)</f>
        <v>0</v>
      </c>
      <c r="W28" s="322">
        <f>E28*0.0508896799</f>
        <v>0</v>
      </c>
      <c r="X28" s="322"/>
      <c r="Y28" s="335">
        <f t="shared" si="39"/>
        <v>0</v>
      </c>
      <c r="Z28" s="1">
        <f>G28*(0.288888888888888*0.9)</f>
        <v>54.599999999999824</v>
      </c>
      <c r="AA28" s="1">
        <f t="shared" si="16"/>
        <v>10.5</v>
      </c>
      <c r="AB28" s="44">
        <f t="shared" si="17"/>
        <v>379.19999999999993</v>
      </c>
      <c r="AC28" s="42">
        <f t="shared" si="18"/>
        <v>0</v>
      </c>
      <c r="AD28" s="42">
        <f t="shared" si="19"/>
        <v>0</v>
      </c>
      <c r="AE28" s="324">
        <f t="shared" si="3"/>
        <v>0</v>
      </c>
      <c r="AF28" s="275">
        <f t="shared" si="4"/>
        <v>144.90000000000018</v>
      </c>
      <c r="AG28" s="43">
        <f t="shared" si="20"/>
        <v>524.10000000000014</v>
      </c>
      <c r="AH28" s="42">
        <f t="shared" ref="AH28:AH36" si="41">R28+T28+V28+Z28</f>
        <v>131.39999999999992</v>
      </c>
      <c r="AI28" s="44">
        <f t="shared" si="6"/>
        <v>34.5</v>
      </c>
      <c r="AJ28" s="322">
        <v>0</v>
      </c>
      <c r="AK28" s="325">
        <v>0</v>
      </c>
      <c r="AL28" s="331">
        <f t="shared" ref="AL28:AL39" si="42">AG28/(C28+D28)*100</f>
        <v>109.18750000000004</v>
      </c>
      <c r="AM28" s="44">
        <f t="shared" si="21"/>
        <v>690</v>
      </c>
      <c r="AN28">
        <f t="shared" si="22"/>
        <v>16.000000000000021</v>
      </c>
      <c r="AO28" t="e">
        <f t="shared" si="23"/>
        <v>#DIV/0!</v>
      </c>
      <c r="AP28">
        <f t="shared" si="24"/>
        <v>0.25999999999999918</v>
      </c>
      <c r="AS28" s="321">
        <f t="shared" si="8"/>
        <v>480</v>
      </c>
      <c r="AT28" s="321">
        <f t="shared" si="9"/>
        <v>0.78999999999999981</v>
      </c>
      <c r="AU28" s="321" t="e">
        <f t="shared" si="10"/>
        <v>#DIV/0!</v>
      </c>
      <c r="AV28" s="321" t="e">
        <f t="shared" si="11"/>
        <v>#DIV/0!</v>
      </c>
      <c r="AW28" s="321" t="e">
        <f t="shared" si="12"/>
        <v>#DIV/0!</v>
      </c>
      <c r="AX28">
        <f t="shared" si="25"/>
        <v>690</v>
      </c>
      <c r="AY28">
        <f>AX28+'Daily  CEM - 2'!AU28</f>
        <v>2158</v>
      </c>
      <c r="AZ28" s="321">
        <v>2158</v>
      </c>
    </row>
    <row r="29" spans="2:52" s="321" customFormat="1" ht="16.5" customHeight="1" x14ac:dyDescent="0.25">
      <c r="B29" s="322">
        <v>26</v>
      </c>
      <c r="C29" s="1">
        <v>1430</v>
      </c>
      <c r="D29" s="1">
        <v>0</v>
      </c>
      <c r="E29" s="1">
        <v>0</v>
      </c>
      <c r="F29" s="1">
        <v>0</v>
      </c>
      <c r="G29" s="1">
        <v>0</v>
      </c>
      <c r="H29" s="1">
        <v>20.5</v>
      </c>
      <c r="I29" s="1">
        <v>0</v>
      </c>
      <c r="J29" s="1">
        <v>0</v>
      </c>
      <c r="K29" s="1">
        <v>0</v>
      </c>
      <c r="L29" s="1">
        <v>0</v>
      </c>
      <c r="M29" s="322">
        <f t="shared" ref="M29" si="43">C29/H29</f>
        <v>69.756097560975604</v>
      </c>
      <c r="N29" s="322" t="e">
        <f t="shared" ref="N29" si="44">D29/I29</f>
        <v>#DIV/0!</v>
      </c>
      <c r="O29" s="322" t="e">
        <f t="shared" ref="O29" si="45">E29/J29</f>
        <v>#DIV/0!</v>
      </c>
      <c r="P29" s="322" t="e">
        <f t="shared" si="14"/>
        <v>#DIV/0!</v>
      </c>
      <c r="Q29" s="1" t="e">
        <f t="shared" si="15"/>
        <v>#DIV/0!</v>
      </c>
      <c r="R29" s="364">
        <f>C29*(0.192540792*0.9)</f>
        <v>247.79999930399998</v>
      </c>
      <c r="S29" s="322">
        <f t="shared" si="40"/>
        <v>71.5</v>
      </c>
      <c r="T29" s="322">
        <f>D29*(0.311111111111111*0.9)</f>
        <v>0</v>
      </c>
      <c r="U29" s="322">
        <f>D29*0.05</f>
        <v>0</v>
      </c>
      <c r="V29" s="322">
        <f>E29*(0.277777777777777*0.9)</f>
        <v>0</v>
      </c>
      <c r="W29" s="322">
        <f>E29*0.05</f>
        <v>0</v>
      </c>
      <c r="X29" s="322"/>
      <c r="Y29" s="335">
        <f t="shared" si="39"/>
        <v>0</v>
      </c>
      <c r="Z29" s="14">
        <f>G29*(0.272222222222222*0.9)</f>
        <v>0</v>
      </c>
      <c r="AA29" s="1">
        <f t="shared" si="16"/>
        <v>0</v>
      </c>
      <c r="AB29" s="44">
        <f t="shared" si="17"/>
        <v>1110.700000696</v>
      </c>
      <c r="AC29" s="42">
        <f t="shared" si="18"/>
        <v>0</v>
      </c>
      <c r="AD29" s="42">
        <f t="shared" si="19"/>
        <v>0</v>
      </c>
      <c r="AE29" s="324">
        <f t="shared" si="3"/>
        <v>0</v>
      </c>
      <c r="AF29" s="275">
        <f t="shared" si="4"/>
        <v>0</v>
      </c>
      <c r="AG29" s="43">
        <f t="shared" si="20"/>
        <v>1110.700000696</v>
      </c>
      <c r="AH29" s="42">
        <f t="shared" si="41"/>
        <v>247.79999930399998</v>
      </c>
      <c r="AI29" s="44">
        <f t="shared" si="6"/>
        <v>71.5</v>
      </c>
      <c r="AJ29" s="322">
        <v>0</v>
      </c>
      <c r="AK29" s="325">
        <v>0</v>
      </c>
      <c r="AL29" s="331">
        <f t="shared" si="42"/>
        <v>77.671328720000005</v>
      </c>
      <c r="AM29" s="44">
        <f t="shared" si="21"/>
        <v>1430</v>
      </c>
      <c r="AN29">
        <f t="shared" si="22"/>
        <v>17.328671279999998</v>
      </c>
      <c r="AO29" t="e">
        <f t="shared" si="23"/>
        <v>#DIV/0!</v>
      </c>
      <c r="AP29" t="e">
        <f t="shared" si="24"/>
        <v>#DIV/0!</v>
      </c>
      <c r="AS29" s="321">
        <f t="shared" si="8"/>
        <v>1430</v>
      </c>
      <c r="AT29" s="321">
        <f t="shared" si="9"/>
        <v>0.77671328719999999</v>
      </c>
      <c r="AU29" s="321" t="e">
        <f t="shared" si="10"/>
        <v>#DIV/0!</v>
      </c>
      <c r="AV29" s="321" t="e">
        <f t="shared" si="11"/>
        <v>#DIV/0!</v>
      </c>
      <c r="AW29" s="321" t="e">
        <f t="shared" si="12"/>
        <v>#DIV/0!</v>
      </c>
      <c r="AX29">
        <f t="shared" si="25"/>
        <v>1430</v>
      </c>
      <c r="AY29">
        <f>AX29+'Daily  CEM - 2'!AU29</f>
        <v>2788</v>
      </c>
      <c r="AZ29" s="321">
        <v>2788</v>
      </c>
    </row>
    <row r="30" spans="2:52" x14ac:dyDescent="0.25">
      <c r="B30" s="1">
        <v>27</v>
      </c>
      <c r="C30" s="1">
        <v>260</v>
      </c>
      <c r="D30" s="1">
        <v>410</v>
      </c>
      <c r="E30" s="1">
        <v>0</v>
      </c>
      <c r="F30" s="1">
        <v>0</v>
      </c>
      <c r="G30" s="1">
        <v>410</v>
      </c>
      <c r="H30" s="1">
        <v>3.72</v>
      </c>
      <c r="I30" s="1">
        <v>5.8</v>
      </c>
      <c r="J30" s="1">
        <v>0</v>
      </c>
      <c r="K30" s="1">
        <v>0</v>
      </c>
      <c r="L30" s="1">
        <v>5.8</v>
      </c>
      <c r="M30" s="1">
        <f>C30/H30</f>
        <v>69.892473118279568</v>
      </c>
      <c r="N30" s="1">
        <f t="shared" si="27"/>
        <v>70.689655172413794</v>
      </c>
      <c r="O30" s="1" t="e">
        <f t="shared" si="28"/>
        <v>#DIV/0!</v>
      </c>
      <c r="P30" s="1" t="e">
        <f t="shared" si="14"/>
        <v>#DIV/0!</v>
      </c>
      <c r="Q30" s="1">
        <f t="shared" si="15"/>
        <v>70.689655172413794</v>
      </c>
      <c r="R30" s="1">
        <f>C30*(0.188888888888888*0.9)</f>
        <v>44.199999999999797</v>
      </c>
      <c r="S30" s="1">
        <f>C30*0.05</f>
        <v>13</v>
      </c>
      <c r="T30" s="1">
        <f>D30*(0.311111111111111*0.9)</f>
        <v>114.79999999999997</v>
      </c>
      <c r="U30" s="1">
        <f>D30*0.05</f>
        <v>20.5</v>
      </c>
      <c r="V30" s="1">
        <f>E30*(0.282186948*0.9)</f>
        <v>0</v>
      </c>
      <c r="W30" s="1">
        <f>E30*0.047619047</f>
        <v>0</v>
      </c>
      <c r="X30" s="1"/>
      <c r="Y30" s="1">
        <f t="shared" si="39"/>
        <v>0</v>
      </c>
      <c r="Z30" s="1">
        <f>G30*(0.288888888888888*0.9)</f>
        <v>106.59999999999967</v>
      </c>
      <c r="AA30" s="1">
        <f t="shared" si="16"/>
        <v>20.5</v>
      </c>
      <c r="AB30" s="44">
        <f t="shared" si="17"/>
        <v>202.80000000000021</v>
      </c>
      <c r="AC30" s="42">
        <f t="shared" si="18"/>
        <v>274.70000000000005</v>
      </c>
      <c r="AD30" s="42">
        <f t="shared" si="19"/>
        <v>0</v>
      </c>
      <c r="AE30" s="1">
        <f t="shared" si="3"/>
        <v>0</v>
      </c>
      <c r="AF30" s="1">
        <f t="shared" si="4"/>
        <v>282.90000000000032</v>
      </c>
      <c r="AG30" s="43">
        <f t="shared" si="20"/>
        <v>760.40000000000055</v>
      </c>
      <c r="AH30" s="42">
        <f t="shared" si="41"/>
        <v>265.59999999999945</v>
      </c>
      <c r="AI30" s="44">
        <f t="shared" si="6"/>
        <v>54</v>
      </c>
      <c r="AJ30" s="1">
        <v>0</v>
      </c>
      <c r="AK30" s="6">
        <v>0</v>
      </c>
      <c r="AL30" s="32">
        <f t="shared" si="42"/>
        <v>113.49253731343292</v>
      </c>
      <c r="AM30" s="44">
        <f t="shared" si="21"/>
        <v>1080</v>
      </c>
      <c r="AN30">
        <f t="shared" si="22"/>
        <v>16.999999999999922</v>
      </c>
      <c r="AO30">
        <f t="shared" si="23"/>
        <v>27.999999999999993</v>
      </c>
      <c r="AP30">
        <f t="shared" si="24"/>
        <v>0.25999999999999918</v>
      </c>
      <c r="AS30">
        <f t="shared" si="8"/>
        <v>670</v>
      </c>
      <c r="AT30">
        <f t="shared" ref="AT30:AT35" si="46">AB30/C30</f>
        <v>0.7800000000000008</v>
      </c>
      <c r="AU30" t="e">
        <f t="shared" ref="AU30:AU35" si="47">AD30/E30</f>
        <v>#DIV/0!</v>
      </c>
      <c r="AV30" s="321" t="e">
        <f>AD30/E30</f>
        <v>#DIV/0!</v>
      </c>
      <c r="AX30">
        <f t="shared" si="25"/>
        <v>1080</v>
      </c>
      <c r="AY30">
        <f>AX30+'Daily  CEM - 2'!AU30</f>
        <v>2620</v>
      </c>
      <c r="AZ30">
        <v>2620</v>
      </c>
    </row>
    <row r="31" spans="2:52" x14ac:dyDescent="0.25">
      <c r="B31" s="1">
        <v>28</v>
      </c>
      <c r="C31" s="1">
        <v>306</v>
      </c>
      <c r="D31" s="1">
        <v>0</v>
      </c>
      <c r="E31" s="1">
        <v>0</v>
      </c>
      <c r="F31" s="1">
        <v>0</v>
      </c>
      <c r="G31" s="1">
        <v>0</v>
      </c>
      <c r="H31" s="1">
        <v>4.38</v>
      </c>
      <c r="I31" s="1">
        <v>0</v>
      </c>
      <c r="J31" s="1">
        <v>0</v>
      </c>
      <c r="K31" s="1">
        <v>0</v>
      </c>
      <c r="L31" s="1">
        <v>0</v>
      </c>
      <c r="M31" s="1">
        <f>C31/H31</f>
        <v>69.863013698630141</v>
      </c>
      <c r="N31" s="1" t="e">
        <f t="shared" si="27"/>
        <v>#DIV/0!</v>
      </c>
      <c r="O31" s="1" t="e">
        <f t="shared" si="28"/>
        <v>#DIV/0!</v>
      </c>
      <c r="P31" s="1" t="e">
        <f t="shared" si="14"/>
        <v>#DIV/0!</v>
      </c>
      <c r="Q31" s="1" t="e">
        <f t="shared" si="15"/>
        <v>#DIV/0!</v>
      </c>
      <c r="R31" s="15">
        <f>C31*(0.183333333333333*0.9)</f>
        <v>50.48999999999991</v>
      </c>
      <c r="S31" s="420">
        <f>C31*0.05</f>
        <v>15.3</v>
      </c>
      <c r="T31" s="245">
        <f>D31*(0.325*0.9)</f>
        <v>0</v>
      </c>
      <c r="U31" s="1">
        <f>D31*0.05</f>
        <v>0</v>
      </c>
      <c r="V31" s="1">
        <f>E31*(0.288888888888888*0.9)</f>
        <v>0</v>
      </c>
      <c r="W31" s="1">
        <f>E31*0.05</f>
        <v>0</v>
      </c>
      <c r="X31" s="1"/>
      <c r="Y31" s="254">
        <f t="shared" si="39"/>
        <v>0</v>
      </c>
      <c r="Z31" s="1">
        <f t="shared" si="31"/>
        <v>0</v>
      </c>
      <c r="AA31" s="1">
        <f t="shared" si="16"/>
        <v>0</v>
      </c>
      <c r="AB31" s="44">
        <f t="shared" si="17"/>
        <v>240.21000000000009</v>
      </c>
      <c r="AC31" s="42">
        <f t="shared" si="18"/>
        <v>0</v>
      </c>
      <c r="AD31" s="42">
        <f t="shared" si="19"/>
        <v>0</v>
      </c>
      <c r="AE31" s="275">
        <f t="shared" si="3"/>
        <v>0</v>
      </c>
      <c r="AF31" s="275">
        <f t="shared" si="4"/>
        <v>0</v>
      </c>
      <c r="AG31" s="43">
        <f t="shared" si="20"/>
        <v>240.21000000000009</v>
      </c>
      <c r="AH31" s="42">
        <f t="shared" si="41"/>
        <v>50.48999999999991</v>
      </c>
      <c r="AI31" s="44">
        <f t="shared" si="6"/>
        <v>15.3</v>
      </c>
      <c r="AJ31" s="1">
        <v>0</v>
      </c>
      <c r="AK31" s="6">
        <v>0</v>
      </c>
      <c r="AL31" s="45">
        <f t="shared" si="42"/>
        <v>78.500000000000028</v>
      </c>
      <c r="AM31" s="44">
        <f t="shared" si="21"/>
        <v>306</v>
      </c>
      <c r="AN31">
        <f t="shared" si="22"/>
        <v>16.499999999999972</v>
      </c>
      <c r="AO31" t="e">
        <f t="shared" si="23"/>
        <v>#DIV/0!</v>
      </c>
      <c r="AP31" t="e">
        <f t="shared" si="24"/>
        <v>#DIV/0!</v>
      </c>
      <c r="AS31">
        <f t="shared" si="8"/>
        <v>306</v>
      </c>
      <c r="AT31">
        <f t="shared" si="46"/>
        <v>0.78500000000000025</v>
      </c>
      <c r="AU31" t="e">
        <f t="shared" si="47"/>
        <v>#DIV/0!</v>
      </c>
      <c r="AV31" s="321" t="e">
        <f>AD31/E31</f>
        <v>#DIV/0!</v>
      </c>
      <c r="AX31">
        <f t="shared" si="25"/>
        <v>306</v>
      </c>
      <c r="AY31">
        <f>AX31+'Daily  CEM - 2'!AU31</f>
        <v>1792</v>
      </c>
      <c r="AZ31">
        <v>1792</v>
      </c>
    </row>
    <row r="32" spans="2:52" x14ac:dyDescent="0.25">
      <c r="B32" s="1">
        <v>29</v>
      </c>
      <c r="C32" s="1">
        <v>1015</v>
      </c>
      <c r="D32" s="1">
        <v>0</v>
      </c>
      <c r="E32" s="1">
        <v>0</v>
      </c>
      <c r="F32" s="1">
        <v>0</v>
      </c>
      <c r="G32" s="1">
        <v>210</v>
      </c>
      <c r="H32" s="1">
        <v>14.73</v>
      </c>
      <c r="I32" s="1">
        <v>0</v>
      </c>
      <c r="J32" s="1">
        <v>0</v>
      </c>
      <c r="K32" s="1">
        <v>0</v>
      </c>
      <c r="L32" s="1">
        <v>3</v>
      </c>
      <c r="M32" s="1">
        <f>C32/H32</f>
        <v>68.906992532247116</v>
      </c>
      <c r="N32" s="1" t="e">
        <f t="shared" si="27"/>
        <v>#DIV/0!</v>
      </c>
      <c r="O32" s="1" t="e">
        <f t="shared" si="28"/>
        <v>#DIV/0!</v>
      </c>
      <c r="P32" s="1" t="e">
        <f t="shared" si="14"/>
        <v>#DIV/0!</v>
      </c>
      <c r="Q32" s="1">
        <f t="shared" si="15"/>
        <v>70</v>
      </c>
      <c r="R32" s="633">
        <f>C32*(0.186753147*0.9)</f>
        <v>170.59899978449999</v>
      </c>
      <c r="S32" s="604">
        <f>C32*0.05024729</f>
        <v>51.000999350000001</v>
      </c>
      <c r="T32" s="1">
        <f>D32*(0.2927478377*0.9)</f>
        <v>0</v>
      </c>
      <c r="U32" s="1">
        <f>D32*0.0508982036</f>
        <v>0</v>
      </c>
      <c r="V32" s="1">
        <f>E32*(0.288888888888888*0.9)</f>
        <v>0</v>
      </c>
      <c r="W32" s="1">
        <f>E32*0.05</f>
        <v>0</v>
      </c>
      <c r="X32" s="1"/>
      <c r="Y32" s="254">
        <f t="shared" si="39"/>
        <v>0</v>
      </c>
      <c r="Z32" s="1">
        <f>G32*(0.288888888*0.9)</f>
        <v>54.599999832000002</v>
      </c>
      <c r="AA32" s="1">
        <f t="shared" si="16"/>
        <v>10.5</v>
      </c>
      <c r="AB32" s="44">
        <f t="shared" si="17"/>
        <v>793.40000086550003</v>
      </c>
      <c r="AC32" s="42">
        <f t="shared" si="18"/>
        <v>0</v>
      </c>
      <c r="AD32" s="42">
        <f t="shared" si="19"/>
        <v>0</v>
      </c>
      <c r="AE32" s="275">
        <f t="shared" si="3"/>
        <v>0</v>
      </c>
      <c r="AF32" s="275">
        <f t="shared" si="4"/>
        <v>144.90000016799999</v>
      </c>
      <c r="AG32" s="43">
        <f t="shared" si="20"/>
        <v>938.30000103350005</v>
      </c>
      <c r="AH32" s="42">
        <f t="shared" si="41"/>
        <v>225.1989996165</v>
      </c>
      <c r="AI32" s="618">
        <f t="shared" si="6"/>
        <v>61.500999350000001</v>
      </c>
      <c r="AJ32" s="1">
        <v>0</v>
      </c>
      <c r="AK32" s="6">
        <v>0</v>
      </c>
      <c r="AL32" s="45">
        <f t="shared" si="42"/>
        <v>92.443349855517241</v>
      </c>
      <c r="AM32" s="44">
        <f t="shared" si="21"/>
        <v>1225</v>
      </c>
      <c r="AN32">
        <f t="shared" si="22"/>
        <v>16.807783230000002</v>
      </c>
      <c r="AO32" t="e">
        <f t="shared" si="23"/>
        <v>#DIV/0!</v>
      </c>
      <c r="AP32">
        <f t="shared" si="24"/>
        <v>0.2599999992</v>
      </c>
      <c r="AS32">
        <f t="shared" si="8"/>
        <v>1015</v>
      </c>
      <c r="AT32">
        <f t="shared" si="46"/>
        <v>0.78167487769999999</v>
      </c>
      <c r="AU32" t="e">
        <f t="shared" si="47"/>
        <v>#DIV/0!</v>
      </c>
      <c r="AV32" s="321" t="e">
        <f>AD32/E32</f>
        <v>#DIV/0!</v>
      </c>
      <c r="AX32">
        <f t="shared" si="25"/>
        <v>1225</v>
      </c>
      <c r="AY32">
        <f>AX32+'Daily  CEM - 2'!AU32</f>
        <v>2206</v>
      </c>
      <c r="AZ32">
        <v>2206</v>
      </c>
    </row>
    <row r="33" spans="1:52" s="160" customFormat="1" x14ac:dyDescent="0.25">
      <c r="B33" s="1">
        <v>30</v>
      </c>
      <c r="C33" s="1">
        <v>970</v>
      </c>
      <c r="D33" s="1">
        <v>200</v>
      </c>
      <c r="E33" s="1">
        <v>0</v>
      </c>
      <c r="F33" s="1">
        <v>0</v>
      </c>
      <c r="G33" s="1">
        <v>510</v>
      </c>
      <c r="H33" s="1">
        <v>14.2</v>
      </c>
      <c r="I33" s="1">
        <v>2.8</v>
      </c>
      <c r="J33" s="1">
        <v>0</v>
      </c>
      <c r="K33" s="1">
        <v>0</v>
      </c>
      <c r="L33" s="1">
        <v>7</v>
      </c>
      <c r="M33" s="157">
        <f>C33/H33</f>
        <v>68.309859154929583</v>
      </c>
      <c r="N33" s="157">
        <f t="shared" si="27"/>
        <v>71.428571428571431</v>
      </c>
      <c r="O33" s="157" t="e">
        <f t="shared" si="28"/>
        <v>#DIV/0!</v>
      </c>
      <c r="P33" s="1" t="e">
        <f t="shared" si="14"/>
        <v>#DIV/0!</v>
      </c>
      <c r="Q33" s="1">
        <f t="shared" si="15"/>
        <v>72.857142857142861</v>
      </c>
      <c r="R33" s="163">
        <f>C33*(0.183333333333333*0.9)</f>
        <v>160.0499999999997</v>
      </c>
      <c r="S33" s="163">
        <f t="shared" si="40"/>
        <v>48.5</v>
      </c>
      <c r="T33" s="157">
        <f>D33*(0.288888888888888*0.9)</f>
        <v>51.999999999999837</v>
      </c>
      <c r="U33" s="157">
        <f>D33*0.05</f>
        <v>10</v>
      </c>
      <c r="V33" s="157">
        <f>E33*(0.288888888888888*0.9)</f>
        <v>0</v>
      </c>
      <c r="W33" s="157">
        <f>E33*0.05</f>
        <v>0</v>
      </c>
      <c r="X33" s="1"/>
      <c r="Y33" s="254">
        <f>F33*0.057</f>
        <v>0</v>
      </c>
      <c r="Z33" s="1">
        <f>G33*(0.277777777777777*0.9)</f>
        <v>127.49999999999964</v>
      </c>
      <c r="AA33" s="1">
        <f t="shared" si="16"/>
        <v>25.5</v>
      </c>
      <c r="AB33" s="44">
        <f t="shared" si="17"/>
        <v>761.45000000000027</v>
      </c>
      <c r="AC33" s="42">
        <f t="shared" si="18"/>
        <v>138.00000000000017</v>
      </c>
      <c r="AD33" s="42">
        <f t="shared" si="19"/>
        <v>0</v>
      </c>
      <c r="AE33" s="275">
        <f t="shared" si="3"/>
        <v>0</v>
      </c>
      <c r="AF33" s="275">
        <f t="shared" si="4"/>
        <v>357.00000000000034</v>
      </c>
      <c r="AG33" s="43">
        <f t="shared" si="20"/>
        <v>1256.4500000000007</v>
      </c>
      <c r="AH33" s="42">
        <f t="shared" si="41"/>
        <v>339.54999999999916</v>
      </c>
      <c r="AI33" s="44">
        <f t="shared" si="6"/>
        <v>84</v>
      </c>
      <c r="AJ33" s="157">
        <v>0</v>
      </c>
      <c r="AK33" s="6">
        <v>0</v>
      </c>
      <c r="AL33" s="168">
        <f t="shared" si="42"/>
        <v>107.38888888888896</v>
      </c>
      <c r="AM33" s="44">
        <f t="shared" si="21"/>
        <v>1680</v>
      </c>
      <c r="AN33">
        <f t="shared" si="22"/>
        <v>16.499999999999972</v>
      </c>
      <c r="AO33">
        <f t="shared" si="23"/>
        <v>25.999999999999918</v>
      </c>
      <c r="AP33">
        <f t="shared" si="24"/>
        <v>0.24999999999999931</v>
      </c>
      <c r="AS33">
        <f t="shared" si="8"/>
        <v>1170</v>
      </c>
      <c r="AT33">
        <f t="shared" si="46"/>
        <v>0.78500000000000025</v>
      </c>
      <c r="AU33" t="e">
        <f t="shared" si="47"/>
        <v>#DIV/0!</v>
      </c>
      <c r="AV33" s="321" t="e">
        <f>AD33/E33</f>
        <v>#DIV/0!</v>
      </c>
      <c r="AX33">
        <f t="shared" si="25"/>
        <v>1680</v>
      </c>
      <c r="AY33">
        <f>AX33+'Daily  CEM - 2'!AU33</f>
        <v>3144</v>
      </c>
      <c r="AZ33" s="160">
        <v>3144</v>
      </c>
    </row>
    <row r="34" spans="1:52" x14ac:dyDescent="0.25">
      <c r="B34" s="1">
        <v>31</v>
      </c>
      <c r="C34" s="1">
        <v>975</v>
      </c>
      <c r="D34" s="1">
        <v>300</v>
      </c>
      <c r="E34" s="1">
        <v>0</v>
      </c>
      <c r="F34" s="1">
        <v>0</v>
      </c>
      <c r="G34" s="1">
        <v>400</v>
      </c>
      <c r="H34" s="1">
        <v>14.2</v>
      </c>
      <c r="I34" s="1">
        <v>4.2</v>
      </c>
      <c r="J34" s="1">
        <v>0</v>
      </c>
      <c r="K34" s="1">
        <v>0</v>
      </c>
      <c r="L34" s="1">
        <v>5.6</v>
      </c>
      <c r="M34" s="1">
        <f t="shared" ref="M34:M39" si="48">C34/H34</f>
        <v>68.661971830985919</v>
      </c>
      <c r="N34" s="1">
        <f t="shared" ref="N34:N39" si="49">D34/I34</f>
        <v>71.428571428571431</v>
      </c>
      <c r="O34" s="157" t="e">
        <f t="shared" si="28"/>
        <v>#DIV/0!</v>
      </c>
      <c r="P34" s="1" t="e">
        <f t="shared" si="14"/>
        <v>#DIV/0!</v>
      </c>
      <c r="Q34" s="1">
        <f t="shared" si="15"/>
        <v>71.428571428571431</v>
      </c>
      <c r="R34" s="1">
        <f>C34*(0.1888888889*0.9)</f>
        <v>165.75000000975001</v>
      </c>
      <c r="S34" s="1">
        <f t="shared" si="40"/>
        <v>48.75</v>
      </c>
      <c r="T34" s="1">
        <f>D34*(0.3*0.9)</f>
        <v>81</v>
      </c>
      <c r="U34" s="1">
        <f>D34*0.05</f>
        <v>15</v>
      </c>
      <c r="V34" s="157">
        <f>E34*(0.277777777777777*0.9)</f>
        <v>0</v>
      </c>
      <c r="W34" s="157">
        <f>E34*0.05</f>
        <v>0</v>
      </c>
      <c r="X34" s="1"/>
      <c r="Y34" s="1"/>
      <c r="Z34" s="1">
        <f>G34*(0.283333333333333*0.9)</f>
        <v>101.99999999999989</v>
      </c>
      <c r="AA34" s="1">
        <f t="shared" si="16"/>
        <v>20</v>
      </c>
      <c r="AB34" s="44">
        <f t="shared" si="17"/>
        <v>760.49999999024999</v>
      </c>
      <c r="AC34" s="42">
        <f t="shared" si="18"/>
        <v>204</v>
      </c>
      <c r="AD34" s="42">
        <f t="shared" si="19"/>
        <v>0</v>
      </c>
      <c r="AE34" s="275">
        <f t="shared" si="3"/>
        <v>0</v>
      </c>
      <c r="AF34" s="275">
        <f t="shared" si="4"/>
        <v>278.00000000000011</v>
      </c>
      <c r="AG34" s="43">
        <f t="shared" si="20"/>
        <v>1242.4999999902502</v>
      </c>
      <c r="AH34" s="42">
        <f t="shared" si="41"/>
        <v>348.7500000097499</v>
      </c>
      <c r="AI34" s="44">
        <f t="shared" si="6"/>
        <v>83.75</v>
      </c>
      <c r="AJ34" s="1">
        <v>0</v>
      </c>
      <c r="AK34" s="1">
        <v>0</v>
      </c>
      <c r="AL34" s="32">
        <f t="shared" si="42"/>
        <v>97.450980391392179</v>
      </c>
      <c r="AM34" s="44">
        <f t="shared" si="21"/>
        <v>1675</v>
      </c>
      <c r="AN34">
        <f t="shared" si="22"/>
        <v>17.000000001</v>
      </c>
      <c r="AO34">
        <f t="shared" si="23"/>
        <v>27</v>
      </c>
      <c r="AP34">
        <f t="shared" si="24"/>
        <v>0.25499999999999973</v>
      </c>
      <c r="AT34">
        <f t="shared" si="46"/>
        <v>0.77999999999000003</v>
      </c>
      <c r="AU34" t="e">
        <f t="shared" si="47"/>
        <v>#DIV/0!</v>
      </c>
      <c r="AV34" s="321" t="e">
        <f>AD34/E34</f>
        <v>#DIV/0!</v>
      </c>
      <c r="AX34">
        <f t="shared" si="25"/>
        <v>1675</v>
      </c>
      <c r="AY34">
        <f>AX34+'Daily  CEM - 2'!AU34</f>
        <v>3145</v>
      </c>
      <c r="AZ34">
        <v>3145</v>
      </c>
    </row>
    <row r="35" spans="1:5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 t="e">
        <f t="shared" si="48"/>
        <v>#DIV/0!</v>
      </c>
      <c r="N35" s="1" t="e">
        <f t="shared" si="49"/>
        <v>#DIV/0!</v>
      </c>
      <c r="O35" s="1"/>
      <c r="P35" s="1" t="e">
        <f t="shared" si="14"/>
        <v>#DIV/0!</v>
      </c>
      <c r="Q35" s="1" t="e">
        <f t="shared" si="15"/>
        <v>#DIV/0!</v>
      </c>
      <c r="R35" s="1">
        <f t="shared" ref="R35:R39" si="50">C35*(0.1*0.9)</f>
        <v>0</v>
      </c>
      <c r="S35" s="1">
        <f t="shared" ref="S35:S39" si="51">C35*0.045</f>
        <v>0</v>
      </c>
      <c r="T35" s="1">
        <f>D35*(0.18*0.9)</f>
        <v>0</v>
      </c>
      <c r="U35" s="1">
        <f>D35*0.045</f>
        <v>0</v>
      </c>
      <c r="V35" s="1"/>
      <c r="W35" s="1"/>
      <c r="X35" s="1"/>
      <c r="Y35" s="1"/>
      <c r="Z35" s="1">
        <f t="shared" si="31"/>
        <v>0</v>
      </c>
      <c r="AA35" s="1">
        <f t="shared" si="16"/>
        <v>0</v>
      </c>
      <c r="AB35" s="44">
        <f t="shared" si="17"/>
        <v>0</v>
      </c>
      <c r="AC35" s="42">
        <f t="shared" si="18"/>
        <v>0</v>
      </c>
      <c r="AD35" s="42">
        <f t="shared" si="19"/>
        <v>0</v>
      </c>
      <c r="AE35" s="1"/>
      <c r="AF35" s="275">
        <f t="shared" si="4"/>
        <v>0</v>
      </c>
      <c r="AG35" s="43">
        <f t="shared" si="20"/>
        <v>0</v>
      </c>
      <c r="AH35" s="42">
        <f t="shared" si="41"/>
        <v>0</v>
      </c>
      <c r="AI35" s="44">
        <f t="shared" si="6"/>
        <v>0</v>
      </c>
      <c r="AJ35" s="1">
        <v>0</v>
      </c>
      <c r="AK35" s="1">
        <v>0</v>
      </c>
      <c r="AL35" s="32" t="e">
        <f t="shared" si="42"/>
        <v>#DIV/0!</v>
      </c>
      <c r="AM35" s="44">
        <f t="shared" si="21"/>
        <v>0</v>
      </c>
      <c r="AN35" t="e">
        <f>(R35+#REF!)/C35*100</f>
        <v>#REF!</v>
      </c>
      <c r="AP35" t="e">
        <f t="shared" si="24"/>
        <v>#DIV/0!</v>
      </c>
      <c r="AT35" t="e">
        <f t="shared" si="46"/>
        <v>#DIV/0!</v>
      </c>
      <c r="AU35" t="e">
        <f t="shared" si="47"/>
        <v>#DIV/0!</v>
      </c>
      <c r="AX35">
        <f t="shared" si="25"/>
        <v>0</v>
      </c>
      <c r="AY35">
        <f>AX35+'Daily  CEM - 2'!AU35</f>
        <v>0</v>
      </c>
    </row>
    <row r="36" spans="1:5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48"/>
        <v>#DIV/0!</v>
      </c>
      <c r="N36" s="1" t="e">
        <f t="shared" si="49"/>
        <v>#DIV/0!</v>
      </c>
      <c r="O36" s="1"/>
      <c r="P36" s="1"/>
      <c r="Q36" s="1"/>
      <c r="R36" s="1">
        <f t="shared" si="50"/>
        <v>0</v>
      </c>
      <c r="S36" s="1">
        <f t="shared" si="51"/>
        <v>0</v>
      </c>
      <c r="T36" s="1">
        <f>D36*(0.18*0.9)</f>
        <v>0</v>
      </c>
      <c r="U36" s="1">
        <f>D36*0.045</f>
        <v>0</v>
      </c>
      <c r="V36" s="1"/>
      <c r="W36" s="1"/>
      <c r="X36" s="1"/>
      <c r="Y36" s="1"/>
      <c r="Z36" s="1">
        <f t="shared" si="31"/>
        <v>0</v>
      </c>
      <c r="AA36" s="1">
        <f t="shared" si="16"/>
        <v>0</v>
      </c>
      <c r="AB36" s="44">
        <f t="shared" si="17"/>
        <v>0</v>
      </c>
      <c r="AC36" s="42">
        <f t="shared" si="18"/>
        <v>0</v>
      </c>
      <c r="AD36" s="42">
        <f t="shared" si="19"/>
        <v>0</v>
      </c>
      <c r="AE36" s="1"/>
      <c r="AF36" s="275">
        <f t="shared" si="4"/>
        <v>0</v>
      </c>
      <c r="AG36" s="43">
        <f t="shared" si="20"/>
        <v>0</v>
      </c>
      <c r="AH36" s="42">
        <f t="shared" si="41"/>
        <v>0</v>
      </c>
      <c r="AI36" s="44">
        <f>S36+U36+W36+Y36</f>
        <v>0</v>
      </c>
      <c r="AJ36" s="1">
        <v>0</v>
      </c>
      <c r="AK36" s="1">
        <v>0</v>
      </c>
      <c r="AL36" s="32" t="e">
        <f t="shared" si="42"/>
        <v>#DIV/0!</v>
      </c>
      <c r="AM36" s="44">
        <f t="shared" si="21"/>
        <v>0</v>
      </c>
      <c r="AN36" t="e">
        <f>(R36+#REF!)/C36*100</f>
        <v>#REF!</v>
      </c>
      <c r="AX36">
        <f t="shared" si="25"/>
        <v>0</v>
      </c>
      <c r="AY36">
        <f>AX36+'Daily  CEM - 2'!AU36</f>
        <v>0</v>
      </c>
    </row>
    <row r="37" spans="1:5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48"/>
        <v>#DIV/0!</v>
      </c>
      <c r="N37" s="1" t="e">
        <f t="shared" si="49"/>
        <v>#DIV/0!</v>
      </c>
      <c r="O37" s="1"/>
      <c r="P37" s="1"/>
      <c r="Q37" s="1"/>
      <c r="R37" s="1">
        <f t="shared" si="50"/>
        <v>0</v>
      </c>
      <c r="S37" s="1">
        <f t="shared" si="51"/>
        <v>0</v>
      </c>
      <c r="T37" s="1">
        <f>D37*(0.18*0.9)</f>
        <v>0</v>
      </c>
      <c r="U37" s="1">
        <f>D37*0.045</f>
        <v>0</v>
      </c>
      <c r="V37" s="1"/>
      <c r="W37" s="1"/>
      <c r="X37" s="1"/>
      <c r="Y37" s="1"/>
      <c r="Z37" s="1">
        <f t="shared" si="31"/>
        <v>0</v>
      </c>
      <c r="AA37" s="1">
        <f t="shared" si="16"/>
        <v>0</v>
      </c>
      <c r="AB37" s="44">
        <f t="shared" si="17"/>
        <v>0</v>
      </c>
      <c r="AC37" s="42">
        <f t="shared" si="18"/>
        <v>0</v>
      </c>
      <c r="AD37" s="42">
        <f t="shared" si="19"/>
        <v>0</v>
      </c>
      <c r="AE37" s="1"/>
      <c r="AF37" s="275">
        <f t="shared" si="4"/>
        <v>0</v>
      </c>
      <c r="AG37" s="14">
        <f t="shared" ref="AG37:AG39" si="52">AB37+AC37</f>
        <v>0</v>
      </c>
      <c r="AH37" s="1">
        <f>R37+T37</f>
        <v>0</v>
      </c>
      <c r="AI37" s="44">
        <f>S37+U37+W37+Y37</f>
        <v>0</v>
      </c>
      <c r="AJ37" s="1">
        <v>0</v>
      </c>
      <c r="AK37" s="1">
        <v>0</v>
      </c>
      <c r="AL37" s="32" t="e">
        <f t="shared" si="42"/>
        <v>#DIV/0!</v>
      </c>
      <c r="AM37" s="44">
        <f t="shared" si="21"/>
        <v>0</v>
      </c>
      <c r="AN37" t="e">
        <f>(R37+#REF!)/C37*100</f>
        <v>#REF!</v>
      </c>
      <c r="AY37">
        <f>AX37+'Daily  CEM - 2'!AU37</f>
        <v>0</v>
      </c>
    </row>
    <row r="38" spans="1:5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48"/>
        <v>#DIV/0!</v>
      </c>
      <c r="N38" s="1" t="e">
        <f t="shared" si="49"/>
        <v>#DIV/0!</v>
      </c>
      <c r="O38" s="1"/>
      <c r="P38" s="1"/>
      <c r="Q38" s="1"/>
      <c r="R38" s="1">
        <f t="shared" si="50"/>
        <v>0</v>
      </c>
      <c r="S38" s="1">
        <f t="shared" si="51"/>
        <v>0</v>
      </c>
      <c r="T38" s="1">
        <f>D38*(0.18*0.9)</f>
        <v>0</v>
      </c>
      <c r="U38" s="1">
        <f>D38*0.045</f>
        <v>0</v>
      </c>
      <c r="V38" s="1"/>
      <c r="W38" s="1"/>
      <c r="X38" s="1"/>
      <c r="Y38" s="1"/>
      <c r="Z38" s="1">
        <f t="shared" si="31"/>
        <v>0</v>
      </c>
      <c r="AA38" s="1">
        <f t="shared" si="16"/>
        <v>0</v>
      </c>
      <c r="AB38" s="44">
        <f t="shared" si="17"/>
        <v>0</v>
      </c>
      <c r="AC38" s="42">
        <f t="shared" si="18"/>
        <v>0</v>
      </c>
      <c r="AD38" s="42">
        <f t="shared" si="19"/>
        <v>0</v>
      </c>
      <c r="AE38" s="1"/>
      <c r="AF38" s="1"/>
      <c r="AG38" s="14">
        <f t="shared" si="52"/>
        <v>0</v>
      </c>
      <c r="AH38" s="1">
        <f>R38+T38</f>
        <v>0</v>
      </c>
      <c r="AI38" s="44">
        <f>S38+U38+W38+Y38</f>
        <v>0</v>
      </c>
      <c r="AJ38" s="1">
        <v>0</v>
      </c>
      <c r="AK38" s="1"/>
      <c r="AL38" s="32" t="e">
        <f t="shared" si="42"/>
        <v>#DIV/0!</v>
      </c>
      <c r="AM38" s="44">
        <f t="shared" si="21"/>
        <v>0</v>
      </c>
      <c r="AN38" t="e">
        <f>(R38+#REF!)/C38*100</f>
        <v>#REF!</v>
      </c>
      <c r="AY38">
        <f>AX38+'Daily  CEM - 2'!AU38</f>
        <v>0</v>
      </c>
    </row>
    <row r="39" spans="1:5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48"/>
        <v>#DIV/0!</v>
      </c>
      <c r="N39" s="1" t="e">
        <f t="shared" si="49"/>
        <v>#DIV/0!</v>
      </c>
      <c r="O39" s="1"/>
      <c r="P39" s="1"/>
      <c r="Q39" s="1"/>
      <c r="R39" s="1">
        <f t="shared" si="50"/>
        <v>0</v>
      </c>
      <c r="S39" s="1">
        <f t="shared" si="51"/>
        <v>0</v>
      </c>
      <c r="T39" s="1">
        <f>D39*(0.18*0.9)</f>
        <v>0</v>
      </c>
      <c r="U39" s="1">
        <f>D39*0.045</f>
        <v>0</v>
      </c>
      <c r="V39" s="1"/>
      <c r="W39" s="1"/>
      <c r="X39" s="1"/>
      <c r="Y39" s="1"/>
      <c r="Z39" s="1"/>
      <c r="AA39" s="1"/>
      <c r="AB39" s="44">
        <f t="shared" si="17"/>
        <v>0</v>
      </c>
      <c r="AC39" s="42">
        <f t="shared" si="18"/>
        <v>0</v>
      </c>
      <c r="AD39" s="42">
        <f t="shared" si="19"/>
        <v>0</v>
      </c>
      <c r="AE39" s="1"/>
      <c r="AF39" s="1"/>
      <c r="AG39" s="14">
        <f t="shared" si="52"/>
        <v>0</v>
      </c>
      <c r="AH39" s="1">
        <f>R39+T39</f>
        <v>0</v>
      </c>
      <c r="AI39" s="44">
        <f>S39+U39+W39+Y39</f>
        <v>0</v>
      </c>
      <c r="AJ39" s="1">
        <v>0</v>
      </c>
      <c r="AK39" s="1"/>
      <c r="AL39" s="32" t="e">
        <f t="shared" si="42"/>
        <v>#DIV/0!</v>
      </c>
      <c r="AM39" s="44">
        <f t="shared" si="21"/>
        <v>0</v>
      </c>
      <c r="AN39" t="e">
        <f>(R39+#REF!)/C39*100</f>
        <v>#REF!</v>
      </c>
      <c r="AY39">
        <f>AX39+'Daily  CEM - 2'!AU39</f>
        <v>0</v>
      </c>
    </row>
    <row r="40" spans="1:52" x14ac:dyDescent="0.25">
      <c r="A40" t="s">
        <v>26</v>
      </c>
      <c r="B40" s="1" t="s">
        <v>8</v>
      </c>
      <c r="C40" s="1">
        <f>SUM(C4:C33)</f>
        <v>17926</v>
      </c>
      <c r="D40" s="1">
        <f t="shared" ref="D40:AW40" si="53">SUM(D4:D33)</f>
        <v>1760</v>
      </c>
      <c r="E40" s="1">
        <f t="shared" si="53"/>
        <v>0</v>
      </c>
      <c r="F40" s="1">
        <f t="shared" si="53"/>
        <v>300</v>
      </c>
      <c r="G40" s="1"/>
      <c r="H40" s="1">
        <f t="shared" si="53"/>
        <v>277.93999999999994</v>
      </c>
      <c r="I40" s="1">
        <f t="shared" si="53"/>
        <v>26.5</v>
      </c>
      <c r="J40" s="1">
        <f t="shared" si="53"/>
        <v>0</v>
      </c>
      <c r="K40" s="1">
        <f t="shared" si="53"/>
        <v>5</v>
      </c>
      <c r="L40" s="1"/>
      <c r="M40" s="1" t="e">
        <f t="shared" si="53"/>
        <v>#DIV/0!</v>
      </c>
      <c r="N40" s="1" t="e">
        <f t="shared" si="53"/>
        <v>#DIV/0!</v>
      </c>
      <c r="O40" s="1" t="e">
        <f t="shared" si="53"/>
        <v>#DIV/0!</v>
      </c>
      <c r="P40" s="1" t="e">
        <f t="shared" si="53"/>
        <v>#DIV/0!</v>
      </c>
      <c r="Q40" s="1"/>
      <c r="R40" s="1">
        <f t="shared" si="53"/>
        <v>3069.0159985912951</v>
      </c>
      <c r="S40" s="1">
        <f t="shared" si="53"/>
        <v>898.86499901399998</v>
      </c>
      <c r="T40" s="1">
        <f t="shared" si="53"/>
        <v>472.29999999999939</v>
      </c>
      <c r="U40" s="1">
        <f t="shared" si="53"/>
        <v>88</v>
      </c>
      <c r="V40" s="1">
        <f t="shared" si="53"/>
        <v>0</v>
      </c>
      <c r="W40" s="1">
        <f t="shared" si="53"/>
        <v>0</v>
      </c>
      <c r="X40" s="1">
        <f t="shared" si="53"/>
        <v>0</v>
      </c>
      <c r="Y40" s="1">
        <f t="shared" si="53"/>
        <v>15</v>
      </c>
      <c r="Z40" s="1"/>
      <c r="AA40" s="1"/>
      <c r="AB40" s="44">
        <f t="shared" si="17"/>
        <v>13958.119002394706</v>
      </c>
      <c r="AC40" s="42">
        <f t="shared" si="18"/>
        <v>1199.7000000000007</v>
      </c>
      <c r="AD40" s="42">
        <f t="shared" si="19"/>
        <v>0</v>
      </c>
      <c r="AE40" s="1">
        <f t="shared" si="53"/>
        <v>285</v>
      </c>
      <c r="AF40" s="1"/>
      <c r="AG40" s="1">
        <f t="shared" si="53"/>
        <v>19096.76900192941</v>
      </c>
      <c r="AH40" s="1">
        <f t="shared" si="53"/>
        <v>4871.0659990565919</v>
      </c>
      <c r="AI40" s="1">
        <f t="shared" si="53"/>
        <v>1264.1649990139999</v>
      </c>
      <c r="AJ40" s="1">
        <f t="shared" si="53"/>
        <v>0</v>
      </c>
      <c r="AK40" s="1">
        <f t="shared" si="53"/>
        <v>0</v>
      </c>
      <c r="AL40" s="1" t="e">
        <f t="shared" si="53"/>
        <v>#DIV/0!</v>
      </c>
      <c r="AM40" s="1">
        <f t="shared" si="53"/>
        <v>25232</v>
      </c>
      <c r="AN40" s="1" t="e">
        <f t="shared" si="53"/>
        <v>#DIV/0!</v>
      </c>
      <c r="AO40" s="1" t="e">
        <f t="shared" si="53"/>
        <v>#DIV/0!</v>
      </c>
      <c r="AP40" s="1" t="e">
        <f t="shared" si="53"/>
        <v>#DIV/0!</v>
      </c>
      <c r="AQ40" s="1"/>
      <c r="AR40" s="1"/>
      <c r="AS40" s="1">
        <f t="shared" si="53"/>
        <v>19686</v>
      </c>
      <c r="AT40" s="1" t="e">
        <f t="shared" si="53"/>
        <v>#DIV/0!</v>
      </c>
      <c r="AU40" s="1" t="e">
        <f t="shared" si="53"/>
        <v>#DIV/0!</v>
      </c>
      <c r="AV40" s="1" t="e">
        <f t="shared" si="53"/>
        <v>#DIV/0!</v>
      </c>
      <c r="AW40" s="1" t="e">
        <f t="shared" si="53"/>
        <v>#DIV/0!</v>
      </c>
      <c r="AX40" s="1">
        <f>SUM(AX4:AX33)</f>
        <v>25232</v>
      </c>
    </row>
    <row r="41" spans="1:52" x14ac:dyDescent="0.25">
      <c r="A41" t="s">
        <v>27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>
        <v>0</v>
      </c>
      <c r="AK41" s="1"/>
      <c r="AL41" s="1"/>
      <c r="AM41" s="1"/>
      <c r="AN41" t="e">
        <f>(R41+#REF!)/C41*100</f>
        <v>#REF!</v>
      </c>
    </row>
    <row r="42" spans="1:52" x14ac:dyDescent="0.25">
      <c r="A42" t="s">
        <v>27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t="e">
        <v>#DIV/0!</v>
      </c>
    </row>
    <row r="44" spans="1:52" x14ac:dyDescent="0.25">
      <c r="B44" t="s">
        <v>200</v>
      </c>
      <c r="C44">
        <v>1600</v>
      </c>
      <c r="D44" t="s">
        <v>201</v>
      </c>
      <c r="H44">
        <v>8000</v>
      </c>
      <c r="I44" t="s">
        <v>202</v>
      </c>
    </row>
    <row r="45" spans="1:52" x14ac:dyDescent="0.25">
      <c r="C45">
        <f>Cement!H30*1600/8000</f>
        <v>4.7999999999592549E-2</v>
      </c>
      <c r="D45" t="s">
        <v>203</v>
      </c>
      <c r="H45">
        <v>13500</v>
      </c>
      <c r="I45" t="s">
        <v>202</v>
      </c>
    </row>
    <row r="52" spans="18:20" x14ac:dyDescent="0.25">
      <c r="R52">
        <f>200/85</f>
        <v>2.3529411764705883</v>
      </c>
      <c r="T52">
        <f>24-2.35</f>
        <v>21.65</v>
      </c>
    </row>
  </sheetData>
  <mergeCells count="2">
    <mergeCell ref="H2:J2"/>
    <mergeCell ref="C2:E2"/>
  </mergeCells>
  <pageMargins left="0.7" right="0.7" top="0.75" bottom="0.75" header="0.3" footer="0.3"/>
  <pageSetup paperSize="9" scale="4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U53"/>
  <sheetViews>
    <sheetView topLeftCell="X1" zoomScale="60" zoomScaleNormal="60" workbookViewId="0">
      <pane ySplit="3" topLeftCell="A12" activePane="bottomLeft" state="frozen"/>
      <selection pane="bottomLeft" activeCell="AU4" sqref="AU4:AU38"/>
    </sheetView>
  </sheetViews>
  <sheetFormatPr defaultRowHeight="15" x14ac:dyDescent="0.25"/>
  <cols>
    <col min="3" max="3" width="9.140625" customWidth="1"/>
    <col min="9" max="12" width="12.7109375" customWidth="1"/>
    <col min="13" max="16" width="9.140625" customWidth="1"/>
    <col min="17" max="17" width="17.28515625" bestFit="1" customWidth="1"/>
    <col min="18" max="18" width="14.42578125" bestFit="1" customWidth="1"/>
    <col min="19" max="19" width="17.28515625" bestFit="1" customWidth="1"/>
    <col min="20" max="20" width="14.42578125" bestFit="1" customWidth="1"/>
    <col min="21" max="21" width="22.5703125" customWidth="1"/>
    <col min="22" max="22" width="14.42578125" customWidth="1"/>
    <col min="23" max="23" width="22.5703125" customWidth="1"/>
    <col min="24" max="26" width="14.42578125" customWidth="1"/>
    <col min="27" max="27" width="15.7109375" customWidth="1"/>
    <col min="28" max="31" width="16.140625" customWidth="1"/>
    <col min="32" max="32" width="16.7109375" customWidth="1"/>
    <col min="33" max="33" width="12.85546875" customWidth="1"/>
    <col min="34" max="34" width="10.42578125" bestFit="1" customWidth="1"/>
    <col min="35" max="35" width="14.5703125" customWidth="1"/>
    <col min="36" max="36" width="10.140625" bestFit="1" customWidth="1"/>
    <col min="38" max="38" width="13" bestFit="1" customWidth="1"/>
  </cols>
  <sheetData>
    <row r="2" spans="1:47" x14ac:dyDescent="0.25">
      <c r="B2" s="30" t="s">
        <v>28</v>
      </c>
      <c r="C2" s="661" t="s">
        <v>171</v>
      </c>
      <c r="D2" s="684"/>
      <c r="E2" s="662"/>
      <c r="F2" s="193"/>
      <c r="G2" s="193"/>
      <c r="H2" s="681" t="s">
        <v>100</v>
      </c>
      <c r="I2" s="682"/>
      <c r="J2" s="683"/>
      <c r="K2" s="196"/>
      <c r="L2" s="196"/>
      <c r="M2" s="30" t="s">
        <v>172</v>
      </c>
      <c r="N2" s="30" t="s">
        <v>173</v>
      </c>
      <c r="O2" s="30" t="s">
        <v>311</v>
      </c>
      <c r="P2" s="30" t="s">
        <v>204</v>
      </c>
      <c r="Q2" s="30" t="s">
        <v>176</v>
      </c>
      <c r="R2" s="30" t="s">
        <v>177</v>
      </c>
      <c r="S2" s="30" t="s">
        <v>178</v>
      </c>
      <c r="T2" s="30" t="s">
        <v>179</v>
      </c>
      <c r="U2" s="30" t="s">
        <v>180</v>
      </c>
      <c r="V2" s="30" t="s">
        <v>181</v>
      </c>
      <c r="W2" s="30" t="s">
        <v>182</v>
      </c>
      <c r="X2" s="30" t="s">
        <v>183</v>
      </c>
      <c r="Y2" s="30" t="s">
        <v>302</v>
      </c>
      <c r="Z2" s="30" t="s">
        <v>303</v>
      </c>
      <c r="AA2" s="510" t="s">
        <v>184</v>
      </c>
      <c r="AB2" s="510" t="s">
        <v>185</v>
      </c>
      <c r="AC2" s="510" t="s">
        <v>186</v>
      </c>
      <c r="AD2" s="510" t="s">
        <v>205</v>
      </c>
      <c r="AE2" s="510" t="s">
        <v>308</v>
      </c>
      <c r="AF2" t="s">
        <v>188</v>
      </c>
      <c r="AG2" t="s">
        <v>189</v>
      </c>
      <c r="AH2" t="s">
        <v>190</v>
      </c>
      <c r="AI2" t="s">
        <v>191</v>
      </c>
      <c r="AJ2" t="s">
        <v>192</v>
      </c>
      <c r="AK2" t="s">
        <v>193</v>
      </c>
      <c r="AL2" t="s">
        <v>194</v>
      </c>
      <c r="AM2">
        <v>42.5</v>
      </c>
      <c r="AN2">
        <v>32.5</v>
      </c>
      <c r="AO2" t="s">
        <v>312</v>
      </c>
      <c r="AP2" t="s">
        <v>196</v>
      </c>
      <c r="AQ2" t="s">
        <v>197</v>
      </c>
    </row>
    <row r="3" spans="1:47" x14ac:dyDescent="0.25">
      <c r="B3" s="1" t="s">
        <v>199</v>
      </c>
      <c r="C3" s="1">
        <v>42.5</v>
      </c>
      <c r="D3" s="1">
        <v>32.5</v>
      </c>
      <c r="E3" s="1" t="s">
        <v>195</v>
      </c>
      <c r="F3" s="1" t="s">
        <v>175</v>
      </c>
      <c r="G3" s="1" t="s">
        <v>301</v>
      </c>
      <c r="H3" s="186">
        <v>42.5</v>
      </c>
      <c r="I3" s="186">
        <v>32.5</v>
      </c>
      <c r="J3" s="186" t="s">
        <v>195</v>
      </c>
      <c r="K3" s="186" t="s">
        <v>175</v>
      </c>
      <c r="L3" s="1" t="s">
        <v>301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11"/>
      <c r="AB3" s="511"/>
      <c r="AC3" s="511"/>
      <c r="AD3" s="511"/>
      <c r="AE3" s="511"/>
      <c r="AF3" s="1"/>
      <c r="AG3" s="1"/>
      <c r="AH3" s="1"/>
      <c r="AI3" s="1"/>
      <c r="AJ3" s="1"/>
      <c r="AK3" s="1"/>
      <c r="AL3" s="1"/>
      <c r="AQ3">
        <v>42.5</v>
      </c>
      <c r="AR3">
        <v>32.5</v>
      </c>
      <c r="AS3" t="s">
        <v>195</v>
      </c>
      <c r="AT3" t="s">
        <v>206</v>
      </c>
    </row>
    <row r="4" spans="1:47" s="258" customFormat="1" x14ac:dyDescent="0.25">
      <c r="B4" s="275">
        <v>1</v>
      </c>
      <c r="C4" s="1">
        <v>850</v>
      </c>
      <c r="D4" s="1">
        <v>0</v>
      </c>
      <c r="E4" s="1">
        <v>0</v>
      </c>
      <c r="F4" s="1">
        <v>0</v>
      </c>
      <c r="G4" s="1">
        <v>230</v>
      </c>
      <c r="H4" s="1">
        <v>14.4</v>
      </c>
      <c r="I4" s="1">
        <v>0</v>
      </c>
      <c r="J4" s="1">
        <v>0</v>
      </c>
      <c r="K4" s="1">
        <v>0</v>
      </c>
      <c r="L4" s="1">
        <v>3.76</v>
      </c>
      <c r="M4" s="275">
        <f t="shared" ref="M4" si="0">C4/H4</f>
        <v>59.027777777777779</v>
      </c>
      <c r="N4" s="275" t="e">
        <f t="shared" ref="N4" si="1">D4/I4</f>
        <v>#DIV/0!</v>
      </c>
      <c r="O4" s="275">
        <f>G4/L4</f>
        <v>61.170212765957451</v>
      </c>
      <c r="P4" s="275" t="e">
        <f t="shared" ref="P4" si="2">F4/K4</f>
        <v>#DIV/0!</v>
      </c>
      <c r="Q4" s="275">
        <f>C4*(0.2*0.9)</f>
        <v>153.00000000000003</v>
      </c>
      <c r="R4" s="275">
        <f>C4*0.05</f>
        <v>42.5</v>
      </c>
      <c r="S4" s="275">
        <f>D4*(0.3*0.9)</f>
        <v>0</v>
      </c>
      <c r="T4" s="275">
        <f>D4*0.05</f>
        <v>0</v>
      </c>
      <c r="U4" s="275">
        <f>E4*(0.316666666666666*0.9)</f>
        <v>0</v>
      </c>
      <c r="V4" s="275">
        <f>E4*0.052</f>
        <v>0</v>
      </c>
      <c r="W4" s="275">
        <f t="shared" ref="W4:W20" si="3">F4*(0*0.9)</f>
        <v>0</v>
      </c>
      <c r="X4" s="275">
        <f>F4*0.052</f>
        <v>0</v>
      </c>
      <c r="Y4" s="275">
        <f>G4*(0.314009661*0.9)</f>
        <v>64.999999826999996</v>
      </c>
      <c r="Z4" s="275">
        <f>G4*0.05</f>
        <v>11.5</v>
      </c>
      <c r="AA4" s="511">
        <f>C4-Q4-R4</f>
        <v>654.5</v>
      </c>
      <c r="AB4" s="511">
        <f>D4-S4-T4</f>
        <v>0</v>
      </c>
      <c r="AC4" s="511">
        <f>E4-U4-V4</f>
        <v>0</v>
      </c>
      <c r="AD4" s="511">
        <f>F4-W4-X4</f>
        <v>0</v>
      </c>
      <c r="AE4" s="511">
        <f t="shared" ref="AE4:AE35" si="4">G4-Y4-Z4</f>
        <v>153.50000017299999</v>
      </c>
      <c r="AF4" s="43">
        <f>AA4+AB4+AC4+AD4+AE4</f>
        <v>808.00000017299999</v>
      </c>
      <c r="AG4" s="170">
        <f t="shared" ref="AG4:AG23" si="5">Q4+S4+U4+Y4</f>
        <v>217.99999982700001</v>
      </c>
      <c r="AH4" s="276">
        <f t="shared" ref="AH4" si="6">R4+T4+V4+X4+Z4</f>
        <v>54</v>
      </c>
      <c r="AI4" s="275">
        <v>0</v>
      </c>
      <c r="AJ4" s="277">
        <v>0</v>
      </c>
      <c r="AK4" s="278">
        <f t="shared" ref="AK4:AK24" si="7">AF4/(C4+D4)*100</f>
        <v>95.05882354976471</v>
      </c>
      <c r="AL4" s="276">
        <f>AF4+AG4+AH4</f>
        <v>1080</v>
      </c>
      <c r="AM4" s="258">
        <f>(Q4)/C4*100</f>
        <v>18.000000000000004</v>
      </c>
      <c r="AN4" s="258" t="e">
        <f>(S4)/D4*100</f>
        <v>#DIV/0!</v>
      </c>
      <c r="AO4" s="258">
        <f>Y4/G4</f>
        <v>0.28260869489999996</v>
      </c>
      <c r="AQ4" s="279">
        <f t="shared" ref="AQ4:AQ34" si="8">AA4/C4</f>
        <v>0.77</v>
      </c>
      <c r="AR4" s="279" t="e">
        <f t="shared" ref="AR4:AR34" si="9">AB4/D4</f>
        <v>#DIV/0!</v>
      </c>
      <c r="AS4" s="279" t="e">
        <f t="shared" ref="AS4:AS34" si="10">AC4/E4</f>
        <v>#DIV/0!</v>
      </c>
      <c r="AT4" s="279" t="e">
        <f t="shared" ref="AT4:AT34" si="11">AD4/F4</f>
        <v>#DIV/0!</v>
      </c>
      <c r="AU4">
        <f>C4+D4+E4+F4+G4</f>
        <v>1080</v>
      </c>
    </row>
    <row r="5" spans="1:47" x14ac:dyDescent="0.25">
      <c r="B5" s="275">
        <v>2</v>
      </c>
      <c r="C5" s="1">
        <v>800</v>
      </c>
      <c r="D5" s="1">
        <v>0</v>
      </c>
      <c r="E5" s="1">
        <v>0</v>
      </c>
      <c r="F5" s="1">
        <v>0</v>
      </c>
      <c r="G5" s="1">
        <v>368</v>
      </c>
      <c r="H5" s="1">
        <v>14.28</v>
      </c>
      <c r="I5" s="1">
        <v>0</v>
      </c>
      <c r="J5" s="1">
        <v>0</v>
      </c>
      <c r="K5" s="1">
        <v>0</v>
      </c>
      <c r="L5" s="1">
        <v>6.22</v>
      </c>
      <c r="M5" s="1">
        <f t="shared" ref="M5" si="12">C5/H5</f>
        <v>56.022408963585434</v>
      </c>
      <c r="N5" s="1" t="e">
        <f t="shared" ref="N5" si="13">D5/I5</f>
        <v>#DIV/0!</v>
      </c>
      <c r="O5" s="275">
        <f t="shared" ref="O5:O35" si="14">G5/L5</f>
        <v>59.163987138263671</v>
      </c>
      <c r="P5" s="1" t="e">
        <f t="shared" ref="P5:P25" si="15">F5/K5</f>
        <v>#DIV/0!</v>
      </c>
      <c r="Q5" s="1">
        <f>C5*(0.2*0.9)</f>
        <v>144.00000000000003</v>
      </c>
      <c r="R5" s="1">
        <f>C5*0.05</f>
        <v>40</v>
      </c>
      <c r="S5" s="1">
        <f>D5*(0.290598291*0.9)</f>
        <v>0</v>
      </c>
      <c r="T5" s="1">
        <f>D5*0.050769232</f>
        <v>0</v>
      </c>
      <c r="U5" s="1">
        <f>E5*(0.316666666666666*0.9)</f>
        <v>0</v>
      </c>
      <c r="V5" s="1">
        <f>E5*0.05</f>
        <v>0</v>
      </c>
      <c r="W5" s="1">
        <f t="shared" si="3"/>
        <v>0</v>
      </c>
      <c r="X5" s="1">
        <f>F5*0.05030303</f>
        <v>0</v>
      </c>
      <c r="Y5" s="275">
        <f>G5*(0.310990338*0.9)</f>
        <v>102.9999999456</v>
      </c>
      <c r="Z5" s="275">
        <f>G5*0.050271739</f>
        <v>18.499999952</v>
      </c>
      <c r="AA5" s="511">
        <f t="shared" ref="AA5:AA41" si="16">C5-Q5-R5</f>
        <v>616</v>
      </c>
      <c r="AB5" s="511">
        <f t="shared" ref="AB5:AB42" si="17">D5-S5-T5</f>
        <v>0</v>
      </c>
      <c r="AC5" s="511">
        <f t="shared" ref="AC5:AC35" si="18">E5-U5-V5</f>
        <v>0</v>
      </c>
      <c r="AD5" s="511">
        <f t="shared" ref="AD5:AD35" si="19">F5-W5-X5</f>
        <v>0</v>
      </c>
      <c r="AE5" s="511">
        <f t="shared" si="4"/>
        <v>246.50000010240001</v>
      </c>
      <c r="AF5" s="43">
        <f>AA5+AB5+AC5+AD5+AE5</f>
        <v>862.50000010240001</v>
      </c>
      <c r="AG5" s="170">
        <f t="shared" si="5"/>
        <v>246.99999994560002</v>
      </c>
      <c r="AH5" s="276">
        <f>R5+T5+V5+X5+Z5</f>
        <v>58.499999951999996</v>
      </c>
      <c r="AI5" s="1">
        <v>0</v>
      </c>
      <c r="AJ5" s="6">
        <v>0</v>
      </c>
      <c r="AK5" s="45">
        <f t="shared" si="7"/>
        <v>107.8125000128</v>
      </c>
      <c r="AL5" s="276">
        <f t="shared" ref="AL5:AL37" si="20">AF5+AG5+AH5</f>
        <v>1168</v>
      </c>
      <c r="AM5" s="258">
        <f t="shared" ref="AM5:AM34" si="21">(Q5)/C5*100</f>
        <v>18.000000000000004</v>
      </c>
      <c r="AN5" s="258" t="e">
        <f t="shared" ref="AN5:AN34" si="22">(S5)/D5*100</f>
        <v>#DIV/0!</v>
      </c>
      <c r="AO5" s="258">
        <f t="shared" ref="AO5:AO34" si="23">Y5/G5</f>
        <v>0.27989130419999997</v>
      </c>
      <c r="AQ5" s="239">
        <f t="shared" si="8"/>
        <v>0.77</v>
      </c>
      <c r="AR5" s="239" t="e">
        <f t="shared" si="9"/>
        <v>#DIV/0!</v>
      </c>
      <c r="AS5" s="239" t="e">
        <f t="shared" si="10"/>
        <v>#DIV/0!</v>
      </c>
      <c r="AT5" s="239" t="e">
        <f t="shared" si="11"/>
        <v>#DIV/0!</v>
      </c>
      <c r="AU5">
        <f t="shared" ref="AU5:AU38" si="24">C5+D5+E5+F5+G5</f>
        <v>1168</v>
      </c>
    </row>
    <row r="6" spans="1:47" x14ac:dyDescent="0.25">
      <c r="B6" s="275">
        <v>3</v>
      </c>
      <c r="C6" s="1">
        <v>250</v>
      </c>
      <c r="D6" s="1">
        <v>0</v>
      </c>
      <c r="E6" s="1">
        <v>0</v>
      </c>
      <c r="F6" s="1">
        <v>0</v>
      </c>
      <c r="G6" s="1">
        <v>0</v>
      </c>
      <c r="H6" s="1">
        <v>4.33</v>
      </c>
      <c r="I6" s="1">
        <v>0</v>
      </c>
      <c r="J6" s="1">
        <v>0</v>
      </c>
      <c r="K6" s="1">
        <v>0</v>
      </c>
      <c r="L6" s="1">
        <v>0</v>
      </c>
      <c r="M6" s="1">
        <f t="shared" ref="M6:M34" si="25">C6/H6</f>
        <v>57.736720554272516</v>
      </c>
      <c r="N6" s="1" t="e">
        <f t="shared" ref="N6:N34" si="26">D6/I6</f>
        <v>#DIV/0!</v>
      </c>
      <c r="O6" s="275" t="e">
        <f t="shared" si="14"/>
        <v>#DIV/0!</v>
      </c>
      <c r="P6" s="1" t="e">
        <f t="shared" si="15"/>
        <v>#DIV/0!</v>
      </c>
      <c r="Q6" s="1">
        <f>C6*(0.18888889*0.9)</f>
        <v>42.500000249999999</v>
      </c>
      <c r="R6" s="1">
        <f>C6*0.05</f>
        <v>12.5</v>
      </c>
      <c r="S6" s="1">
        <f>D6*(0.222222222222222*0.9)</f>
        <v>0</v>
      </c>
      <c r="T6" s="1">
        <f>D6*0.05</f>
        <v>0</v>
      </c>
      <c r="U6" s="1">
        <f>E6*(0.332318622*0.9)</f>
        <v>0</v>
      </c>
      <c r="V6" s="1">
        <f>E6*0.0472146111</f>
        <v>0</v>
      </c>
      <c r="W6" s="1">
        <f t="shared" si="3"/>
        <v>0</v>
      </c>
      <c r="X6" s="1">
        <f>F6*0.05</f>
        <v>0</v>
      </c>
      <c r="Y6" s="275">
        <f t="shared" ref="Y6:Y34" si="27">G6*(0.316666666666666*0.9)</f>
        <v>0</v>
      </c>
      <c r="Z6" s="275">
        <f t="shared" ref="Z6:Z33" si="28">G6*0.052</f>
        <v>0</v>
      </c>
      <c r="AA6" s="511">
        <f t="shared" si="16"/>
        <v>194.99999975</v>
      </c>
      <c r="AB6" s="511">
        <f t="shared" si="17"/>
        <v>0</v>
      </c>
      <c r="AC6" s="511">
        <f t="shared" si="18"/>
        <v>0</v>
      </c>
      <c r="AD6" s="511">
        <f t="shared" si="19"/>
        <v>0</v>
      </c>
      <c r="AE6" s="511">
        <f t="shared" si="4"/>
        <v>0</v>
      </c>
      <c r="AF6" s="43">
        <f t="shared" ref="AF6:AF35" si="29">AA6+AB6+AC6+AD6+AE6</f>
        <v>194.99999975</v>
      </c>
      <c r="AG6" s="170">
        <f>Q6+S6+U6+Y6</f>
        <v>42.500000249999999</v>
      </c>
      <c r="AH6" s="276">
        <f>R6+T6+V6+X6+Z6</f>
        <v>12.5</v>
      </c>
      <c r="AI6" s="1">
        <v>0</v>
      </c>
      <c r="AJ6" s="6">
        <v>0</v>
      </c>
      <c r="AK6" s="45">
        <f t="shared" si="7"/>
        <v>77.999999900000006</v>
      </c>
      <c r="AL6" s="276">
        <f t="shared" si="20"/>
        <v>250</v>
      </c>
      <c r="AM6" s="258">
        <f t="shared" si="21"/>
        <v>17.000000099999998</v>
      </c>
      <c r="AN6" s="258" t="e">
        <f t="shared" si="22"/>
        <v>#DIV/0!</v>
      </c>
      <c r="AO6" s="258" t="e">
        <f t="shared" si="23"/>
        <v>#DIV/0!</v>
      </c>
      <c r="AQ6" s="239">
        <f t="shared" si="8"/>
        <v>0.77999999900000005</v>
      </c>
      <c r="AR6" s="239" t="e">
        <f t="shared" si="9"/>
        <v>#DIV/0!</v>
      </c>
      <c r="AS6" s="239" t="e">
        <f t="shared" si="10"/>
        <v>#DIV/0!</v>
      </c>
      <c r="AT6" s="239" t="e">
        <f t="shared" si="11"/>
        <v>#DIV/0!</v>
      </c>
      <c r="AU6">
        <f t="shared" si="24"/>
        <v>250</v>
      </c>
    </row>
    <row r="7" spans="1:47" s="268" customFormat="1" x14ac:dyDescent="0.25">
      <c r="B7" s="275">
        <v>4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269" t="e">
        <f t="shared" si="25"/>
        <v>#DIV/0!</v>
      </c>
      <c r="N7" s="269" t="e">
        <f t="shared" si="26"/>
        <v>#DIV/0!</v>
      </c>
      <c r="O7" s="275" t="e">
        <f t="shared" si="14"/>
        <v>#DIV/0!</v>
      </c>
      <c r="P7" s="269" t="e">
        <f t="shared" si="15"/>
        <v>#DIV/0!</v>
      </c>
      <c r="Q7" s="320">
        <f>C7*(0.194403169*0.9)</f>
        <v>0</v>
      </c>
      <c r="R7" s="273">
        <f>C7*0.05</f>
        <v>0</v>
      </c>
      <c r="S7" s="269">
        <f>D7*(0.311111111111111*0.9)</f>
        <v>0</v>
      </c>
      <c r="T7" s="269">
        <f>D7*0.05</f>
        <v>0</v>
      </c>
      <c r="U7" s="269">
        <f>E7*(0.288194444444444*0.9)</f>
        <v>0</v>
      </c>
      <c r="V7" s="269">
        <f>E7*0.05</f>
        <v>0</v>
      </c>
      <c r="W7" s="269">
        <f t="shared" si="3"/>
        <v>0</v>
      </c>
      <c r="X7" s="269">
        <f>F7*0.05</f>
        <v>0</v>
      </c>
      <c r="Y7" s="275">
        <f t="shared" si="27"/>
        <v>0</v>
      </c>
      <c r="Z7" s="275">
        <f t="shared" si="28"/>
        <v>0</v>
      </c>
      <c r="AA7" s="511">
        <f t="shared" si="16"/>
        <v>0</v>
      </c>
      <c r="AB7" s="511">
        <f t="shared" si="17"/>
        <v>0</v>
      </c>
      <c r="AC7" s="511">
        <f t="shared" si="18"/>
        <v>0</v>
      </c>
      <c r="AD7" s="511">
        <f t="shared" si="19"/>
        <v>0</v>
      </c>
      <c r="AE7" s="511">
        <f t="shared" si="4"/>
        <v>0</v>
      </c>
      <c r="AF7" s="43">
        <f t="shared" si="29"/>
        <v>0</v>
      </c>
      <c r="AG7" s="170">
        <f t="shared" si="5"/>
        <v>0</v>
      </c>
      <c r="AH7" s="276">
        <f>R7+T7+V7+X7+Z7</f>
        <v>0</v>
      </c>
      <c r="AI7" s="269">
        <v>0</v>
      </c>
      <c r="AJ7" s="271">
        <v>0</v>
      </c>
      <c r="AK7" s="272" t="e">
        <f t="shared" si="7"/>
        <v>#DIV/0!</v>
      </c>
      <c r="AL7" s="276">
        <f t="shared" si="20"/>
        <v>0</v>
      </c>
      <c r="AM7" s="258" t="e">
        <f t="shared" si="21"/>
        <v>#DIV/0!</v>
      </c>
      <c r="AN7" s="258" t="e">
        <f t="shared" si="22"/>
        <v>#DIV/0!</v>
      </c>
      <c r="AO7" s="258" t="e">
        <f t="shared" si="23"/>
        <v>#DIV/0!</v>
      </c>
      <c r="AP7" s="268" t="e">
        <f>(#REF!/C7)*100</f>
        <v>#REF!</v>
      </c>
      <c r="AQ7" s="274" t="e">
        <f t="shared" si="8"/>
        <v>#DIV/0!</v>
      </c>
      <c r="AR7" s="274" t="e">
        <f t="shared" si="9"/>
        <v>#DIV/0!</v>
      </c>
      <c r="AS7" s="274" t="e">
        <f t="shared" si="10"/>
        <v>#DIV/0!</v>
      </c>
      <c r="AT7" s="274" t="e">
        <f t="shared" si="11"/>
        <v>#DIV/0!</v>
      </c>
      <c r="AU7">
        <f t="shared" si="24"/>
        <v>0</v>
      </c>
    </row>
    <row r="8" spans="1:47" s="258" customFormat="1" x14ac:dyDescent="0.25">
      <c r="B8" s="275">
        <v>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275" t="e">
        <f t="shared" si="25"/>
        <v>#DIV/0!</v>
      </c>
      <c r="N8" s="275" t="e">
        <f t="shared" si="26"/>
        <v>#DIV/0!</v>
      </c>
      <c r="O8" s="275" t="e">
        <f t="shared" si="14"/>
        <v>#DIV/0!</v>
      </c>
      <c r="P8" s="275" t="e">
        <f t="shared" si="15"/>
        <v>#DIV/0!</v>
      </c>
      <c r="Q8" s="422">
        <f>C8*(0.194154268*0.9)</f>
        <v>0</v>
      </c>
      <c r="R8" s="276">
        <f>C8*0.049857549</f>
        <v>0</v>
      </c>
      <c r="S8" s="275">
        <f>D8*(0.311111111111111*0.9)</f>
        <v>0</v>
      </c>
      <c r="T8" s="275">
        <f>D8*0.05</f>
        <v>0</v>
      </c>
      <c r="U8" s="275">
        <f>E8*(0.302222222222222*0.9)</f>
        <v>0</v>
      </c>
      <c r="V8" s="275">
        <f>E8*0.052</f>
        <v>0</v>
      </c>
      <c r="W8" s="275">
        <f t="shared" si="3"/>
        <v>0</v>
      </c>
      <c r="X8" s="275">
        <f>F8*0.048484848</f>
        <v>0</v>
      </c>
      <c r="Y8" s="275">
        <f>G8*(0.313051146*0.9)</f>
        <v>0</v>
      </c>
      <c r="Z8" s="275">
        <f>G8*0.051587301</f>
        <v>0</v>
      </c>
      <c r="AA8" s="511">
        <f t="shared" si="16"/>
        <v>0</v>
      </c>
      <c r="AB8" s="511">
        <f t="shared" si="17"/>
        <v>0</v>
      </c>
      <c r="AC8" s="511">
        <f t="shared" si="18"/>
        <v>0</v>
      </c>
      <c r="AD8" s="511">
        <f t="shared" si="19"/>
        <v>0</v>
      </c>
      <c r="AE8" s="511">
        <f t="shared" si="4"/>
        <v>0</v>
      </c>
      <c r="AF8" s="43">
        <f t="shared" si="29"/>
        <v>0</v>
      </c>
      <c r="AG8" s="170">
        <f t="shared" si="5"/>
        <v>0</v>
      </c>
      <c r="AH8" s="276">
        <f t="shared" ref="AH8:AH40" si="30">R8+T8+V8+X8+Z8</f>
        <v>0</v>
      </c>
      <c r="AI8" s="275">
        <v>0</v>
      </c>
      <c r="AJ8" s="277">
        <v>0</v>
      </c>
      <c r="AK8" s="278" t="e">
        <f t="shared" si="7"/>
        <v>#DIV/0!</v>
      </c>
      <c r="AL8" s="276">
        <f t="shared" si="20"/>
        <v>0</v>
      </c>
      <c r="AM8" s="258" t="e">
        <f t="shared" si="21"/>
        <v>#DIV/0!</v>
      </c>
      <c r="AN8" s="258" t="e">
        <f t="shared" si="22"/>
        <v>#DIV/0!</v>
      </c>
      <c r="AO8" s="258" t="e">
        <f t="shared" si="23"/>
        <v>#DIV/0!</v>
      </c>
      <c r="AP8" s="258" t="e">
        <f>#REF!/C8</f>
        <v>#REF!</v>
      </c>
      <c r="AQ8" s="279" t="e">
        <f t="shared" si="8"/>
        <v>#DIV/0!</v>
      </c>
      <c r="AR8" s="279" t="e">
        <f t="shared" si="9"/>
        <v>#DIV/0!</v>
      </c>
      <c r="AS8" s="279" t="e">
        <f t="shared" si="10"/>
        <v>#DIV/0!</v>
      </c>
      <c r="AT8" s="279" t="e">
        <f t="shared" si="11"/>
        <v>#DIV/0!</v>
      </c>
      <c r="AU8">
        <f t="shared" si="24"/>
        <v>0</v>
      </c>
    </row>
    <row r="9" spans="1:47" s="258" customFormat="1" x14ac:dyDescent="0.25">
      <c r="B9" s="275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275" t="e">
        <f t="shared" si="25"/>
        <v>#DIV/0!</v>
      </c>
      <c r="N9" s="275" t="e">
        <f t="shared" si="26"/>
        <v>#DIV/0!</v>
      </c>
      <c r="O9" s="275" t="e">
        <f t="shared" si="14"/>
        <v>#DIV/0!</v>
      </c>
      <c r="P9" s="275" t="e">
        <f t="shared" si="15"/>
        <v>#DIV/0!</v>
      </c>
      <c r="Q9" s="275">
        <f>C9*(0.2*0.9)</f>
        <v>0</v>
      </c>
      <c r="R9" s="275">
        <f>C9*0.05</f>
        <v>0</v>
      </c>
      <c r="S9" s="275">
        <f>D9*(0.311447811111111*0.9)</f>
        <v>0</v>
      </c>
      <c r="T9" s="275">
        <f>D9*0.05</f>
        <v>0</v>
      </c>
      <c r="U9" s="275">
        <f>E9*(0.250201288888*0.9)</f>
        <v>0</v>
      </c>
      <c r="V9" s="275">
        <f>E9*0.05</f>
        <v>0</v>
      </c>
      <c r="W9" s="275">
        <f t="shared" si="3"/>
        <v>0</v>
      </c>
      <c r="X9" s="275">
        <f>F9*0.05</f>
        <v>0</v>
      </c>
      <c r="Y9" s="275">
        <f t="shared" si="27"/>
        <v>0</v>
      </c>
      <c r="Z9" s="275">
        <f t="shared" si="28"/>
        <v>0</v>
      </c>
      <c r="AA9" s="511">
        <f t="shared" si="16"/>
        <v>0</v>
      </c>
      <c r="AB9" s="511">
        <f t="shared" si="17"/>
        <v>0</v>
      </c>
      <c r="AC9" s="511">
        <f t="shared" si="18"/>
        <v>0</v>
      </c>
      <c r="AD9" s="511">
        <f t="shared" si="19"/>
        <v>0</v>
      </c>
      <c r="AE9" s="511">
        <f t="shared" si="4"/>
        <v>0</v>
      </c>
      <c r="AF9" s="43">
        <f t="shared" si="29"/>
        <v>0</v>
      </c>
      <c r="AG9" s="170">
        <f t="shared" si="5"/>
        <v>0</v>
      </c>
      <c r="AH9" s="276">
        <f t="shared" si="30"/>
        <v>0</v>
      </c>
      <c r="AI9" s="275">
        <v>0</v>
      </c>
      <c r="AJ9" s="277">
        <v>0</v>
      </c>
      <c r="AK9" s="278" t="e">
        <f t="shared" si="7"/>
        <v>#DIV/0!</v>
      </c>
      <c r="AL9" s="276">
        <f t="shared" si="20"/>
        <v>0</v>
      </c>
      <c r="AM9" s="258" t="e">
        <f t="shared" si="21"/>
        <v>#DIV/0!</v>
      </c>
      <c r="AN9" s="258" t="e">
        <f t="shared" si="22"/>
        <v>#DIV/0!</v>
      </c>
      <c r="AO9" s="258" t="e">
        <f t="shared" si="23"/>
        <v>#DIV/0!</v>
      </c>
      <c r="AQ9" s="279" t="e">
        <f t="shared" si="8"/>
        <v>#DIV/0!</v>
      </c>
      <c r="AR9" s="279" t="e">
        <f t="shared" si="9"/>
        <v>#DIV/0!</v>
      </c>
      <c r="AS9" s="279" t="e">
        <f t="shared" si="10"/>
        <v>#DIV/0!</v>
      </c>
      <c r="AT9" s="279" t="e">
        <f t="shared" si="11"/>
        <v>#DIV/0!</v>
      </c>
      <c r="AU9">
        <f t="shared" si="24"/>
        <v>0</v>
      </c>
    </row>
    <row r="10" spans="1:47" s="258" customFormat="1" x14ac:dyDescent="0.25">
      <c r="B10" s="275">
        <v>7</v>
      </c>
      <c r="C10" s="1">
        <v>445</v>
      </c>
      <c r="D10" s="1">
        <v>0</v>
      </c>
      <c r="E10" s="1">
        <v>0</v>
      </c>
      <c r="F10" s="1">
        <v>165</v>
      </c>
      <c r="G10" s="1">
        <v>250</v>
      </c>
      <c r="H10" s="1">
        <v>7.2</v>
      </c>
      <c r="I10" s="1">
        <v>0</v>
      </c>
      <c r="J10" s="1">
        <v>0</v>
      </c>
      <c r="K10" s="1">
        <v>3</v>
      </c>
      <c r="L10" s="1">
        <v>4</v>
      </c>
      <c r="M10" s="275">
        <f t="shared" si="25"/>
        <v>61.805555555555557</v>
      </c>
      <c r="N10" s="275" t="e">
        <f t="shared" si="26"/>
        <v>#DIV/0!</v>
      </c>
      <c r="O10" s="275">
        <f t="shared" si="14"/>
        <v>62.5</v>
      </c>
      <c r="P10" s="275">
        <f t="shared" si="15"/>
        <v>55</v>
      </c>
      <c r="Q10" s="280">
        <f>C10*(0.188888888888888*0.9)</f>
        <v>75.64999999999965</v>
      </c>
      <c r="R10" s="280">
        <f>C10*0.05</f>
        <v>22.25</v>
      </c>
      <c r="S10" s="275">
        <f>D10*(0.192192192*0.9)</f>
        <v>0</v>
      </c>
      <c r="T10" s="275">
        <f>D10*0.048648648</f>
        <v>0</v>
      </c>
      <c r="U10" s="275">
        <f>E10*(0.288888888888888*0.9)</f>
        <v>0</v>
      </c>
      <c r="V10" s="275">
        <f>E10*0.05</f>
        <v>0</v>
      </c>
      <c r="W10" s="275">
        <f t="shared" si="3"/>
        <v>0</v>
      </c>
      <c r="X10" s="275">
        <f>F10*0.05</f>
        <v>8.25</v>
      </c>
      <c r="Y10" s="275">
        <f>G10*(0.288888888888888*0.9)</f>
        <v>64.999999999999801</v>
      </c>
      <c r="Z10" s="275">
        <f>G10*0.05</f>
        <v>12.5</v>
      </c>
      <c r="AA10" s="511">
        <f t="shared" si="16"/>
        <v>347.10000000000036</v>
      </c>
      <c r="AB10" s="511">
        <f t="shared" si="17"/>
        <v>0</v>
      </c>
      <c r="AC10" s="511">
        <f t="shared" si="18"/>
        <v>0</v>
      </c>
      <c r="AD10" s="511">
        <f t="shared" si="19"/>
        <v>156.75</v>
      </c>
      <c r="AE10" s="511">
        <f t="shared" si="4"/>
        <v>172.5000000000002</v>
      </c>
      <c r="AF10" s="43">
        <f t="shared" si="29"/>
        <v>676.35000000000059</v>
      </c>
      <c r="AG10" s="170">
        <f t="shared" si="5"/>
        <v>140.64999999999947</v>
      </c>
      <c r="AH10" s="276">
        <f t="shared" si="30"/>
        <v>43</v>
      </c>
      <c r="AI10" s="275">
        <v>0</v>
      </c>
      <c r="AJ10" s="277">
        <v>0</v>
      </c>
      <c r="AK10" s="278">
        <f t="shared" si="7"/>
        <v>151.98876404494393</v>
      </c>
      <c r="AL10" s="276">
        <f t="shared" si="20"/>
        <v>860</v>
      </c>
      <c r="AM10" s="258">
        <f t="shared" si="21"/>
        <v>16.999999999999922</v>
      </c>
      <c r="AN10" s="258" t="e">
        <f t="shared" si="22"/>
        <v>#DIV/0!</v>
      </c>
      <c r="AO10" s="258">
        <f t="shared" si="23"/>
        <v>0.25999999999999923</v>
      </c>
      <c r="AQ10" s="279">
        <f t="shared" si="8"/>
        <v>0.7800000000000008</v>
      </c>
      <c r="AR10" s="279" t="e">
        <f t="shared" si="9"/>
        <v>#DIV/0!</v>
      </c>
      <c r="AS10" s="279" t="e">
        <f t="shared" si="10"/>
        <v>#DIV/0!</v>
      </c>
      <c r="AT10" s="279">
        <f t="shared" si="11"/>
        <v>0.95</v>
      </c>
      <c r="AU10">
        <f t="shared" si="24"/>
        <v>860</v>
      </c>
    </row>
    <row r="11" spans="1:47" s="258" customFormat="1" x14ac:dyDescent="0.25">
      <c r="B11" s="275">
        <v>8</v>
      </c>
      <c r="C11" s="1">
        <v>1435</v>
      </c>
      <c r="D11" s="1">
        <v>0</v>
      </c>
      <c r="E11" s="1">
        <v>0</v>
      </c>
      <c r="F11" s="1">
        <v>0</v>
      </c>
      <c r="G11" s="1">
        <v>0</v>
      </c>
      <c r="H11" s="1">
        <v>22.95</v>
      </c>
      <c r="I11" s="1">
        <v>0</v>
      </c>
      <c r="J11" s="1">
        <v>0</v>
      </c>
      <c r="K11" s="1">
        <v>0</v>
      </c>
      <c r="L11" s="1">
        <v>0</v>
      </c>
      <c r="M11" s="275">
        <f t="shared" si="25"/>
        <v>62.527233115468412</v>
      </c>
      <c r="N11" s="275" t="e">
        <f t="shared" si="26"/>
        <v>#DIV/0!</v>
      </c>
      <c r="O11" s="275" t="e">
        <f t="shared" si="14"/>
        <v>#DIV/0!</v>
      </c>
      <c r="P11" s="275" t="e">
        <f t="shared" si="15"/>
        <v>#DIV/0!</v>
      </c>
      <c r="Q11" s="275">
        <f>C11*(0.2*0.9)</f>
        <v>258.3</v>
      </c>
      <c r="R11" s="275">
        <f>C11*0.049997212</f>
        <v>71.745999220000002</v>
      </c>
      <c r="S11" s="275">
        <f>D11*(0.23148148148*0.9)</f>
        <v>0</v>
      </c>
      <c r="T11" s="275">
        <f>D11*0.0416666666666666</f>
        <v>0</v>
      </c>
      <c r="U11" s="275">
        <f>E11*(0.277777777777777*0.9)</f>
        <v>0</v>
      </c>
      <c r="V11" s="275">
        <f>E11*0.05</f>
        <v>0</v>
      </c>
      <c r="W11" s="275">
        <f t="shared" si="3"/>
        <v>0</v>
      </c>
      <c r="X11" s="275">
        <f>F11*0.05</f>
        <v>0</v>
      </c>
      <c r="Y11" s="275">
        <f t="shared" si="27"/>
        <v>0</v>
      </c>
      <c r="Z11" s="275">
        <f t="shared" si="28"/>
        <v>0</v>
      </c>
      <c r="AA11" s="511">
        <f t="shared" si="16"/>
        <v>1104.9540007800001</v>
      </c>
      <c r="AB11" s="511">
        <f t="shared" si="17"/>
        <v>0</v>
      </c>
      <c r="AC11" s="511">
        <f t="shared" si="18"/>
        <v>0</v>
      </c>
      <c r="AD11" s="511">
        <f t="shared" si="19"/>
        <v>0</v>
      </c>
      <c r="AE11" s="511">
        <f t="shared" si="4"/>
        <v>0</v>
      </c>
      <c r="AF11" s="43">
        <f t="shared" si="29"/>
        <v>1104.9540007800001</v>
      </c>
      <c r="AG11" s="170">
        <f t="shared" si="5"/>
        <v>258.3</v>
      </c>
      <c r="AH11" s="276">
        <f t="shared" si="30"/>
        <v>71.745999220000002</v>
      </c>
      <c r="AI11" s="275">
        <v>0</v>
      </c>
      <c r="AJ11" s="277">
        <v>0</v>
      </c>
      <c r="AK11" s="278">
        <f t="shared" si="7"/>
        <v>77.000278800000004</v>
      </c>
      <c r="AL11" s="276">
        <f t="shared" si="20"/>
        <v>1435</v>
      </c>
      <c r="AM11" s="258">
        <f t="shared" si="21"/>
        <v>18.000000000000004</v>
      </c>
      <c r="AN11" s="258" t="e">
        <f t="shared" si="22"/>
        <v>#DIV/0!</v>
      </c>
      <c r="AO11" s="258" t="e">
        <f t="shared" si="23"/>
        <v>#DIV/0!</v>
      </c>
      <c r="AQ11" s="279">
        <f t="shared" si="8"/>
        <v>0.7700027880000001</v>
      </c>
      <c r="AR11" s="279" t="e">
        <f t="shared" si="9"/>
        <v>#DIV/0!</v>
      </c>
      <c r="AS11" s="279" t="e">
        <f t="shared" si="10"/>
        <v>#DIV/0!</v>
      </c>
      <c r="AT11" s="279" t="e">
        <f t="shared" si="11"/>
        <v>#DIV/0!</v>
      </c>
      <c r="AU11">
        <f t="shared" si="24"/>
        <v>1435</v>
      </c>
    </row>
    <row r="12" spans="1:47" s="327" customFormat="1" x14ac:dyDescent="0.25">
      <c r="A12" s="327" t="s">
        <v>195</v>
      </c>
      <c r="B12" s="324">
        <v>9</v>
      </c>
      <c r="C12" s="1">
        <v>800</v>
      </c>
      <c r="D12" s="1">
        <v>0</v>
      </c>
      <c r="E12" s="1">
        <v>0</v>
      </c>
      <c r="F12" s="1">
        <v>0</v>
      </c>
      <c r="G12" s="1">
        <v>441</v>
      </c>
      <c r="H12" s="1">
        <v>14.4</v>
      </c>
      <c r="I12" s="1">
        <v>0</v>
      </c>
      <c r="J12" s="1">
        <v>0</v>
      </c>
      <c r="K12" s="1">
        <v>0</v>
      </c>
      <c r="L12" s="1">
        <v>7.47</v>
      </c>
      <c r="M12" s="324">
        <f t="shared" si="25"/>
        <v>55.555555555555557</v>
      </c>
      <c r="N12" s="324" t="e">
        <f t="shared" si="26"/>
        <v>#DIV/0!</v>
      </c>
      <c r="O12" s="275">
        <f t="shared" si="14"/>
        <v>59.036144578313255</v>
      </c>
      <c r="P12" s="324" t="e">
        <f t="shared" si="15"/>
        <v>#DIV/0!</v>
      </c>
      <c r="Q12" s="324">
        <f>C12*(0.198875*0.9)</f>
        <v>143.19</v>
      </c>
      <c r="R12" s="324">
        <f>C12*0.05100625</f>
        <v>40.805</v>
      </c>
      <c r="S12" s="324">
        <f>D12*(0.3*0.9)</f>
        <v>0</v>
      </c>
      <c r="T12" s="324">
        <f>D12*0.05</f>
        <v>0</v>
      </c>
      <c r="U12" s="324">
        <f>E12*(0.258258258258258*0.9)</f>
        <v>0</v>
      </c>
      <c r="V12" s="324">
        <f>E12*0.054054054054</f>
        <v>0</v>
      </c>
      <c r="W12" s="324">
        <f t="shared" si="3"/>
        <v>0</v>
      </c>
      <c r="X12" s="324">
        <f>F12*0.05</f>
        <v>0</v>
      </c>
      <c r="Y12" s="275">
        <f>G12*(0.311111111*0.9)</f>
        <v>123.47999995590001</v>
      </c>
      <c r="Z12" s="275">
        <f>G12*0.05</f>
        <v>22.05</v>
      </c>
      <c r="AA12" s="511">
        <f t="shared" si="16"/>
        <v>616.005</v>
      </c>
      <c r="AB12" s="511">
        <f t="shared" si="17"/>
        <v>0</v>
      </c>
      <c r="AC12" s="511">
        <f t="shared" si="18"/>
        <v>0</v>
      </c>
      <c r="AD12" s="511">
        <f t="shared" si="19"/>
        <v>0</v>
      </c>
      <c r="AE12" s="511">
        <f t="shared" si="4"/>
        <v>295.4700000441</v>
      </c>
      <c r="AF12" s="618">
        <f t="shared" si="29"/>
        <v>911.47500004409994</v>
      </c>
      <c r="AG12" s="620">
        <f t="shared" si="5"/>
        <v>266.66999995590004</v>
      </c>
      <c r="AH12" s="280">
        <f t="shared" si="30"/>
        <v>62.855000000000004</v>
      </c>
      <c r="AI12" s="324">
        <v>0</v>
      </c>
      <c r="AJ12" s="328">
        <v>0</v>
      </c>
      <c r="AK12" s="329">
        <f t="shared" si="7"/>
        <v>113.93437500551249</v>
      </c>
      <c r="AL12" s="276">
        <f t="shared" si="20"/>
        <v>1241</v>
      </c>
      <c r="AM12" s="258">
        <f t="shared" si="21"/>
        <v>17.89875</v>
      </c>
      <c r="AN12" s="258" t="e">
        <f t="shared" si="22"/>
        <v>#DIV/0!</v>
      </c>
      <c r="AO12" s="258">
        <f t="shared" si="23"/>
        <v>0.27999999990000002</v>
      </c>
      <c r="AQ12" s="330">
        <f t="shared" si="8"/>
        <v>0.77000625</v>
      </c>
      <c r="AR12" s="330" t="e">
        <f t="shared" si="9"/>
        <v>#DIV/0!</v>
      </c>
      <c r="AS12" s="330" t="e">
        <f t="shared" si="10"/>
        <v>#DIV/0!</v>
      </c>
      <c r="AT12" s="330" t="e">
        <f t="shared" si="11"/>
        <v>#DIV/0!</v>
      </c>
      <c r="AU12">
        <f t="shared" si="24"/>
        <v>1241</v>
      </c>
    </row>
    <row r="13" spans="1:47" s="258" customFormat="1" x14ac:dyDescent="0.25">
      <c r="B13" s="275">
        <v>10</v>
      </c>
      <c r="C13" s="1">
        <v>818</v>
      </c>
      <c r="D13" s="1">
        <v>0</v>
      </c>
      <c r="E13" s="1">
        <v>0</v>
      </c>
      <c r="F13" s="1">
        <v>112</v>
      </c>
      <c r="G13" s="1">
        <v>0</v>
      </c>
      <c r="H13" s="1">
        <v>13.98</v>
      </c>
      <c r="I13" s="1">
        <v>0</v>
      </c>
      <c r="J13" s="1">
        <v>0</v>
      </c>
      <c r="K13" s="1">
        <v>2</v>
      </c>
      <c r="L13" s="1">
        <v>0</v>
      </c>
      <c r="M13" s="275">
        <f t="shared" si="25"/>
        <v>58.512160228898423</v>
      </c>
      <c r="N13" s="275" t="e">
        <f t="shared" si="26"/>
        <v>#DIV/0!</v>
      </c>
      <c r="O13" s="275" t="e">
        <f t="shared" si="14"/>
        <v>#DIV/0!</v>
      </c>
      <c r="P13" s="275">
        <f t="shared" si="15"/>
        <v>56</v>
      </c>
      <c r="Q13" s="276">
        <f>C13*(0.177777777777777*0.9)</f>
        <v>130.87999999999943</v>
      </c>
      <c r="R13" s="276">
        <f t="shared" ref="R13" si="31">C13*0.05</f>
        <v>40.900000000000006</v>
      </c>
      <c r="S13" s="275">
        <f>D13*(0.324786324*0.9)</f>
        <v>0</v>
      </c>
      <c r="T13" s="275">
        <f>D13*0.051282051</f>
        <v>0</v>
      </c>
      <c r="U13" s="275">
        <f>E13*(0.31099353333*0.9)</f>
        <v>0</v>
      </c>
      <c r="V13" s="275">
        <f>E13*0.05026455</f>
        <v>0</v>
      </c>
      <c r="W13" s="275">
        <f t="shared" si="3"/>
        <v>0</v>
      </c>
      <c r="X13" s="275">
        <f>F13*0.05</f>
        <v>5.6000000000000005</v>
      </c>
      <c r="Y13" s="275">
        <f>G13*(0.3125*0.9)</f>
        <v>0</v>
      </c>
      <c r="Z13" s="275">
        <f>G13*0.05</f>
        <v>0</v>
      </c>
      <c r="AA13" s="511">
        <f t="shared" si="16"/>
        <v>646.2200000000006</v>
      </c>
      <c r="AB13" s="511">
        <f t="shared" si="17"/>
        <v>0</v>
      </c>
      <c r="AC13" s="511">
        <f t="shared" si="18"/>
        <v>0</v>
      </c>
      <c r="AD13" s="511">
        <f t="shared" si="19"/>
        <v>106.4</v>
      </c>
      <c r="AE13" s="511">
        <f t="shared" si="4"/>
        <v>0</v>
      </c>
      <c r="AF13" s="44">
        <f t="shared" si="29"/>
        <v>752.62000000000057</v>
      </c>
      <c r="AG13" s="170">
        <f t="shared" si="5"/>
        <v>130.87999999999943</v>
      </c>
      <c r="AH13" s="276">
        <f t="shared" si="30"/>
        <v>46.500000000000007</v>
      </c>
      <c r="AI13" s="275">
        <v>0</v>
      </c>
      <c r="AJ13" s="277">
        <v>0</v>
      </c>
      <c r="AK13" s="278">
        <f t="shared" si="7"/>
        <v>92.007334963325249</v>
      </c>
      <c r="AL13" s="276">
        <f t="shared" si="20"/>
        <v>930</v>
      </c>
      <c r="AM13" s="258">
        <f t="shared" si="21"/>
        <v>15.999999999999931</v>
      </c>
      <c r="AN13" s="258" t="e">
        <f t="shared" si="22"/>
        <v>#DIV/0!</v>
      </c>
      <c r="AO13" s="258" t="e">
        <f t="shared" si="23"/>
        <v>#DIV/0!</v>
      </c>
      <c r="AQ13" s="279">
        <f t="shared" si="8"/>
        <v>0.7900000000000007</v>
      </c>
      <c r="AR13" s="279" t="e">
        <f t="shared" si="9"/>
        <v>#DIV/0!</v>
      </c>
      <c r="AS13" s="279" t="e">
        <f t="shared" si="10"/>
        <v>#DIV/0!</v>
      </c>
      <c r="AT13" s="279">
        <f t="shared" si="11"/>
        <v>0.95000000000000007</v>
      </c>
      <c r="AU13">
        <f t="shared" si="24"/>
        <v>930</v>
      </c>
    </row>
    <row r="14" spans="1:47" s="258" customFormat="1" x14ac:dyDescent="0.25">
      <c r="B14" s="275">
        <v>11</v>
      </c>
      <c r="C14" s="1">
        <v>560</v>
      </c>
      <c r="D14" s="1">
        <v>150</v>
      </c>
      <c r="E14" s="1">
        <v>0</v>
      </c>
      <c r="F14" s="1">
        <v>0</v>
      </c>
      <c r="G14" s="1">
        <v>0</v>
      </c>
      <c r="H14" s="1">
        <v>10.08</v>
      </c>
      <c r="I14" s="1">
        <v>2.5</v>
      </c>
      <c r="J14" s="1">
        <v>0</v>
      </c>
      <c r="K14" s="1">
        <v>0</v>
      </c>
      <c r="L14" s="1">
        <v>0</v>
      </c>
      <c r="M14" s="275">
        <f t="shared" si="25"/>
        <v>55.555555555555557</v>
      </c>
      <c r="N14" s="275">
        <f t="shared" si="26"/>
        <v>60</v>
      </c>
      <c r="O14" s="275" t="e">
        <f t="shared" si="14"/>
        <v>#DIV/0!</v>
      </c>
      <c r="P14" s="275" t="e">
        <f t="shared" si="15"/>
        <v>#DIV/0!</v>
      </c>
      <c r="Q14" s="275">
        <f>C14*(0.177777777777777*0.9)</f>
        <v>89.599999999999611</v>
      </c>
      <c r="R14" s="276">
        <f>C14*0.05</f>
        <v>28</v>
      </c>
      <c r="S14" s="275">
        <f>D14*(0.3*0.9)</f>
        <v>40.5</v>
      </c>
      <c r="T14" s="275">
        <f t="shared" ref="T14:T19" si="32">D14*0.05</f>
        <v>7.5</v>
      </c>
      <c r="U14" s="275">
        <f>E14*(0.288888888888888*0.9)</f>
        <v>0</v>
      </c>
      <c r="V14" s="275">
        <f>E14*0.05</f>
        <v>0</v>
      </c>
      <c r="W14" s="275">
        <f t="shared" si="3"/>
        <v>0</v>
      </c>
      <c r="X14" s="275">
        <f t="shared" ref="X14:X22" si="33">F14*0.05</f>
        <v>0</v>
      </c>
      <c r="Y14" s="275">
        <f t="shared" si="27"/>
        <v>0</v>
      </c>
      <c r="Z14" s="275">
        <f t="shared" si="28"/>
        <v>0</v>
      </c>
      <c r="AA14" s="511">
        <f t="shared" si="16"/>
        <v>442.40000000000038</v>
      </c>
      <c r="AB14" s="511">
        <f t="shared" si="17"/>
        <v>102</v>
      </c>
      <c r="AC14" s="511">
        <f t="shared" si="18"/>
        <v>0</v>
      </c>
      <c r="AD14" s="511">
        <f t="shared" si="19"/>
        <v>0</v>
      </c>
      <c r="AE14" s="511">
        <f t="shared" si="4"/>
        <v>0</v>
      </c>
      <c r="AF14" s="43">
        <f t="shared" si="29"/>
        <v>544.40000000000032</v>
      </c>
      <c r="AG14" s="170">
        <f t="shared" si="5"/>
        <v>130.09999999999962</v>
      </c>
      <c r="AH14" s="276">
        <f t="shared" si="30"/>
        <v>35.5</v>
      </c>
      <c r="AI14" s="275">
        <v>0</v>
      </c>
      <c r="AJ14" s="277">
        <v>0</v>
      </c>
      <c r="AK14" s="278">
        <f t="shared" si="7"/>
        <v>76.676056338028204</v>
      </c>
      <c r="AL14" s="276">
        <f t="shared" si="20"/>
        <v>710</v>
      </c>
      <c r="AM14" s="258">
        <f t="shared" si="21"/>
        <v>15.999999999999931</v>
      </c>
      <c r="AN14" s="258">
        <f t="shared" si="22"/>
        <v>27</v>
      </c>
      <c r="AO14" s="258" t="e">
        <f t="shared" si="23"/>
        <v>#DIV/0!</v>
      </c>
      <c r="AQ14" s="279">
        <f t="shared" si="8"/>
        <v>0.7900000000000007</v>
      </c>
      <c r="AR14" s="279">
        <f t="shared" si="9"/>
        <v>0.68</v>
      </c>
      <c r="AS14" s="279" t="e">
        <f t="shared" si="10"/>
        <v>#DIV/0!</v>
      </c>
      <c r="AT14" s="279" t="e">
        <f t="shared" si="11"/>
        <v>#DIV/0!</v>
      </c>
      <c r="AU14">
        <f t="shared" si="24"/>
        <v>710</v>
      </c>
    </row>
    <row r="15" spans="1:47" s="258" customFormat="1" x14ac:dyDescent="0.25">
      <c r="B15" s="275">
        <v>12</v>
      </c>
      <c r="C15" s="1">
        <v>1000</v>
      </c>
      <c r="D15" s="1">
        <v>0</v>
      </c>
      <c r="E15" s="1">
        <v>0</v>
      </c>
      <c r="F15" s="1">
        <v>0</v>
      </c>
      <c r="G15" s="1">
        <v>350</v>
      </c>
      <c r="H15" s="1">
        <v>17.5</v>
      </c>
      <c r="I15" s="1">
        <v>0</v>
      </c>
      <c r="J15" s="1">
        <v>0</v>
      </c>
      <c r="K15" s="1">
        <v>0</v>
      </c>
      <c r="L15" s="1">
        <v>5.67</v>
      </c>
      <c r="M15" s="275">
        <f t="shared" si="25"/>
        <v>57.142857142857146</v>
      </c>
      <c r="N15" s="275" t="e">
        <f t="shared" si="26"/>
        <v>#DIV/0!</v>
      </c>
      <c r="O15" s="275">
        <f t="shared" si="14"/>
        <v>61.728395061728399</v>
      </c>
      <c r="P15" s="275" t="e">
        <f t="shared" si="15"/>
        <v>#DIV/0!</v>
      </c>
      <c r="Q15" s="275">
        <f>C15*(0.2*0.9)</f>
        <v>180.00000000000003</v>
      </c>
      <c r="R15" s="275">
        <f>C15*0.051</f>
        <v>51</v>
      </c>
      <c r="S15" s="275">
        <f>D15*(0.311111111111111*0.9)</f>
        <v>0</v>
      </c>
      <c r="T15" s="275">
        <f t="shared" si="32"/>
        <v>0</v>
      </c>
      <c r="U15" s="275">
        <f>E15*(0.322222222222222*0.9)</f>
        <v>0</v>
      </c>
      <c r="V15" s="275">
        <f>E15*0.05</f>
        <v>0</v>
      </c>
      <c r="W15" s="275">
        <f t="shared" si="3"/>
        <v>0</v>
      </c>
      <c r="X15" s="275">
        <f t="shared" si="33"/>
        <v>0</v>
      </c>
      <c r="Y15" s="275">
        <f>G15*(0.3*0.9)</f>
        <v>94.5</v>
      </c>
      <c r="Z15" s="275">
        <f>G15*0.051</f>
        <v>17.849999999999998</v>
      </c>
      <c r="AA15" s="511">
        <f t="shared" si="16"/>
        <v>769</v>
      </c>
      <c r="AB15" s="511">
        <f t="shared" si="17"/>
        <v>0</v>
      </c>
      <c r="AC15" s="511">
        <f t="shared" si="18"/>
        <v>0</v>
      </c>
      <c r="AD15" s="511">
        <f t="shared" si="19"/>
        <v>0</v>
      </c>
      <c r="AE15" s="511">
        <f t="shared" si="4"/>
        <v>237.65</v>
      </c>
      <c r="AF15" s="43">
        <f t="shared" si="29"/>
        <v>1006.65</v>
      </c>
      <c r="AG15" s="170">
        <f t="shared" si="5"/>
        <v>274.5</v>
      </c>
      <c r="AH15" s="276">
        <f t="shared" si="30"/>
        <v>68.849999999999994</v>
      </c>
      <c r="AI15" s="275">
        <v>0</v>
      </c>
      <c r="AJ15" s="277">
        <v>0</v>
      </c>
      <c r="AK15" s="278">
        <f t="shared" si="7"/>
        <v>100.66500000000001</v>
      </c>
      <c r="AL15" s="276">
        <f t="shared" si="20"/>
        <v>1350</v>
      </c>
      <c r="AM15" s="258">
        <f t="shared" si="21"/>
        <v>18.000000000000004</v>
      </c>
      <c r="AN15" s="258" t="e">
        <f t="shared" si="22"/>
        <v>#DIV/0!</v>
      </c>
      <c r="AO15" s="258">
        <f t="shared" si="23"/>
        <v>0.27</v>
      </c>
      <c r="AQ15" s="279">
        <f t="shared" si="8"/>
        <v>0.76900000000000002</v>
      </c>
      <c r="AR15" s="279" t="e">
        <f t="shared" si="9"/>
        <v>#DIV/0!</v>
      </c>
      <c r="AS15" s="279" t="e">
        <f t="shared" si="10"/>
        <v>#DIV/0!</v>
      </c>
      <c r="AT15" s="279" t="e">
        <f t="shared" si="11"/>
        <v>#DIV/0!</v>
      </c>
      <c r="AU15">
        <f t="shared" si="24"/>
        <v>1350</v>
      </c>
    </row>
    <row r="16" spans="1:47" s="258" customFormat="1" x14ac:dyDescent="0.25">
      <c r="B16" s="275">
        <v>13</v>
      </c>
      <c r="C16" s="1">
        <v>1155</v>
      </c>
      <c r="D16" s="1">
        <v>150</v>
      </c>
      <c r="E16" s="1">
        <v>0</v>
      </c>
      <c r="F16" s="1">
        <v>0</v>
      </c>
      <c r="G16" s="1">
        <v>0</v>
      </c>
      <c r="H16" s="1">
        <v>21</v>
      </c>
      <c r="I16" s="1">
        <v>2.63</v>
      </c>
      <c r="J16" s="1">
        <v>0</v>
      </c>
      <c r="K16" s="1">
        <v>0</v>
      </c>
      <c r="L16" s="1">
        <v>0</v>
      </c>
      <c r="M16" s="275">
        <f t="shared" si="25"/>
        <v>55</v>
      </c>
      <c r="N16" s="275">
        <f t="shared" si="26"/>
        <v>57.034220532319395</v>
      </c>
      <c r="O16" s="275" t="e">
        <f t="shared" si="14"/>
        <v>#DIV/0!</v>
      </c>
      <c r="P16" s="275" t="e">
        <f t="shared" si="15"/>
        <v>#DIV/0!</v>
      </c>
      <c r="Q16" s="297">
        <f>C16*(0.197777777777777*0.9)</f>
        <v>205.58999999999918</v>
      </c>
      <c r="R16" s="297">
        <f>C16*0.05</f>
        <v>57.75</v>
      </c>
      <c r="S16" s="275">
        <f>D16*(0.277777777777777*0.9)</f>
        <v>37.499999999999893</v>
      </c>
      <c r="T16" s="275">
        <f t="shared" si="32"/>
        <v>7.5</v>
      </c>
      <c r="U16" s="275">
        <f>E16*(0.288888888888888*0.9)</f>
        <v>0</v>
      </c>
      <c r="V16" s="275">
        <f>E16*0.05</f>
        <v>0</v>
      </c>
      <c r="W16" s="275">
        <f t="shared" si="3"/>
        <v>0</v>
      </c>
      <c r="X16" s="275">
        <f t="shared" si="33"/>
        <v>0</v>
      </c>
      <c r="Y16" s="275">
        <f>G16*(0.3*0.9)</f>
        <v>0</v>
      </c>
      <c r="Z16" s="275">
        <f>G16*0.05</f>
        <v>0</v>
      </c>
      <c r="AA16" s="511">
        <f t="shared" si="16"/>
        <v>891.66000000000076</v>
      </c>
      <c r="AB16" s="511">
        <f t="shared" si="17"/>
        <v>105.00000000000011</v>
      </c>
      <c r="AC16" s="511">
        <f t="shared" si="18"/>
        <v>0</v>
      </c>
      <c r="AD16" s="511">
        <f t="shared" si="19"/>
        <v>0</v>
      </c>
      <c r="AE16" s="511">
        <f t="shared" si="4"/>
        <v>0</v>
      </c>
      <c r="AF16" s="43">
        <f t="shared" si="29"/>
        <v>996.66000000000088</v>
      </c>
      <c r="AG16" s="170">
        <f t="shared" si="5"/>
        <v>243.08999999999907</v>
      </c>
      <c r="AH16" s="276">
        <f t="shared" si="30"/>
        <v>65.25</v>
      </c>
      <c r="AI16" s="275">
        <v>0</v>
      </c>
      <c r="AJ16" s="277">
        <v>0</v>
      </c>
      <c r="AK16" s="278">
        <f t="shared" si="7"/>
        <v>76.372413793103505</v>
      </c>
      <c r="AL16" s="276">
        <f t="shared" si="20"/>
        <v>1305</v>
      </c>
      <c r="AM16" s="258">
        <f t="shared" si="21"/>
        <v>17.79999999999993</v>
      </c>
      <c r="AN16" s="258">
        <f t="shared" si="22"/>
        <v>24.999999999999929</v>
      </c>
      <c r="AO16" s="258" t="e">
        <f t="shared" si="23"/>
        <v>#DIV/0!</v>
      </c>
      <c r="AQ16" s="279">
        <f t="shared" si="8"/>
        <v>0.77200000000000069</v>
      </c>
      <c r="AR16" s="279">
        <f t="shared" si="9"/>
        <v>0.70000000000000073</v>
      </c>
      <c r="AS16" s="279" t="e">
        <f t="shared" si="10"/>
        <v>#DIV/0!</v>
      </c>
      <c r="AT16" s="279" t="e">
        <f t="shared" si="11"/>
        <v>#DIV/0!</v>
      </c>
      <c r="AU16">
        <f t="shared" si="24"/>
        <v>1305</v>
      </c>
    </row>
    <row r="17" spans="1:47" s="258" customFormat="1" x14ac:dyDescent="0.25">
      <c r="B17" s="275">
        <v>14</v>
      </c>
      <c r="C17" s="1">
        <v>1022</v>
      </c>
      <c r="D17" s="1">
        <v>300</v>
      </c>
      <c r="E17" s="1">
        <v>0</v>
      </c>
      <c r="F17" s="1">
        <v>0</v>
      </c>
      <c r="G17" s="1">
        <v>0</v>
      </c>
      <c r="H17" s="1">
        <v>18.239999999999998</v>
      </c>
      <c r="I17" s="1">
        <v>5</v>
      </c>
      <c r="J17" s="1">
        <v>0</v>
      </c>
      <c r="K17" s="1">
        <v>0</v>
      </c>
      <c r="L17" s="1">
        <v>0</v>
      </c>
      <c r="M17" s="275">
        <f t="shared" si="25"/>
        <v>56.030701754385973</v>
      </c>
      <c r="N17" s="275">
        <f t="shared" si="26"/>
        <v>60</v>
      </c>
      <c r="O17" s="275" t="e">
        <f t="shared" si="14"/>
        <v>#DIV/0!</v>
      </c>
      <c r="P17" s="275" t="e">
        <f t="shared" si="15"/>
        <v>#DIV/0!</v>
      </c>
      <c r="Q17" s="275">
        <f>C17*(0.2*0.9)</f>
        <v>183.96</v>
      </c>
      <c r="R17" s="275">
        <f>C17*0.05</f>
        <v>51.1</v>
      </c>
      <c r="S17" s="275">
        <f>D17*(0.3*0.9)</f>
        <v>81</v>
      </c>
      <c r="T17" s="275">
        <f t="shared" si="32"/>
        <v>15</v>
      </c>
      <c r="U17" s="275">
        <f>E17*(0.247531636*0.9)</f>
        <v>0</v>
      </c>
      <c r="V17" s="275">
        <f>E17*0.051314142</f>
        <v>0</v>
      </c>
      <c r="W17" s="275">
        <f t="shared" si="3"/>
        <v>0</v>
      </c>
      <c r="X17" s="275">
        <f t="shared" si="33"/>
        <v>0</v>
      </c>
      <c r="Y17" s="275">
        <f>G17*(0.3*0.9)</f>
        <v>0</v>
      </c>
      <c r="Z17" s="275">
        <f>G17*0.049</f>
        <v>0</v>
      </c>
      <c r="AA17" s="511">
        <f t="shared" si="16"/>
        <v>786.93999999999994</v>
      </c>
      <c r="AB17" s="511">
        <f t="shared" si="17"/>
        <v>204</v>
      </c>
      <c r="AC17" s="511">
        <f t="shared" si="18"/>
        <v>0</v>
      </c>
      <c r="AD17" s="511">
        <f t="shared" si="19"/>
        <v>0</v>
      </c>
      <c r="AE17" s="511">
        <f t="shared" si="4"/>
        <v>0</v>
      </c>
      <c r="AF17" s="43">
        <f t="shared" si="29"/>
        <v>990.93999999999994</v>
      </c>
      <c r="AG17" s="170">
        <f t="shared" si="5"/>
        <v>264.96000000000004</v>
      </c>
      <c r="AH17" s="276">
        <f t="shared" si="30"/>
        <v>66.099999999999994</v>
      </c>
      <c r="AI17" s="275">
        <v>0</v>
      </c>
      <c r="AJ17" s="277">
        <v>0</v>
      </c>
      <c r="AK17" s="278">
        <f t="shared" si="7"/>
        <v>74.957639939485617</v>
      </c>
      <c r="AL17" s="276">
        <f t="shared" si="20"/>
        <v>1322</v>
      </c>
      <c r="AM17" s="258">
        <f t="shared" si="21"/>
        <v>18.000000000000004</v>
      </c>
      <c r="AN17" s="258">
        <f t="shared" si="22"/>
        <v>27</v>
      </c>
      <c r="AO17" s="258" t="e">
        <f t="shared" si="23"/>
        <v>#DIV/0!</v>
      </c>
      <c r="AQ17" s="279">
        <f t="shared" si="8"/>
        <v>0.76999999999999991</v>
      </c>
      <c r="AR17" s="279">
        <f t="shared" si="9"/>
        <v>0.68</v>
      </c>
      <c r="AS17" s="279" t="e">
        <f t="shared" si="10"/>
        <v>#DIV/0!</v>
      </c>
      <c r="AT17" s="279" t="e">
        <f t="shared" si="11"/>
        <v>#DIV/0!</v>
      </c>
      <c r="AU17">
        <f t="shared" si="24"/>
        <v>1322</v>
      </c>
    </row>
    <row r="18" spans="1:47" s="327" customFormat="1" x14ac:dyDescent="0.25">
      <c r="B18" s="324">
        <v>15</v>
      </c>
      <c r="C18" s="1">
        <v>680</v>
      </c>
      <c r="D18" s="1">
        <v>0</v>
      </c>
      <c r="E18" s="1">
        <v>0</v>
      </c>
      <c r="F18" s="1">
        <v>0</v>
      </c>
      <c r="G18" s="1">
        <v>0</v>
      </c>
      <c r="H18" s="1">
        <v>12.4</v>
      </c>
      <c r="I18" s="1">
        <v>0</v>
      </c>
      <c r="J18" s="1">
        <v>0</v>
      </c>
      <c r="K18" s="1">
        <v>0</v>
      </c>
      <c r="L18" s="1">
        <v>0</v>
      </c>
      <c r="M18" s="324">
        <f t="shared" si="25"/>
        <v>54.838709677419352</v>
      </c>
      <c r="N18" s="324" t="e">
        <f t="shared" si="26"/>
        <v>#DIV/0!</v>
      </c>
      <c r="O18" s="275" t="e">
        <f t="shared" si="14"/>
        <v>#DIV/0!</v>
      </c>
      <c r="P18" s="324" t="e">
        <f t="shared" si="15"/>
        <v>#DIV/0!</v>
      </c>
      <c r="Q18" s="324">
        <f>C18*(0.2*0.9)</f>
        <v>122.40000000000002</v>
      </c>
      <c r="R18" s="324">
        <f>C18*0.05000147</f>
        <v>34.0009996</v>
      </c>
      <c r="S18" s="324">
        <f>D18*(0.244444444444444*0.9)</f>
        <v>0</v>
      </c>
      <c r="T18" s="324">
        <f t="shared" si="32"/>
        <v>0</v>
      </c>
      <c r="U18" s="324">
        <f>E18*(0.222222222222222*0.9)</f>
        <v>0</v>
      </c>
      <c r="V18" s="324">
        <f>E18*0.05</f>
        <v>0</v>
      </c>
      <c r="W18" s="324">
        <f t="shared" si="3"/>
        <v>0</v>
      </c>
      <c r="X18" s="324">
        <f t="shared" si="33"/>
        <v>0</v>
      </c>
      <c r="Y18" s="275">
        <f>G18*(0.288888888888889*0.9)</f>
        <v>0</v>
      </c>
      <c r="Z18" s="275">
        <f>G18*0.05</f>
        <v>0</v>
      </c>
      <c r="AA18" s="511">
        <f t="shared" si="16"/>
        <v>523.59900040000002</v>
      </c>
      <c r="AB18" s="511">
        <f t="shared" si="17"/>
        <v>0</v>
      </c>
      <c r="AC18" s="511">
        <f t="shared" si="18"/>
        <v>0</v>
      </c>
      <c r="AD18" s="511">
        <f t="shared" si="19"/>
        <v>0</v>
      </c>
      <c r="AE18" s="511">
        <f t="shared" si="4"/>
        <v>0</v>
      </c>
      <c r="AF18" s="43">
        <f t="shared" si="29"/>
        <v>523.59900040000002</v>
      </c>
      <c r="AG18" s="170">
        <f t="shared" si="5"/>
        <v>122.40000000000002</v>
      </c>
      <c r="AH18" s="280">
        <f t="shared" si="30"/>
        <v>34.0009996</v>
      </c>
      <c r="AI18" s="324">
        <v>0</v>
      </c>
      <c r="AJ18" s="328">
        <v>0</v>
      </c>
      <c r="AK18" s="329">
        <f t="shared" si="7"/>
        <v>76.999853000000002</v>
      </c>
      <c r="AL18" s="276">
        <f t="shared" si="20"/>
        <v>680</v>
      </c>
      <c r="AM18" s="258">
        <f t="shared" si="21"/>
        <v>18.000000000000004</v>
      </c>
      <c r="AN18" s="258" t="e">
        <f t="shared" si="22"/>
        <v>#DIV/0!</v>
      </c>
      <c r="AO18" s="258" t="e">
        <f t="shared" si="23"/>
        <v>#DIV/0!</v>
      </c>
      <c r="AQ18" s="330">
        <f t="shared" si="8"/>
        <v>0.76999853000000007</v>
      </c>
      <c r="AR18" s="330" t="e">
        <f t="shared" si="9"/>
        <v>#DIV/0!</v>
      </c>
      <c r="AS18" s="330" t="e">
        <f t="shared" si="10"/>
        <v>#DIV/0!</v>
      </c>
      <c r="AT18" s="330" t="e">
        <f t="shared" si="11"/>
        <v>#DIV/0!</v>
      </c>
      <c r="AU18">
        <f t="shared" si="24"/>
        <v>680</v>
      </c>
    </row>
    <row r="19" spans="1:47" s="321" customFormat="1" x14ac:dyDescent="0.25">
      <c r="B19" s="324">
        <v>16</v>
      </c>
      <c r="C19" s="1">
        <v>660</v>
      </c>
      <c r="D19" s="1">
        <v>0</v>
      </c>
      <c r="E19" s="1">
        <v>0</v>
      </c>
      <c r="F19" s="1">
        <v>0</v>
      </c>
      <c r="G19" s="1">
        <v>0</v>
      </c>
      <c r="H19" s="1">
        <v>12.17</v>
      </c>
      <c r="I19" s="1">
        <v>0</v>
      </c>
      <c r="J19" s="1">
        <v>0</v>
      </c>
      <c r="K19" s="1">
        <v>0</v>
      </c>
      <c r="L19" s="1">
        <v>0</v>
      </c>
      <c r="M19" s="322">
        <f t="shared" si="25"/>
        <v>54.231717337715693</v>
      </c>
      <c r="N19" s="322" t="e">
        <f t="shared" si="26"/>
        <v>#DIV/0!</v>
      </c>
      <c r="O19" s="275" t="e">
        <f t="shared" si="14"/>
        <v>#DIV/0!</v>
      </c>
      <c r="P19" s="322" t="e">
        <f t="shared" si="15"/>
        <v>#DIV/0!</v>
      </c>
      <c r="Q19" s="322">
        <f>C19*(0.20110606*0.9)</f>
        <v>119.45699964000001</v>
      </c>
      <c r="R19" s="322">
        <f>C19*0.050004545</f>
        <v>33.002999699999997</v>
      </c>
      <c r="S19" s="322">
        <f>D19*(0.311111111111111*0.9)</f>
        <v>0</v>
      </c>
      <c r="T19" s="322">
        <f t="shared" si="32"/>
        <v>0</v>
      </c>
      <c r="U19" s="322">
        <f>E19*(0.200716845*0.9)</f>
        <v>0</v>
      </c>
      <c r="V19" s="322">
        <f>E19*0.048387096</f>
        <v>0</v>
      </c>
      <c r="W19" s="322">
        <f t="shared" si="3"/>
        <v>0</v>
      </c>
      <c r="X19" s="322">
        <f t="shared" si="33"/>
        <v>0</v>
      </c>
      <c r="Y19" s="275">
        <f>G19*(0.294444444444444*0.9)</f>
        <v>0</v>
      </c>
      <c r="Z19" s="275">
        <f>G19*0.05</f>
        <v>0</v>
      </c>
      <c r="AA19" s="511">
        <f t="shared" si="16"/>
        <v>507.54000065999998</v>
      </c>
      <c r="AB19" s="511">
        <f t="shared" si="17"/>
        <v>0</v>
      </c>
      <c r="AC19" s="511">
        <f t="shared" si="18"/>
        <v>0</v>
      </c>
      <c r="AD19" s="511">
        <f t="shared" si="19"/>
        <v>0</v>
      </c>
      <c r="AE19" s="511">
        <f t="shared" si="4"/>
        <v>0</v>
      </c>
      <c r="AF19" s="618">
        <f t="shared" si="29"/>
        <v>507.54000065999998</v>
      </c>
      <c r="AG19" s="170">
        <f t="shared" si="5"/>
        <v>119.45699964000001</v>
      </c>
      <c r="AH19" s="280">
        <f t="shared" si="30"/>
        <v>33.002999699999997</v>
      </c>
      <c r="AI19" s="322">
        <v>0</v>
      </c>
      <c r="AJ19" s="325">
        <v>0</v>
      </c>
      <c r="AK19" s="331">
        <f t="shared" si="7"/>
        <v>76.9000001</v>
      </c>
      <c r="AL19" s="276">
        <f t="shared" si="20"/>
        <v>660</v>
      </c>
      <c r="AM19" s="258">
        <f t="shared" si="21"/>
        <v>18.0995454</v>
      </c>
      <c r="AN19" s="258" t="e">
        <f t="shared" si="22"/>
        <v>#DIV/0!</v>
      </c>
      <c r="AO19" s="258" t="e">
        <f t="shared" si="23"/>
        <v>#DIV/0!</v>
      </c>
      <c r="AQ19" s="332">
        <f t="shared" si="8"/>
        <v>0.76900000099999999</v>
      </c>
      <c r="AR19" s="332" t="e">
        <f t="shared" si="9"/>
        <v>#DIV/0!</v>
      </c>
      <c r="AS19" s="332" t="e">
        <f t="shared" si="10"/>
        <v>#DIV/0!</v>
      </c>
      <c r="AT19" s="332" t="e">
        <f t="shared" si="11"/>
        <v>#DIV/0!</v>
      </c>
      <c r="AU19">
        <f t="shared" si="24"/>
        <v>660</v>
      </c>
    </row>
    <row r="20" spans="1:47" s="333" customFormat="1" ht="17.25" customHeight="1" x14ac:dyDescent="0.25">
      <c r="B20" s="324">
        <v>17</v>
      </c>
      <c r="C20" s="1">
        <v>0</v>
      </c>
      <c r="D20" s="1">
        <v>0</v>
      </c>
      <c r="E20" s="1">
        <v>0</v>
      </c>
      <c r="F20" s="1">
        <v>0</v>
      </c>
      <c r="G20" s="1"/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334" t="e">
        <f t="shared" si="25"/>
        <v>#DIV/0!</v>
      </c>
      <c r="N20" s="334" t="e">
        <f t="shared" si="26"/>
        <v>#DIV/0!</v>
      </c>
      <c r="O20" s="275" t="e">
        <f t="shared" si="14"/>
        <v>#DIV/0!</v>
      </c>
      <c r="P20" s="334" t="e">
        <f t="shared" si="15"/>
        <v>#DIV/0!</v>
      </c>
      <c r="Q20" s="334">
        <f>C20*(0.2*0.9)</f>
        <v>0</v>
      </c>
      <c r="R20" s="334">
        <f>C20*0.05</f>
        <v>0</v>
      </c>
      <c r="S20" s="334">
        <f>D20*(0.288888888888888*0.9)</f>
        <v>0</v>
      </c>
      <c r="T20" s="334">
        <f>D20*0.055</f>
        <v>0</v>
      </c>
      <c r="U20" s="334">
        <f>E20*(0.277777777777777*0.9)</f>
        <v>0</v>
      </c>
      <c r="V20" s="334">
        <f>E20*0.05</f>
        <v>0</v>
      </c>
      <c r="W20" s="334">
        <f t="shared" si="3"/>
        <v>0</v>
      </c>
      <c r="X20" s="334">
        <f t="shared" si="33"/>
        <v>0</v>
      </c>
      <c r="Y20" s="275">
        <f t="shared" si="27"/>
        <v>0</v>
      </c>
      <c r="Z20" s="275">
        <f t="shared" si="28"/>
        <v>0</v>
      </c>
      <c r="AA20" s="511">
        <f t="shared" si="16"/>
        <v>0</v>
      </c>
      <c r="AB20" s="511">
        <f t="shared" si="17"/>
        <v>0</v>
      </c>
      <c r="AC20" s="511">
        <f t="shared" si="18"/>
        <v>0</v>
      </c>
      <c r="AD20" s="511">
        <f t="shared" si="19"/>
        <v>0</v>
      </c>
      <c r="AE20" s="511">
        <f t="shared" si="4"/>
        <v>0</v>
      </c>
      <c r="AF20" s="43">
        <f t="shared" si="29"/>
        <v>0</v>
      </c>
      <c r="AG20" s="170">
        <f t="shared" si="5"/>
        <v>0</v>
      </c>
      <c r="AH20" s="276">
        <f t="shared" si="30"/>
        <v>0</v>
      </c>
      <c r="AI20" s="334">
        <v>0</v>
      </c>
      <c r="AJ20" s="336">
        <v>0</v>
      </c>
      <c r="AK20" s="337" t="e">
        <f t="shared" si="7"/>
        <v>#DIV/0!</v>
      </c>
      <c r="AL20" s="276">
        <f t="shared" si="20"/>
        <v>0</v>
      </c>
      <c r="AM20" s="258" t="e">
        <f t="shared" si="21"/>
        <v>#DIV/0!</v>
      </c>
      <c r="AN20" s="258" t="e">
        <f t="shared" si="22"/>
        <v>#DIV/0!</v>
      </c>
      <c r="AO20" s="258" t="e">
        <f t="shared" si="23"/>
        <v>#DIV/0!</v>
      </c>
      <c r="AP20" s="333" t="e">
        <f>(#REF!/C20)*100</f>
        <v>#REF!</v>
      </c>
      <c r="AQ20" s="338" t="e">
        <f t="shared" si="8"/>
        <v>#DIV/0!</v>
      </c>
      <c r="AR20" s="338" t="e">
        <f t="shared" si="9"/>
        <v>#DIV/0!</v>
      </c>
      <c r="AS20" s="332" t="e">
        <f t="shared" si="10"/>
        <v>#DIV/0!</v>
      </c>
      <c r="AT20" s="332" t="e">
        <f t="shared" si="11"/>
        <v>#DIV/0!</v>
      </c>
      <c r="AU20">
        <f t="shared" si="24"/>
        <v>0</v>
      </c>
    </row>
    <row r="21" spans="1:47" s="339" customFormat="1" x14ac:dyDescent="0.25">
      <c r="B21" s="324">
        <v>18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340" t="e">
        <f t="shared" si="25"/>
        <v>#DIV/0!</v>
      </c>
      <c r="N21" s="340" t="e">
        <f>D21/I21</f>
        <v>#DIV/0!</v>
      </c>
      <c r="O21" s="275" t="e">
        <f t="shared" si="14"/>
        <v>#DIV/0!</v>
      </c>
      <c r="P21" s="340" t="e">
        <f t="shared" si="15"/>
        <v>#DIV/0!</v>
      </c>
      <c r="Q21" s="340">
        <f>C21*(0.20561167233*0.9)</f>
        <v>0</v>
      </c>
      <c r="R21" s="340">
        <f>C21*0.05</f>
        <v>0</v>
      </c>
      <c r="S21" s="340">
        <f>D21*(0.290404040404*0.9)</f>
        <v>0</v>
      </c>
      <c r="T21" s="340">
        <f>D21*0.05</f>
        <v>0</v>
      </c>
      <c r="U21" s="340">
        <f>E21*(0.263157895*0.9)</f>
        <v>0</v>
      </c>
      <c r="V21" s="340">
        <f>E21*0.052631579</f>
        <v>0</v>
      </c>
      <c r="W21" s="340"/>
      <c r="X21" s="340">
        <f t="shared" si="33"/>
        <v>0</v>
      </c>
      <c r="Y21" s="275">
        <f>G21*(0.311111111*0.9)</f>
        <v>0</v>
      </c>
      <c r="Z21" s="275">
        <f>G21*0.05</f>
        <v>0</v>
      </c>
      <c r="AA21" s="511">
        <f t="shared" si="16"/>
        <v>0</v>
      </c>
      <c r="AB21" s="511">
        <f t="shared" si="17"/>
        <v>0</v>
      </c>
      <c r="AC21" s="511">
        <f t="shared" si="18"/>
        <v>0</v>
      </c>
      <c r="AD21" s="511">
        <f t="shared" si="19"/>
        <v>0</v>
      </c>
      <c r="AE21" s="511">
        <f t="shared" si="4"/>
        <v>0</v>
      </c>
      <c r="AF21" s="44">
        <f t="shared" si="29"/>
        <v>0</v>
      </c>
      <c r="AG21" s="170">
        <f t="shared" si="5"/>
        <v>0</v>
      </c>
      <c r="AH21" s="276">
        <f t="shared" si="30"/>
        <v>0</v>
      </c>
      <c r="AI21" s="340">
        <v>0</v>
      </c>
      <c r="AJ21" s="341">
        <v>0</v>
      </c>
      <c r="AK21" s="342" t="e">
        <f t="shared" si="7"/>
        <v>#DIV/0!</v>
      </c>
      <c r="AL21" s="276">
        <f t="shared" si="20"/>
        <v>0</v>
      </c>
      <c r="AM21" s="258" t="e">
        <f t="shared" si="21"/>
        <v>#DIV/0!</v>
      </c>
      <c r="AN21" s="258" t="e">
        <f t="shared" si="22"/>
        <v>#DIV/0!</v>
      </c>
      <c r="AO21" s="258" t="e">
        <f t="shared" si="23"/>
        <v>#DIV/0!</v>
      </c>
      <c r="AQ21" s="338" t="e">
        <f t="shared" si="8"/>
        <v>#DIV/0!</v>
      </c>
      <c r="AR21" s="338" t="e">
        <f t="shared" si="9"/>
        <v>#DIV/0!</v>
      </c>
      <c r="AS21" s="332" t="e">
        <f t="shared" si="10"/>
        <v>#DIV/0!</v>
      </c>
      <c r="AT21" s="343" t="e">
        <f t="shared" si="11"/>
        <v>#DIV/0!</v>
      </c>
      <c r="AU21">
        <f t="shared" si="24"/>
        <v>0</v>
      </c>
    </row>
    <row r="22" spans="1:47" s="339" customFormat="1" x14ac:dyDescent="0.25">
      <c r="B22" s="324">
        <v>19</v>
      </c>
      <c r="C22" s="1">
        <v>760</v>
      </c>
      <c r="D22" s="1">
        <v>0</v>
      </c>
      <c r="E22" s="1">
        <v>0</v>
      </c>
      <c r="F22" s="1">
        <v>110</v>
      </c>
      <c r="G22" s="1">
        <v>0</v>
      </c>
      <c r="H22" s="1">
        <v>12.68</v>
      </c>
      <c r="I22" s="1">
        <v>0</v>
      </c>
      <c r="J22" s="1">
        <v>0</v>
      </c>
      <c r="K22" s="1">
        <v>2</v>
      </c>
      <c r="L22" s="1">
        <v>0</v>
      </c>
      <c r="M22" s="340">
        <f t="shared" si="25"/>
        <v>59.936908517350162</v>
      </c>
      <c r="N22" s="340" t="e">
        <f t="shared" si="26"/>
        <v>#DIV/0!</v>
      </c>
      <c r="O22" s="275" t="e">
        <f t="shared" si="14"/>
        <v>#DIV/0!</v>
      </c>
      <c r="P22" s="340">
        <f t="shared" si="15"/>
        <v>55</v>
      </c>
      <c r="Q22" s="340">
        <f>C22*(0.177777777777777*0.9)</f>
        <v>121.59999999999947</v>
      </c>
      <c r="R22" s="340">
        <f>C22*0.05</f>
        <v>38</v>
      </c>
      <c r="S22" s="340">
        <f>D22*(0.277777777777778*0.9)</f>
        <v>0</v>
      </c>
      <c r="T22" s="340">
        <f>D22*0.05</f>
        <v>0</v>
      </c>
      <c r="U22" s="340">
        <f>E22*(0.282766666666*0.9)</f>
        <v>0</v>
      </c>
      <c r="V22" s="340">
        <f>E22*0.04968</f>
        <v>0</v>
      </c>
      <c r="W22" s="340">
        <f t="shared" ref="W22:W34" si="34">F22*(0*0.9)</f>
        <v>0</v>
      </c>
      <c r="X22" s="340">
        <f t="shared" si="33"/>
        <v>5.5</v>
      </c>
      <c r="Y22" s="275">
        <f>G22*(0.283333333333333*0.9)</f>
        <v>0</v>
      </c>
      <c r="Z22" s="275">
        <f>G22*0.05</f>
        <v>0</v>
      </c>
      <c r="AA22" s="511">
        <f t="shared" si="16"/>
        <v>600.40000000000055</v>
      </c>
      <c r="AB22" s="511">
        <f t="shared" si="17"/>
        <v>0</v>
      </c>
      <c r="AC22" s="511">
        <f t="shared" si="18"/>
        <v>0</v>
      </c>
      <c r="AD22" s="511">
        <f t="shared" si="19"/>
        <v>104.5</v>
      </c>
      <c r="AE22" s="511">
        <f t="shared" si="4"/>
        <v>0</v>
      </c>
      <c r="AF22" s="43">
        <f t="shared" si="29"/>
        <v>704.90000000000055</v>
      </c>
      <c r="AG22" s="170">
        <f t="shared" si="5"/>
        <v>121.59999999999947</v>
      </c>
      <c r="AH22" s="276">
        <f t="shared" si="30"/>
        <v>43.5</v>
      </c>
      <c r="AI22" s="340">
        <v>0</v>
      </c>
      <c r="AJ22" s="341">
        <v>0</v>
      </c>
      <c r="AK22" s="342">
        <f t="shared" si="7"/>
        <v>92.750000000000071</v>
      </c>
      <c r="AL22" s="276">
        <f t="shared" si="20"/>
        <v>870</v>
      </c>
      <c r="AM22" s="258">
        <f t="shared" si="21"/>
        <v>15.999999999999931</v>
      </c>
      <c r="AN22" s="258" t="e">
        <f t="shared" si="22"/>
        <v>#DIV/0!</v>
      </c>
      <c r="AO22" s="258" t="e">
        <f t="shared" si="23"/>
        <v>#DIV/0!</v>
      </c>
      <c r="AQ22" s="338">
        <f t="shared" si="8"/>
        <v>0.7900000000000007</v>
      </c>
      <c r="AR22" s="338" t="e">
        <f t="shared" si="9"/>
        <v>#DIV/0!</v>
      </c>
      <c r="AS22" s="332" t="e">
        <f t="shared" si="10"/>
        <v>#DIV/0!</v>
      </c>
      <c r="AT22" s="343">
        <f t="shared" si="11"/>
        <v>0.95</v>
      </c>
      <c r="AU22">
        <f t="shared" si="24"/>
        <v>870</v>
      </c>
    </row>
    <row r="23" spans="1:47" s="321" customFormat="1" x14ac:dyDescent="0.25">
      <c r="B23" s="324">
        <v>20</v>
      </c>
      <c r="C23" s="1">
        <v>1484</v>
      </c>
      <c r="D23" s="1">
        <v>0</v>
      </c>
      <c r="E23" s="1">
        <v>0</v>
      </c>
      <c r="F23" s="1">
        <v>0</v>
      </c>
      <c r="G23" s="1">
        <v>0</v>
      </c>
      <c r="H23" s="1">
        <v>24</v>
      </c>
      <c r="I23" s="1">
        <v>0</v>
      </c>
      <c r="J23" s="1">
        <v>0</v>
      </c>
      <c r="K23" s="1">
        <v>0</v>
      </c>
      <c r="L23" s="1">
        <v>0</v>
      </c>
      <c r="M23" s="322">
        <f t="shared" si="25"/>
        <v>61.833333333333336</v>
      </c>
      <c r="N23" s="322" t="e">
        <f t="shared" si="26"/>
        <v>#DIV/0!</v>
      </c>
      <c r="O23" s="275" t="e">
        <f t="shared" si="14"/>
        <v>#DIV/0!</v>
      </c>
      <c r="P23" s="322" t="e">
        <f t="shared" si="15"/>
        <v>#DIV/0!</v>
      </c>
      <c r="Q23" s="322">
        <f>C23*(0.183333333333333*0.9)</f>
        <v>244.85999999999956</v>
      </c>
      <c r="R23" s="322">
        <f>C23*0.05</f>
        <v>74.2</v>
      </c>
      <c r="S23" s="322">
        <f>D23*(0.300453514*0.9)</f>
        <v>0</v>
      </c>
      <c r="T23" s="322">
        <f>D23*0.051020408</f>
        <v>0</v>
      </c>
      <c r="U23" s="322">
        <f>E23*(0.256790123*0.9)</f>
        <v>0</v>
      </c>
      <c r="V23" s="322">
        <f>E23*0.05</f>
        <v>0</v>
      </c>
      <c r="W23" s="322">
        <f t="shared" si="34"/>
        <v>0</v>
      </c>
      <c r="X23" s="322">
        <f>F23*0.054054054054</f>
        <v>0</v>
      </c>
      <c r="Y23" s="275">
        <f>G23*(0.277777777777777*0.9)</f>
        <v>0</v>
      </c>
      <c r="Z23" s="275">
        <f>G23*0.05</f>
        <v>0</v>
      </c>
      <c r="AA23" s="511">
        <f t="shared" si="16"/>
        <v>1164.9400000000003</v>
      </c>
      <c r="AB23" s="511">
        <f t="shared" si="17"/>
        <v>0</v>
      </c>
      <c r="AC23" s="511">
        <f t="shared" si="18"/>
        <v>0</v>
      </c>
      <c r="AD23" s="511">
        <f t="shared" si="19"/>
        <v>0</v>
      </c>
      <c r="AE23" s="511">
        <f t="shared" si="4"/>
        <v>0</v>
      </c>
      <c r="AF23" s="43">
        <f t="shared" si="29"/>
        <v>1164.9400000000003</v>
      </c>
      <c r="AG23" s="170">
        <f t="shared" si="5"/>
        <v>244.85999999999956</v>
      </c>
      <c r="AH23" s="276">
        <f t="shared" si="30"/>
        <v>74.2</v>
      </c>
      <c r="AI23" s="322">
        <v>0</v>
      </c>
      <c r="AJ23" s="325">
        <v>0</v>
      </c>
      <c r="AK23" s="331">
        <f t="shared" si="7"/>
        <v>78.500000000000014</v>
      </c>
      <c r="AL23" s="276">
        <f t="shared" si="20"/>
        <v>1483.9999999999998</v>
      </c>
      <c r="AM23" s="258">
        <f t="shared" si="21"/>
        <v>16.499999999999972</v>
      </c>
      <c r="AN23" s="258" t="e">
        <f t="shared" si="22"/>
        <v>#DIV/0!</v>
      </c>
      <c r="AO23" s="258" t="e">
        <f t="shared" si="23"/>
        <v>#DIV/0!</v>
      </c>
      <c r="AQ23" s="338">
        <f t="shared" si="8"/>
        <v>0.78500000000000014</v>
      </c>
      <c r="AR23" s="338" t="e">
        <f t="shared" si="9"/>
        <v>#DIV/0!</v>
      </c>
      <c r="AS23" s="332" t="e">
        <f t="shared" si="10"/>
        <v>#DIV/0!</v>
      </c>
      <c r="AT23" s="332" t="e">
        <f t="shared" si="11"/>
        <v>#DIV/0!</v>
      </c>
      <c r="AU23">
        <f t="shared" si="24"/>
        <v>1484</v>
      </c>
    </row>
    <row r="24" spans="1:47" s="321" customFormat="1" x14ac:dyDescent="0.25">
      <c r="A24" s="408"/>
      <c r="B24" s="322">
        <v>21</v>
      </c>
      <c r="C24" s="1">
        <v>890</v>
      </c>
      <c r="D24" s="1">
        <v>0</v>
      </c>
      <c r="E24" s="1">
        <v>0</v>
      </c>
      <c r="F24" s="1">
        <v>110</v>
      </c>
      <c r="G24" s="1">
        <v>420</v>
      </c>
      <c r="H24" s="1">
        <v>15</v>
      </c>
      <c r="I24" s="1">
        <v>0</v>
      </c>
      <c r="J24" s="1">
        <v>0</v>
      </c>
      <c r="K24" s="1">
        <v>2</v>
      </c>
      <c r="L24" s="1">
        <v>6.65</v>
      </c>
      <c r="M24" s="322">
        <f t="shared" si="25"/>
        <v>59.333333333333336</v>
      </c>
      <c r="N24" s="322" t="e">
        <f t="shared" si="26"/>
        <v>#DIV/0!</v>
      </c>
      <c r="O24" s="275">
        <f t="shared" si="14"/>
        <v>63.157894736842103</v>
      </c>
      <c r="P24" s="322">
        <f t="shared" si="15"/>
        <v>55</v>
      </c>
      <c r="Q24" s="364">
        <f>C24*(0.188888888888888*0.9)</f>
        <v>151.2999999999993</v>
      </c>
      <c r="R24" s="322">
        <f t="shared" ref="R24:R28" si="35">C24*0.05</f>
        <v>44.5</v>
      </c>
      <c r="S24" s="322">
        <f>D24*(0.3*0.9)</f>
        <v>0</v>
      </c>
      <c r="T24" s="322">
        <f>D24*0.05</f>
        <v>0</v>
      </c>
      <c r="U24" s="322">
        <f>E24*(0.254629629*0.9)</f>
        <v>0</v>
      </c>
      <c r="V24" s="322">
        <f>E24*0.05</f>
        <v>0</v>
      </c>
      <c r="W24" s="322">
        <f t="shared" si="34"/>
        <v>0</v>
      </c>
      <c r="X24" s="322">
        <f>F24*0.05</f>
        <v>5.5</v>
      </c>
      <c r="Y24" s="275">
        <f>G24*(0.3*0.9)</f>
        <v>113.4</v>
      </c>
      <c r="Z24" s="275">
        <f>G24*0.05</f>
        <v>21</v>
      </c>
      <c r="AA24" s="511">
        <f t="shared" si="16"/>
        <v>694.20000000000073</v>
      </c>
      <c r="AB24" s="511">
        <f t="shared" si="17"/>
        <v>0</v>
      </c>
      <c r="AC24" s="511">
        <f t="shared" si="18"/>
        <v>0</v>
      </c>
      <c r="AD24" s="511">
        <f t="shared" si="19"/>
        <v>104.5</v>
      </c>
      <c r="AE24" s="511">
        <f t="shared" si="4"/>
        <v>285.60000000000002</v>
      </c>
      <c r="AF24" s="43">
        <f t="shared" si="29"/>
        <v>1084.3000000000006</v>
      </c>
      <c r="AG24" s="655">
        <f>Q24+S24+U24+Y24</f>
        <v>264.69999999999931</v>
      </c>
      <c r="AH24" s="276">
        <f t="shared" si="30"/>
        <v>71</v>
      </c>
      <c r="AI24" s="322">
        <v>0</v>
      </c>
      <c r="AJ24" s="325">
        <v>0</v>
      </c>
      <c r="AK24" s="331">
        <f t="shared" si="7"/>
        <v>121.83146067415737</v>
      </c>
      <c r="AL24" s="276">
        <f t="shared" si="20"/>
        <v>1420</v>
      </c>
      <c r="AM24" s="258">
        <f t="shared" si="21"/>
        <v>16.999999999999922</v>
      </c>
      <c r="AN24" s="258" t="e">
        <f t="shared" si="22"/>
        <v>#DIV/0!</v>
      </c>
      <c r="AO24" s="258">
        <f t="shared" si="23"/>
        <v>0.27</v>
      </c>
      <c r="AQ24" s="338">
        <f t="shared" si="8"/>
        <v>0.7800000000000008</v>
      </c>
      <c r="AR24" s="332" t="e">
        <f t="shared" si="9"/>
        <v>#DIV/0!</v>
      </c>
      <c r="AS24" s="332" t="e">
        <f t="shared" si="10"/>
        <v>#DIV/0!</v>
      </c>
      <c r="AT24" s="332">
        <f t="shared" si="11"/>
        <v>0.95</v>
      </c>
      <c r="AU24">
        <f t="shared" si="24"/>
        <v>1420</v>
      </c>
    </row>
    <row r="25" spans="1:47" s="409" customFormat="1" x14ac:dyDescent="0.25">
      <c r="B25" s="410">
        <v>22</v>
      </c>
      <c r="C25" s="1">
        <v>1410</v>
      </c>
      <c r="D25" s="1">
        <v>0</v>
      </c>
      <c r="E25" s="1">
        <v>0</v>
      </c>
      <c r="F25" s="1">
        <v>0</v>
      </c>
      <c r="G25" s="1">
        <v>0</v>
      </c>
      <c r="H25" s="1">
        <v>23.46</v>
      </c>
      <c r="I25" s="1">
        <v>0</v>
      </c>
      <c r="J25" s="1">
        <v>0</v>
      </c>
      <c r="K25" s="1">
        <v>0</v>
      </c>
      <c r="L25" s="1">
        <v>0</v>
      </c>
      <c r="M25" s="410">
        <f t="shared" si="25"/>
        <v>60.102301790281331</v>
      </c>
      <c r="N25" s="410" t="e">
        <f t="shared" si="26"/>
        <v>#DIV/0!</v>
      </c>
      <c r="O25" s="275" t="e">
        <f t="shared" si="14"/>
        <v>#DIV/0!</v>
      </c>
      <c r="P25" s="410" t="e">
        <f t="shared" si="15"/>
        <v>#DIV/0!</v>
      </c>
      <c r="Q25" s="419">
        <f>C25*(0.196765957*0.9)</f>
        <v>249.695999433</v>
      </c>
      <c r="R25" s="419">
        <f>C25*0.049736879</f>
        <v>70.12899938999999</v>
      </c>
      <c r="S25" s="410">
        <f>D25*(0.302222222*0.9)</f>
        <v>0</v>
      </c>
      <c r="T25" s="410">
        <f>D25*0.050666666</f>
        <v>0</v>
      </c>
      <c r="U25" s="410">
        <f>E25*(0.254629629*0.9)</f>
        <v>0</v>
      </c>
      <c r="V25" s="410">
        <f>E25*0.05</f>
        <v>0</v>
      </c>
      <c r="W25" s="410">
        <f t="shared" si="34"/>
        <v>0</v>
      </c>
      <c r="X25" s="410">
        <f>F25*0.0555555555555555</f>
        <v>0</v>
      </c>
      <c r="Y25" s="275">
        <f t="shared" si="27"/>
        <v>0</v>
      </c>
      <c r="Z25" s="275">
        <f t="shared" si="28"/>
        <v>0</v>
      </c>
      <c r="AA25" s="511">
        <f t="shared" si="16"/>
        <v>1090.175001177</v>
      </c>
      <c r="AB25" s="511">
        <f t="shared" si="17"/>
        <v>0</v>
      </c>
      <c r="AC25" s="511">
        <f t="shared" si="18"/>
        <v>0</v>
      </c>
      <c r="AD25" s="511">
        <f t="shared" si="19"/>
        <v>0</v>
      </c>
      <c r="AE25" s="511">
        <f t="shared" si="4"/>
        <v>0</v>
      </c>
      <c r="AF25" s="43">
        <f t="shared" si="29"/>
        <v>1090.175001177</v>
      </c>
      <c r="AG25" s="655">
        <f t="shared" ref="AG25:AG34" si="36">Q25+S25+U25+Y25</f>
        <v>249.695999433</v>
      </c>
      <c r="AH25" s="276">
        <f t="shared" si="30"/>
        <v>70.12899938999999</v>
      </c>
      <c r="AI25" s="410">
        <v>0</v>
      </c>
      <c r="AJ25" s="411">
        <v>0</v>
      </c>
      <c r="AK25" s="412">
        <f>AF25/(C25+D25+E25)*100</f>
        <v>77.317375970000001</v>
      </c>
      <c r="AL25" s="276">
        <f t="shared" si="20"/>
        <v>1410</v>
      </c>
      <c r="AM25" s="258">
        <f t="shared" si="21"/>
        <v>17.708936130000001</v>
      </c>
      <c r="AN25" s="258" t="e">
        <f t="shared" si="22"/>
        <v>#DIV/0!</v>
      </c>
      <c r="AO25" s="258" t="e">
        <f t="shared" si="23"/>
        <v>#DIV/0!</v>
      </c>
      <c r="AP25" s="409">
        <f>AA25/C25</f>
        <v>0.77317375970000002</v>
      </c>
      <c r="AQ25" s="413">
        <f t="shared" si="8"/>
        <v>0.77317375970000002</v>
      </c>
      <c r="AR25" s="413" t="e">
        <f t="shared" si="9"/>
        <v>#DIV/0!</v>
      </c>
      <c r="AS25" s="413" t="e">
        <f t="shared" si="10"/>
        <v>#DIV/0!</v>
      </c>
      <c r="AT25" s="332" t="e">
        <f t="shared" si="11"/>
        <v>#DIV/0!</v>
      </c>
      <c r="AU25">
        <f t="shared" si="24"/>
        <v>1410</v>
      </c>
    </row>
    <row r="26" spans="1:47" s="321" customFormat="1" x14ac:dyDescent="0.25">
      <c r="A26" s="408"/>
      <c r="B26" s="322">
        <v>23</v>
      </c>
      <c r="C26" s="1">
        <v>1464</v>
      </c>
      <c r="D26" s="1">
        <v>0</v>
      </c>
      <c r="E26" s="1">
        <v>0</v>
      </c>
      <c r="F26" s="1">
        <v>0</v>
      </c>
      <c r="G26" s="1">
        <v>0</v>
      </c>
      <c r="H26" s="1">
        <v>24</v>
      </c>
      <c r="I26" s="1">
        <v>0</v>
      </c>
      <c r="J26" s="1">
        <v>0</v>
      </c>
      <c r="K26" s="1">
        <v>0</v>
      </c>
      <c r="L26" s="1">
        <v>0</v>
      </c>
      <c r="M26" s="322">
        <f t="shared" ref="M26" si="37">C26/H26</f>
        <v>61</v>
      </c>
      <c r="N26" s="322" t="e">
        <f t="shared" ref="N26" si="38">D26/I26</f>
        <v>#DIV/0!</v>
      </c>
      <c r="O26" s="275" t="e">
        <f t="shared" si="14"/>
        <v>#DIV/0!</v>
      </c>
      <c r="P26" s="322" t="e">
        <f t="shared" ref="P26" si="39">F26/K26</f>
        <v>#DIV/0!</v>
      </c>
      <c r="Q26" s="322">
        <f>C26*(0.2*0.9)</f>
        <v>263.52000000000004</v>
      </c>
      <c r="R26" s="322">
        <f>C26*0.04999795</f>
        <v>73.196998800000003</v>
      </c>
      <c r="S26" s="322">
        <f>D26*(0.288888888888888*0.9)</f>
        <v>0</v>
      </c>
      <c r="T26" s="322">
        <f>D26*0.05</f>
        <v>0</v>
      </c>
      <c r="U26" s="322">
        <f>E26*(0.277777777777777*0.9)</f>
        <v>0</v>
      </c>
      <c r="V26" s="322">
        <f>E26*0.05</f>
        <v>0</v>
      </c>
      <c r="W26" s="322">
        <f t="shared" si="34"/>
        <v>0</v>
      </c>
      <c r="X26" s="322">
        <f>F26*0.05</f>
        <v>0</v>
      </c>
      <c r="Y26" s="275">
        <f t="shared" si="27"/>
        <v>0</v>
      </c>
      <c r="Z26" s="275">
        <f t="shared" si="28"/>
        <v>0</v>
      </c>
      <c r="AA26" s="511">
        <f t="shared" si="16"/>
        <v>1127.2830011999999</v>
      </c>
      <c r="AB26" s="511">
        <f t="shared" si="17"/>
        <v>0</v>
      </c>
      <c r="AC26" s="511">
        <f t="shared" si="18"/>
        <v>0</v>
      </c>
      <c r="AD26" s="511">
        <f t="shared" si="19"/>
        <v>0</v>
      </c>
      <c r="AE26" s="511">
        <f t="shared" si="4"/>
        <v>0</v>
      </c>
      <c r="AF26" s="43">
        <f t="shared" si="29"/>
        <v>1127.2830011999999</v>
      </c>
      <c r="AG26" s="655">
        <f t="shared" si="36"/>
        <v>263.52000000000004</v>
      </c>
      <c r="AH26" s="280">
        <f t="shared" si="30"/>
        <v>73.196998800000003</v>
      </c>
      <c r="AI26" s="322">
        <v>0</v>
      </c>
      <c r="AJ26" s="325">
        <v>0</v>
      </c>
      <c r="AK26" s="331">
        <f>AF26/(C26+D26+E26)*100</f>
        <v>77.000204999999994</v>
      </c>
      <c r="AL26" s="276">
        <f t="shared" si="20"/>
        <v>1464</v>
      </c>
      <c r="AM26" s="258">
        <f t="shared" si="21"/>
        <v>18.000000000000004</v>
      </c>
      <c r="AN26" s="258" t="e">
        <f t="shared" si="22"/>
        <v>#DIV/0!</v>
      </c>
      <c r="AO26" s="258" t="e">
        <f t="shared" si="23"/>
        <v>#DIV/0!</v>
      </c>
      <c r="AP26" s="321">
        <f>AA26/C26</f>
        <v>0.77000204999999999</v>
      </c>
      <c r="AQ26" s="332">
        <f t="shared" si="8"/>
        <v>0.77000204999999999</v>
      </c>
      <c r="AR26" s="332" t="e">
        <f t="shared" si="9"/>
        <v>#DIV/0!</v>
      </c>
      <c r="AS26" s="332" t="e">
        <f t="shared" si="10"/>
        <v>#DIV/0!</v>
      </c>
      <c r="AT26" s="332" t="e">
        <f t="shared" si="11"/>
        <v>#DIV/0!</v>
      </c>
      <c r="AU26">
        <f t="shared" si="24"/>
        <v>1464</v>
      </c>
    </row>
    <row r="27" spans="1:47" s="321" customFormat="1" x14ac:dyDescent="0.25">
      <c r="B27" s="415">
        <v>24</v>
      </c>
      <c r="C27" s="1">
        <v>1035</v>
      </c>
      <c r="D27" s="1">
        <v>0</v>
      </c>
      <c r="E27" s="1">
        <v>0</v>
      </c>
      <c r="F27" s="1">
        <v>0</v>
      </c>
      <c r="G27" s="1">
        <v>300</v>
      </c>
      <c r="H27" s="1">
        <v>17.3</v>
      </c>
      <c r="I27" s="1">
        <v>0</v>
      </c>
      <c r="J27" s="1">
        <v>0</v>
      </c>
      <c r="K27" s="1">
        <v>0</v>
      </c>
      <c r="L27" s="1">
        <v>4.78</v>
      </c>
      <c r="M27" s="415">
        <f t="shared" si="25"/>
        <v>59.826589595375722</v>
      </c>
      <c r="N27" s="415" t="e">
        <f t="shared" si="26"/>
        <v>#DIV/0!</v>
      </c>
      <c r="O27" s="275">
        <f t="shared" si="14"/>
        <v>62.761506276150627</v>
      </c>
      <c r="P27" s="415" t="e">
        <f>F27/K27</f>
        <v>#DIV/0!</v>
      </c>
      <c r="Q27" s="415">
        <f>C27*(0.188888888888888*0.9)</f>
        <v>175.94999999999919</v>
      </c>
      <c r="R27" s="415">
        <f t="shared" si="35"/>
        <v>51.75</v>
      </c>
      <c r="S27" s="415">
        <f>D27*(0.324786324*0.9)</f>
        <v>0</v>
      </c>
      <c r="T27" s="415">
        <f>D27*0.053846153</f>
        <v>0</v>
      </c>
      <c r="U27" s="415">
        <f>E27*(0.264550266*0.9)</f>
        <v>0</v>
      </c>
      <c r="V27" s="415">
        <f>E27*0.05</f>
        <v>0</v>
      </c>
      <c r="W27" s="415">
        <f t="shared" si="34"/>
        <v>0</v>
      </c>
      <c r="X27" s="415">
        <f>F27*0.05</f>
        <v>0</v>
      </c>
      <c r="Y27" s="275">
        <f>G27*(0.283333333333333*0.9)</f>
        <v>76.499999999999915</v>
      </c>
      <c r="Z27" s="275">
        <f>G27*0.05</f>
        <v>15</v>
      </c>
      <c r="AA27" s="511">
        <f t="shared" si="16"/>
        <v>807.30000000000086</v>
      </c>
      <c r="AB27" s="511">
        <f t="shared" si="17"/>
        <v>0</v>
      </c>
      <c r="AC27" s="511">
        <f t="shared" si="18"/>
        <v>0</v>
      </c>
      <c r="AD27" s="511">
        <f t="shared" si="19"/>
        <v>0</v>
      </c>
      <c r="AE27" s="511">
        <f t="shared" si="4"/>
        <v>208.50000000000009</v>
      </c>
      <c r="AF27" s="43">
        <f t="shared" si="29"/>
        <v>1015.800000000001</v>
      </c>
      <c r="AG27" s="655">
        <f t="shared" si="36"/>
        <v>252.44999999999911</v>
      </c>
      <c r="AH27" s="276">
        <f t="shared" si="30"/>
        <v>66.75</v>
      </c>
      <c r="AI27" s="322">
        <v>0</v>
      </c>
      <c r="AJ27" s="325">
        <v>0</v>
      </c>
      <c r="AK27" s="331">
        <f>AF27/(C27+D27+E27)*100</f>
        <v>98.144927536231975</v>
      </c>
      <c r="AL27" s="276">
        <f t="shared" si="20"/>
        <v>1335</v>
      </c>
      <c r="AM27" s="258">
        <f t="shared" si="21"/>
        <v>16.999999999999922</v>
      </c>
      <c r="AN27" s="258" t="e">
        <f t="shared" si="22"/>
        <v>#DIV/0!</v>
      </c>
      <c r="AO27" s="258">
        <f t="shared" si="23"/>
        <v>0.25499999999999973</v>
      </c>
      <c r="AQ27" s="332">
        <f t="shared" si="8"/>
        <v>0.7800000000000008</v>
      </c>
      <c r="AR27" s="332" t="e">
        <f t="shared" si="9"/>
        <v>#DIV/0!</v>
      </c>
      <c r="AS27" s="332" t="e">
        <f t="shared" si="10"/>
        <v>#DIV/0!</v>
      </c>
      <c r="AT27" s="332" t="e">
        <f t="shared" si="11"/>
        <v>#DIV/0!</v>
      </c>
      <c r="AU27">
        <f t="shared" si="24"/>
        <v>1335</v>
      </c>
    </row>
    <row r="28" spans="1:47" s="321" customFormat="1" ht="16.5" customHeight="1" x14ac:dyDescent="0.25">
      <c r="B28" s="322">
        <v>25</v>
      </c>
      <c r="C28" s="1">
        <v>1008</v>
      </c>
      <c r="D28" s="1">
        <v>150</v>
      </c>
      <c r="E28" s="1">
        <v>0</v>
      </c>
      <c r="F28" s="1">
        <v>110</v>
      </c>
      <c r="G28" s="1">
        <v>200</v>
      </c>
      <c r="H28" s="1">
        <v>16.8</v>
      </c>
      <c r="I28" s="1">
        <v>2.2000000000000002</v>
      </c>
      <c r="J28" s="1">
        <v>0</v>
      </c>
      <c r="K28" s="1">
        <v>2</v>
      </c>
      <c r="L28" s="1">
        <v>3</v>
      </c>
      <c r="M28" s="322">
        <f t="shared" ref="M28" si="40">C28/H28</f>
        <v>60</v>
      </c>
      <c r="N28" s="322">
        <f t="shared" ref="N28" si="41">D28/I28</f>
        <v>68.181818181818173</v>
      </c>
      <c r="O28" s="275">
        <f t="shared" si="14"/>
        <v>66.666666666666671</v>
      </c>
      <c r="P28" s="322">
        <f t="shared" ref="P28" si="42">F28/K28</f>
        <v>55</v>
      </c>
      <c r="Q28" s="322">
        <f>C28*(0.177777777777777*0.9)</f>
        <v>161.27999999999929</v>
      </c>
      <c r="R28" s="322">
        <f t="shared" si="35"/>
        <v>50.400000000000006</v>
      </c>
      <c r="S28" s="322">
        <f>D28*(0.3*0.9)</f>
        <v>40.5</v>
      </c>
      <c r="T28" s="322">
        <f>D28*0.05</f>
        <v>7.5</v>
      </c>
      <c r="U28" s="322">
        <f>E28*(0.277777777777777*0.9)</f>
        <v>0</v>
      </c>
      <c r="V28" s="322">
        <f>E28*0.0518518518518</f>
        <v>0</v>
      </c>
      <c r="W28" s="322">
        <f t="shared" si="34"/>
        <v>0</v>
      </c>
      <c r="X28" s="322">
        <f>F28*0.05</f>
        <v>5.5</v>
      </c>
      <c r="Y28" s="275">
        <f>G28*(0.288888888888888*0.9)</f>
        <v>51.999999999999837</v>
      </c>
      <c r="Z28" s="275">
        <f>G28*0.05</f>
        <v>10</v>
      </c>
      <c r="AA28" s="511">
        <f t="shared" si="16"/>
        <v>796.32000000000073</v>
      </c>
      <c r="AB28" s="511">
        <f t="shared" si="17"/>
        <v>102</v>
      </c>
      <c r="AC28" s="511">
        <f t="shared" si="18"/>
        <v>0</v>
      </c>
      <c r="AD28" s="511">
        <f t="shared" si="19"/>
        <v>104.5</v>
      </c>
      <c r="AE28" s="511">
        <f t="shared" si="4"/>
        <v>138.00000000000017</v>
      </c>
      <c r="AF28" s="43">
        <f t="shared" si="29"/>
        <v>1140.8200000000008</v>
      </c>
      <c r="AG28" s="655">
        <f t="shared" si="36"/>
        <v>253.77999999999912</v>
      </c>
      <c r="AH28" s="276">
        <f t="shared" si="30"/>
        <v>73.400000000000006</v>
      </c>
      <c r="AI28" s="322">
        <v>0</v>
      </c>
      <c r="AJ28" s="325">
        <v>0</v>
      </c>
      <c r="AK28" s="331">
        <f t="shared" ref="AK28:AK40" si="43">AF28/(C28+D28)*100</f>
        <v>98.516407599309233</v>
      </c>
      <c r="AL28" s="276">
        <f t="shared" si="20"/>
        <v>1468</v>
      </c>
      <c r="AM28" s="258">
        <f t="shared" si="21"/>
        <v>15.999999999999931</v>
      </c>
      <c r="AN28" s="258">
        <f t="shared" si="22"/>
        <v>27</v>
      </c>
      <c r="AO28" s="258">
        <f t="shared" si="23"/>
        <v>0.25999999999999918</v>
      </c>
      <c r="AQ28" s="332">
        <f t="shared" si="8"/>
        <v>0.7900000000000007</v>
      </c>
      <c r="AR28" s="332">
        <f t="shared" si="9"/>
        <v>0.68</v>
      </c>
      <c r="AS28" s="332" t="e">
        <f t="shared" si="10"/>
        <v>#DIV/0!</v>
      </c>
      <c r="AT28" s="332">
        <f t="shared" si="11"/>
        <v>0.95</v>
      </c>
      <c r="AU28">
        <f t="shared" si="24"/>
        <v>1468</v>
      </c>
    </row>
    <row r="29" spans="1:47" s="321" customFormat="1" ht="16.5" customHeight="1" x14ac:dyDescent="0.25">
      <c r="B29" s="322">
        <v>26</v>
      </c>
      <c r="C29" s="1">
        <v>1060</v>
      </c>
      <c r="D29" s="1">
        <v>0</v>
      </c>
      <c r="E29" s="1">
        <v>0</v>
      </c>
      <c r="F29" s="1">
        <v>0</v>
      </c>
      <c r="G29" s="1">
        <v>298</v>
      </c>
      <c r="H29" s="1">
        <v>17.899999999999999</v>
      </c>
      <c r="I29" s="1">
        <v>0</v>
      </c>
      <c r="J29" s="1">
        <v>0</v>
      </c>
      <c r="K29" s="1">
        <v>0</v>
      </c>
      <c r="L29" s="1">
        <v>4.8499999999999996</v>
      </c>
      <c r="M29" s="322">
        <f t="shared" si="25"/>
        <v>59.217877094972074</v>
      </c>
      <c r="N29" s="322" t="e">
        <f t="shared" si="26"/>
        <v>#DIV/0!</v>
      </c>
      <c r="O29" s="275">
        <f t="shared" si="14"/>
        <v>61.443298969072167</v>
      </c>
      <c r="P29" s="322" t="e">
        <f t="shared" ref="P29:P35" si="44">F29/K29</f>
        <v>#DIV/0!</v>
      </c>
      <c r="Q29" s="417">
        <f>C29*(0.18721174*0.9)</f>
        <v>178.59999995999999</v>
      </c>
      <c r="R29" s="322">
        <f>C29*0.049996226226</f>
        <v>52.995999799560003</v>
      </c>
      <c r="S29" s="364">
        <f>D29*(0.296111111111111*0.9)</f>
        <v>0</v>
      </c>
      <c r="T29" s="322">
        <f>D29*0.05</f>
        <v>0</v>
      </c>
      <c r="U29" s="322">
        <f>E29*(0.277777777777777*0.9)</f>
        <v>0</v>
      </c>
      <c r="V29" s="322">
        <f>E29*0.05</f>
        <v>0</v>
      </c>
      <c r="W29" s="322">
        <f t="shared" si="34"/>
        <v>0</v>
      </c>
      <c r="X29" s="322">
        <f>F29*0.05</f>
        <v>0</v>
      </c>
      <c r="Y29" s="275">
        <f>G29*(0.277785234*0.9)</f>
        <v>74.501999758800011</v>
      </c>
      <c r="Z29" s="275">
        <f>G29*0.050335573</f>
        <v>15.000000754</v>
      </c>
      <c r="AA29" s="511">
        <f t="shared" si="16"/>
        <v>828.40400024044004</v>
      </c>
      <c r="AB29" s="511">
        <f t="shared" si="17"/>
        <v>0</v>
      </c>
      <c r="AC29" s="511">
        <f t="shared" si="18"/>
        <v>0</v>
      </c>
      <c r="AD29" s="511">
        <f t="shared" si="19"/>
        <v>0</v>
      </c>
      <c r="AE29" s="628">
        <f t="shared" si="4"/>
        <v>208.49799948719996</v>
      </c>
      <c r="AF29" s="43">
        <f t="shared" si="29"/>
        <v>1036.90199972764</v>
      </c>
      <c r="AG29" s="655">
        <f t="shared" si="36"/>
        <v>253.10199971880002</v>
      </c>
      <c r="AH29" s="276">
        <f t="shared" si="30"/>
        <v>67.996000553560009</v>
      </c>
      <c r="AI29" s="322">
        <v>0</v>
      </c>
      <c r="AJ29" s="325">
        <v>0</v>
      </c>
      <c r="AK29" s="331">
        <f t="shared" si="43"/>
        <v>97.820943370532078</v>
      </c>
      <c r="AL29" s="276">
        <f t="shared" si="20"/>
        <v>1358</v>
      </c>
      <c r="AM29" s="258">
        <f t="shared" si="21"/>
        <v>16.849056599999997</v>
      </c>
      <c r="AN29" s="258" t="e">
        <f t="shared" si="22"/>
        <v>#DIV/0!</v>
      </c>
      <c r="AO29" s="258">
        <f t="shared" si="23"/>
        <v>0.25000671060000001</v>
      </c>
      <c r="AQ29" s="332">
        <f t="shared" si="8"/>
        <v>0.78151320777400002</v>
      </c>
      <c r="AR29" s="332" t="e">
        <f t="shared" si="9"/>
        <v>#DIV/0!</v>
      </c>
      <c r="AS29" s="332" t="e">
        <f t="shared" si="10"/>
        <v>#DIV/0!</v>
      </c>
      <c r="AT29" s="332" t="e">
        <f t="shared" si="11"/>
        <v>#DIV/0!</v>
      </c>
      <c r="AU29">
        <f t="shared" si="24"/>
        <v>1358</v>
      </c>
    </row>
    <row r="30" spans="1:47" ht="16.5" customHeight="1" x14ac:dyDescent="0.25">
      <c r="B30" s="1">
        <v>27</v>
      </c>
      <c r="C30" s="1">
        <v>1540</v>
      </c>
      <c r="D30" s="1">
        <v>0</v>
      </c>
      <c r="E30" s="1">
        <v>0</v>
      </c>
      <c r="F30" s="1">
        <v>0</v>
      </c>
      <c r="G30" s="1">
        <v>0</v>
      </c>
      <c r="H30" s="1">
        <v>24</v>
      </c>
      <c r="I30" s="1">
        <v>0</v>
      </c>
      <c r="J30" s="1">
        <v>0</v>
      </c>
      <c r="K30" s="1">
        <v>0</v>
      </c>
      <c r="L30" s="1">
        <v>0</v>
      </c>
      <c r="M30" s="1">
        <f t="shared" si="25"/>
        <v>64.166666666666671</v>
      </c>
      <c r="N30" s="1" t="e">
        <f t="shared" si="26"/>
        <v>#DIV/0!</v>
      </c>
      <c r="O30" s="275" t="e">
        <f t="shared" si="14"/>
        <v>#DIV/0!</v>
      </c>
      <c r="P30" s="1" t="e">
        <f t="shared" si="44"/>
        <v>#DIV/0!</v>
      </c>
      <c r="Q30" s="1">
        <f>C30*(0.188888888888888*0.9)</f>
        <v>261.79999999999876</v>
      </c>
      <c r="R30" s="1">
        <f>C30*0.05</f>
        <v>77</v>
      </c>
      <c r="S30" s="1">
        <f>D30*(0.294444444444444*0.9)</f>
        <v>0</v>
      </c>
      <c r="T30" s="1">
        <f>D30*0.05</f>
        <v>0</v>
      </c>
      <c r="U30" s="1">
        <f>E30*(0.279279272727273*0.9)</f>
        <v>0</v>
      </c>
      <c r="V30" s="1">
        <f>E30*0.0513513513513513</f>
        <v>0</v>
      </c>
      <c r="W30" s="1">
        <f t="shared" si="34"/>
        <v>0</v>
      </c>
      <c r="X30" s="1">
        <f>F30*0.066666666</f>
        <v>0</v>
      </c>
      <c r="Y30" s="275">
        <f>G30*(0.277777777777777*0.9)</f>
        <v>0</v>
      </c>
      <c r="Z30" s="275">
        <f>G30*0.05</f>
        <v>0</v>
      </c>
      <c r="AA30" s="511">
        <f t="shared" si="16"/>
        <v>1201.2000000000012</v>
      </c>
      <c r="AB30" s="511">
        <f t="shared" si="17"/>
        <v>0</v>
      </c>
      <c r="AC30" s="511">
        <f t="shared" si="18"/>
        <v>0</v>
      </c>
      <c r="AD30" s="511">
        <f t="shared" si="19"/>
        <v>0</v>
      </c>
      <c r="AE30" s="511">
        <f t="shared" si="4"/>
        <v>0</v>
      </c>
      <c r="AF30" s="43">
        <f t="shared" si="29"/>
        <v>1201.2000000000012</v>
      </c>
      <c r="AG30" s="655">
        <f t="shared" si="36"/>
        <v>261.79999999999876</v>
      </c>
      <c r="AH30" s="276">
        <f t="shared" si="30"/>
        <v>77</v>
      </c>
      <c r="AI30" s="1">
        <v>0</v>
      </c>
      <c r="AJ30" s="6">
        <v>0</v>
      </c>
      <c r="AK30" s="32">
        <f t="shared" si="43"/>
        <v>78.000000000000085</v>
      </c>
      <c r="AL30" s="276">
        <f t="shared" si="20"/>
        <v>1540</v>
      </c>
      <c r="AM30" s="258">
        <f t="shared" si="21"/>
        <v>16.999999999999922</v>
      </c>
      <c r="AN30" s="258" t="e">
        <f t="shared" si="22"/>
        <v>#DIV/0!</v>
      </c>
      <c r="AO30" s="258" t="e">
        <f t="shared" si="23"/>
        <v>#DIV/0!</v>
      </c>
      <c r="AQ30" s="430">
        <f t="shared" si="8"/>
        <v>0.7800000000000008</v>
      </c>
      <c r="AR30" s="430" t="e">
        <f t="shared" si="9"/>
        <v>#DIV/0!</v>
      </c>
      <c r="AS30" s="430" t="e">
        <f t="shared" si="10"/>
        <v>#DIV/0!</v>
      </c>
      <c r="AT30" s="430" t="e">
        <f t="shared" si="11"/>
        <v>#DIV/0!</v>
      </c>
      <c r="AU30">
        <f t="shared" si="24"/>
        <v>1540</v>
      </c>
    </row>
    <row r="31" spans="1:47" s="17" customFormat="1" x14ac:dyDescent="0.25">
      <c r="A31" s="238"/>
      <c r="B31" s="18">
        <v>28</v>
      </c>
      <c r="C31" s="1">
        <v>1200</v>
      </c>
      <c r="D31" s="1">
        <v>0</v>
      </c>
      <c r="E31" s="1">
        <v>0</v>
      </c>
      <c r="F31" s="1">
        <v>0</v>
      </c>
      <c r="G31" s="1">
        <v>286</v>
      </c>
      <c r="H31" s="1">
        <v>18.93</v>
      </c>
      <c r="I31" s="1">
        <v>0</v>
      </c>
      <c r="J31" s="1">
        <v>0</v>
      </c>
      <c r="K31" s="1">
        <v>0</v>
      </c>
      <c r="L31" s="1">
        <v>4.3</v>
      </c>
      <c r="M31" s="18">
        <f t="shared" si="25"/>
        <v>63.391442155309036</v>
      </c>
      <c r="N31" s="18" t="e">
        <f t="shared" si="26"/>
        <v>#DIV/0!</v>
      </c>
      <c r="O31" s="275">
        <f t="shared" si="14"/>
        <v>66.511627906976742</v>
      </c>
      <c r="P31" s="18" t="e">
        <f t="shared" si="44"/>
        <v>#DIV/0!</v>
      </c>
      <c r="Q31" s="591">
        <f>C31*(0.183333333333333*0.9)</f>
        <v>197.99999999999963</v>
      </c>
      <c r="R31" s="18">
        <f>C31*0.05</f>
        <v>60</v>
      </c>
      <c r="S31" s="18">
        <f>D31*(0.332056194*0.9)</f>
        <v>0</v>
      </c>
      <c r="T31" s="18">
        <f>D31*0.048850574</f>
        <v>0</v>
      </c>
      <c r="U31" s="18">
        <f>E31*(0.227920227988888*0.9)</f>
        <v>0</v>
      </c>
      <c r="V31" s="18">
        <f>E31*0.04871794875</f>
        <v>0</v>
      </c>
      <c r="W31" s="18">
        <f t="shared" si="34"/>
        <v>0</v>
      </c>
      <c r="X31" s="18">
        <f>F31*0.049696969</f>
        <v>0</v>
      </c>
      <c r="Y31" s="275">
        <f>G31*(0.27226107222*0.9)</f>
        <v>70.079999989428003</v>
      </c>
      <c r="Z31" s="639">
        <f>G31*0.0500349655</f>
        <v>14.310000133000001</v>
      </c>
      <c r="AA31" s="511">
        <f t="shared" si="16"/>
        <v>942.00000000000034</v>
      </c>
      <c r="AB31" s="511">
        <f t="shared" si="17"/>
        <v>0</v>
      </c>
      <c r="AC31" s="511">
        <f t="shared" si="18"/>
        <v>0</v>
      </c>
      <c r="AD31" s="511">
        <f t="shared" si="19"/>
        <v>0</v>
      </c>
      <c r="AE31" s="511">
        <f t="shared" si="4"/>
        <v>201.60999987757199</v>
      </c>
      <c r="AF31" s="43">
        <f t="shared" si="29"/>
        <v>1143.6099998775724</v>
      </c>
      <c r="AG31" s="655">
        <f t="shared" si="36"/>
        <v>268.07999998942762</v>
      </c>
      <c r="AH31" s="276">
        <f t="shared" si="30"/>
        <v>74.310000133000003</v>
      </c>
      <c r="AI31" s="18">
        <v>0</v>
      </c>
      <c r="AJ31" s="39">
        <v>0</v>
      </c>
      <c r="AK31" s="189">
        <f t="shared" si="43"/>
        <v>95.30083332313103</v>
      </c>
      <c r="AL31" s="276">
        <f t="shared" si="20"/>
        <v>1486</v>
      </c>
      <c r="AM31" s="258">
        <f t="shared" si="21"/>
        <v>16.499999999999972</v>
      </c>
      <c r="AN31" s="258" t="e">
        <f t="shared" si="22"/>
        <v>#DIV/0!</v>
      </c>
      <c r="AO31" s="258">
        <f t="shared" si="23"/>
        <v>0.24503496499800001</v>
      </c>
      <c r="AQ31" s="239">
        <f t="shared" si="8"/>
        <v>0.78500000000000025</v>
      </c>
      <c r="AR31" s="239" t="e">
        <f t="shared" si="9"/>
        <v>#DIV/0!</v>
      </c>
      <c r="AS31" s="239" t="e">
        <f t="shared" si="10"/>
        <v>#DIV/0!</v>
      </c>
      <c r="AT31" s="239" t="e">
        <f t="shared" si="11"/>
        <v>#DIV/0!</v>
      </c>
      <c r="AU31">
        <f t="shared" si="24"/>
        <v>1486</v>
      </c>
    </row>
    <row r="32" spans="1:47" x14ac:dyDescent="0.25">
      <c r="B32" s="1">
        <v>29</v>
      </c>
      <c r="C32" s="1">
        <v>871</v>
      </c>
      <c r="D32" s="1">
        <v>0</v>
      </c>
      <c r="E32" s="1">
        <v>0</v>
      </c>
      <c r="F32" s="1">
        <v>110</v>
      </c>
      <c r="G32" s="1">
        <v>0</v>
      </c>
      <c r="H32" s="1">
        <v>14.41</v>
      </c>
      <c r="I32" s="1">
        <v>0</v>
      </c>
      <c r="J32" s="1">
        <v>0</v>
      </c>
      <c r="K32" s="1">
        <v>2</v>
      </c>
      <c r="L32" s="1">
        <v>0</v>
      </c>
      <c r="M32" s="1">
        <f t="shared" si="25"/>
        <v>60.444136016655101</v>
      </c>
      <c r="N32" s="1" t="e">
        <f t="shared" si="26"/>
        <v>#DIV/0!</v>
      </c>
      <c r="O32" s="275" t="e">
        <f t="shared" si="14"/>
        <v>#DIV/0!</v>
      </c>
      <c r="P32" s="1">
        <f t="shared" si="44"/>
        <v>55</v>
      </c>
      <c r="Q32" s="1">
        <f>C32*(0.195040184*0.9)</f>
        <v>152.8920002376</v>
      </c>
      <c r="R32" s="1">
        <f>C32*0.050096445</f>
        <v>43.634003595000003</v>
      </c>
      <c r="S32" s="1">
        <f>D32*(0.305555555555555*0.9)</f>
        <v>0</v>
      </c>
      <c r="T32" s="1">
        <f>D32*0.05</f>
        <v>0</v>
      </c>
      <c r="U32" s="1">
        <f>E32*(0.28888888888889*0.9)</f>
        <v>0</v>
      </c>
      <c r="V32" s="1">
        <f>E32*0.05</f>
        <v>0</v>
      </c>
      <c r="W32" s="1">
        <f t="shared" si="34"/>
        <v>0</v>
      </c>
      <c r="X32" s="1">
        <f>F32*0.05</f>
        <v>5.5</v>
      </c>
      <c r="Y32" s="275">
        <f>G32*(0.288888888888888*0.9)</f>
        <v>0</v>
      </c>
      <c r="Z32" s="275">
        <f>G32*0.05</f>
        <v>0</v>
      </c>
      <c r="AA32" s="511">
        <f t="shared" si="16"/>
        <v>674.47399616740006</v>
      </c>
      <c r="AB32" s="511">
        <f t="shared" si="17"/>
        <v>0</v>
      </c>
      <c r="AC32" s="511">
        <f t="shared" si="18"/>
        <v>0</v>
      </c>
      <c r="AD32" s="511">
        <f t="shared" si="19"/>
        <v>104.5</v>
      </c>
      <c r="AE32" s="511">
        <f t="shared" si="4"/>
        <v>0</v>
      </c>
      <c r="AF32" s="43">
        <f t="shared" si="29"/>
        <v>778.97399616740006</v>
      </c>
      <c r="AG32" s="655">
        <f t="shared" si="36"/>
        <v>152.8920002376</v>
      </c>
      <c r="AH32" s="280">
        <f t="shared" si="30"/>
        <v>49.134003595000003</v>
      </c>
      <c r="AI32" s="1">
        <v>0</v>
      </c>
      <c r="AJ32" s="6">
        <v>0</v>
      </c>
      <c r="AK32" s="45">
        <f t="shared" si="43"/>
        <v>89.434442728748579</v>
      </c>
      <c r="AL32" s="276">
        <f t="shared" si="20"/>
        <v>981</v>
      </c>
      <c r="AM32" s="258">
        <f t="shared" si="21"/>
        <v>17.553616559999998</v>
      </c>
      <c r="AN32" s="258" t="e">
        <f t="shared" si="22"/>
        <v>#DIV/0!</v>
      </c>
      <c r="AO32" s="258" t="e">
        <f t="shared" si="23"/>
        <v>#DIV/0!</v>
      </c>
      <c r="AQ32" s="239">
        <f t="shared" si="8"/>
        <v>0.77436738940000005</v>
      </c>
      <c r="AR32" s="239" t="e">
        <f t="shared" si="9"/>
        <v>#DIV/0!</v>
      </c>
      <c r="AS32" s="239" t="e">
        <f t="shared" si="10"/>
        <v>#DIV/0!</v>
      </c>
      <c r="AT32" s="239">
        <f t="shared" si="11"/>
        <v>0.95</v>
      </c>
      <c r="AU32">
        <f t="shared" si="24"/>
        <v>981</v>
      </c>
    </row>
    <row r="33" spans="1:47" x14ac:dyDescent="0.25">
      <c r="B33" s="1">
        <v>30</v>
      </c>
      <c r="C33" s="1">
        <v>1354</v>
      </c>
      <c r="D33" s="1">
        <v>0</v>
      </c>
      <c r="E33" s="1">
        <v>0</v>
      </c>
      <c r="F33" s="1">
        <v>110</v>
      </c>
      <c r="G33" s="1">
        <v>0</v>
      </c>
      <c r="H33" s="1">
        <v>22</v>
      </c>
      <c r="I33" s="1">
        <v>0</v>
      </c>
      <c r="J33" s="1">
        <v>0</v>
      </c>
      <c r="K33" s="1">
        <v>2</v>
      </c>
      <c r="L33" s="1">
        <v>0</v>
      </c>
      <c r="M33" s="1">
        <f t="shared" si="25"/>
        <v>61.545454545454547</v>
      </c>
      <c r="N33" s="1" t="e">
        <f t="shared" si="26"/>
        <v>#DIV/0!</v>
      </c>
      <c r="O33" s="275" t="e">
        <f t="shared" si="14"/>
        <v>#DIV/0!</v>
      </c>
      <c r="P33" s="1">
        <f t="shared" si="44"/>
        <v>55</v>
      </c>
      <c r="Q33" s="15">
        <f>C33*(0.183333333333333*0.9)</f>
        <v>223.4099999999996</v>
      </c>
      <c r="R33" s="604">
        <f>C33*0.05</f>
        <v>67.7</v>
      </c>
      <c r="S33" s="1">
        <f>D33*(0.115217392*0.9)</f>
        <v>0</v>
      </c>
      <c r="T33" s="1">
        <f>D33*0.05</f>
        <v>0</v>
      </c>
      <c r="U33" s="1">
        <f>E33*(0.21021021021*0.9)</f>
        <v>0</v>
      </c>
      <c r="V33" s="1">
        <f>E33*0.05135135135135</f>
        <v>0</v>
      </c>
      <c r="W33" s="1">
        <f t="shared" si="34"/>
        <v>0</v>
      </c>
      <c r="X33" s="1">
        <f>F33*0.05</f>
        <v>5.5</v>
      </c>
      <c r="Y33" s="275">
        <f t="shared" si="27"/>
        <v>0</v>
      </c>
      <c r="Z33" s="275">
        <f t="shared" si="28"/>
        <v>0</v>
      </c>
      <c r="AA33" s="511">
        <f t="shared" si="16"/>
        <v>1062.8900000000003</v>
      </c>
      <c r="AB33" s="511">
        <f t="shared" si="17"/>
        <v>0</v>
      </c>
      <c r="AC33" s="511">
        <f t="shared" si="18"/>
        <v>0</v>
      </c>
      <c r="AD33" s="511">
        <f t="shared" si="19"/>
        <v>104.5</v>
      </c>
      <c r="AE33" s="511">
        <f t="shared" si="4"/>
        <v>0</v>
      </c>
      <c r="AF33" s="43">
        <f t="shared" si="29"/>
        <v>1167.3900000000003</v>
      </c>
      <c r="AG33" s="655">
        <f t="shared" si="36"/>
        <v>223.4099999999996</v>
      </c>
      <c r="AH33" s="276">
        <f t="shared" si="30"/>
        <v>73.2</v>
      </c>
      <c r="AI33" s="1">
        <v>0</v>
      </c>
      <c r="AJ33" s="6">
        <v>0</v>
      </c>
      <c r="AK33" s="45">
        <f t="shared" si="43"/>
        <v>86.217872968980828</v>
      </c>
      <c r="AL33" s="276">
        <f t="shared" si="20"/>
        <v>1464</v>
      </c>
      <c r="AM33" s="258">
        <f t="shared" si="21"/>
        <v>16.499999999999972</v>
      </c>
      <c r="AN33" s="258" t="e">
        <f t="shared" si="22"/>
        <v>#DIV/0!</v>
      </c>
      <c r="AO33" s="258" t="e">
        <f t="shared" si="23"/>
        <v>#DIV/0!</v>
      </c>
      <c r="AQ33" s="239">
        <f t="shared" si="8"/>
        <v>0.78500000000000025</v>
      </c>
      <c r="AR33" s="239" t="e">
        <f t="shared" si="9"/>
        <v>#DIV/0!</v>
      </c>
      <c r="AS33" s="239" t="e">
        <f t="shared" si="10"/>
        <v>#DIV/0!</v>
      </c>
      <c r="AT33" s="239">
        <f t="shared" si="11"/>
        <v>0.95</v>
      </c>
      <c r="AU33">
        <f t="shared" si="24"/>
        <v>1464</v>
      </c>
    </row>
    <row r="34" spans="1:47" s="248" customFormat="1" x14ac:dyDescent="0.25">
      <c r="B34" s="81">
        <v>31</v>
      </c>
      <c r="C34" s="1">
        <v>1270</v>
      </c>
      <c r="D34" s="1">
        <v>0</v>
      </c>
      <c r="E34" s="1">
        <v>0</v>
      </c>
      <c r="F34" s="1">
        <v>0</v>
      </c>
      <c r="G34" s="1">
        <v>200</v>
      </c>
      <c r="H34" s="1">
        <v>21</v>
      </c>
      <c r="I34" s="1">
        <v>0</v>
      </c>
      <c r="J34" s="1">
        <v>0</v>
      </c>
      <c r="K34" s="1">
        <v>0</v>
      </c>
      <c r="L34" s="1">
        <v>3</v>
      </c>
      <c r="M34" s="249">
        <f t="shared" si="25"/>
        <v>60.476190476190474</v>
      </c>
      <c r="N34" s="249" t="e">
        <f t="shared" si="26"/>
        <v>#DIV/0!</v>
      </c>
      <c r="O34" s="275">
        <f t="shared" si="14"/>
        <v>66.666666666666671</v>
      </c>
      <c r="P34" s="249" t="e">
        <f t="shared" si="44"/>
        <v>#DIV/0!</v>
      </c>
      <c r="Q34" s="249">
        <f>C34*(0.188888888888888*0.9)</f>
        <v>215.89999999999898</v>
      </c>
      <c r="R34" s="249">
        <f>C34*0.05</f>
        <v>63.5</v>
      </c>
      <c r="S34" s="249">
        <f>D34*(0.3096446704*0.9)</f>
        <v>0</v>
      </c>
      <c r="T34" s="249">
        <f>D34*0.05</f>
        <v>0</v>
      </c>
      <c r="U34" s="249">
        <f>E34*(0.222222222222222*0.9)</f>
        <v>0</v>
      </c>
      <c r="V34" s="249">
        <f>E34*0.05</f>
        <v>0</v>
      </c>
      <c r="W34" s="81">
        <f t="shared" si="34"/>
        <v>0</v>
      </c>
      <c r="X34" s="81">
        <f>F34*0.0512096777</f>
        <v>0</v>
      </c>
      <c r="Y34" s="275">
        <f t="shared" si="27"/>
        <v>56.999999999999886</v>
      </c>
      <c r="Z34" s="275">
        <f>G34*0.05</f>
        <v>10</v>
      </c>
      <c r="AA34" s="511">
        <f t="shared" si="16"/>
        <v>990.60000000000105</v>
      </c>
      <c r="AB34" s="511">
        <f t="shared" si="17"/>
        <v>0</v>
      </c>
      <c r="AC34" s="511">
        <f t="shared" si="18"/>
        <v>0</v>
      </c>
      <c r="AD34" s="511">
        <f t="shared" si="19"/>
        <v>0</v>
      </c>
      <c r="AE34" s="511">
        <f t="shared" si="4"/>
        <v>133.00000000000011</v>
      </c>
      <c r="AF34" s="43">
        <f t="shared" si="29"/>
        <v>1123.6000000000013</v>
      </c>
      <c r="AG34" s="655">
        <f t="shared" si="36"/>
        <v>272.89999999999884</v>
      </c>
      <c r="AH34" s="276">
        <f t="shared" si="30"/>
        <v>73.5</v>
      </c>
      <c r="AI34" s="249">
        <v>0</v>
      </c>
      <c r="AJ34" s="250">
        <v>0</v>
      </c>
      <c r="AK34" s="251">
        <f t="shared" si="43"/>
        <v>88.472440944881996</v>
      </c>
      <c r="AL34" s="276">
        <f t="shared" si="20"/>
        <v>1470</v>
      </c>
      <c r="AM34" s="258">
        <f t="shared" si="21"/>
        <v>16.999999999999922</v>
      </c>
      <c r="AN34" s="258" t="e">
        <f t="shared" si="22"/>
        <v>#DIV/0!</v>
      </c>
      <c r="AO34" s="258">
        <f t="shared" si="23"/>
        <v>0.28499999999999942</v>
      </c>
      <c r="AQ34" s="252">
        <f t="shared" si="8"/>
        <v>0.7800000000000008</v>
      </c>
      <c r="AR34" s="252" t="e">
        <f t="shared" si="9"/>
        <v>#DIV/0!</v>
      </c>
      <c r="AS34" s="252" t="e">
        <f t="shared" si="10"/>
        <v>#DIV/0!</v>
      </c>
      <c r="AT34" s="239" t="e">
        <f t="shared" si="11"/>
        <v>#DIV/0!</v>
      </c>
      <c r="AU34">
        <f t="shared" si="24"/>
        <v>1470</v>
      </c>
    </row>
    <row r="35" spans="1:47" x14ac:dyDescent="0.25">
      <c r="B35" s="1"/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2">
        <v>0</v>
      </c>
      <c r="L35" s="2"/>
      <c r="M35" s="1" t="e">
        <f t="shared" ref="M35:N40" si="45">C35/H35</f>
        <v>#DIV/0!</v>
      </c>
      <c r="N35" s="1" t="e">
        <f t="shared" si="45"/>
        <v>#DIV/0!</v>
      </c>
      <c r="O35" s="275" t="e">
        <f t="shared" si="14"/>
        <v>#DIV/0!</v>
      </c>
      <c r="P35" s="1" t="e">
        <f t="shared" si="44"/>
        <v>#DIV/0!</v>
      </c>
      <c r="Q35" s="1">
        <f t="shared" ref="Q35:Q40" si="46">C35*(0.1*0.9)</f>
        <v>0</v>
      </c>
      <c r="R35" s="1">
        <f t="shared" ref="R35:R40" si="47">C35*0.045</f>
        <v>0</v>
      </c>
      <c r="S35" s="1">
        <f t="shared" ref="S35:S40" si="48">D35*(0.18*0.9)</f>
        <v>0</v>
      </c>
      <c r="T35" s="1">
        <f t="shared" ref="T35:T40" si="49">D35*0.045</f>
        <v>0</v>
      </c>
      <c r="U35" s="1"/>
      <c r="V35" s="1"/>
      <c r="W35" s="1"/>
      <c r="X35" s="1"/>
      <c r="Y35" s="1"/>
      <c r="Z35" s="1"/>
      <c r="AA35" s="290">
        <f t="shared" si="16"/>
        <v>0</v>
      </c>
      <c r="AB35" s="290">
        <f t="shared" si="17"/>
        <v>0</v>
      </c>
      <c r="AC35" s="290">
        <f t="shared" si="18"/>
        <v>0</v>
      </c>
      <c r="AD35" s="290">
        <f t="shared" si="19"/>
        <v>0</v>
      </c>
      <c r="AE35" s="511">
        <f t="shared" si="4"/>
        <v>0</v>
      </c>
      <c r="AF35" s="43">
        <f t="shared" si="29"/>
        <v>0</v>
      </c>
      <c r="AG35" s="1">
        <f t="shared" ref="AG35:AG40" si="50">Q35+S35</f>
        <v>0</v>
      </c>
      <c r="AH35" s="276">
        <f t="shared" si="30"/>
        <v>0</v>
      </c>
      <c r="AI35" s="1">
        <v>0</v>
      </c>
      <c r="AJ35" s="1">
        <v>0</v>
      </c>
      <c r="AK35" s="32" t="e">
        <f t="shared" si="43"/>
        <v>#DIV/0!</v>
      </c>
      <c r="AL35" s="276">
        <f t="shared" si="20"/>
        <v>0</v>
      </c>
      <c r="AM35" t="e">
        <f>(Q35+#REF!)/C35*100</f>
        <v>#REF!</v>
      </c>
      <c r="AU35">
        <f t="shared" si="24"/>
        <v>0</v>
      </c>
    </row>
    <row r="36" spans="1:47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 t="e">
        <f t="shared" si="45"/>
        <v>#DIV/0!</v>
      </c>
      <c r="N36" s="1" t="e">
        <f t="shared" si="45"/>
        <v>#DIV/0!</v>
      </c>
      <c r="O36" s="1"/>
      <c r="P36" s="1"/>
      <c r="Q36" s="1">
        <f t="shared" si="46"/>
        <v>0</v>
      </c>
      <c r="R36" s="1">
        <f>C36*0.045</f>
        <v>0</v>
      </c>
      <c r="S36" s="1">
        <f t="shared" si="48"/>
        <v>0</v>
      </c>
      <c r="T36" s="1">
        <f t="shared" si="49"/>
        <v>0</v>
      </c>
      <c r="U36" s="1"/>
      <c r="V36" s="1"/>
      <c r="W36" s="1"/>
      <c r="X36" s="1"/>
      <c r="Y36" s="1"/>
      <c r="Z36" s="1"/>
      <c r="AA36" s="275">
        <f t="shared" si="16"/>
        <v>0</v>
      </c>
      <c r="AB36" s="275">
        <f t="shared" si="17"/>
        <v>0</v>
      </c>
      <c r="AC36" s="1"/>
      <c r="AD36" s="1"/>
      <c r="AE36" s="1"/>
      <c r="AF36" s="246">
        <f t="shared" ref="AF36:AF40" si="51">AA36+AB36+AC36+AD36</f>
        <v>0</v>
      </c>
      <c r="AG36" s="1">
        <f t="shared" si="50"/>
        <v>0</v>
      </c>
      <c r="AH36" s="276">
        <f t="shared" si="30"/>
        <v>0</v>
      </c>
      <c r="AI36" s="1">
        <v>0</v>
      </c>
      <c r="AJ36" s="1">
        <v>0</v>
      </c>
      <c r="AK36" s="32" t="e">
        <f t="shared" si="43"/>
        <v>#DIV/0!</v>
      </c>
      <c r="AL36" s="276">
        <f t="shared" si="20"/>
        <v>0</v>
      </c>
      <c r="AM36" t="e">
        <f>(Q36+#REF!)/C36*100</f>
        <v>#REF!</v>
      </c>
      <c r="AU36">
        <f t="shared" si="24"/>
        <v>0</v>
      </c>
    </row>
    <row r="37" spans="1:47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 t="e">
        <f t="shared" si="45"/>
        <v>#DIV/0!</v>
      </c>
      <c r="N37" s="1" t="e">
        <f t="shared" si="45"/>
        <v>#DIV/0!</v>
      </c>
      <c r="O37" s="1"/>
      <c r="P37" s="1"/>
      <c r="Q37" s="1">
        <f t="shared" si="46"/>
        <v>0</v>
      </c>
      <c r="R37" s="1">
        <f t="shared" si="47"/>
        <v>0</v>
      </c>
      <c r="S37" s="1">
        <f t="shared" si="48"/>
        <v>0</v>
      </c>
      <c r="T37" s="1">
        <f t="shared" si="49"/>
        <v>0</v>
      </c>
      <c r="U37" s="1"/>
      <c r="V37" s="1"/>
      <c r="W37" s="1"/>
      <c r="X37" s="1"/>
      <c r="Y37" s="1"/>
      <c r="Z37" s="1"/>
      <c r="AA37" s="275">
        <f t="shared" si="16"/>
        <v>0</v>
      </c>
      <c r="AB37" s="275">
        <f t="shared" si="17"/>
        <v>0</v>
      </c>
      <c r="AC37" s="1"/>
      <c r="AD37" s="1"/>
      <c r="AE37" s="1"/>
      <c r="AF37" s="246">
        <f t="shared" si="51"/>
        <v>0</v>
      </c>
      <c r="AG37" s="1">
        <f t="shared" si="50"/>
        <v>0</v>
      </c>
      <c r="AH37" s="276">
        <f t="shared" si="30"/>
        <v>0</v>
      </c>
      <c r="AI37" s="1">
        <v>0</v>
      </c>
      <c r="AJ37" s="1">
        <v>0</v>
      </c>
      <c r="AK37" s="32" t="e">
        <f t="shared" si="43"/>
        <v>#DIV/0!</v>
      </c>
      <c r="AL37" s="276">
        <f t="shared" si="20"/>
        <v>0</v>
      </c>
      <c r="AM37" t="e">
        <f>(Q37+#REF!)/C37*100</f>
        <v>#REF!</v>
      </c>
      <c r="AU37">
        <f t="shared" si="24"/>
        <v>0</v>
      </c>
    </row>
    <row r="38" spans="1:47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 t="e">
        <f t="shared" si="45"/>
        <v>#DIV/0!</v>
      </c>
      <c r="N38" s="1" t="e">
        <f t="shared" si="45"/>
        <v>#DIV/0!</v>
      </c>
      <c r="O38" s="1"/>
      <c r="P38" s="1"/>
      <c r="Q38" s="1">
        <f t="shared" si="46"/>
        <v>0</v>
      </c>
      <c r="R38" s="1">
        <f t="shared" si="47"/>
        <v>0</v>
      </c>
      <c r="S38" s="1">
        <f t="shared" si="48"/>
        <v>0</v>
      </c>
      <c r="T38" s="1">
        <f t="shared" si="49"/>
        <v>0</v>
      </c>
      <c r="U38" s="1"/>
      <c r="V38" s="1"/>
      <c r="W38" s="1"/>
      <c r="X38" s="1"/>
      <c r="Y38" s="1"/>
      <c r="Z38" s="1"/>
      <c r="AA38" s="275">
        <f t="shared" si="16"/>
        <v>0</v>
      </c>
      <c r="AB38" s="275">
        <f t="shared" si="17"/>
        <v>0</v>
      </c>
      <c r="AC38" s="1"/>
      <c r="AD38" s="1"/>
      <c r="AE38" s="1"/>
      <c r="AF38" s="246">
        <f t="shared" si="51"/>
        <v>0</v>
      </c>
      <c r="AG38" s="1">
        <f t="shared" si="50"/>
        <v>0</v>
      </c>
      <c r="AH38" s="276">
        <f t="shared" si="30"/>
        <v>0</v>
      </c>
      <c r="AI38" s="1">
        <v>0</v>
      </c>
      <c r="AJ38" s="1">
        <v>0</v>
      </c>
      <c r="AK38" s="32" t="e">
        <f t="shared" si="43"/>
        <v>#DIV/0!</v>
      </c>
      <c r="AL38" s="1"/>
      <c r="AM38" t="e">
        <f>(Q38+#REF!)/C38*100</f>
        <v>#REF!</v>
      </c>
      <c r="AU38">
        <f t="shared" si="24"/>
        <v>0</v>
      </c>
    </row>
    <row r="39" spans="1:4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 t="e">
        <f t="shared" si="45"/>
        <v>#DIV/0!</v>
      </c>
      <c r="N39" s="1" t="e">
        <f t="shared" si="45"/>
        <v>#DIV/0!</v>
      </c>
      <c r="O39" s="1"/>
      <c r="P39" s="1"/>
      <c r="Q39" s="1">
        <f t="shared" si="46"/>
        <v>0</v>
      </c>
      <c r="R39" s="1">
        <f t="shared" si="47"/>
        <v>0</v>
      </c>
      <c r="S39" s="1">
        <f t="shared" si="48"/>
        <v>0</v>
      </c>
      <c r="T39" s="1">
        <f t="shared" si="49"/>
        <v>0</v>
      </c>
      <c r="U39" s="1"/>
      <c r="V39" s="1"/>
      <c r="W39" s="1"/>
      <c r="X39" s="1"/>
      <c r="Y39" s="1"/>
      <c r="Z39" s="1"/>
      <c r="AA39" s="275">
        <f t="shared" si="16"/>
        <v>0</v>
      </c>
      <c r="AB39" s="275">
        <f t="shared" si="17"/>
        <v>0</v>
      </c>
      <c r="AC39" s="1"/>
      <c r="AD39" s="1"/>
      <c r="AE39" s="1"/>
      <c r="AF39" s="246">
        <f t="shared" si="51"/>
        <v>0</v>
      </c>
      <c r="AG39" s="1">
        <f t="shared" si="50"/>
        <v>0</v>
      </c>
      <c r="AH39" s="276">
        <f t="shared" si="30"/>
        <v>0</v>
      </c>
      <c r="AI39" s="1">
        <v>0</v>
      </c>
      <c r="AJ39" s="1"/>
      <c r="AK39" s="32" t="e">
        <f t="shared" si="43"/>
        <v>#DIV/0!</v>
      </c>
      <c r="AL39" s="1"/>
      <c r="AM39" t="e">
        <f>(Q39+#REF!)/C39*100</f>
        <v>#REF!</v>
      </c>
    </row>
    <row r="40" spans="1:47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 t="e">
        <f t="shared" si="45"/>
        <v>#DIV/0!</v>
      </c>
      <c r="N40" s="1" t="e">
        <f t="shared" si="45"/>
        <v>#DIV/0!</v>
      </c>
      <c r="O40" s="1"/>
      <c r="P40" s="1"/>
      <c r="Q40" s="1">
        <f t="shared" si="46"/>
        <v>0</v>
      </c>
      <c r="R40" s="1">
        <f t="shared" si="47"/>
        <v>0</v>
      </c>
      <c r="S40" s="1">
        <f t="shared" si="48"/>
        <v>0</v>
      </c>
      <c r="T40" s="1">
        <f t="shared" si="49"/>
        <v>0</v>
      </c>
      <c r="U40" s="1"/>
      <c r="V40" s="1"/>
      <c r="W40" s="1"/>
      <c r="X40" s="1"/>
      <c r="Y40" s="1"/>
      <c r="Z40" s="1"/>
      <c r="AA40" s="275">
        <f t="shared" si="16"/>
        <v>0</v>
      </c>
      <c r="AB40" s="275">
        <f t="shared" si="17"/>
        <v>0</v>
      </c>
      <c r="AC40" s="1"/>
      <c r="AD40" s="1"/>
      <c r="AE40" s="1"/>
      <c r="AF40" s="246">
        <f t="shared" si="51"/>
        <v>0</v>
      </c>
      <c r="AG40" s="1">
        <f t="shared" si="50"/>
        <v>0</v>
      </c>
      <c r="AH40" s="276">
        <f t="shared" si="30"/>
        <v>0</v>
      </c>
      <c r="AI40" s="1">
        <v>0</v>
      </c>
      <c r="AJ40" s="1"/>
      <c r="AK40" s="32" t="e">
        <f t="shared" si="43"/>
        <v>#DIV/0!</v>
      </c>
      <c r="AL40" s="1"/>
      <c r="AM40" t="e">
        <f>(Q40+#REF!)/C40*100</f>
        <v>#REF!</v>
      </c>
    </row>
    <row r="41" spans="1:47" x14ac:dyDescent="0.25">
      <c r="A41" t="s">
        <v>26</v>
      </c>
      <c r="B41" s="1" t="s">
        <v>8</v>
      </c>
      <c r="C41" s="1">
        <f>SUM(C4:C34)</f>
        <v>25821</v>
      </c>
      <c r="D41" s="1">
        <f t="shared" ref="D41:AU41" si="52">SUM(D4:D34)</f>
        <v>750</v>
      </c>
      <c r="E41" s="1">
        <f t="shared" si="52"/>
        <v>0</v>
      </c>
      <c r="F41" s="1">
        <f t="shared" si="52"/>
        <v>827</v>
      </c>
      <c r="G41" s="1"/>
      <c r="H41" s="1">
        <f t="shared" si="52"/>
        <v>434.41</v>
      </c>
      <c r="I41" s="1">
        <f t="shared" si="52"/>
        <v>12.329999999999998</v>
      </c>
      <c r="J41" s="1">
        <f t="shared" si="52"/>
        <v>0</v>
      </c>
      <c r="K41" s="1">
        <f>SUM(K4:K35)</f>
        <v>15</v>
      </c>
      <c r="L41" s="1"/>
      <c r="M41" s="1" t="e">
        <f t="shared" si="52"/>
        <v>#DIV/0!</v>
      </c>
      <c r="N41" s="1" t="e">
        <f t="shared" si="52"/>
        <v>#DIV/0!</v>
      </c>
      <c r="O41" s="1" t="e">
        <f t="shared" si="52"/>
        <v>#DIV/0!</v>
      </c>
      <c r="P41" s="1" t="e">
        <f>SUM(P4:P35)</f>
        <v>#DIV/0!</v>
      </c>
      <c r="Q41" s="1">
        <f t="shared" si="52"/>
        <v>4447.3349995205917</v>
      </c>
      <c r="R41" s="1">
        <f t="shared" si="52"/>
        <v>1292.56100010456</v>
      </c>
      <c r="S41" s="1">
        <f t="shared" si="52"/>
        <v>199.49999999999989</v>
      </c>
      <c r="T41" s="1">
        <f t="shared" si="52"/>
        <v>37.5</v>
      </c>
      <c r="U41" s="1">
        <f t="shared" si="52"/>
        <v>0</v>
      </c>
      <c r="V41" s="1">
        <f t="shared" si="52"/>
        <v>0</v>
      </c>
      <c r="W41" s="1">
        <f t="shared" si="52"/>
        <v>0</v>
      </c>
      <c r="X41" s="1">
        <f t="shared" si="52"/>
        <v>41.35</v>
      </c>
      <c r="Y41" s="1"/>
      <c r="Z41" s="1"/>
      <c r="AA41" s="275">
        <f t="shared" si="16"/>
        <v>20081.104000374846</v>
      </c>
      <c r="AB41" s="275">
        <f t="shared" si="17"/>
        <v>513.00000000000011</v>
      </c>
      <c r="AC41" s="1">
        <f t="shared" si="52"/>
        <v>0</v>
      </c>
      <c r="AD41" s="1">
        <f t="shared" si="52"/>
        <v>785.65</v>
      </c>
      <c r="AE41" s="1"/>
      <c r="AF41" s="1">
        <f t="shared" si="52"/>
        <v>23660.582000059119</v>
      </c>
      <c r="AG41" s="1">
        <f t="shared" si="52"/>
        <v>5541.296998997319</v>
      </c>
      <c r="AH41" s="1">
        <f t="shared" si="52"/>
        <v>1539.1210009435599</v>
      </c>
      <c r="AI41" s="1">
        <f t="shared" si="52"/>
        <v>0</v>
      </c>
      <c r="AJ41" s="1">
        <f t="shared" si="52"/>
        <v>0</v>
      </c>
      <c r="AK41" s="1" t="e">
        <f t="shared" si="52"/>
        <v>#DIV/0!</v>
      </c>
      <c r="AL41" s="1">
        <f t="shared" si="52"/>
        <v>30741</v>
      </c>
      <c r="AM41" s="1" t="e">
        <f t="shared" si="52"/>
        <v>#DIV/0!</v>
      </c>
      <c r="AN41" s="1" t="e">
        <f t="shared" si="52"/>
        <v>#DIV/0!</v>
      </c>
      <c r="AO41" s="1" t="e">
        <f t="shared" si="52"/>
        <v>#DIV/0!</v>
      </c>
      <c r="AP41" s="1" t="e">
        <f t="shared" si="52"/>
        <v>#REF!</v>
      </c>
      <c r="AQ41" s="1" t="e">
        <f t="shared" si="52"/>
        <v>#DIV/0!</v>
      </c>
      <c r="AR41" s="1" t="e">
        <f t="shared" si="52"/>
        <v>#DIV/0!</v>
      </c>
      <c r="AS41" s="1" t="e">
        <f t="shared" si="52"/>
        <v>#DIV/0!</v>
      </c>
      <c r="AT41" s="1" t="e">
        <f t="shared" si="52"/>
        <v>#DIV/0!</v>
      </c>
      <c r="AU41" s="1">
        <f t="shared" si="52"/>
        <v>30741</v>
      </c>
    </row>
    <row r="42" spans="1:47" x14ac:dyDescent="0.25">
      <c r="A42" t="s">
        <v>27</v>
      </c>
      <c r="B42" s="1"/>
      <c r="C42" s="1">
        <v>0</v>
      </c>
      <c r="D42" s="1">
        <f>D41+'Daily CEM-1'!D40</f>
        <v>2510</v>
      </c>
      <c r="E42" s="1">
        <f>E41+'Daily CEM-1'!E40</f>
        <v>0</v>
      </c>
      <c r="F42" s="1">
        <f>F41+'Daily CEM-1'!F40</f>
        <v>1127</v>
      </c>
      <c r="G42" s="1"/>
      <c r="H42" s="1">
        <f>H41+'Daily CEM-1'!H40</f>
        <v>712.34999999999991</v>
      </c>
      <c r="I42" s="1">
        <f>I41+'Daily CEM-1'!I40</f>
        <v>38.83</v>
      </c>
      <c r="J42" s="1">
        <f>J41+'Daily CEM-1'!J40</f>
        <v>0</v>
      </c>
      <c r="K42" s="1">
        <f>K41+'Daily CEM-1'!K40</f>
        <v>20</v>
      </c>
      <c r="L42" s="1"/>
      <c r="M42" s="1" t="e">
        <f>M41+'Daily CEM-1'!M40</f>
        <v>#DIV/0!</v>
      </c>
      <c r="N42" s="1" t="e">
        <f>N41+'Daily CEM-1'!N40</f>
        <v>#DIV/0!</v>
      </c>
      <c r="O42" s="1" t="e">
        <f>O41+'Daily CEM-1'!O40</f>
        <v>#DIV/0!</v>
      </c>
      <c r="P42" s="1" t="e">
        <f>P41+'Daily CEM-1'!P40</f>
        <v>#DIV/0!</v>
      </c>
      <c r="Q42" s="1">
        <f>Q41+'Daily CEM-1'!R40</f>
        <v>7516.3509981118868</v>
      </c>
      <c r="R42" s="1">
        <f>R41+'Daily CEM-1'!S40</f>
        <v>2191.42599911856</v>
      </c>
      <c r="S42" s="1">
        <f>S41+'Daily CEM-1'!T40</f>
        <v>671.79999999999927</v>
      </c>
      <c r="T42" s="1">
        <f>T41+'Daily CEM-1'!U40</f>
        <v>125.5</v>
      </c>
      <c r="U42" s="1">
        <f>U41+'Daily CEM-1'!V40</f>
        <v>0</v>
      </c>
      <c r="V42" s="1">
        <f>V41+'Daily CEM-1'!W40</f>
        <v>0</v>
      </c>
      <c r="W42" s="1">
        <f>W41+'Daily CEM-1'!X40</f>
        <v>0</v>
      </c>
      <c r="X42" s="1">
        <f>X41+'Daily CEM-1'!Y40</f>
        <v>56.35</v>
      </c>
      <c r="Y42" s="1"/>
      <c r="Z42" s="1"/>
      <c r="AA42" s="275">
        <f>C42-Q42-R42</f>
        <v>-9707.7769972304468</v>
      </c>
      <c r="AB42" s="275">
        <f t="shared" si="17"/>
        <v>1712.7000000000007</v>
      </c>
      <c r="AC42" s="1">
        <f>AC41+'Daily CEM-1'!AD40</f>
        <v>0</v>
      </c>
      <c r="AD42" s="1">
        <f>AD41+'Daily CEM-1'!AE40</f>
        <v>1070.6500000000001</v>
      </c>
      <c r="AE42" s="1"/>
      <c r="AF42" s="1">
        <f>AF41+'Daily CEM-1'!AG40</f>
        <v>42757.351001988529</v>
      </c>
      <c r="AG42" s="1">
        <f>AG41+'Daily CEM-1'!AH40</f>
        <v>10412.362998053912</v>
      </c>
      <c r="AH42" s="1">
        <f>AH41+'Daily CEM-1'!AI40</f>
        <v>2803.2859999575599</v>
      </c>
      <c r="AI42" s="1">
        <f>AI41+'Daily CEM-1'!AJ40</f>
        <v>0</v>
      </c>
      <c r="AJ42" s="1">
        <f>AJ41+'Daily CEM-1'!AK40</f>
        <v>0</v>
      </c>
      <c r="AK42" s="1" t="e">
        <f>AK41+'Daily CEM-1'!AL40</f>
        <v>#DIV/0!</v>
      </c>
      <c r="AL42" s="1">
        <f>AL41+'Daily CEM-1'!AM40</f>
        <v>55973</v>
      </c>
      <c r="AM42" s="1" t="e">
        <f>AM41+'Daily CEM-1'!AN40</f>
        <v>#DIV/0!</v>
      </c>
      <c r="AN42" s="1" t="e">
        <f>AN41+'Daily CEM-1'!AO40</f>
        <v>#DIV/0!</v>
      </c>
      <c r="AO42" s="1" t="e">
        <f>AO41+'Daily CEM-1'!AP40</f>
        <v>#DIV/0!</v>
      </c>
      <c r="AP42" s="1" t="e">
        <f>AP41+'Daily CEM-1'!AQ40</f>
        <v>#REF!</v>
      </c>
      <c r="AQ42" s="1" t="e">
        <f>AQ41+'Daily CEM-1'!AR40</f>
        <v>#DIV/0!</v>
      </c>
      <c r="AR42" s="1" t="e">
        <f>AR41+'Daily CEM-1'!AS40</f>
        <v>#DIV/0!</v>
      </c>
      <c r="AS42" s="1" t="e">
        <f>AS41+'Daily CEM-1'!AT40</f>
        <v>#DIV/0!</v>
      </c>
      <c r="AT42" s="1" t="e">
        <f>AT41+'Daily CEM-1'!AU40</f>
        <v>#DIV/0!</v>
      </c>
      <c r="AU42" s="1" t="e">
        <f>AU41+'Daily CEM-1'!AV40</f>
        <v>#DIV/0!</v>
      </c>
    </row>
    <row r="43" spans="1:47" x14ac:dyDescent="0.25">
      <c r="A43" t="s">
        <v>27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t="e">
        <v>#DIV/0!</v>
      </c>
    </row>
    <row r="45" spans="1:47" x14ac:dyDescent="0.25">
      <c r="B45" t="s">
        <v>200</v>
      </c>
      <c r="C45">
        <v>1600</v>
      </c>
      <c r="D45" t="s">
        <v>201</v>
      </c>
      <c r="H45">
        <v>8000</v>
      </c>
      <c r="I45" t="s">
        <v>202</v>
      </c>
    </row>
    <row r="46" spans="1:47" x14ac:dyDescent="0.25">
      <c r="C46">
        <f>Cement!H30*1600/8000</f>
        <v>4.7999999999592549E-2</v>
      </c>
      <c r="D46" t="s">
        <v>203</v>
      </c>
      <c r="H46">
        <v>13500</v>
      </c>
      <c r="I46" t="s">
        <v>202</v>
      </c>
      <c r="AA46">
        <v>63</v>
      </c>
    </row>
    <row r="53" spans="17:19" x14ac:dyDescent="0.25">
      <c r="Q53">
        <f>200/85</f>
        <v>2.3529411764705883</v>
      </c>
      <c r="S53">
        <f>24-2.35</f>
        <v>21.65</v>
      </c>
    </row>
  </sheetData>
  <mergeCells count="2">
    <mergeCell ref="C2:E2"/>
    <mergeCell ref="H2:J2"/>
  </mergeCells>
  <pageMargins left="0.7" right="0.7" top="0.75" bottom="0.75" header="0.3" footer="0.3"/>
  <pageSetup paperSize="9" scale="41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O36"/>
  <sheetViews>
    <sheetView topLeftCell="Z1" zoomScale="60" zoomScaleNormal="60" workbookViewId="0">
      <selection activeCell="AO25" sqref="AO25"/>
    </sheetView>
  </sheetViews>
  <sheetFormatPr defaultRowHeight="15" x14ac:dyDescent="0.25"/>
  <cols>
    <col min="3" max="3" width="23.42578125" customWidth="1"/>
    <col min="6" max="6" width="20.42578125" bestFit="1" customWidth="1"/>
    <col min="14" max="14" width="30.85546875" customWidth="1"/>
    <col min="17" max="17" width="31.7109375" customWidth="1"/>
    <col min="18" max="18" width="11.7109375" customWidth="1"/>
    <col min="25" max="25" width="32.7109375" customWidth="1"/>
    <col min="28" max="28" width="38.140625" customWidth="1"/>
    <col min="33" max="33" width="32.7109375" customWidth="1"/>
    <col min="36" max="36" width="38.140625" customWidth="1"/>
    <col min="40" max="40" width="6.85546875" bestFit="1" customWidth="1"/>
    <col min="41" max="41" width="35.140625" bestFit="1" customWidth="1"/>
  </cols>
  <sheetData>
    <row r="1" spans="1:41" ht="29.25" thickBot="1" x14ac:dyDescent="0.5">
      <c r="A1" s="686" t="s">
        <v>207</v>
      </c>
      <c r="B1" s="686"/>
      <c r="C1" s="686"/>
      <c r="E1" s="685" t="s">
        <v>15</v>
      </c>
      <c r="F1" s="685"/>
      <c r="G1" s="685"/>
      <c r="L1" s="686" t="s">
        <v>207</v>
      </c>
      <c r="M1" s="686"/>
      <c r="N1" s="686"/>
      <c r="P1" s="685" t="s">
        <v>15</v>
      </c>
      <c r="Q1" s="685"/>
      <c r="R1" s="685"/>
      <c r="W1" s="686" t="s">
        <v>207</v>
      </c>
      <c r="X1" s="686"/>
      <c r="Y1" s="686"/>
      <c r="AA1" s="685" t="s">
        <v>15</v>
      </c>
      <c r="AB1" s="685"/>
      <c r="AC1" s="685"/>
      <c r="AE1" s="686" t="s">
        <v>207</v>
      </c>
      <c r="AF1" s="686"/>
      <c r="AG1" s="686"/>
      <c r="AI1" s="685" t="s">
        <v>15</v>
      </c>
      <c r="AJ1" s="685"/>
      <c r="AK1" s="685"/>
      <c r="AN1" s="685" t="s">
        <v>15</v>
      </c>
      <c r="AO1" s="685"/>
    </row>
    <row r="2" spans="1:41" x14ac:dyDescent="0.25">
      <c r="A2" s="54" t="s">
        <v>9</v>
      </c>
      <c r="B2" s="55" t="s">
        <v>208</v>
      </c>
      <c r="C2" s="56" t="s">
        <v>209</v>
      </c>
      <c r="E2" s="18" t="s">
        <v>9</v>
      </c>
      <c r="F2" s="58" t="s">
        <v>210</v>
      </c>
      <c r="G2" s="59" t="s">
        <v>211</v>
      </c>
      <c r="L2" s="54" t="s">
        <v>9</v>
      </c>
      <c r="M2" s="55" t="s">
        <v>208</v>
      </c>
      <c r="N2" s="56" t="s">
        <v>212</v>
      </c>
      <c r="P2" s="18" t="s">
        <v>9</v>
      </c>
      <c r="Q2" s="58" t="s">
        <v>213</v>
      </c>
      <c r="R2" s="59" t="s">
        <v>211</v>
      </c>
      <c r="W2" s="54" t="s">
        <v>9</v>
      </c>
      <c r="X2" s="55" t="s">
        <v>208</v>
      </c>
      <c r="Y2" s="56" t="s">
        <v>214</v>
      </c>
      <c r="AA2" s="18" t="s">
        <v>9</v>
      </c>
      <c r="AB2" s="58" t="s">
        <v>215</v>
      </c>
      <c r="AC2" s="59" t="s">
        <v>211</v>
      </c>
      <c r="AE2" s="54" t="s">
        <v>9</v>
      </c>
      <c r="AF2" s="55" t="s">
        <v>208</v>
      </c>
      <c r="AG2" s="56" t="s">
        <v>216</v>
      </c>
      <c r="AI2" s="18" t="s">
        <v>9</v>
      </c>
      <c r="AJ2" s="58" t="s">
        <v>217</v>
      </c>
      <c r="AK2" s="59" t="s">
        <v>211</v>
      </c>
      <c r="AN2" s="18" t="s">
        <v>9</v>
      </c>
      <c r="AO2" s="58" t="s">
        <v>349</v>
      </c>
    </row>
    <row r="3" spans="1:41" x14ac:dyDescent="0.25">
      <c r="A3" s="1">
        <v>1</v>
      </c>
      <c r="B3" s="1">
        <v>0</v>
      </c>
      <c r="C3" s="1">
        <v>0</v>
      </c>
      <c r="E3" s="1">
        <v>1</v>
      </c>
      <c r="F3" s="1">
        <v>0</v>
      </c>
      <c r="G3" s="1">
        <f>B3+C3-F3</f>
        <v>0</v>
      </c>
      <c r="L3" s="1">
        <v>1</v>
      </c>
      <c r="M3" s="1">
        <v>0</v>
      </c>
      <c r="N3" s="1">
        <v>0</v>
      </c>
      <c r="P3" s="1">
        <v>1</v>
      </c>
      <c r="Q3" s="1">
        <v>0</v>
      </c>
      <c r="R3" s="1">
        <f>M3+N3-Q3</f>
        <v>0</v>
      </c>
      <c r="W3" s="1">
        <v>1</v>
      </c>
      <c r="X3" s="1">
        <v>0</v>
      </c>
      <c r="Y3" s="1">
        <v>0</v>
      </c>
      <c r="AA3" s="1">
        <v>1</v>
      </c>
      <c r="AB3" s="1">
        <v>0</v>
      </c>
      <c r="AC3" s="1">
        <f>X3+Y3-AB3</f>
        <v>0</v>
      </c>
      <c r="AE3" s="1">
        <v>1</v>
      </c>
      <c r="AF3" s="1">
        <v>0</v>
      </c>
      <c r="AG3" s="1">
        <v>0</v>
      </c>
      <c r="AI3" s="1">
        <v>1</v>
      </c>
      <c r="AJ3" s="1">
        <v>0</v>
      </c>
      <c r="AK3" s="1">
        <f>AF3+AG3-AJ3</f>
        <v>0</v>
      </c>
      <c r="AN3" s="1">
        <v>1</v>
      </c>
      <c r="AO3" s="1">
        <v>0</v>
      </c>
    </row>
    <row r="4" spans="1:41" x14ac:dyDescent="0.25">
      <c r="A4" s="1">
        <v>2</v>
      </c>
      <c r="B4" s="1">
        <f>G3</f>
        <v>0</v>
      </c>
      <c r="C4" s="1">
        <v>0</v>
      </c>
      <c r="E4" s="1">
        <v>2</v>
      </c>
      <c r="F4" s="1">
        <v>0</v>
      </c>
      <c r="G4" s="1">
        <f t="shared" ref="G4:G33" si="0">B4+C4-F4</f>
        <v>0</v>
      </c>
      <c r="L4" s="1">
        <v>2</v>
      </c>
      <c r="M4" s="1">
        <f>R3</f>
        <v>0</v>
      </c>
      <c r="N4" s="1">
        <v>0</v>
      </c>
      <c r="P4" s="1">
        <v>2</v>
      </c>
      <c r="Q4" s="1">
        <v>0</v>
      </c>
      <c r="R4" s="1">
        <f t="shared" ref="R4:R33" si="1">M4+N4-Q4</f>
        <v>0</v>
      </c>
      <c r="W4" s="1">
        <v>2</v>
      </c>
      <c r="X4" s="1">
        <f>AC3</f>
        <v>0</v>
      </c>
      <c r="Y4" s="1">
        <v>0</v>
      </c>
      <c r="AA4" s="1">
        <v>2</v>
      </c>
      <c r="AB4" s="1">
        <v>0</v>
      </c>
      <c r="AC4" s="1">
        <f t="shared" ref="AC4:AC33" si="2">X4+Y4-AB4</f>
        <v>0</v>
      </c>
      <c r="AE4" s="1">
        <v>2</v>
      </c>
      <c r="AF4" s="1">
        <f>AK3</f>
        <v>0</v>
      </c>
      <c r="AG4" s="1">
        <v>0</v>
      </c>
      <c r="AI4" s="1">
        <v>2</v>
      </c>
      <c r="AJ4" s="1">
        <v>0</v>
      </c>
      <c r="AK4" s="1">
        <f t="shared" ref="AK4:AK33" si="3">AF4+AG4-AJ4</f>
        <v>0</v>
      </c>
      <c r="AN4" s="1">
        <v>2</v>
      </c>
      <c r="AO4" s="1">
        <v>0</v>
      </c>
    </row>
    <row r="5" spans="1:41" x14ac:dyDescent="0.25">
      <c r="A5" s="1">
        <v>3</v>
      </c>
      <c r="B5" s="1">
        <f>G4</f>
        <v>0</v>
      </c>
      <c r="C5" s="1">
        <v>0</v>
      </c>
      <c r="E5" s="1">
        <v>3</v>
      </c>
      <c r="F5" s="1">
        <v>0</v>
      </c>
      <c r="G5" s="1">
        <f t="shared" si="0"/>
        <v>0</v>
      </c>
      <c r="L5" s="1">
        <v>3</v>
      </c>
      <c r="M5" s="1">
        <f>R4</f>
        <v>0</v>
      </c>
      <c r="N5" s="1">
        <v>0</v>
      </c>
      <c r="P5" s="1">
        <v>3</v>
      </c>
      <c r="Q5" s="1">
        <v>0</v>
      </c>
      <c r="R5" s="1">
        <f t="shared" si="1"/>
        <v>0</v>
      </c>
      <c r="W5" s="1">
        <v>3</v>
      </c>
      <c r="X5" s="1">
        <f>AC4</f>
        <v>0</v>
      </c>
      <c r="Y5" s="1">
        <v>0</v>
      </c>
      <c r="AA5" s="1">
        <v>3</v>
      </c>
      <c r="AB5" s="1">
        <v>0</v>
      </c>
      <c r="AC5" s="1">
        <f t="shared" si="2"/>
        <v>0</v>
      </c>
      <c r="AE5" s="1">
        <v>3</v>
      </c>
      <c r="AF5" s="1">
        <f>AK4</f>
        <v>0</v>
      </c>
      <c r="AG5" s="1">
        <v>0</v>
      </c>
      <c r="AI5" s="1">
        <v>3</v>
      </c>
      <c r="AJ5" s="1">
        <v>0</v>
      </c>
      <c r="AK5" s="1">
        <f t="shared" si="3"/>
        <v>0</v>
      </c>
      <c r="AN5" s="1">
        <v>3</v>
      </c>
      <c r="AO5" s="1">
        <v>0</v>
      </c>
    </row>
    <row r="6" spans="1:41" x14ac:dyDescent="0.25">
      <c r="A6" s="1">
        <v>4</v>
      </c>
      <c r="B6" s="1">
        <v>0</v>
      </c>
      <c r="C6" s="1">
        <v>0</v>
      </c>
      <c r="E6" s="1">
        <v>4</v>
      </c>
      <c r="F6" s="1">
        <v>0</v>
      </c>
      <c r="G6" s="1">
        <f t="shared" si="0"/>
        <v>0</v>
      </c>
      <c r="L6" s="1">
        <v>4</v>
      </c>
      <c r="M6" s="1">
        <v>0</v>
      </c>
      <c r="N6" s="1">
        <v>0</v>
      </c>
      <c r="P6" s="1">
        <v>4</v>
      </c>
      <c r="Q6" s="1">
        <v>0</v>
      </c>
      <c r="R6" s="1">
        <f t="shared" si="1"/>
        <v>0</v>
      </c>
      <c r="W6" s="1">
        <v>4</v>
      </c>
      <c r="X6" s="1">
        <v>0</v>
      </c>
      <c r="Y6" s="1">
        <v>0</v>
      </c>
      <c r="AA6" s="1">
        <v>4</v>
      </c>
      <c r="AB6" s="1">
        <v>0</v>
      </c>
      <c r="AC6" s="1">
        <f t="shared" si="2"/>
        <v>0</v>
      </c>
      <c r="AE6" s="1">
        <v>4</v>
      </c>
      <c r="AF6" s="1">
        <v>0</v>
      </c>
      <c r="AG6" s="1">
        <v>0</v>
      </c>
      <c r="AI6" s="1">
        <v>4</v>
      </c>
      <c r="AJ6" s="1">
        <v>0</v>
      </c>
      <c r="AK6" s="1">
        <f t="shared" si="3"/>
        <v>0</v>
      </c>
      <c r="AN6" s="1">
        <v>4</v>
      </c>
      <c r="AO6" s="1">
        <v>0</v>
      </c>
    </row>
    <row r="7" spans="1:41" x14ac:dyDescent="0.25">
      <c r="A7" s="1">
        <v>5</v>
      </c>
      <c r="B7" s="1">
        <f>G6</f>
        <v>0</v>
      </c>
      <c r="C7" s="1">
        <v>0</v>
      </c>
      <c r="E7" s="1">
        <v>5</v>
      </c>
      <c r="F7" s="1">
        <v>0</v>
      </c>
      <c r="G7" s="1">
        <f t="shared" si="0"/>
        <v>0</v>
      </c>
      <c r="L7" s="1">
        <v>5</v>
      </c>
      <c r="M7" s="1">
        <f>R6</f>
        <v>0</v>
      </c>
      <c r="N7" s="1">
        <v>0</v>
      </c>
      <c r="P7" s="1">
        <v>5</v>
      </c>
      <c r="Q7" s="1">
        <v>0</v>
      </c>
      <c r="R7" s="1">
        <f t="shared" si="1"/>
        <v>0</v>
      </c>
      <c r="W7" s="1">
        <v>5</v>
      </c>
      <c r="X7" s="1">
        <f>AC6</f>
        <v>0</v>
      </c>
      <c r="Y7" s="1">
        <v>0</v>
      </c>
      <c r="AA7" s="1">
        <v>5</v>
      </c>
      <c r="AB7" s="1">
        <v>0</v>
      </c>
      <c r="AC7" s="1">
        <f t="shared" si="2"/>
        <v>0</v>
      </c>
      <c r="AE7" s="1">
        <v>5</v>
      </c>
      <c r="AF7" s="1">
        <f>AK6</f>
        <v>0</v>
      </c>
      <c r="AG7" s="1">
        <v>0</v>
      </c>
      <c r="AI7" s="1">
        <v>5</v>
      </c>
      <c r="AJ7" s="1">
        <v>0</v>
      </c>
      <c r="AK7" s="1">
        <f t="shared" si="3"/>
        <v>0</v>
      </c>
      <c r="AN7" s="1">
        <v>5</v>
      </c>
      <c r="AO7" s="1">
        <v>0</v>
      </c>
    </row>
    <row r="8" spans="1:41" x14ac:dyDescent="0.25">
      <c r="A8" s="1">
        <v>6</v>
      </c>
      <c r="B8" s="1">
        <f>G7</f>
        <v>0</v>
      </c>
      <c r="C8" s="1">
        <v>0</v>
      </c>
      <c r="E8" s="1">
        <v>6</v>
      </c>
      <c r="F8" s="1">
        <v>0</v>
      </c>
      <c r="G8" s="1">
        <f t="shared" si="0"/>
        <v>0</v>
      </c>
      <c r="L8" s="1">
        <v>6</v>
      </c>
      <c r="M8" s="1">
        <f>R7</f>
        <v>0</v>
      </c>
      <c r="N8" s="1">
        <v>0</v>
      </c>
      <c r="P8" s="1">
        <v>6</v>
      </c>
      <c r="Q8" s="1">
        <v>0</v>
      </c>
      <c r="R8" s="1">
        <f t="shared" si="1"/>
        <v>0</v>
      </c>
      <c r="W8" s="1">
        <v>6</v>
      </c>
      <c r="X8" s="1">
        <f>AC7</f>
        <v>0</v>
      </c>
      <c r="Y8" s="1">
        <v>0</v>
      </c>
      <c r="AA8" s="1">
        <v>6</v>
      </c>
      <c r="AB8" s="1">
        <v>0</v>
      </c>
      <c r="AC8" s="1">
        <f t="shared" si="2"/>
        <v>0</v>
      </c>
      <c r="AE8" s="1">
        <v>6</v>
      </c>
      <c r="AF8" s="1">
        <f>AK7</f>
        <v>0</v>
      </c>
      <c r="AG8" s="1">
        <v>0</v>
      </c>
      <c r="AI8" s="1">
        <v>6</v>
      </c>
      <c r="AJ8" s="1">
        <v>0</v>
      </c>
      <c r="AK8" s="1">
        <f t="shared" si="3"/>
        <v>0</v>
      </c>
      <c r="AN8" s="1">
        <v>6</v>
      </c>
      <c r="AO8" s="1">
        <v>0</v>
      </c>
    </row>
    <row r="9" spans="1:41" x14ac:dyDescent="0.25">
      <c r="A9" s="1">
        <v>7</v>
      </c>
      <c r="B9" s="1">
        <v>0</v>
      </c>
      <c r="C9" s="1">
        <v>0</v>
      </c>
      <c r="E9" s="1">
        <v>7</v>
      </c>
      <c r="F9" s="1">
        <v>0</v>
      </c>
      <c r="G9" s="1">
        <f t="shared" si="0"/>
        <v>0</v>
      </c>
      <c r="L9" s="1">
        <v>7</v>
      </c>
      <c r="M9" s="1">
        <v>0</v>
      </c>
      <c r="N9" s="1">
        <v>0</v>
      </c>
      <c r="P9" s="1">
        <v>7</v>
      </c>
      <c r="Q9" s="1">
        <v>0</v>
      </c>
      <c r="R9" s="1">
        <f t="shared" si="1"/>
        <v>0</v>
      </c>
      <c r="W9" s="1">
        <v>7</v>
      </c>
      <c r="X9" s="1">
        <v>0</v>
      </c>
      <c r="Y9" s="1">
        <v>0</v>
      </c>
      <c r="AA9" s="1">
        <v>7</v>
      </c>
      <c r="AB9" s="1">
        <v>0</v>
      </c>
      <c r="AC9" s="1">
        <f t="shared" si="2"/>
        <v>0</v>
      </c>
      <c r="AE9" s="1">
        <v>7</v>
      </c>
      <c r="AF9" s="1">
        <v>0</v>
      </c>
      <c r="AG9" s="1">
        <v>0</v>
      </c>
      <c r="AI9" s="1">
        <v>7</v>
      </c>
      <c r="AJ9" s="1">
        <v>0</v>
      </c>
      <c r="AK9" s="1">
        <f t="shared" si="3"/>
        <v>0</v>
      </c>
      <c r="AN9" s="1">
        <v>7</v>
      </c>
      <c r="AO9" s="1">
        <v>0</v>
      </c>
    </row>
    <row r="10" spans="1:41" x14ac:dyDescent="0.25">
      <c r="A10" s="1">
        <v>8</v>
      </c>
      <c r="B10" s="1">
        <f>G9</f>
        <v>0</v>
      </c>
      <c r="C10" s="1">
        <v>0</v>
      </c>
      <c r="E10" s="1">
        <v>8</v>
      </c>
      <c r="F10" s="1">
        <v>0</v>
      </c>
      <c r="G10" s="1">
        <f t="shared" si="0"/>
        <v>0</v>
      </c>
      <c r="L10" s="1">
        <v>8</v>
      </c>
      <c r="M10" s="1">
        <f>R9</f>
        <v>0</v>
      </c>
      <c r="N10" s="1">
        <v>0</v>
      </c>
      <c r="P10" s="1">
        <v>8</v>
      </c>
      <c r="Q10" s="1">
        <v>0</v>
      </c>
      <c r="R10" s="1">
        <f t="shared" si="1"/>
        <v>0</v>
      </c>
      <c r="W10" s="1">
        <v>8</v>
      </c>
      <c r="X10" s="1">
        <f>AC9</f>
        <v>0</v>
      </c>
      <c r="Y10" s="1">
        <v>0</v>
      </c>
      <c r="AA10" s="1">
        <v>8</v>
      </c>
      <c r="AB10" s="1">
        <v>0</v>
      </c>
      <c r="AC10" s="1">
        <f t="shared" si="2"/>
        <v>0</v>
      </c>
      <c r="AE10" s="1">
        <v>8</v>
      </c>
      <c r="AF10" s="1">
        <f>AK9</f>
        <v>0</v>
      </c>
      <c r="AG10" s="1">
        <v>0</v>
      </c>
      <c r="AI10" s="1">
        <v>8</v>
      </c>
      <c r="AJ10" s="1">
        <v>0</v>
      </c>
      <c r="AK10" s="1">
        <f t="shared" si="3"/>
        <v>0</v>
      </c>
      <c r="AN10" s="1">
        <v>8</v>
      </c>
      <c r="AO10" s="1">
        <v>0</v>
      </c>
    </row>
    <row r="11" spans="1:41" x14ac:dyDescent="0.25">
      <c r="A11" s="1">
        <v>9</v>
      </c>
      <c r="B11" s="1">
        <f>G10</f>
        <v>0</v>
      </c>
      <c r="C11" s="1">
        <v>0</v>
      </c>
      <c r="E11" s="1">
        <v>9</v>
      </c>
      <c r="F11" s="1">
        <v>0</v>
      </c>
      <c r="G11" s="1">
        <f t="shared" si="0"/>
        <v>0</v>
      </c>
      <c r="L11" s="1">
        <v>9</v>
      </c>
      <c r="M11" s="1">
        <f>R10</f>
        <v>0</v>
      </c>
      <c r="N11" s="1">
        <v>0</v>
      </c>
      <c r="P11" s="1">
        <v>9</v>
      </c>
      <c r="Q11" s="1">
        <v>0</v>
      </c>
      <c r="R11" s="1">
        <f t="shared" si="1"/>
        <v>0</v>
      </c>
      <c r="W11" s="1">
        <v>9</v>
      </c>
      <c r="X11" s="1">
        <f>AC10</f>
        <v>0</v>
      </c>
      <c r="Y11" s="1">
        <v>0</v>
      </c>
      <c r="AA11" s="1">
        <v>9</v>
      </c>
      <c r="AB11" s="1">
        <v>0</v>
      </c>
      <c r="AC11" s="1">
        <f t="shared" si="2"/>
        <v>0</v>
      </c>
      <c r="AE11" s="1">
        <v>9</v>
      </c>
      <c r="AF11" s="1">
        <f>AK10</f>
        <v>0</v>
      </c>
      <c r="AG11" s="1">
        <v>0</v>
      </c>
      <c r="AI11" s="1">
        <v>9</v>
      </c>
      <c r="AJ11" s="1">
        <v>0</v>
      </c>
      <c r="AK11" s="1">
        <f t="shared" si="3"/>
        <v>0</v>
      </c>
      <c r="AN11" s="1">
        <v>9</v>
      </c>
      <c r="AO11" s="1">
        <v>0</v>
      </c>
    </row>
    <row r="12" spans="1:41" x14ac:dyDescent="0.25">
      <c r="A12" s="1">
        <v>10</v>
      </c>
      <c r="B12" s="1">
        <v>0</v>
      </c>
      <c r="C12" s="1">
        <v>0</v>
      </c>
      <c r="E12" s="1">
        <v>10</v>
      </c>
      <c r="F12" s="1">
        <v>0</v>
      </c>
      <c r="G12" s="1">
        <f t="shared" si="0"/>
        <v>0</v>
      </c>
      <c r="L12" s="1">
        <v>10</v>
      </c>
      <c r="M12" s="1">
        <v>0</v>
      </c>
      <c r="N12" s="1">
        <v>0</v>
      </c>
      <c r="P12" s="1">
        <v>10</v>
      </c>
      <c r="Q12" s="1">
        <v>0</v>
      </c>
      <c r="R12" s="1">
        <f t="shared" si="1"/>
        <v>0</v>
      </c>
      <c r="W12" s="1">
        <v>10</v>
      </c>
      <c r="X12" s="1">
        <v>0</v>
      </c>
      <c r="Y12" s="1">
        <v>0</v>
      </c>
      <c r="AA12" s="1">
        <v>10</v>
      </c>
      <c r="AB12" s="1">
        <v>0</v>
      </c>
      <c r="AC12" s="1">
        <f t="shared" si="2"/>
        <v>0</v>
      </c>
      <c r="AE12" s="1">
        <v>10</v>
      </c>
      <c r="AF12" s="1">
        <v>0</v>
      </c>
      <c r="AG12" s="1">
        <v>0</v>
      </c>
      <c r="AI12" s="1">
        <v>10</v>
      </c>
      <c r="AJ12" s="1">
        <v>0</v>
      </c>
      <c r="AK12" s="1">
        <f t="shared" si="3"/>
        <v>0</v>
      </c>
      <c r="AN12" s="1">
        <v>10</v>
      </c>
      <c r="AO12" s="1">
        <v>0</v>
      </c>
    </row>
    <row r="13" spans="1:41" x14ac:dyDescent="0.25">
      <c r="A13" s="1">
        <v>11</v>
      </c>
      <c r="B13" s="1">
        <f>G12</f>
        <v>0</v>
      </c>
      <c r="C13" s="1">
        <v>0</v>
      </c>
      <c r="E13" s="1">
        <v>11</v>
      </c>
      <c r="F13" s="1">
        <v>0</v>
      </c>
      <c r="G13" s="1">
        <f t="shared" si="0"/>
        <v>0</v>
      </c>
      <c r="L13" s="1">
        <v>11</v>
      </c>
      <c r="M13" s="1">
        <f>R12</f>
        <v>0</v>
      </c>
      <c r="N13" s="1">
        <v>0</v>
      </c>
      <c r="P13" s="1">
        <v>11</v>
      </c>
      <c r="Q13" s="1">
        <v>0</v>
      </c>
      <c r="R13" s="1">
        <f t="shared" si="1"/>
        <v>0</v>
      </c>
      <c r="W13" s="1">
        <v>11</v>
      </c>
      <c r="X13" s="1">
        <f>AC12</f>
        <v>0</v>
      </c>
      <c r="Y13" s="1">
        <v>0</v>
      </c>
      <c r="AA13" s="1">
        <v>11</v>
      </c>
      <c r="AB13" s="1">
        <v>0</v>
      </c>
      <c r="AC13" s="1">
        <f t="shared" si="2"/>
        <v>0</v>
      </c>
      <c r="AE13" s="1">
        <v>11</v>
      </c>
      <c r="AF13" s="1">
        <f>AK12</f>
        <v>0</v>
      </c>
      <c r="AG13" s="1">
        <v>0</v>
      </c>
      <c r="AI13" s="1">
        <v>11</v>
      </c>
      <c r="AJ13" s="1">
        <v>0</v>
      </c>
      <c r="AK13" s="1">
        <f t="shared" si="3"/>
        <v>0</v>
      </c>
      <c r="AN13" s="1">
        <v>11</v>
      </c>
      <c r="AO13" s="1">
        <v>0</v>
      </c>
    </row>
    <row r="14" spans="1:41" x14ac:dyDescent="0.25">
      <c r="A14" s="1">
        <v>12</v>
      </c>
      <c r="B14" s="1">
        <f>G13</f>
        <v>0</v>
      </c>
      <c r="C14" s="1">
        <v>0</v>
      </c>
      <c r="E14" s="1">
        <v>12</v>
      </c>
      <c r="F14" s="1">
        <v>0</v>
      </c>
      <c r="G14" s="1">
        <f t="shared" si="0"/>
        <v>0</v>
      </c>
      <c r="L14" s="1">
        <v>12</v>
      </c>
      <c r="M14" s="1">
        <f>R13</f>
        <v>0</v>
      </c>
      <c r="N14" s="1">
        <v>0</v>
      </c>
      <c r="P14" s="1">
        <v>12</v>
      </c>
      <c r="Q14" s="1">
        <v>0</v>
      </c>
      <c r="R14" s="1">
        <f t="shared" si="1"/>
        <v>0</v>
      </c>
      <c r="W14" s="1">
        <v>12</v>
      </c>
      <c r="X14" s="1">
        <f>AC13</f>
        <v>0</v>
      </c>
      <c r="Y14" s="1">
        <v>0</v>
      </c>
      <c r="AA14" s="1">
        <v>12</v>
      </c>
      <c r="AB14" s="1">
        <v>0</v>
      </c>
      <c r="AC14" s="1">
        <f t="shared" si="2"/>
        <v>0</v>
      </c>
      <c r="AE14" s="1">
        <v>12</v>
      </c>
      <c r="AF14" s="1">
        <f>AK13</f>
        <v>0</v>
      </c>
      <c r="AG14" s="1">
        <v>0</v>
      </c>
      <c r="AI14" s="1">
        <v>12</v>
      </c>
      <c r="AJ14" s="1">
        <v>0</v>
      </c>
      <c r="AK14" s="1">
        <f t="shared" si="3"/>
        <v>0</v>
      </c>
      <c r="AN14" s="1">
        <v>12</v>
      </c>
      <c r="AO14" s="1">
        <v>0</v>
      </c>
    </row>
    <row r="15" spans="1:41" x14ac:dyDescent="0.25">
      <c r="A15" s="1">
        <v>13</v>
      </c>
      <c r="B15" s="1">
        <v>0</v>
      </c>
      <c r="C15" s="1">
        <v>0</v>
      </c>
      <c r="E15" s="1">
        <v>13</v>
      </c>
      <c r="F15" s="1">
        <v>0</v>
      </c>
      <c r="G15" s="1">
        <f t="shared" si="0"/>
        <v>0</v>
      </c>
      <c r="L15" s="1">
        <v>13</v>
      </c>
      <c r="M15" s="1">
        <v>0</v>
      </c>
      <c r="N15" s="1">
        <v>0</v>
      </c>
      <c r="P15" s="1">
        <v>13</v>
      </c>
      <c r="Q15" s="1">
        <v>0</v>
      </c>
      <c r="R15" s="1">
        <f t="shared" si="1"/>
        <v>0</v>
      </c>
      <c r="W15" s="1">
        <v>13</v>
      </c>
      <c r="X15" s="1">
        <v>0</v>
      </c>
      <c r="Y15" s="1">
        <v>0</v>
      </c>
      <c r="AA15" s="1">
        <v>13</v>
      </c>
      <c r="AB15" s="1">
        <v>0</v>
      </c>
      <c r="AC15" s="1">
        <f t="shared" si="2"/>
        <v>0</v>
      </c>
      <c r="AE15" s="1">
        <v>13</v>
      </c>
      <c r="AF15" s="1">
        <v>0</v>
      </c>
      <c r="AG15" s="1">
        <v>0</v>
      </c>
      <c r="AI15" s="1">
        <v>13</v>
      </c>
      <c r="AJ15" s="1">
        <v>0</v>
      </c>
      <c r="AK15" s="1">
        <f t="shared" si="3"/>
        <v>0</v>
      </c>
      <c r="AN15" s="1">
        <v>13</v>
      </c>
      <c r="AO15" s="1">
        <v>0</v>
      </c>
    </row>
    <row r="16" spans="1:41" x14ac:dyDescent="0.25">
      <c r="A16" s="1">
        <v>14</v>
      </c>
      <c r="B16" s="1">
        <f>G15</f>
        <v>0</v>
      </c>
      <c r="C16" s="1">
        <v>0</v>
      </c>
      <c r="E16" s="1">
        <v>14</v>
      </c>
      <c r="F16" s="1">
        <v>0</v>
      </c>
      <c r="G16" s="1">
        <f t="shared" si="0"/>
        <v>0</v>
      </c>
      <c r="L16" s="1">
        <v>14</v>
      </c>
      <c r="M16" s="1">
        <f>R15</f>
        <v>0</v>
      </c>
      <c r="N16" s="1">
        <v>2</v>
      </c>
      <c r="P16" s="1">
        <v>14</v>
      </c>
      <c r="Q16" s="1">
        <v>2</v>
      </c>
      <c r="R16" s="1">
        <f t="shared" si="1"/>
        <v>0</v>
      </c>
      <c r="W16" s="1">
        <v>14</v>
      </c>
      <c r="X16" s="1">
        <f>AC15</f>
        <v>0</v>
      </c>
      <c r="Y16" s="1">
        <v>0</v>
      </c>
      <c r="AA16" s="1">
        <v>14</v>
      </c>
      <c r="AB16" s="1">
        <v>0</v>
      </c>
      <c r="AC16" s="1">
        <f t="shared" si="2"/>
        <v>0</v>
      </c>
      <c r="AE16" s="1">
        <v>14</v>
      </c>
      <c r="AF16" s="1">
        <f>AK15</f>
        <v>0</v>
      </c>
      <c r="AG16" s="1">
        <v>0</v>
      </c>
      <c r="AI16" s="1">
        <v>14</v>
      </c>
      <c r="AJ16" s="1">
        <v>0</v>
      </c>
      <c r="AK16" s="1">
        <f t="shared" si="3"/>
        <v>0</v>
      </c>
      <c r="AN16" s="1">
        <v>14</v>
      </c>
      <c r="AO16" s="1">
        <v>0</v>
      </c>
    </row>
    <row r="17" spans="1:41" x14ac:dyDescent="0.25">
      <c r="A17" s="1">
        <v>15</v>
      </c>
      <c r="B17" s="1">
        <f>G16</f>
        <v>0</v>
      </c>
      <c r="C17" s="1">
        <v>0</v>
      </c>
      <c r="E17" s="1">
        <v>15</v>
      </c>
      <c r="F17" s="1">
        <v>0</v>
      </c>
      <c r="G17" s="1">
        <f t="shared" si="0"/>
        <v>0</v>
      </c>
      <c r="L17" s="1">
        <v>15</v>
      </c>
      <c r="M17" s="1">
        <f>R16</f>
        <v>0</v>
      </c>
      <c r="N17" s="1">
        <v>0</v>
      </c>
      <c r="P17" s="1">
        <v>15</v>
      </c>
      <c r="Q17" s="1">
        <v>0</v>
      </c>
      <c r="R17" s="1">
        <f t="shared" si="1"/>
        <v>0</v>
      </c>
      <c r="W17" s="1">
        <v>15</v>
      </c>
      <c r="X17" s="1">
        <f>AC16</f>
        <v>0</v>
      </c>
      <c r="Y17" s="1">
        <v>0</v>
      </c>
      <c r="AA17" s="1">
        <v>15</v>
      </c>
      <c r="AB17" s="1">
        <v>0</v>
      </c>
      <c r="AC17" s="1">
        <f t="shared" si="2"/>
        <v>0</v>
      </c>
      <c r="AE17" s="1">
        <v>15</v>
      </c>
      <c r="AF17" s="1">
        <f>AK16</f>
        <v>0</v>
      </c>
      <c r="AG17" s="1">
        <v>0</v>
      </c>
      <c r="AI17" s="1">
        <v>15</v>
      </c>
      <c r="AJ17" s="1">
        <v>0</v>
      </c>
      <c r="AK17" s="1">
        <f t="shared" si="3"/>
        <v>0</v>
      </c>
      <c r="AN17" s="1">
        <v>15</v>
      </c>
      <c r="AO17" s="1">
        <v>0</v>
      </c>
    </row>
    <row r="18" spans="1:41" x14ac:dyDescent="0.25">
      <c r="A18" s="1">
        <v>16</v>
      </c>
      <c r="B18" s="1">
        <v>0</v>
      </c>
      <c r="C18" s="1">
        <v>0</v>
      </c>
      <c r="E18" s="1">
        <v>16</v>
      </c>
      <c r="F18" s="1">
        <v>0</v>
      </c>
      <c r="G18" s="1">
        <f t="shared" si="0"/>
        <v>0</v>
      </c>
      <c r="L18" s="1">
        <v>16</v>
      </c>
      <c r="M18" s="1">
        <v>0</v>
      </c>
      <c r="N18" s="1">
        <v>0</v>
      </c>
      <c r="P18" s="1">
        <v>16</v>
      </c>
      <c r="Q18" s="1">
        <v>0</v>
      </c>
      <c r="R18" s="1">
        <f t="shared" si="1"/>
        <v>0</v>
      </c>
      <c r="W18" s="1">
        <v>16</v>
      </c>
      <c r="X18" s="1">
        <v>0</v>
      </c>
      <c r="Y18" s="1">
        <v>0</v>
      </c>
      <c r="AA18" s="1">
        <v>16</v>
      </c>
      <c r="AB18" s="1">
        <v>0</v>
      </c>
      <c r="AC18" s="1">
        <f t="shared" si="2"/>
        <v>0</v>
      </c>
      <c r="AE18" s="1">
        <v>16</v>
      </c>
      <c r="AF18" s="1">
        <v>0</v>
      </c>
      <c r="AG18" s="1">
        <v>0</v>
      </c>
      <c r="AI18" s="1">
        <v>16</v>
      </c>
      <c r="AJ18" s="1">
        <v>0</v>
      </c>
      <c r="AK18" s="1">
        <f t="shared" si="3"/>
        <v>0</v>
      </c>
      <c r="AN18" s="1">
        <v>16</v>
      </c>
      <c r="AO18" s="1">
        <v>0</v>
      </c>
    </row>
    <row r="19" spans="1:41" x14ac:dyDescent="0.25">
      <c r="A19" s="1">
        <v>17</v>
      </c>
      <c r="B19" s="1">
        <f>G18</f>
        <v>0</v>
      </c>
      <c r="C19" s="1">
        <v>0</v>
      </c>
      <c r="E19" s="1">
        <v>17</v>
      </c>
      <c r="F19" s="1">
        <v>0</v>
      </c>
      <c r="G19" s="1">
        <f t="shared" si="0"/>
        <v>0</v>
      </c>
      <c r="L19" s="1">
        <v>17</v>
      </c>
      <c r="M19" s="1">
        <f>R18</f>
        <v>0</v>
      </c>
      <c r="N19" s="1">
        <v>0</v>
      </c>
      <c r="P19" s="1">
        <v>17</v>
      </c>
      <c r="Q19" s="1">
        <v>0</v>
      </c>
      <c r="R19" s="1">
        <f t="shared" si="1"/>
        <v>0</v>
      </c>
      <c r="W19" s="1">
        <v>17</v>
      </c>
      <c r="X19" s="1">
        <f>AC18</f>
        <v>0</v>
      </c>
      <c r="Y19" s="1">
        <v>0</v>
      </c>
      <c r="AA19" s="1">
        <v>17</v>
      </c>
      <c r="AB19" s="1">
        <v>0</v>
      </c>
      <c r="AC19" s="1">
        <f t="shared" si="2"/>
        <v>0</v>
      </c>
      <c r="AE19" s="1">
        <v>17</v>
      </c>
      <c r="AF19" s="1">
        <f>AK18</f>
        <v>0</v>
      </c>
      <c r="AG19" s="1">
        <v>0</v>
      </c>
      <c r="AI19" s="1">
        <v>17</v>
      </c>
      <c r="AJ19" s="1">
        <v>0</v>
      </c>
      <c r="AK19" s="1">
        <f t="shared" si="3"/>
        <v>0</v>
      </c>
      <c r="AN19" s="1">
        <v>17</v>
      </c>
      <c r="AO19" s="1">
        <v>0</v>
      </c>
    </row>
    <row r="20" spans="1:41" x14ac:dyDescent="0.25">
      <c r="A20" s="1">
        <v>18</v>
      </c>
      <c r="B20" s="1">
        <f>G19</f>
        <v>0</v>
      </c>
      <c r="C20" s="1">
        <v>0</v>
      </c>
      <c r="E20" s="1">
        <v>18</v>
      </c>
      <c r="F20" s="1">
        <v>0</v>
      </c>
      <c r="G20" s="1">
        <f t="shared" si="0"/>
        <v>0</v>
      </c>
      <c r="L20" s="1">
        <v>18</v>
      </c>
      <c r="M20" s="1">
        <f>R19</f>
        <v>0</v>
      </c>
      <c r="N20" s="1">
        <v>0</v>
      </c>
      <c r="P20" s="1">
        <v>18</v>
      </c>
      <c r="Q20" s="1">
        <v>0</v>
      </c>
      <c r="R20" s="1">
        <f t="shared" si="1"/>
        <v>0</v>
      </c>
      <c r="W20" s="1">
        <v>18</v>
      </c>
      <c r="X20" s="1">
        <f>AC19</f>
        <v>0</v>
      </c>
      <c r="Y20" s="1">
        <v>0</v>
      </c>
      <c r="AA20" s="1">
        <v>18</v>
      </c>
      <c r="AB20" s="1">
        <v>0</v>
      </c>
      <c r="AC20" s="1">
        <f t="shared" si="2"/>
        <v>0</v>
      </c>
      <c r="AE20" s="1">
        <v>18</v>
      </c>
      <c r="AF20" s="1">
        <f>AK19</f>
        <v>0</v>
      </c>
      <c r="AG20" s="1">
        <v>0</v>
      </c>
      <c r="AI20" s="1">
        <v>18</v>
      </c>
      <c r="AJ20" s="1">
        <v>0</v>
      </c>
      <c r="AK20" s="1">
        <f t="shared" si="3"/>
        <v>0</v>
      </c>
      <c r="AN20" s="1">
        <v>18</v>
      </c>
      <c r="AO20" s="1">
        <v>0</v>
      </c>
    </row>
    <row r="21" spans="1:41" x14ac:dyDescent="0.25">
      <c r="A21" s="1">
        <v>19</v>
      </c>
      <c r="B21" s="1">
        <v>0</v>
      </c>
      <c r="C21" s="1">
        <v>0</v>
      </c>
      <c r="E21" s="1">
        <v>19</v>
      </c>
      <c r="F21" s="1">
        <v>0</v>
      </c>
      <c r="G21" s="1">
        <f t="shared" si="0"/>
        <v>0</v>
      </c>
      <c r="L21" s="1">
        <v>19</v>
      </c>
      <c r="M21" s="1">
        <v>0</v>
      </c>
      <c r="N21" s="1">
        <v>0</v>
      </c>
      <c r="P21" s="1">
        <v>19</v>
      </c>
      <c r="Q21" s="1">
        <v>0</v>
      </c>
      <c r="R21" s="1">
        <f t="shared" si="1"/>
        <v>0</v>
      </c>
      <c r="W21" s="1">
        <v>19</v>
      </c>
      <c r="X21" s="1">
        <v>0</v>
      </c>
      <c r="Y21" s="1">
        <v>0</v>
      </c>
      <c r="AA21" s="1">
        <v>19</v>
      </c>
      <c r="AB21" s="1">
        <v>0</v>
      </c>
      <c r="AC21" s="1">
        <f t="shared" si="2"/>
        <v>0</v>
      </c>
      <c r="AE21" s="1">
        <v>19</v>
      </c>
      <c r="AF21" s="1">
        <v>0</v>
      </c>
      <c r="AG21" s="1">
        <v>0</v>
      </c>
      <c r="AI21" s="1">
        <v>19</v>
      </c>
      <c r="AJ21" s="1">
        <v>0</v>
      </c>
      <c r="AK21" s="1">
        <f t="shared" si="3"/>
        <v>0</v>
      </c>
      <c r="AN21" s="1">
        <v>19</v>
      </c>
      <c r="AO21" s="1">
        <v>0</v>
      </c>
    </row>
    <row r="22" spans="1:41" x14ac:dyDescent="0.25">
      <c r="A22" s="1">
        <v>20</v>
      </c>
      <c r="B22" s="1">
        <f>G21</f>
        <v>0</v>
      </c>
      <c r="C22" s="1">
        <v>0</v>
      </c>
      <c r="E22" s="1">
        <v>20</v>
      </c>
      <c r="F22" s="1">
        <v>0</v>
      </c>
      <c r="G22" s="1">
        <f t="shared" si="0"/>
        <v>0</v>
      </c>
      <c r="L22" s="1">
        <v>20</v>
      </c>
      <c r="M22" s="1">
        <f>R21</f>
        <v>0</v>
      </c>
      <c r="N22" s="1">
        <v>0</v>
      </c>
      <c r="P22" s="1">
        <v>20</v>
      </c>
      <c r="Q22" s="1">
        <v>0</v>
      </c>
      <c r="R22" s="1">
        <f t="shared" si="1"/>
        <v>0</v>
      </c>
      <c r="W22" s="1">
        <v>20</v>
      </c>
      <c r="X22" s="1">
        <f>AC21</f>
        <v>0</v>
      </c>
      <c r="Y22" s="1">
        <v>0</v>
      </c>
      <c r="AA22" s="1">
        <v>20</v>
      </c>
      <c r="AB22" s="1">
        <v>0</v>
      </c>
      <c r="AC22" s="1">
        <f t="shared" si="2"/>
        <v>0</v>
      </c>
      <c r="AE22" s="1">
        <v>20</v>
      </c>
      <c r="AF22" s="1">
        <f>AK21</f>
        <v>0</v>
      </c>
      <c r="AG22" s="1">
        <v>0</v>
      </c>
      <c r="AI22" s="1">
        <v>20</v>
      </c>
      <c r="AJ22" s="1">
        <v>0</v>
      </c>
      <c r="AK22" s="1">
        <f t="shared" si="3"/>
        <v>0</v>
      </c>
      <c r="AN22" s="1">
        <v>20</v>
      </c>
      <c r="AO22" s="1">
        <v>0</v>
      </c>
    </row>
    <row r="23" spans="1:41" x14ac:dyDescent="0.25">
      <c r="A23" s="1">
        <v>21</v>
      </c>
      <c r="B23" s="1">
        <f>G22</f>
        <v>0</v>
      </c>
      <c r="C23" s="1">
        <v>0</v>
      </c>
      <c r="E23" s="1">
        <v>21</v>
      </c>
      <c r="F23" s="1">
        <v>0</v>
      </c>
      <c r="G23" s="1">
        <f t="shared" si="0"/>
        <v>0</v>
      </c>
      <c r="L23" s="1">
        <v>21</v>
      </c>
      <c r="M23" s="1">
        <f>R22</f>
        <v>0</v>
      </c>
      <c r="N23" s="1">
        <v>0</v>
      </c>
      <c r="P23" s="1">
        <v>21</v>
      </c>
      <c r="Q23" s="1">
        <v>0</v>
      </c>
      <c r="R23" s="1">
        <f t="shared" si="1"/>
        <v>0</v>
      </c>
      <c r="W23" s="1">
        <v>21</v>
      </c>
      <c r="X23" s="1">
        <f>AC22</f>
        <v>0</v>
      </c>
      <c r="Y23" s="1">
        <v>0</v>
      </c>
      <c r="AA23" s="1">
        <v>21</v>
      </c>
      <c r="AB23" s="1">
        <v>0</v>
      </c>
      <c r="AC23" s="1">
        <f t="shared" si="2"/>
        <v>0</v>
      </c>
      <c r="AE23" s="1">
        <v>21</v>
      </c>
      <c r="AF23" s="1">
        <f>AK22</f>
        <v>0</v>
      </c>
      <c r="AG23" s="1">
        <v>0</v>
      </c>
      <c r="AI23" s="1">
        <v>21</v>
      </c>
      <c r="AJ23" s="1">
        <v>0</v>
      </c>
      <c r="AK23" s="1">
        <f t="shared" si="3"/>
        <v>0</v>
      </c>
      <c r="AN23" s="1">
        <v>21</v>
      </c>
      <c r="AO23" s="1">
        <v>0</v>
      </c>
    </row>
    <row r="24" spans="1:41" x14ac:dyDescent="0.25">
      <c r="A24" s="1">
        <v>22</v>
      </c>
      <c r="B24" s="1">
        <v>0</v>
      </c>
      <c r="C24" s="1">
        <v>0</v>
      </c>
      <c r="E24" s="1">
        <v>22</v>
      </c>
      <c r="F24" s="1">
        <v>0</v>
      </c>
      <c r="G24" s="1">
        <f>B24+C24-F24</f>
        <v>0</v>
      </c>
      <c r="L24" s="1">
        <v>22</v>
      </c>
      <c r="M24" s="1">
        <v>0</v>
      </c>
      <c r="N24" s="1">
        <v>0</v>
      </c>
      <c r="P24" s="1">
        <v>22</v>
      </c>
      <c r="Q24" s="1">
        <v>0</v>
      </c>
      <c r="R24" s="1">
        <f t="shared" si="1"/>
        <v>0</v>
      </c>
      <c r="W24" s="1">
        <v>22</v>
      </c>
      <c r="X24" s="1">
        <v>0</v>
      </c>
      <c r="Y24" s="1">
        <v>0</v>
      </c>
      <c r="AA24" s="1">
        <v>22</v>
      </c>
      <c r="AB24" s="1">
        <v>0</v>
      </c>
      <c r="AC24" s="1">
        <f t="shared" si="2"/>
        <v>0</v>
      </c>
      <c r="AE24" s="1">
        <v>22</v>
      </c>
      <c r="AF24" s="1">
        <v>0</v>
      </c>
      <c r="AG24" s="1">
        <v>0</v>
      </c>
      <c r="AI24" s="1">
        <v>22</v>
      </c>
      <c r="AJ24" s="1">
        <v>0</v>
      </c>
      <c r="AK24" s="1">
        <f t="shared" si="3"/>
        <v>0</v>
      </c>
      <c r="AN24" s="1">
        <v>22</v>
      </c>
      <c r="AO24" s="1">
        <v>0</v>
      </c>
    </row>
    <row r="25" spans="1:41" x14ac:dyDescent="0.25">
      <c r="A25" s="1">
        <v>23</v>
      </c>
      <c r="B25" s="1">
        <f>G24</f>
        <v>0</v>
      </c>
      <c r="C25" s="1">
        <v>0</v>
      </c>
      <c r="E25" s="1">
        <v>23</v>
      </c>
      <c r="F25" s="1">
        <v>0</v>
      </c>
      <c r="G25" s="1">
        <f t="shared" si="0"/>
        <v>0</v>
      </c>
      <c r="L25" s="1">
        <v>23</v>
      </c>
      <c r="M25" s="1">
        <f>R24</f>
        <v>0</v>
      </c>
      <c r="N25" s="1">
        <v>0</v>
      </c>
      <c r="P25" s="1">
        <v>23</v>
      </c>
      <c r="Q25" s="1">
        <v>0</v>
      </c>
      <c r="R25" s="1">
        <f t="shared" si="1"/>
        <v>0</v>
      </c>
      <c r="W25" s="1">
        <v>23</v>
      </c>
      <c r="X25" s="1">
        <f>AC24</f>
        <v>0</v>
      </c>
      <c r="Y25" s="1">
        <v>0</v>
      </c>
      <c r="AA25" s="1">
        <v>23</v>
      </c>
      <c r="AB25" s="1">
        <v>0</v>
      </c>
      <c r="AC25" s="1">
        <f t="shared" si="2"/>
        <v>0</v>
      </c>
      <c r="AE25" s="1">
        <v>23</v>
      </c>
      <c r="AF25" s="1">
        <f>AK24</f>
        <v>0</v>
      </c>
      <c r="AG25" s="1">
        <v>0</v>
      </c>
      <c r="AI25" s="1">
        <v>23</v>
      </c>
      <c r="AJ25" s="1">
        <v>0</v>
      </c>
      <c r="AK25" s="1">
        <f t="shared" si="3"/>
        <v>0</v>
      </c>
      <c r="AN25" s="1">
        <v>23</v>
      </c>
      <c r="AO25" s="1">
        <v>4</v>
      </c>
    </row>
    <row r="26" spans="1:41" x14ac:dyDescent="0.25">
      <c r="A26" s="1">
        <v>24</v>
      </c>
      <c r="B26" s="1">
        <f>G25</f>
        <v>0</v>
      </c>
      <c r="C26" s="1">
        <v>0</v>
      </c>
      <c r="E26" s="1">
        <v>24</v>
      </c>
      <c r="F26" s="1">
        <v>0</v>
      </c>
      <c r="G26" s="1">
        <f t="shared" si="0"/>
        <v>0</v>
      </c>
      <c r="L26" s="1">
        <v>24</v>
      </c>
      <c r="M26" s="1">
        <f>R25</f>
        <v>0</v>
      </c>
      <c r="N26" s="1">
        <v>0</v>
      </c>
      <c r="P26" s="1">
        <v>24</v>
      </c>
      <c r="Q26" s="1">
        <v>0</v>
      </c>
      <c r="R26" s="1">
        <f t="shared" si="1"/>
        <v>0</v>
      </c>
      <c r="W26" s="1">
        <v>24</v>
      </c>
      <c r="X26" s="1">
        <f>AC25</f>
        <v>0</v>
      </c>
      <c r="Y26" s="1">
        <v>0</v>
      </c>
      <c r="AA26" s="1">
        <v>24</v>
      </c>
      <c r="AB26" s="1">
        <v>0</v>
      </c>
      <c r="AC26" s="1">
        <f t="shared" si="2"/>
        <v>0</v>
      </c>
      <c r="AE26" s="1">
        <v>24</v>
      </c>
      <c r="AF26" s="1">
        <f>AK25</f>
        <v>0</v>
      </c>
      <c r="AG26" s="1">
        <v>0</v>
      </c>
      <c r="AI26" s="1">
        <v>24</v>
      </c>
      <c r="AJ26" s="1">
        <v>0</v>
      </c>
      <c r="AK26" s="1">
        <f t="shared" si="3"/>
        <v>0</v>
      </c>
      <c r="AN26" s="1">
        <v>24</v>
      </c>
      <c r="AO26" s="1">
        <v>0</v>
      </c>
    </row>
    <row r="27" spans="1:41" x14ac:dyDescent="0.25">
      <c r="A27" s="1">
        <v>25</v>
      </c>
      <c r="B27" s="1">
        <v>0</v>
      </c>
      <c r="C27" s="1">
        <v>0</v>
      </c>
      <c r="E27" s="1">
        <v>25</v>
      </c>
      <c r="F27" s="1">
        <v>0</v>
      </c>
      <c r="G27" s="1">
        <f t="shared" si="0"/>
        <v>0</v>
      </c>
      <c r="L27" s="1">
        <v>25</v>
      </c>
      <c r="M27" s="1">
        <v>0</v>
      </c>
      <c r="N27" s="1">
        <v>0</v>
      </c>
      <c r="P27" s="1">
        <v>25</v>
      </c>
      <c r="Q27" s="1">
        <v>0</v>
      </c>
      <c r="R27" s="1">
        <f t="shared" si="1"/>
        <v>0</v>
      </c>
      <c r="W27" s="1">
        <v>25</v>
      </c>
      <c r="X27" s="1">
        <v>0</v>
      </c>
      <c r="Y27" s="1">
        <v>0</v>
      </c>
      <c r="AA27" s="1">
        <v>25</v>
      </c>
      <c r="AB27" s="1">
        <v>0</v>
      </c>
      <c r="AC27" s="1">
        <f t="shared" si="2"/>
        <v>0</v>
      </c>
      <c r="AE27" s="1">
        <v>25</v>
      </c>
      <c r="AF27" s="1">
        <v>0</v>
      </c>
      <c r="AG27" s="1">
        <v>0</v>
      </c>
      <c r="AI27" s="1">
        <v>25</v>
      </c>
      <c r="AJ27" s="1">
        <v>0</v>
      </c>
      <c r="AK27" s="1">
        <f t="shared" si="3"/>
        <v>0</v>
      </c>
      <c r="AN27" s="1">
        <v>25</v>
      </c>
      <c r="AO27" s="1">
        <v>0</v>
      </c>
    </row>
    <row r="28" spans="1:41" x14ac:dyDescent="0.25">
      <c r="A28" s="1">
        <v>26</v>
      </c>
      <c r="B28" s="1">
        <f>G27</f>
        <v>0</v>
      </c>
      <c r="C28" s="1">
        <v>0</v>
      </c>
      <c r="E28" s="1">
        <v>26</v>
      </c>
      <c r="F28" s="1">
        <v>0</v>
      </c>
      <c r="G28" s="1">
        <f t="shared" si="0"/>
        <v>0</v>
      </c>
      <c r="L28" s="1">
        <v>26</v>
      </c>
      <c r="M28" s="1">
        <f>R27</f>
        <v>0</v>
      </c>
      <c r="N28" s="1">
        <v>0</v>
      </c>
      <c r="P28" s="1">
        <v>26</v>
      </c>
      <c r="Q28" s="1">
        <v>0</v>
      </c>
      <c r="R28" s="1">
        <f t="shared" si="1"/>
        <v>0</v>
      </c>
      <c r="W28" s="1">
        <v>26</v>
      </c>
      <c r="X28" s="1">
        <f>AC27</f>
        <v>0</v>
      </c>
      <c r="Y28" s="1">
        <v>0</v>
      </c>
      <c r="AA28" s="1">
        <v>26</v>
      </c>
      <c r="AB28" s="1">
        <v>0</v>
      </c>
      <c r="AC28" s="1">
        <f t="shared" si="2"/>
        <v>0</v>
      </c>
      <c r="AE28" s="1">
        <v>26</v>
      </c>
      <c r="AF28" s="1">
        <f>AK27</f>
        <v>0</v>
      </c>
      <c r="AG28" s="1">
        <v>0</v>
      </c>
      <c r="AI28" s="1">
        <v>26</v>
      </c>
      <c r="AJ28" s="1">
        <v>0</v>
      </c>
      <c r="AK28" s="1">
        <f t="shared" si="3"/>
        <v>0</v>
      </c>
      <c r="AN28" s="1">
        <v>26</v>
      </c>
      <c r="AO28" s="1">
        <v>0</v>
      </c>
    </row>
    <row r="29" spans="1:41" x14ac:dyDescent="0.25">
      <c r="A29" s="1">
        <v>27</v>
      </c>
      <c r="B29" s="1">
        <f>G28</f>
        <v>0</v>
      </c>
      <c r="C29" s="1">
        <v>0</v>
      </c>
      <c r="E29" s="1">
        <v>27</v>
      </c>
      <c r="F29" s="1">
        <v>0</v>
      </c>
      <c r="G29" s="1">
        <f t="shared" si="0"/>
        <v>0</v>
      </c>
      <c r="L29" s="1">
        <v>27</v>
      </c>
      <c r="M29" s="1">
        <f>R28</f>
        <v>0</v>
      </c>
      <c r="N29" s="1">
        <v>0</v>
      </c>
      <c r="P29" s="1">
        <v>27</v>
      </c>
      <c r="Q29" s="1">
        <v>0</v>
      </c>
      <c r="R29" s="1">
        <f t="shared" si="1"/>
        <v>0</v>
      </c>
      <c r="W29" s="1">
        <v>27</v>
      </c>
      <c r="X29" s="1">
        <f>AC28</f>
        <v>0</v>
      </c>
      <c r="Y29" s="1">
        <v>0</v>
      </c>
      <c r="AA29" s="1">
        <v>27</v>
      </c>
      <c r="AB29" s="1">
        <v>0</v>
      </c>
      <c r="AC29" s="1">
        <f t="shared" si="2"/>
        <v>0</v>
      </c>
      <c r="AE29" s="1">
        <v>27</v>
      </c>
      <c r="AF29" s="1">
        <f>AK28</f>
        <v>0</v>
      </c>
      <c r="AG29" s="1">
        <v>0</v>
      </c>
      <c r="AI29" s="1">
        <v>27</v>
      </c>
      <c r="AJ29" s="1">
        <v>0</v>
      </c>
      <c r="AK29" s="1">
        <f t="shared" si="3"/>
        <v>0</v>
      </c>
      <c r="AN29" s="1">
        <v>27</v>
      </c>
      <c r="AO29" s="1">
        <v>0</v>
      </c>
    </row>
    <row r="30" spans="1:41" x14ac:dyDescent="0.25">
      <c r="A30" s="1">
        <v>28</v>
      </c>
      <c r="B30" s="1">
        <v>0</v>
      </c>
      <c r="C30" s="1">
        <v>0</v>
      </c>
      <c r="E30" s="1">
        <v>28</v>
      </c>
      <c r="F30" s="1">
        <v>0</v>
      </c>
      <c r="G30" s="1">
        <f t="shared" si="0"/>
        <v>0</v>
      </c>
      <c r="L30" s="1">
        <v>28</v>
      </c>
      <c r="M30" s="1">
        <v>0</v>
      </c>
      <c r="N30" s="1">
        <v>0</v>
      </c>
      <c r="P30" s="1">
        <v>28</v>
      </c>
      <c r="Q30" s="1">
        <v>0</v>
      </c>
      <c r="R30" s="1">
        <f t="shared" si="1"/>
        <v>0</v>
      </c>
      <c r="W30" s="1">
        <v>28</v>
      </c>
      <c r="X30" s="1">
        <v>0</v>
      </c>
      <c r="Y30" s="1">
        <v>0</v>
      </c>
      <c r="AA30" s="1">
        <v>28</v>
      </c>
      <c r="AB30" s="1">
        <v>0</v>
      </c>
      <c r="AC30" s="1">
        <f t="shared" si="2"/>
        <v>0</v>
      </c>
      <c r="AE30" s="1">
        <v>28</v>
      </c>
      <c r="AF30" s="1">
        <v>0</v>
      </c>
      <c r="AG30" s="1">
        <v>0</v>
      </c>
      <c r="AI30" s="1">
        <v>28</v>
      </c>
      <c r="AJ30" s="1">
        <v>0</v>
      </c>
      <c r="AK30" s="1">
        <f t="shared" si="3"/>
        <v>0</v>
      </c>
      <c r="AN30" s="1">
        <v>28</v>
      </c>
      <c r="AO30" s="1">
        <v>0</v>
      </c>
    </row>
    <row r="31" spans="1:41" x14ac:dyDescent="0.25">
      <c r="A31" s="1">
        <v>29</v>
      </c>
      <c r="B31" s="1">
        <f>G30</f>
        <v>0</v>
      </c>
      <c r="C31" s="1">
        <v>10</v>
      </c>
      <c r="E31" s="1">
        <v>29</v>
      </c>
      <c r="F31" s="1">
        <v>10</v>
      </c>
      <c r="G31" s="1">
        <f t="shared" si="0"/>
        <v>0</v>
      </c>
      <c r="L31" s="1">
        <v>29</v>
      </c>
      <c r="M31" s="1">
        <f>R30</f>
        <v>0</v>
      </c>
      <c r="N31" s="1">
        <v>0</v>
      </c>
      <c r="P31" s="1">
        <v>29</v>
      </c>
      <c r="Q31" s="1">
        <v>0</v>
      </c>
      <c r="R31" s="1">
        <f t="shared" si="1"/>
        <v>0</v>
      </c>
      <c r="W31" s="1">
        <v>29</v>
      </c>
      <c r="X31" s="1">
        <f>AC30</f>
        <v>0</v>
      </c>
      <c r="Y31" s="1">
        <v>0</v>
      </c>
      <c r="AA31" s="1">
        <v>29</v>
      </c>
      <c r="AB31" s="1">
        <v>0</v>
      </c>
      <c r="AC31" s="1">
        <f t="shared" si="2"/>
        <v>0</v>
      </c>
      <c r="AE31" s="1">
        <v>29</v>
      </c>
      <c r="AF31" s="1">
        <f>AK30</f>
        <v>0</v>
      </c>
      <c r="AG31" s="1">
        <v>0.1</v>
      </c>
      <c r="AI31" s="1">
        <v>29</v>
      </c>
      <c r="AJ31" s="1">
        <v>0.1</v>
      </c>
      <c r="AK31" s="1">
        <f t="shared" si="3"/>
        <v>0</v>
      </c>
      <c r="AN31" s="1">
        <v>29</v>
      </c>
      <c r="AO31" s="1">
        <v>0</v>
      </c>
    </row>
    <row r="32" spans="1:41" x14ac:dyDescent="0.25">
      <c r="A32" s="1">
        <v>30</v>
      </c>
      <c r="B32" s="1">
        <f>G31</f>
        <v>0</v>
      </c>
      <c r="C32" s="1">
        <v>0</v>
      </c>
      <c r="E32" s="1">
        <v>30</v>
      </c>
      <c r="F32" s="1">
        <v>0</v>
      </c>
      <c r="G32" s="1">
        <f t="shared" si="0"/>
        <v>0</v>
      </c>
      <c r="L32" s="1">
        <v>30</v>
      </c>
      <c r="M32" s="1">
        <f>R31</f>
        <v>0</v>
      </c>
      <c r="N32" s="1">
        <v>0</v>
      </c>
      <c r="P32" s="1">
        <v>30</v>
      </c>
      <c r="Q32" s="1">
        <v>0</v>
      </c>
      <c r="R32" s="1">
        <f t="shared" si="1"/>
        <v>0</v>
      </c>
      <c r="W32" s="1">
        <v>30</v>
      </c>
      <c r="X32" s="1">
        <f>AC31</f>
        <v>0</v>
      </c>
      <c r="Y32" s="1">
        <v>0</v>
      </c>
      <c r="AA32" s="1">
        <v>30</v>
      </c>
      <c r="AB32" s="1">
        <v>0</v>
      </c>
      <c r="AC32" s="1">
        <f t="shared" si="2"/>
        <v>0</v>
      </c>
      <c r="AE32" s="1">
        <v>30</v>
      </c>
      <c r="AF32" s="1">
        <f>AK31</f>
        <v>0</v>
      </c>
      <c r="AG32" s="1">
        <v>0</v>
      </c>
      <c r="AI32" s="1">
        <v>30</v>
      </c>
      <c r="AJ32" s="1">
        <v>0</v>
      </c>
      <c r="AK32" s="1">
        <f t="shared" si="3"/>
        <v>0</v>
      </c>
      <c r="AN32" s="1">
        <v>30</v>
      </c>
      <c r="AO32" s="1">
        <v>0</v>
      </c>
    </row>
    <row r="33" spans="1:41" x14ac:dyDescent="0.25">
      <c r="A33" s="1">
        <v>31</v>
      </c>
      <c r="B33" s="1">
        <v>0</v>
      </c>
      <c r="C33" s="1">
        <v>0</v>
      </c>
      <c r="E33" s="1">
        <v>31</v>
      </c>
      <c r="F33" s="1">
        <v>0</v>
      </c>
      <c r="G33" s="1">
        <f t="shared" si="0"/>
        <v>0</v>
      </c>
      <c r="L33" s="1">
        <v>31</v>
      </c>
      <c r="M33" s="1">
        <v>0</v>
      </c>
      <c r="N33" s="1">
        <v>0</v>
      </c>
      <c r="P33" s="1">
        <v>31</v>
      </c>
      <c r="Q33" s="1">
        <v>0</v>
      </c>
      <c r="R33" s="1">
        <f t="shared" si="1"/>
        <v>0</v>
      </c>
      <c r="W33" s="1">
        <v>31</v>
      </c>
      <c r="X33" s="1">
        <v>0</v>
      </c>
      <c r="Y33" s="1">
        <v>0</v>
      </c>
      <c r="AA33" s="1">
        <v>31</v>
      </c>
      <c r="AB33" s="1">
        <v>0</v>
      </c>
      <c r="AC33" s="1">
        <f t="shared" si="2"/>
        <v>0</v>
      </c>
      <c r="AE33" s="1">
        <v>31</v>
      </c>
      <c r="AF33" s="1">
        <v>0</v>
      </c>
      <c r="AG33" s="1">
        <v>0</v>
      </c>
      <c r="AI33" s="1">
        <v>31</v>
      </c>
      <c r="AJ33" s="1">
        <v>0</v>
      </c>
      <c r="AK33" s="1">
        <f t="shared" si="3"/>
        <v>0</v>
      </c>
      <c r="AN33" s="1">
        <v>31</v>
      </c>
      <c r="AO33" s="1">
        <v>0</v>
      </c>
    </row>
    <row r="34" spans="1:41" ht="17.25" customHeight="1" thickBot="1" x14ac:dyDescent="0.3">
      <c r="A34" s="1" t="s">
        <v>26</v>
      </c>
      <c r="B34" s="1"/>
      <c r="C34" s="1">
        <f>SUM(C3:C33)</f>
        <v>10</v>
      </c>
      <c r="D34" s="57"/>
      <c r="E34" s="1" t="s">
        <v>26</v>
      </c>
      <c r="F34" s="1">
        <f>SUM(F3:F33)</f>
        <v>10</v>
      </c>
      <c r="G34" s="1"/>
      <c r="L34" s="1" t="s">
        <v>26</v>
      </c>
      <c r="M34" s="1"/>
      <c r="N34" s="1">
        <f>SUM(N3:N33)</f>
        <v>2</v>
      </c>
      <c r="O34" s="57"/>
      <c r="P34" s="1" t="s">
        <v>26</v>
      </c>
      <c r="Q34" s="1">
        <f>SUM(Q3:Q33)</f>
        <v>2</v>
      </c>
      <c r="R34" s="1"/>
      <c r="W34" s="1" t="s">
        <v>26</v>
      </c>
      <c r="X34" s="1"/>
      <c r="Y34" s="1">
        <f>SUM(Y3:Y33)</f>
        <v>0</v>
      </c>
      <c r="Z34" s="57"/>
      <c r="AA34" s="1" t="s">
        <v>26</v>
      </c>
      <c r="AB34" s="1">
        <f>SUM(AB3:AB33)</f>
        <v>0</v>
      </c>
      <c r="AC34" s="1"/>
      <c r="AE34" s="1" t="s">
        <v>26</v>
      </c>
      <c r="AF34" s="1"/>
      <c r="AG34" s="1">
        <f>SUM(AG3:AG33)</f>
        <v>0.1</v>
      </c>
      <c r="AH34" s="57"/>
      <c r="AI34" s="1" t="s">
        <v>26</v>
      </c>
      <c r="AJ34" s="1">
        <f>SUM(AJ3:AJ33)</f>
        <v>0.1</v>
      </c>
      <c r="AK34" s="1"/>
      <c r="AN34" s="1" t="s">
        <v>26</v>
      </c>
      <c r="AO34" s="1">
        <f>SUM(AO3:AO33)</f>
        <v>4</v>
      </c>
    </row>
    <row r="35" spans="1:41" ht="15.75" thickTop="1" x14ac:dyDescent="0.25">
      <c r="A35" s="17" t="s">
        <v>27</v>
      </c>
      <c r="B35" s="17"/>
      <c r="C35" s="17">
        <f>C34+C36</f>
        <v>10</v>
      </c>
      <c r="E35" s="17" t="s">
        <v>27</v>
      </c>
      <c r="F35" s="17">
        <f>F36+SUM(F3:F33)</f>
        <v>10</v>
      </c>
      <c r="G35" s="17">
        <v>0</v>
      </c>
      <c r="L35" s="17" t="s">
        <v>27</v>
      </c>
      <c r="M35" s="17"/>
      <c r="N35" s="267">
        <f>N34+N36</f>
        <v>2</v>
      </c>
      <c r="P35" s="17" t="s">
        <v>27</v>
      </c>
      <c r="Q35" s="17">
        <f>Q36+SUM(Q3:Q33)</f>
        <v>2</v>
      </c>
      <c r="R35" s="17">
        <v>0</v>
      </c>
      <c r="W35" s="17" t="s">
        <v>27</v>
      </c>
      <c r="X35" s="17"/>
      <c r="Y35" s="17">
        <f>Y34+Y36</f>
        <v>0</v>
      </c>
      <c r="AA35" s="17" t="s">
        <v>27</v>
      </c>
      <c r="AB35" s="17">
        <f>AB36+SUM(AB3:AB33)</f>
        <v>0</v>
      </c>
      <c r="AC35" s="17">
        <v>0</v>
      </c>
      <c r="AE35" s="17" t="s">
        <v>27</v>
      </c>
      <c r="AF35" s="17"/>
      <c r="AG35" s="17">
        <f>AG34+AG36</f>
        <v>0.1</v>
      </c>
      <c r="AI35" s="17" t="s">
        <v>27</v>
      </c>
      <c r="AJ35" s="17">
        <f>AJ36+SUM(AJ3:AJ33)</f>
        <v>0.1</v>
      </c>
      <c r="AK35" s="17">
        <v>0</v>
      </c>
      <c r="AN35" s="17" t="s">
        <v>27</v>
      </c>
      <c r="AO35" s="17">
        <f>AO36+SUM(AO3:AO33)</f>
        <v>4</v>
      </c>
    </row>
    <row r="36" spans="1:41" x14ac:dyDescent="0.25">
      <c r="A36" t="s">
        <v>27</v>
      </c>
      <c r="C36">
        <v>0</v>
      </c>
      <c r="E36" t="s">
        <v>27</v>
      </c>
      <c r="F36">
        <v>0</v>
      </c>
      <c r="G36">
        <v>0</v>
      </c>
      <c r="L36" t="s">
        <v>27</v>
      </c>
      <c r="N36">
        <v>0</v>
      </c>
      <c r="P36" t="s">
        <v>27</v>
      </c>
      <c r="Q36">
        <v>0</v>
      </c>
      <c r="R36">
        <v>0</v>
      </c>
      <c r="W36" t="s">
        <v>27</v>
      </c>
      <c r="Y36">
        <v>0</v>
      </c>
      <c r="AA36" t="s">
        <v>27</v>
      </c>
      <c r="AB36">
        <v>0</v>
      </c>
      <c r="AC36">
        <v>0</v>
      </c>
      <c r="AE36" t="s">
        <v>27</v>
      </c>
      <c r="AG36">
        <v>0</v>
      </c>
      <c r="AI36" t="s">
        <v>27</v>
      </c>
      <c r="AJ36">
        <v>0</v>
      </c>
      <c r="AK36">
        <v>0</v>
      </c>
      <c r="AN36" t="s">
        <v>27</v>
      </c>
      <c r="AO36">
        <v>0</v>
      </c>
    </row>
  </sheetData>
  <mergeCells count="9">
    <mergeCell ref="AN1:AO1"/>
    <mergeCell ref="AE1:AG1"/>
    <mergeCell ref="AI1:AK1"/>
    <mergeCell ref="AA1:AC1"/>
    <mergeCell ref="A1:C1"/>
    <mergeCell ref="E1:G1"/>
    <mergeCell ref="L1:N1"/>
    <mergeCell ref="P1:R1"/>
    <mergeCell ref="W1:Y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86E0-5CEB-4565-A7B1-A2EDF575312F}">
  <dimension ref="C2:T36"/>
  <sheetViews>
    <sheetView topLeftCell="A15" workbookViewId="0">
      <selection activeCell="O31" sqref="O31"/>
    </sheetView>
  </sheetViews>
  <sheetFormatPr defaultRowHeight="15" x14ac:dyDescent="0.25"/>
  <cols>
    <col min="3" max="3" width="9.140625" style="258"/>
    <col min="4" max="4" width="12.5703125" customWidth="1"/>
    <col min="11" max="11" width="9.140625" style="258"/>
    <col min="17" max="17" width="9.140625" style="258"/>
  </cols>
  <sheetData>
    <row r="2" spans="3:20" x14ac:dyDescent="0.25">
      <c r="C2" s="258" t="s">
        <v>9</v>
      </c>
      <c r="D2" s="259" t="s">
        <v>218</v>
      </c>
      <c r="E2" s="259" t="s">
        <v>219</v>
      </c>
      <c r="F2" s="259" t="s">
        <v>220</v>
      </c>
      <c r="G2" s="259" t="s">
        <v>4</v>
      </c>
      <c r="H2" s="259" t="s">
        <v>221</v>
      </c>
      <c r="I2" s="259" t="s">
        <v>222</v>
      </c>
      <c r="K2" s="258" t="s">
        <v>9</v>
      </c>
      <c r="L2" s="260" t="s">
        <v>218</v>
      </c>
      <c r="M2" s="260" t="s">
        <v>219</v>
      </c>
      <c r="N2" s="260" t="s">
        <v>220</v>
      </c>
      <c r="O2" s="260" t="s">
        <v>4</v>
      </c>
      <c r="Q2" s="258" t="s">
        <v>9</v>
      </c>
      <c r="R2" s="260" t="s">
        <v>223</v>
      </c>
      <c r="S2" s="259" t="s">
        <v>224</v>
      </c>
    </row>
    <row r="3" spans="3:20" x14ac:dyDescent="0.25">
      <c r="C3" s="258">
        <v>1</v>
      </c>
      <c r="D3">
        <f>'Mines (2)'!E3+'Mines (2)'!J3+'Mines (2)'!AB3</f>
        <v>236</v>
      </c>
      <c r="E3">
        <f>'Mines (2)'!N3</f>
        <v>1</v>
      </c>
      <c r="F3">
        <f>Clinker!E3</f>
        <v>5</v>
      </c>
      <c r="G3">
        <f>'Mines (2)'!S3</f>
        <v>13</v>
      </c>
      <c r="H3">
        <v>10</v>
      </c>
      <c r="I3">
        <v>7</v>
      </c>
      <c r="K3" s="258">
        <v>1</v>
      </c>
      <c r="L3">
        <f>D3-(D3*(H3/100))</f>
        <v>212.4</v>
      </c>
      <c r="M3">
        <f>E3-(E3*(H3/100))</f>
        <v>0.9</v>
      </c>
      <c r="N3">
        <f>F3-(F3*(I3/100))</f>
        <v>4.6500000000000004</v>
      </c>
      <c r="O3">
        <f>G3-(G3*(H3/100))</f>
        <v>11.7</v>
      </c>
      <c r="Q3" s="258">
        <v>1</v>
      </c>
      <c r="R3">
        <f>Clinker!ED3</f>
        <v>55.56</v>
      </c>
      <c r="S3">
        <v>10</v>
      </c>
      <c r="T3">
        <f>R3-((R3*S3/100))</f>
        <v>50.004000000000005</v>
      </c>
    </row>
    <row r="4" spans="3:20" x14ac:dyDescent="0.25">
      <c r="C4" s="258">
        <v>2</v>
      </c>
      <c r="D4">
        <f>'Mines (2)'!E4+'Mines (2)'!J4+'Mines (2)'!AB4</f>
        <v>2734</v>
      </c>
      <c r="E4">
        <f>'Mines (2)'!N4</f>
        <v>148</v>
      </c>
      <c r="F4">
        <f>Clinker!E4</f>
        <v>60</v>
      </c>
      <c r="G4">
        <f>'Mines (2)'!S4</f>
        <v>15</v>
      </c>
      <c r="H4">
        <v>10</v>
      </c>
      <c r="I4">
        <v>7</v>
      </c>
      <c r="K4" s="258">
        <v>2</v>
      </c>
      <c r="L4">
        <f t="shared" ref="L4:L33" si="0">D4-(D4*(H4/100))</f>
        <v>2460.6</v>
      </c>
      <c r="M4">
        <f t="shared" ref="M4:M33" si="1">E4-(E4*(H4/100))</f>
        <v>133.19999999999999</v>
      </c>
      <c r="N4">
        <f t="shared" ref="N4:N33" si="2">F4-(F4*(I4/100))</f>
        <v>55.8</v>
      </c>
      <c r="O4">
        <f t="shared" ref="O4:O33" si="3">G4-(G4*(H4/100))</f>
        <v>13.5</v>
      </c>
      <c r="Q4" s="258">
        <v>2</v>
      </c>
      <c r="R4">
        <f>Clinker!BB4</f>
        <v>0</v>
      </c>
      <c r="S4">
        <v>10</v>
      </c>
      <c r="T4">
        <f t="shared" ref="T4:T33" si="4">R4-((R4*S4/100))</f>
        <v>0</v>
      </c>
    </row>
    <row r="5" spans="3:20" x14ac:dyDescent="0.25">
      <c r="C5" s="258">
        <v>3</v>
      </c>
      <c r="D5">
        <f>'Mines (2)'!E5+'Mines (2)'!J5+'Mines (2)'!AB5</f>
        <v>2540</v>
      </c>
      <c r="E5">
        <f>'Mines (2)'!N5</f>
        <v>75</v>
      </c>
      <c r="F5">
        <f>Clinker!E5</f>
        <v>54</v>
      </c>
      <c r="G5">
        <f>'Mines (2)'!S5</f>
        <v>13</v>
      </c>
      <c r="H5">
        <v>10</v>
      </c>
      <c r="I5">
        <v>7</v>
      </c>
      <c r="K5" s="258">
        <v>3</v>
      </c>
      <c r="L5">
        <f t="shared" si="0"/>
        <v>2286</v>
      </c>
      <c r="M5">
        <f t="shared" si="1"/>
        <v>67.5</v>
      </c>
      <c r="N5">
        <f t="shared" si="2"/>
        <v>50.22</v>
      </c>
      <c r="O5">
        <f t="shared" si="3"/>
        <v>11.7</v>
      </c>
      <c r="Q5" s="258">
        <v>3</v>
      </c>
      <c r="R5">
        <f>Clinker!BB5</f>
        <v>0</v>
      </c>
      <c r="S5">
        <v>10</v>
      </c>
      <c r="T5">
        <f t="shared" si="4"/>
        <v>0</v>
      </c>
    </row>
    <row r="6" spans="3:20" x14ac:dyDescent="0.25">
      <c r="C6" s="258">
        <v>4</v>
      </c>
      <c r="D6">
        <f>'Mines (2)'!E6+'Mines (2)'!J6+'Mines (2)'!AB6</f>
        <v>1874</v>
      </c>
      <c r="E6">
        <f>'Mines (2)'!N6</f>
        <v>40</v>
      </c>
      <c r="F6">
        <f>Clinker!E6</f>
        <v>39</v>
      </c>
      <c r="G6">
        <f>'Mines (2)'!S6</f>
        <v>20</v>
      </c>
      <c r="H6">
        <v>10</v>
      </c>
      <c r="I6">
        <v>7</v>
      </c>
      <c r="K6" s="258">
        <v>4</v>
      </c>
      <c r="L6">
        <f t="shared" si="0"/>
        <v>1686.6</v>
      </c>
      <c r="M6">
        <f t="shared" si="1"/>
        <v>36</v>
      </c>
      <c r="N6">
        <f t="shared" si="2"/>
        <v>36.269999999999996</v>
      </c>
      <c r="O6">
        <f t="shared" si="3"/>
        <v>18</v>
      </c>
      <c r="Q6" s="258">
        <v>4</v>
      </c>
      <c r="R6">
        <f>Clinker!BB6</f>
        <v>0</v>
      </c>
      <c r="S6">
        <v>10</v>
      </c>
      <c r="T6">
        <f t="shared" si="4"/>
        <v>0</v>
      </c>
    </row>
    <row r="7" spans="3:20" x14ac:dyDescent="0.25">
      <c r="C7" s="258">
        <v>5</v>
      </c>
      <c r="D7">
        <f>'Mines (2)'!E7+'Mines (2)'!J7+'Mines (2)'!AB7</f>
        <v>1862</v>
      </c>
      <c r="E7">
        <f>'Mines (2)'!N7</f>
        <v>47</v>
      </c>
      <c r="F7">
        <f>Clinker!E7</f>
        <v>39</v>
      </c>
      <c r="G7">
        <f>'Mines (2)'!S7</f>
        <v>4</v>
      </c>
      <c r="H7">
        <v>10</v>
      </c>
      <c r="I7">
        <v>7</v>
      </c>
      <c r="K7" s="258">
        <v>5</v>
      </c>
      <c r="L7">
        <f t="shared" si="0"/>
        <v>1675.8</v>
      </c>
      <c r="M7">
        <f t="shared" si="1"/>
        <v>42.3</v>
      </c>
      <c r="N7">
        <f t="shared" si="2"/>
        <v>36.269999999999996</v>
      </c>
      <c r="O7">
        <f t="shared" si="3"/>
        <v>3.6</v>
      </c>
      <c r="Q7" s="258">
        <v>5</v>
      </c>
      <c r="R7">
        <f>Clinker!BB7</f>
        <v>0</v>
      </c>
      <c r="S7">
        <v>10</v>
      </c>
      <c r="T7">
        <f t="shared" si="4"/>
        <v>0</v>
      </c>
    </row>
    <row r="8" spans="3:20" x14ac:dyDescent="0.25">
      <c r="C8" s="258">
        <v>6</v>
      </c>
      <c r="D8">
        <f>'Mines (2)'!E8+'Mines (2)'!J8+'Mines (2)'!AB8</f>
        <v>2241</v>
      </c>
      <c r="E8">
        <f>'Mines (2)'!N8</f>
        <v>60</v>
      </c>
      <c r="F8">
        <f>Clinker!E8</f>
        <v>59</v>
      </c>
      <c r="G8">
        <f>'Mines (2)'!S8</f>
        <v>0</v>
      </c>
      <c r="H8">
        <v>10</v>
      </c>
      <c r="I8">
        <v>7</v>
      </c>
      <c r="K8" s="258">
        <v>6</v>
      </c>
      <c r="L8">
        <f t="shared" si="0"/>
        <v>2016.9</v>
      </c>
      <c r="M8">
        <f t="shared" si="1"/>
        <v>54</v>
      </c>
      <c r="N8">
        <f t="shared" si="2"/>
        <v>54.87</v>
      </c>
      <c r="O8">
        <f t="shared" si="3"/>
        <v>0</v>
      </c>
      <c r="Q8" s="258">
        <v>6</v>
      </c>
      <c r="R8">
        <f>Clinker!BB8</f>
        <v>0</v>
      </c>
      <c r="S8">
        <v>10</v>
      </c>
      <c r="T8">
        <f>R8-((R8*S8/100))</f>
        <v>0</v>
      </c>
    </row>
    <row r="9" spans="3:20" x14ac:dyDescent="0.25">
      <c r="C9" s="258">
        <v>7</v>
      </c>
      <c r="D9">
        <f>'Mines (2)'!E9+'Mines (2)'!J9+'Mines (2)'!AB9</f>
        <v>1017</v>
      </c>
      <c r="E9">
        <f>'Mines (2)'!N9</f>
        <v>24</v>
      </c>
      <c r="F9">
        <f>Clinker!E9</f>
        <v>22</v>
      </c>
      <c r="G9">
        <f>'Mines (2)'!S9</f>
        <v>25</v>
      </c>
      <c r="H9">
        <v>10</v>
      </c>
      <c r="I9">
        <v>7</v>
      </c>
      <c r="K9" s="258">
        <v>7</v>
      </c>
      <c r="L9">
        <f t="shared" si="0"/>
        <v>915.3</v>
      </c>
      <c r="M9">
        <f t="shared" si="1"/>
        <v>21.6</v>
      </c>
      <c r="N9">
        <f t="shared" si="2"/>
        <v>20.46</v>
      </c>
      <c r="O9">
        <f t="shared" si="3"/>
        <v>22.5</v>
      </c>
      <c r="Q9" s="258">
        <v>7</v>
      </c>
      <c r="R9">
        <f>Clinker!BB9</f>
        <v>0</v>
      </c>
      <c r="S9">
        <v>10</v>
      </c>
      <c r="T9">
        <f t="shared" si="4"/>
        <v>0</v>
      </c>
    </row>
    <row r="10" spans="3:20" x14ac:dyDescent="0.25">
      <c r="C10" s="258">
        <v>8</v>
      </c>
      <c r="D10">
        <f>'Mines (2)'!E10+'Mines (2)'!J10+'Mines (2)'!AB10</f>
        <v>2014</v>
      </c>
      <c r="E10">
        <f>'Mines (2)'!N10</f>
        <v>47</v>
      </c>
      <c r="F10">
        <f>Clinker!E10</f>
        <v>50</v>
      </c>
      <c r="G10">
        <f>'Mines (2)'!S10</f>
        <v>43</v>
      </c>
      <c r="H10">
        <v>10</v>
      </c>
      <c r="I10">
        <v>7</v>
      </c>
      <c r="K10" s="258">
        <v>8</v>
      </c>
      <c r="L10">
        <f t="shared" si="0"/>
        <v>1812.6</v>
      </c>
      <c r="M10">
        <f t="shared" si="1"/>
        <v>42.3</v>
      </c>
      <c r="N10">
        <f t="shared" si="2"/>
        <v>46.5</v>
      </c>
      <c r="O10">
        <f t="shared" si="3"/>
        <v>38.700000000000003</v>
      </c>
      <c r="Q10" s="258">
        <v>8</v>
      </c>
      <c r="R10">
        <f>Clinker!BB10</f>
        <v>0</v>
      </c>
      <c r="S10">
        <v>10</v>
      </c>
      <c r="T10">
        <f t="shared" si="4"/>
        <v>0</v>
      </c>
    </row>
    <row r="11" spans="3:20" x14ac:dyDescent="0.25">
      <c r="C11" s="258">
        <v>9</v>
      </c>
      <c r="D11">
        <f>'Mines (2)'!E11+'Mines (2)'!J11+'Mines (2)'!AB11</f>
        <v>1697</v>
      </c>
      <c r="E11">
        <f>'Mines (2)'!N11</f>
        <v>40</v>
      </c>
      <c r="F11">
        <f>Clinker!E11</f>
        <v>42</v>
      </c>
      <c r="G11">
        <f>'Mines (2)'!S11</f>
        <v>36</v>
      </c>
      <c r="H11">
        <v>10</v>
      </c>
      <c r="I11">
        <v>7</v>
      </c>
      <c r="K11" s="258">
        <v>9</v>
      </c>
      <c r="L11">
        <f t="shared" si="0"/>
        <v>1527.3</v>
      </c>
      <c r="M11">
        <f t="shared" si="1"/>
        <v>36</v>
      </c>
      <c r="N11">
        <f t="shared" si="2"/>
        <v>39.06</v>
      </c>
      <c r="O11">
        <f t="shared" si="3"/>
        <v>32.4</v>
      </c>
      <c r="Q11" s="258">
        <v>9</v>
      </c>
      <c r="R11">
        <f>Clinker!BB11</f>
        <v>0</v>
      </c>
      <c r="S11">
        <v>10</v>
      </c>
      <c r="T11">
        <f t="shared" si="4"/>
        <v>0</v>
      </c>
    </row>
    <row r="12" spans="3:20" x14ac:dyDescent="0.25">
      <c r="C12" s="258">
        <v>10</v>
      </c>
      <c r="D12">
        <f>'Mines (2)'!E12+'Mines (2)'!J12+'Mines (2)'!AB12</f>
        <v>1861</v>
      </c>
      <c r="E12">
        <f>'Mines (2)'!N12</f>
        <v>73</v>
      </c>
      <c r="F12">
        <f>Clinker!E12</f>
        <v>50</v>
      </c>
      <c r="G12">
        <f>'Mines (2)'!S12</f>
        <v>3</v>
      </c>
      <c r="H12">
        <v>10</v>
      </c>
      <c r="I12">
        <v>7</v>
      </c>
      <c r="K12" s="258">
        <v>10</v>
      </c>
      <c r="L12">
        <f t="shared" si="0"/>
        <v>1674.9</v>
      </c>
      <c r="M12">
        <f t="shared" si="1"/>
        <v>65.7</v>
      </c>
      <c r="N12">
        <f t="shared" si="2"/>
        <v>46.5</v>
      </c>
      <c r="O12">
        <f t="shared" si="3"/>
        <v>2.7</v>
      </c>
      <c r="Q12" s="258">
        <v>10</v>
      </c>
      <c r="R12">
        <f>Clinker!BB12</f>
        <v>0</v>
      </c>
      <c r="S12">
        <v>10</v>
      </c>
      <c r="T12">
        <f t="shared" si="4"/>
        <v>0</v>
      </c>
    </row>
    <row r="13" spans="3:20" x14ac:dyDescent="0.25">
      <c r="C13" s="258">
        <v>11</v>
      </c>
      <c r="D13">
        <f>'Mines (2)'!E13+'Mines (2)'!J13+'Mines (2)'!AB13</f>
        <v>1875</v>
      </c>
      <c r="E13">
        <f>'Mines (2)'!N13</f>
        <v>83</v>
      </c>
      <c r="F13">
        <f>Clinker!E13</f>
        <v>48</v>
      </c>
      <c r="G13">
        <f>'Mines (2)'!S13</f>
        <v>4</v>
      </c>
      <c r="H13">
        <v>10</v>
      </c>
      <c r="I13">
        <v>7</v>
      </c>
      <c r="K13" s="258">
        <v>11</v>
      </c>
      <c r="L13">
        <f t="shared" si="0"/>
        <v>1687.5</v>
      </c>
      <c r="M13">
        <f t="shared" si="1"/>
        <v>74.7</v>
      </c>
      <c r="N13">
        <f t="shared" si="2"/>
        <v>44.64</v>
      </c>
      <c r="O13">
        <f t="shared" si="3"/>
        <v>3.6</v>
      </c>
      <c r="Q13" s="258">
        <v>11</v>
      </c>
      <c r="R13">
        <f>Clinker!BB13</f>
        <v>0</v>
      </c>
      <c r="S13">
        <v>10</v>
      </c>
      <c r="T13">
        <f t="shared" si="4"/>
        <v>0</v>
      </c>
    </row>
    <row r="14" spans="3:20" x14ac:dyDescent="0.25">
      <c r="C14" s="258">
        <v>12</v>
      </c>
      <c r="D14">
        <f>'Mines (2)'!E14+'Mines (2)'!J14+'Mines (2)'!AB14</f>
        <v>1841</v>
      </c>
      <c r="E14">
        <f>'Mines (2)'!N14</f>
        <v>68</v>
      </c>
      <c r="F14">
        <f>Clinker!E14</f>
        <v>53</v>
      </c>
      <c r="G14">
        <f>'Mines (2)'!S14</f>
        <v>14</v>
      </c>
      <c r="H14">
        <v>10</v>
      </c>
      <c r="I14">
        <v>7</v>
      </c>
      <c r="K14" s="258">
        <v>12</v>
      </c>
      <c r="L14">
        <f t="shared" si="0"/>
        <v>1656.9</v>
      </c>
      <c r="M14">
        <f t="shared" si="1"/>
        <v>61.2</v>
      </c>
      <c r="N14">
        <f t="shared" si="2"/>
        <v>49.29</v>
      </c>
      <c r="O14">
        <f t="shared" si="3"/>
        <v>12.6</v>
      </c>
      <c r="Q14" s="258">
        <v>12</v>
      </c>
      <c r="R14">
        <f>Clinker!BB14</f>
        <v>0</v>
      </c>
      <c r="S14">
        <v>10</v>
      </c>
      <c r="T14">
        <f t="shared" si="4"/>
        <v>0</v>
      </c>
    </row>
    <row r="15" spans="3:20" x14ac:dyDescent="0.25">
      <c r="C15" s="258">
        <v>13</v>
      </c>
      <c r="D15">
        <f>'Mines (2)'!E15+'Mines (2)'!J15+'Mines (2)'!AB15</f>
        <v>2200</v>
      </c>
      <c r="E15">
        <f>'Mines (2)'!N15</f>
        <v>83</v>
      </c>
      <c r="F15">
        <f>Clinker!E15</f>
        <v>59</v>
      </c>
      <c r="G15">
        <f>'Mines (2)'!S15</f>
        <v>1</v>
      </c>
      <c r="H15">
        <v>10</v>
      </c>
      <c r="I15">
        <v>7</v>
      </c>
      <c r="K15" s="258">
        <v>13</v>
      </c>
      <c r="L15">
        <f t="shared" si="0"/>
        <v>1980</v>
      </c>
      <c r="M15">
        <f t="shared" si="1"/>
        <v>74.7</v>
      </c>
      <c r="N15">
        <f t="shared" si="2"/>
        <v>54.87</v>
      </c>
      <c r="O15">
        <f t="shared" si="3"/>
        <v>0.9</v>
      </c>
      <c r="Q15" s="258">
        <v>13</v>
      </c>
      <c r="R15">
        <f>Clinker!BB15</f>
        <v>0</v>
      </c>
      <c r="S15">
        <v>10</v>
      </c>
      <c r="T15">
        <f t="shared" si="4"/>
        <v>0</v>
      </c>
    </row>
    <row r="16" spans="3:20" x14ac:dyDescent="0.25">
      <c r="C16" s="258">
        <v>14</v>
      </c>
      <c r="D16">
        <f>'Mines (2)'!E16+'Mines (2)'!J16+'Mines (2)'!AB16</f>
        <v>2117</v>
      </c>
      <c r="E16">
        <f>'Mines (2)'!N16</f>
        <v>92</v>
      </c>
      <c r="F16">
        <f>Clinker!E16</f>
        <v>57</v>
      </c>
      <c r="G16">
        <f>'Mines (2)'!S16</f>
        <v>0</v>
      </c>
      <c r="H16">
        <v>10</v>
      </c>
      <c r="I16">
        <v>7</v>
      </c>
      <c r="K16" s="258">
        <v>14</v>
      </c>
      <c r="L16">
        <f t="shared" si="0"/>
        <v>1905.3</v>
      </c>
      <c r="M16">
        <f t="shared" si="1"/>
        <v>82.8</v>
      </c>
      <c r="N16">
        <f t="shared" si="2"/>
        <v>53.01</v>
      </c>
      <c r="O16">
        <f t="shared" si="3"/>
        <v>0</v>
      </c>
      <c r="Q16" s="258">
        <v>14</v>
      </c>
      <c r="R16">
        <f>Clinker!BB16</f>
        <v>0</v>
      </c>
      <c r="S16">
        <v>10</v>
      </c>
      <c r="T16">
        <f t="shared" si="4"/>
        <v>0</v>
      </c>
    </row>
    <row r="17" spans="3:20" x14ac:dyDescent="0.25">
      <c r="C17" s="258">
        <v>15</v>
      </c>
      <c r="D17">
        <f>'Mines (2)'!E17+'Mines (2)'!J17+'Mines (2)'!AB17</f>
        <v>1836</v>
      </c>
      <c r="E17">
        <f>'Mines (2)'!N17</f>
        <v>80</v>
      </c>
      <c r="F17">
        <f>Clinker!E17</f>
        <v>49</v>
      </c>
      <c r="G17">
        <f>'Mines (2)'!S17</f>
        <v>0</v>
      </c>
      <c r="H17">
        <v>10</v>
      </c>
      <c r="I17">
        <v>7</v>
      </c>
      <c r="K17" s="258">
        <v>15</v>
      </c>
      <c r="L17">
        <f t="shared" si="0"/>
        <v>1652.4</v>
      </c>
      <c r="M17">
        <f t="shared" si="1"/>
        <v>72</v>
      </c>
      <c r="N17">
        <f t="shared" si="2"/>
        <v>45.57</v>
      </c>
      <c r="O17">
        <f t="shared" si="3"/>
        <v>0</v>
      </c>
      <c r="Q17" s="258">
        <v>15</v>
      </c>
      <c r="R17">
        <f>Clinker!BB17</f>
        <v>0</v>
      </c>
      <c r="S17">
        <v>10</v>
      </c>
      <c r="T17">
        <f t="shared" si="4"/>
        <v>0</v>
      </c>
    </row>
    <row r="18" spans="3:20" x14ac:dyDescent="0.25">
      <c r="C18" s="258">
        <v>16</v>
      </c>
      <c r="D18">
        <f>'Mines (2)'!E18+'Mines (2)'!J18+'Mines (2)'!AB18</f>
        <v>2588</v>
      </c>
      <c r="E18">
        <f>'Mines (2)'!N18</f>
        <v>112</v>
      </c>
      <c r="F18">
        <f>Clinker!E18</f>
        <v>69</v>
      </c>
      <c r="G18">
        <f>'Mines (2)'!S18</f>
        <v>0</v>
      </c>
      <c r="H18">
        <v>10</v>
      </c>
      <c r="I18">
        <v>7</v>
      </c>
      <c r="K18" s="258">
        <v>16</v>
      </c>
      <c r="L18">
        <f t="shared" si="0"/>
        <v>2329.1999999999998</v>
      </c>
      <c r="M18">
        <f t="shared" si="1"/>
        <v>100.8</v>
      </c>
      <c r="N18">
        <f t="shared" si="2"/>
        <v>64.17</v>
      </c>
      <c r="O18">
        <f t="shared" si="3"/>
        <v>0</v>
      </c>
      <c r="Q18" s="258">
        <v>16</v>
      </c>
      <c r="R18">
        <f>Clinker!BB18</f>
        <v>0</v>
      </c>
      <c r="S18">
        <v>10</v>
      </c>
      <c r="T18">
        <f t="shared" si="4"/>
        <v>0</v>
      </c>
    </row>
    <row r="19" spans="3:20" x14ac:dyDescent="0.25">
      <c r="C19" s="258">
        <v>17</v>
      </c>
      <c r="D19">
        <f>'Mines (2)'!E19+'Mines (2)'!J19+'Mines (2)'!AB19</f>
        <v>2545</v>
      </c>
      <c r="E19">
        <f>'Mines (2)'!N19</f>
        <v>75</v>
      </c>
      <c r="F19">
        <f>Clinker!E19</f>
        <v>46</v>
      </c>
      <c r="G19">
        <f>'Mines (2)'!S19</f>
        <v>0</v>
      </c>
      <c r="H19">
        <v>10</v>
      </c>
      <c r="I19">
        <v>7</v>
      </c>
      <c r="K19" s="258">
        <v>17</v>
      </c>
      <c r="L19">
        <f t="shared" si="0"/>
        <v>2290.5</v>
      </c>
      <c r="M19">
        <f t="shared" si="1"/>
        <v>67.5</v>
      </c>
      <c r="N19">
        <f t="shared" si="2"/>
        <v>42.78</v>
      </c>
      <c r="O19">
        <f t="shared" si="3"/>
        <v>0</v>
      </c>
      <c r="Q19" s="258">
        <v>17</v>
      </c>
      <c r="R19">
        <f>Clinker!BB19</f>
        <v>0</v>
      </c>
      <c r="S19">
        <v>10</v>
      </c>
      <c r="T19">
        <f t="shared" si="4"/>
        <v>0</v>
      </c>
    </row>
    <row r="20" spans="3:20" x14ac:dyDescent="0.25">
      <c r="C20" s="258">
        <v>18</v>
      </c>
      <c r="D20">
        <f>'Mines (2)'!E20+'Mines (2)'!J20+'Mines (2)'!AB20</f>
        <v>2664</v>
      </c>
      <c r="E20">
        <f>'Mines (2)'!N20</f>
        <v>84</v>
      </c>
      <c r="F20">
        <f>Clinker!E20</f>
        <v>50</v>
      </c>
      <c r="G20">
        <f>'Mines (2)'!S20</f>
        <v>0</v>
      </c>
      <c r="H20">
        <v>10</v>
      </c>
      <c r="I20">
        <v>7</v>
      </c>
      <c r="K20" s="258">
        <v>18</v>
      </c>
      <c r="L20">
        <f t="shared" si="0"/>
        <v>2397.6</v>
      </c>
      <c r="M20">
        <f t="shared" si="1"/>
        <v>75.599999999999994</v>
      </c>
      <c r="N20">
        <f t="shared" si="2"/>
        <v>46.5</v>
      </c>
      <c r="O20">
        <f t="shared" si="3"/>
        <v>0</v>
      </c>
      <c r="Q20" s="258">
        <v>18</v>
      </c>
      <c r="R20">
        <f>Clinker!BB20</f>
        <v>0</v>
      </c>
      <c r="S20">
        <v>10</v>
      </c>
      <c r="T20">
        <f t="shared" si="4"/>
        <v>0</v>
      </c>
    </row>
    <row r="21" spans="3:20" x14ac:dyDescent="0.25">
      <c r="C21" s="258">
        <v>19</v>
      </c>
      <c r="D21">
        <f>'Mines (2)'!E21+'Mines (2)'!J21+'Mines (2)'!AB21</f>
        <v>3110</v>
      </c>
      <c r="E21">
        <f>'Mines (2)'!N21</f>
        <v>58</v>
      </c>
      <c r="F21">
        <f>Clinker!E21</f>
        <v>52</v>
      </c>
      <c r="G21">
        <f>'Mines (2)'!S21</f>
        <v>0</v>
      </c>
      <c r="H21">
        <v>10</v>
      </c>
      <c r="I21">
        <v>7</v>
      </c>
      <c r="K21" s="258">
        <v>19</v>
      </c>
      <c r="L21">
        <f t="shared" si="0"/>
        <v>2799</v>
      </c>
      <c r="M21">
        <f t="shared" si="1"/>
        <v>52.2</v>
      </c>
      <c r="N21">
        <f t="shared" si="2"/>
        <v>48.36</v>
      </c>
      <c r="O21">
        <f t="shared" si="3"/>
        <v>0</v>
      </c>
      <c r="Q21" s="258">
        <v>19</v>
      </c>
      <c r="R21">
        <f>Clinker!BB21</f>
        <v>0</v>
      </c>
      <c r="S21">
        <v>10</v>
      </c>
      <c r="T21">
        <f t="shared" si="4"/>
        <v>0</v>
      </c>
    </row>
    <row r="22" spans="3:20" x14ac:dyDescent="0.25">
      <c r="C22" s="258">
        <v>20</v>
      </c>
      <c r="D22">
        <f>'Mines (2)'!E22+'Mines (2)'!J22+'Mines (2)'!AB22</f>
        <v>3059</v>
      </c>
      <c r="E22">
        <f>'Mines (2)'!N22</f>
        <v>38</v>
      </c>
      <c r="F22">
        <f>Clinker!E22</f>
        <v>63</v>
      </c>
      <c r="G22">
        <f>'Mines (2)'!S22</f>
        <v>0</v>
      </c>
      <c r="H22">
        <v>10</v>
      </c>
      <c r="I22">
        <v>7</v>
      </c>
      <c r="K22" s="258">
        <v>20</v>
      </c>
      <c r="L22">
        <f t="shared" si="0"/>
        <v>2753.1</v>
      </c>
      <c r="M22">
        <f t="shared" si="1"/>
        <v>34.200000000000003</v>
      </c>
      <c r="N22">
        <f t="shared" si="2"/>
        <v>58.59</v>
      </c>
      <c r="O22">
        <f t="shared" si="3"/>
        <v>0</v>
      </c>
      <c r="Q22" s="258">
        <v>20</v>
      </c>
      <c r="R22">
        <f>Clinker!BB22</f>
        <v>0</v>
      </c>
      <c r="S22">
        <v>10</v>
      </c>
      <c r="T22">
        <f t="shared" si="4"/>
        <v>0</v>
      </c>
    </row>
    <row r="23" spans="3:20" x14ac:dyDescent="0.25">
      <c r="C23" s="258">
        <v>21</v>
      </c>
      <c r="D23">
        <f>'Mines (2)'!E23+'Mines (2)'!J23+'Mines (2)'!AB23</f>
        <v>3148</v>
      </c>
      <c r="E23">
        <f>'Mines (2)'!N23</f>
        <v>66</v>
      </c>
      <c r="F23">
        <f>Clinker!E23</f>
        <v>76</v>
      </c>
      <c r="G23">
        <f>'Mines (2)'!S23</f>
        <v>0</v>
      </c>
      <c r="H23">
        <v>10</v>
      </c>
      <c r="I23">
        <v>7</v>
      </c>
      <c r="K23" s="258">
        <v>21</v>
      </c>
      <c r="L23">
        <f t="shared" si="0"/>
        <v>2833.2</v>
      </c>
      <c r="M23">
        <f t="shared" si="1"/>
        <v>59.4</v>
      </c>
      <c r="N23">
        <f t="shared" si="2"/>
        <v>70.680000000000007</v>
      </c>
      <c r="O23">
        <f t="shared" si="3"/>
        <v>0</v>
      </c>
      <c r="Q23" s="258">
        <v>21</v>
      </c>
      <c r="R23">
        <f>Clinker!BB23</f>
        <v>0</v>
      </c>
      <c r="S23">
        <v>10</v>
      </c>
      <c r="T23">
        <f t="shared" si="4"/>
        <v>0</v>
      </c>
    </row>
    <row r="24" spans="3:20" x14ac:dyDescent="0.25">
      <c r="C24" s="258">
        <v>22</v>
      </c>
      <c r="D24">
        <f>'Mines (2)'!E24+'Mines (2)'!J24+'Mines (2)'!AB24</f>
        <v>2405</v>
      </c>
      <c r="E24">
        <f>'Mines (2)'!N24</f>
        <v>50</v>
      </c>
      <c r="F24">
        <f>Clinker!E24</f>
        <v>59</v>
      </c>
      <c r="G24">
        <f>'Mines (2)'!S24</f>
        <v>0</v>
      </c>
      <c r="H24">
        <v>10</v>
      </c>
      <c r="I24">
        <v>7</v>
      </c>
      <c r="K24" s="258">
        <v>22</v>
      </c>
      <c r="L24">
        <f t="shared" si="0"/>
        <v>2164.5</v>
      </c>
      <c r="M24">
        <f t="shared" si="1"/>
        <v>45</v>
      </c>
      <c r="N24">
        <f t="shared" si="2"/>
        <v>54.87</v>
      </c>
      <c r="O24">
        <f t="shared" si="3"/>
        <v>0</v>
      </c>
      <c r="Q24" s="258">
        <v>22</v>
      </c>
      <c r="R24">
        <f>Clinker!BB24</f>
        <v>0</v>
      </c>
      <c r="S24">
        <v>10</v>
      </c>
      <c r="T24">
        <f t="shared" si="4"/>
        <v>0</v>
      </c>
    </row>
    <row r="25" spans="3:20" x14ac:dyDescent="0.25">
      <c r="C25" s="258">
        <v>23</v>
      </c>
      <c r="D25">
        <f>'Mines (2)'!E25+'Mines (2)'!J25+'Mines (2)'!AB25</f>
        <v>2397</v>
      </c>
      <c r="E25">
        <f>'Mines (2)'!N25</f>
        <v>51</v>
      </c>
      <c r="F25">
        <f>Clinker!E25</f>
        <v>58</v>
      </c>
      <c r="G25">
        <f>'Mines (2)'!S25</f>
        <v>0</v>
      </c>
      <c r="H25">
        <v>10</v>
      </c>
      <c r="I25">
        <v>7</v>
      </c>
      <c r="K25" s="258">
        <v>23</v>
      </c>
      <c r="L25">
        <f t="shared" si="0"/>
        <v>2157.3000000000002</v>
      </c>
      <c r="M25">
        <f t="shared" si="1"/>
        <v>45.9</v>
      </c>
      <c r="N25">
        <f t="shared" si="2"/>
        <v>53.94</v>
      </c>
      <c r="O25">
        <f t="shared" si="3"/>
        <v>0</v>
      </c>
      <c r="Q25" s="258">
        <v>23</v>
      </c>
      <c r="R25">
        <f>Clinker!BB25</f>
        <v>0</v>
      </c>
      <c r="S25">
        <v>10</v>
      </c>
      <c r="T25">
        <f t="shared" si="4"/>
        <v>0</v>
      </c>
    </row>
    <row r="26" spans="3:20" x14ac:dyDescent="0.25">
      <c r="C26" s="258">
        <v>24</v>
      </c>
      <c r="D26">
        <f>'Mines (2)'!E26+'Mines (2)'!J26+'Mines (2)'!AB26</f>
        <v>3137</v>
      </c>
      <c r="E26">
        <f>'Mines (2)'!N26</f>
        <v>107</v>
      </c>
      <c r="F26">
        <f>Clinker!E26</f>
        <v>94</v>
      </c>
      <c r="G26">
        <f>'Mines (2)'!S26</f>
        <v>0</v>
      </c>
      <c r="H26">
        <v>10</v>
      </c>
      <c r="I26">
        <v>7</v>
      </c>
      <c r="K26" s="258">
        <v>24</v>
      </c>
      <c r="L26">
        <f t="shared" si="0"/>
        <v>2823.3</v>
      </c>
      <c r="M26">
        <f t="shared" si="1"/>
        <v>96.3</v>
      </c>
      <c r="N26">
        <f t="shared" si="2"/>
        <v>87.42</v>
      </c>
      <c r="O26">
        <f t="shared" si="3"/>
        <v>0</v>
      </c>
      <c r="Q26" s="258">
        <v>24</v>
      </c>
      <c r="R26">
        <f>Clinker!BB26</f>
        <v>0</v>
      </c>
      <c r="S26">
        <v>10</v>
      </c>
      <c r="T26">
        <f t="shared" si="4"/>
        <v>0</v>
      </c>
    </row>
    <row r="27" spans="3:20" x14ac:dyDescent="0.25">
      <c r="C27" s="258">
        <v>25</v>
      </c>
      <c r="D27">
        <f>'Mines (2)'!E27+'Mines (2)'!J27+'Mines (2)'!AB27</f>
        <v>2546</v>
      </c>
      <c r="E27">
        <f>'Mines (2)'!N27</f>
        <v>71</v>
      </c>
      <c r="F27">
        <f>Clinker!E27</f>
        <v>75</v>
      </c>
      <c r="G27">
        <f>'Mines (2)'!S27</f>
        <v>0</v>
      </c>
      <c r="H27">
        <v>10</v>
      </c>
      <c r="I27">
        <v>7</v>
      </c>
      <c r="K27" s="258">
        <v>25</v>
      </c>
      <c r="L27">
        <f t="shared" si="0"/>
        <v>2291.4</v>
      </c>
      <c r="M27">
        <f t="shared" si="1"/>
        <v>63.9</v>
      </c>
      <c r="N27">
        <f t="shared" si="2"/>
        <v>69.75</v>
      </c>
      <c r="O27">
        <f t="shared" si="3"/>
        <v>0</v>
      </c>
      <c r="Q27" s="258">
        <v>25</v>
      </c>
      <c r="R27">
        <f>Clinker!BB27</f>
        <v>0</v>
      </c>
      <c r="S27">
        <v>10</v>
      </c>
      <c r="T27">
        <f t="shared" si="4"/>
        <v>0</v>
      </c>
    </row>
    <row r="28" spans="3:20" x14ac:dyDescent="0.25">
      <c r="C28" s="258">
        <v>26</v>
      </c>
      <c r="D28">
        <f>'Mines (2)'!E28+'Mines (2)'!J28+'Mines (2)'!AB28</f>
        <v>1765</v>
      </c>
      <c r="E28">
        <f>'Mines (2)'!N28</f>
        <v>49</v>
      </c>
      <c r="F28">
        <f>Clinker!E28</f>
        <v>53</v>
      </c>
      <c r="G28">
        <f>'Mines (2)'!S28</f>
        <v>0</v>
      </c>
      <c r="H28">
        <v>10</v>
      </c>
      <c r="I28">
        <v>7</v>
      </c>
      <c r="K28" s="258">
        <v>26</v>
      </c>
      <c r="L28">
        <f t="shared" si="0"/>
        <v>1588.5</v>
      </c>
      <c r="M28">
        <f t="shared" si="1"/>
        <v>44.1</v>
      </c>
      <c r="N28">
        <f t="shared" si="2"/>
        <v>49.29</v>
      </c>
      <c r="O28">
        <f t="shared" si="3"/>
        <v>0</v>
      </c>
      <c r="Q28" s="258">
        <v>26</v>
      </c>
      <c r="R28">
        <f>Clinker!BB28</f>
        <v>0</v>
      </c>
      <c r="S28">
        <v>10</v>
      </c>
      <c r="T28">
        <f t="shared" si="4"/>
        <v>0</v>
      </c>
    </row>
    <row r="29" spans="3:20" x14ac:dyDescent="0.25">
      <c r="C29" s="258">
        <v>27</v>
      </c>
      <c r="D29">
        <f>'Mines (2)'!E29+'Mines (2)'!J29+'Mines (2)'!AB29</f>
        <v>3083</v>
      </c>
      <c r="E29">
        <f>'Mines (2)'!N29</f>
        <v>32</v>
      </c>
      <c r="F29">
        <f>Clinker!E29</f>
        <v>64</v>
      </c>
      <c r="G29">
        <f>'Mines (2)'!S29</f>
        <v>0</v>
      </c>
      <c r="H29">
        <v>10</v>
      </c>
      <c r="I29">
        <v>7</v>
      </c>
      <c r="K29" s="258">
        <v>27</v>
      </c>
      <c r="L29">
        <f t="shared" si="0"/>
        <v>2774.7</v>
      </c>
      <c r="M29">
        <f t="shared" si="1"/>
        <v>28.8</v>
      </c>
      <c r="N29">
        <f t="shared" si="2"/>
        <v>59.519999999999996</v>
      </c>
      <c r="O29">
        <f t="shared" si="3"/>
        <v>0</v>
      </c>
      <c r="Q29" s="258">
        <v>27</v>
      </c>
      <c r="R29">
        <f>Clinker!BB29</f>
        <v>0</v>
      </c>
      <c r="S29">
        <v>10</v>
      </c>
      <c r="T29">
        <f t="shared" si="4"/>
        <v>0</v>
      </c>
    </row>
    <row r="30" spans="3:20" x14ac:dyDescent="0.25">
      <c r="C30" s="258">
        <v>28</v>
      </c>
      <c r="D30">
        <f>'Mines (2)'!E30+'Mines (2)'!J30+'Mines (2)'!AB30</f>
        <v>3204</v>
      </c>
      <c r="E30">
        <f>'Mines (2)'!N30</f>
        <v>33</v>
      </c>
      <c r="F30">
        <f>Clinker!E30</f>
        <v>66</v>
      </c>
      <c r="G30">
        <f>'Mines (2)'!S30</f>
        <v>0</v>
      </c>
      <c r="H30">
        <v>10</v>
      </c>
      <c r="I30">
        <v>7</v>
      </c>
      <c r="K30" s="258">
        <v>28</v>
      </c>
      <c r="L30">
        <f t="shared" si="0"/>
        <v>2883.6</v>
      </c>
      <c r="M30">
        <f t="shared" si="1"/>
        <v>29.7</v>
      </c>
      <c r="N30">
        <f t="shared" si="2"/>
        <v>61.38</v>
      </c>
      <c r="O30">
        <f t="shared" si="3"/>
        <v>0</v>
      </c>
      <c r="Q30" s="258">
        <v>28</v>
      </c>
      <c r="R30">
        <f>Clinker!BB30</f>
        <v>0</v>
      </c>
      <c r="S30">
        <v>10</v>
      </c>
      <c r="T30">
        <f t="shared" si="4"/>
        <v>0</v>
      </c>
    </row>
    <row r="31" spans="3:20" x14ac:dyDescent="0.25">
      <c r="C31" s="258">
        <v>29</v>
      </c>
      <c r="D31">
        <f>'Mines (2)'!E31+'Mines (2)'!J31+'Mines (2)'!AB31</f>
        <v>2856</v>
      </c>
      <c r="E31">
        <f>'Mines (2)'!N31</f>
        <v>30</v>
      </c>
      <c r="F31">
        <f>Clinker!E31</f>
        <v>59</v>
      </c>
      <c r="G31">
        <f>'Mines (2)'!S31</f>
        <v>0</v>
      </c>
      <c r="H31">
        <v>10</v>
      </c>
      <c r="I31">
        <v>7</v>
      </c>
      <c r="K31" s="258">
        <v>29</v>
      </c>
      <c r="L31">
        <f t="shared" si="0"/>
        <v>2570.4</v>
      </c>
      <c r="M31">
        <f t="shared" si="1"/>
        <v>27</v>
      </c>
      <c r="N31">
        <f t="shared" si="2"/>
        <v>54.87</v>
      </c>
      <c r="O31">
        <f t="shared" si="3"/>
        <v>0</v>
      </c>
      <c r="Q31" s="258">
        <v>29</v>
      </c>
      <c r="R31">
        <f>Clinker!BB31</f>
        <v>0</v>
      </c>
      <c r="S31">
        <v>10</v>
      </c>
      <c r="T31">
        <f t="shared" si="4"/>
        <v>0</v>
      </c>
    </row>
    <row r="32" spans="3:20" x14ac:dyDescent="0.25">
      <c r="C32" s="258">
        <v>30</v>
      </c>
      <c r="D32">
        <f>'Mines (2)'!E32+'Mines (2)'!J32+'Mines (2)'!AB32</f>
        <v>3338</v>
      </c>
      <c r="E32">
        <f>'Mines (2)'!N32</f>
        <v>35</v>
      </c>
      <c r="F32">
        <f>Clinker!E32</f>
        <v>78</v>
      </c>
      <c r="G32">
        <f>'Mines (2)'!S32</f>
        <v>0</v>
      </c>
      <c r="H32">
        <v>10</v>
      </c>
      <c r="I32">
        <v>7</v>
      </c>
      <c r="K32" s="258">
        <v>30</v>
      </c>
      <c r="L32">
        <f t="shared" si="0"/>
        <v>3004.2</v>
      </c>
      <c r="M32">
        <f t="shared" si="1"/>
        <v>31.5</v>
      </c>
      <c r="N32">
        <f t="shared" si="2"/>
        <v>72.539999999999992</v>
      </c>
      <c r="O32">
        <f t="shared" si="3"/>
        <v>0</v>
      </c>
      <c r="Q32" s="258">
        <v>30</v>
      </c>
      <c r="R32">
        <f>Clinker!BB32</f>
        <v>0</v>
      </c>
      <c r="S32">
        <v>10</v>
      </c>
      <c r="T32">
        <f t="shared" si="4"/>
        <v>0</v>
      </c>
    </row>
    <row r="33" spans="3:20" x14ac:dyDescent="0.25">
      <c r="C33" s="258">
        <v>31</v>
      </c>
      <c r="D33">
        <f>'Mines (2)'!E33+'Mines (2)'!J33+'Mines (2)'!AB33</f>
        <v>3354</v>
      </c>
      <c r="E33">
        <f>'Mines (2)'!N33</f>
        <v>101</v>
      </c>
      <c r="F33">
        <f>Clinker!E33</f>
        <v>50</v>
      </c>
      <c r="G33">
        <f>'Mines (2)'!S33</f>
        <v>0</v>
      </c>
      <c r="H33">
        <v>10</v>
      </c>
      <c r="I33">
        <v>7</v>
      </c>
      <c r="K33" s="258">
        <v>31</v>
      </c>
      <c r="L33">
        <f t="shared" si="0"/>
        <v>3018.6</v>
      </c>
      <c r="M33">
        <f t="shared" si="1"/>
        <v>90.9</v>
      </c>
      <c r="N33">
        <f t="shared" si="2"/>
        <v>46.5</v>
      </c>
      <c r="O33">
        <f t="shared" si="3"/>
        <v>0</v>
      </c>
      <c r="Q33" s="258">
        <v>31</v>
      </c>
      <c r="R33">
        <f>Clinker!BB33</f>
        <v>0</v>
      </c>
      <c r="S33">
        <v>10</v>
      </c>
      <c r="T33">
        <f t="shared" si="4"/>
        <v>0</v>
      </c>
    </row>
    <row r="34" spans="3:20" x14ac:dyDescent="0.25">
      <c r="C34" s="258" t="s">
        <v>8</v>
      </c>
      <c r="D34">
        <f>SUM(D3:D33)</f>
        <v>73144</v>
      </c>
      <c r="E34">
        <f t="shared" ref="E34:G34" si="5">SUM(E3:E33)</f>
        <v>1953</v>
      </c>
      <c r="F34">
        <f t="shared" si="5"/>
        <v>1698</v>
      </c>
      <c r="G34">
        <f t="shared" si="5"/>
        <v>191</v>
      </c>
      <c r="K34" s="258" t="s">
        <v>8</v>
      </c>
      <c r="L34">
        <f>SUM(L3:L33)</f>
        <v>65829.600000000006</v>
      </c>
      <c r="M34">
        <f>SUM(M3:M33)</f>
        <v>1757.7000000000003</v>
      </c>
      <c r="N34">
        <f t="shared" ref="N34:O34" si="6">SUM(N3:N33)</f>
        <v>1579.1399999999999</v>
      </c>
      <c r="O34">
        <f t="shared" si="6"/>
        <v>171.89999999999998</v>
      </c>
      <c r="Q34" s="258" t="s">
        <v>8</v>
      </c>
      <c r="R34">
        <f>SUM(R3:R33)</f>
        <v>55.56</v>
      </c>
      <c r="S34">
        <v>10</v>
      </c>
      <c r="T34">
        <f>SUM(T3:T33)</f>
        <v>50.004000000000005</v>
      </c>
    </row>
    <row r="35" spans="3:20" x14ac:dyDescent="0.25">
      <c r="L35" s="239">
        <f>((D34-L34)/D34)</f>
        <v>9.9999999999999922E-2</v>
      </c>
      <c r="M35" s="239">
        <f>((E34-M34)/E34)</f>
        <v>9.9999999999999867E-2</v>
      </c>
      <c r="N35" s="239">
        <f>((F34-N34)/F34)</f>
        <v>7.0000000000000076E-2</v>
      </c>
      <c r="O35" s="239">
        <f>((G34-O34)/G34)</f>
        <v>0.10000000000000012</v>
      </c>
      <c r="S35" s="263">
        <f>(R34-T34)/R34</f>
        <v>9.999999999999995E-2</v>
      </c>
    </row>
    <row r="36" spans="3:20" x14ac:dyDescent="0.25">
      <c r="S36" s="263" t="e">
        <f>(R35-T35)/R35</f>
        <v>#DIV/0!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S4" sqref="S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10.14062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10.42578125" style="68" bestFit="1" customWidth="1"/>
    <col min="12" max="12" width="10.42578125" style="68" customWidth="1"/>
    <col min="13" max="13" width="10.855468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52" t="s">
        <v>227</v>
      </c>
      <c r="Q4" s="153" t="s">
        <v>317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'Mines (2)'!C3+'Mines (2)'!H3+'Mines (2)'!V3+'Mines (2)'!Z3+'Mines (2)'!AD3</f>
        <v>12571.751704621605</v>
      </c>
      <c r="F9" s="74">
        <f>Production2!D3</f>
        <v>9628.2200000000012</v>
      </c>
      <c r="G9" s="74">
        <f>F9</f>
        <v>9628.2200000000012</v>
      </c>
      <c r="H9" s="74">
        <f>F9+Production2!D36</f>
        <v>74613.920000000013</v>
      </c>
      <c r="I9" s="74">
        <f>Production2!E3</f>
        <v>236</v>
      </c>
      <c r="J9" s="74">
        <f>I9</f>
        <v>236</v>
      </c>
      <c r="K9" s="74">
        <f>I9+Production2!E36</f>
        <v>67123</v>
      </c>
      <c r="L9" s="74">
        <f>E9+F9-I9-I21</f>
        <v>21745.971704794607</v>
      </c>
      <c r="M9" s="75">
        <f>I9</f>
        <v>236</v>
      </c>
      <c r="N9" s="75">
        <f>(I9/I13)*100</f>
        <v>92.549019607843135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(2)'!L3</f>
        <v>946.5</v>
      </c>
      <c r="F10" s="77">
        <f>'Mines (2)'!M3</f>
        <v>832.26000000000022</v>
      </c>
      <c r="G10" s="74">
        <f t="shared" ref="G10:G12" si="0">F10</f>
        <v>832.26000000000022</v>
      </c>
      <c r="H10" s="74">
        <f>F10+'Mines (2)'!M36</f>
        <v>2183.7200000000003</v>
      </c>
      <c r="I10" s="77">
        <f>'Mines (2)'!N3</f>
        <v>1</v>
      </c>
      <c r="J10" s="74">
        <f t="shared" ref="J10:J12" si="1">I10</f>
        <v>1</v>
      </c>
      <c r="K10" s="74">
        <f>I10+'Mines (2)'!N36</f>
        <v>530</v>
      </c>
      <c r="L10" s="77">
        <f t="shared" ref="L10:L13" si="2">E10+F10-I10</f>
        <v>1777.7600000000002</v>
      </c>
      <c r="M10" s="75">
        <f t="shared" ref="M10:M12" si="3">I10</f>
        <v>1</v>
      </c>
      <c r="N10" s="75">
        <f>(I10/I13)*100</f>
        <v>0.39215686274509803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Clinker!C3</f>
        <v>3998.3399999999997</v>
      </c>
      <c r="F11" s="77">
        <f>Clinker!D3</f>
        <v>0</v>
      </c>
      <c r="G11" s="74">
        <f t="shared" si="0"/>
        <v>0</v>
      </c>
      <c r="H11" s="74">
        <f>F11+Clinker!D36</f>
        <v>69.7</v>
      </c>
      <c r="I11" s="77">
        <f>Clinker!E3</f>
        <v>5</v>
      </c>
      <c r="J11" s="74">
        <f t="shared" si="1"/>
        <v>5</v>
      </c>
      <c r="K11" s="74">
        <f>I11+Clinker!E36</f>
        <v>1442</v>
      </c>
      <c r="L11" s="77">
        <f t="shared" si="2"/>
        <v>3993.3399999999997</v>
      </c>
      <c r="M11" s="75">
        <f t="shared" si="3"/>
        <v>5</v>
      </c>
      <c r="N11" s="75">
        <f>(I11/I13)*100</f>
        <v>1.9607843137254901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(2)'!Q3</f>
        <v>191.03999999999996</v>
      </c>
      <c r="F12" s="77">
        <f>'Mines (2)'!R3</f>
        <v>0</v>
      </c>
      <c r="G12" s="74">
        <f t="shared" si="0"/>
        <v>0</v>
      </c>
      <c r="H12" s="74">
        <f>F12+'Mines (2)'!R36</f>
        <v>137.76</v>
      </c>
      <c r="I12" s="77">
        <f>'Mines (2)'!S3</f>
        <v>13</v>
      </c>
      <c r="J12" s="74">
        <f t="shared" si="1"/>
        <v>13</v>
      </c>
      <c r="K12" s="74">
        <f>I12+'Mines (2)'!S36</f>
        <v>560</v>
      </c>
      <c r="L12" s="77">
        <f t="shared" si="2"/>
        <v>178.03999999999996</v>
      </c>
      <c r="M12" s="75">
        <f t="shared" si="3"/>
        <v>13</v>
      </c>
      <c r="N12" s="75">
        <f>(I12/I13)*100</f>
        <v>5.0980392156862742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4">SUM(E9:E12)</f>
        <v>17707.631704621606</v>
      </c>
      <c r="F13" s="127">
        <f t="shared" si="4"/>
        <v>10460.480000000001</v>
      </c>
      <c r="G13" s="127">
        <f t="shared" si="4"/>
        <v>10460.480000000001</v>
      </c>
      <c r="H13" s="127">
        <f t="shared" si="4"/>
        <v>77005.100000000006</v>
      </c>
      <c r="I13" s="127">
        <f t="shared" si="4"/>
        <v>255</v>
      </c>
      <c r="J13" s="127">
        <f t="shared" si="4"/>
        <v>255</v>
      </c>
      <c r="K13" s="127">
        <f t="shared" si="4"/>
        <v>69655</v>
      </c>
      <c r="L13" s="127">
        <f t="shared" si="2"/>
        <v>27913.11170462161</v>
      </c>
      <c r="M13" s="128">
        <f>SUM(M9:M12)</f>
        <v>255</v>
      </c>
      <c r="N13" s="128">
        <f>SUM(N9:N12)</f>
        <v>99.999999999999986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Clinker!EB3</f>
        <v>8240.4769999999917</v>
      </c>
      <c r="F14" s="77">
        <f>Clinker!EC3</f>
        <v>0</v>
      </c>
      <c r="G14" s="77">
        <f>F14</f>
        <v>0</v>
      </c>
      <c r="H14" s="77">
        <f>F14+Clinker!EC36</f>
        <v>181.5</v>
      </c>
      <c r="I14" s="77">
        <f>Clinker!ED3</f>
        <v>55.56</v>
      </c>
      <c r="J14" s="77">
        <f>I14</f>
        <v>55.56</v>
      </c>
      <c r="K14" s="77">
        <f>I14+Clinker!ED36</f>
        <v>6891.8600000000006</v>
      </c>
      <c r="L14" s="77">
        <f>E14+F14-I14-Clinker!N3-Clinker!Z3-Clinker!AS3-Clinker!AX3-Clinker!BC3-Clinker!BW3-Clinker!BH3-Clinker!BM3-Clinker!BR3-Clinker!CV3-Clinker!DP3</f>
        <v>8136.9169999999913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Clinker!EF3</f>
        <v>10010.699999999997</v>
      </c>
      <c r="F15" s="77">
        <f>Clinker!EG3</f>
        <v>0</v>
      </c>
      <c r="G15" s="77">
        <f>F15</f>
        <v>0</v>
      </c>
      <c r="H15" s="77">
        <f>F15+Clinker!EG36</f>
        <v>155.05000000000001</v>
      </c>
      <c r="I15" s="77">
        <f>Clinker!EH3</f>
        <v>96</v>
      </c>
      <c r="J15" s="77">
        <f>I15</f>
        <v>96</v>
      </c>
      <c r="K15" s="77">
        <f>I15+Clinker!EH36</f>
        <v>3965</v>
      </c>
      <c r="L15" s="77">
        <f>E15+F15-Clinker!AE3-Clinker!AJ3-Clinker!CL3-Clinker!CQ3-Clinker!CG3</f>
        <v>9962.6999999999971</v>
      </c>
      <c r="M15" s="81"/>
      <c r="N15" s="81"/>
      <c r="O15" s="787"/>
      <c r="P15" s="78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18251.176999999989</v>
      </c>
      <c r="F16" s="125">
        <f>F14+F15</f>
        <v>0</v>
      </c>
      <c r="G16" s="125">
        <f t="shared" ref="G16:L16" si="5">G14+G15</f>
        <v>0</v>
      </c>
      <c r="H16" s="125">
        <f t="shared" si="5"/>
        <v>336.55</v>
      </c>
      <c r="I16" s="125">
        <f>I14+I15</f>
        <v>151.56</v>
      </c>
      <c r="J16" s="125">
        <f>J14+J15</f>
        <v>151.56</v>
      </c>
      <c r="K16" s="125">
        <f t="shared" si="5"/>
        <v>10856.86</v>
      </c>
      <c r="L16" s="125">
        <f t="shared" si="5"/>
        <v>18099.616999999987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Clinker!EJ3</f>
        <v>24919.660087740463</v>
      </c>
      <c r="F18" s="74">
        <f>Clinker!EK3</f>
        <v>225</v>
      </c>
      <c r="G18" s="74">
        <f>F18</f>
        <v>225</v>
      </c>
      <c r="H18" s="74">
        <f>F18+Clinker!EK36</f>
        <v>40725</v>
      </c>
      <c r="I18" s="74">
        <f>Clinker!EL3</f>
        <v>808.00000017299999</v>
      </c>
      <c r="J18" s="74">
        <f>I18</f>
        <v>808.00000017299999</v>
      </c>
      <c r="K18" s="74">
        <f>I18+Clinker!EL36</f>
        <v>19669.880012059271</v>
      </c>
      <c r="L18" s="74">
        <f>E18+F18-I18-I20</f>
        <v>24336.660087567463</v>
      </c>
      <c r="M18" s="783">
        <f>((I18+I19)/(J40+J46))*100</f>
        <v>74.814814830833328</v>
      </c>
      <c r="N18" s="765"/>
      <c r="O18" s="767"/>
      <c r="P18" s="769"/>
      <c r="Q18" s="770"/>
      <c r="R18" s="20"/>
      <c r="S18" s="190"/>
    </row>
    <row r="19" spans="2:19" ht="45" x14ac:dyDescent="0.25">
      <c r="B19" s="763"/>
      <c r="C19" s="691"/>
      <c r="D19" s="85" t="s">
        <v>75</v>
      </c>
      <c r="E19" s="74">
        <f>Clinker!EO3</f>
        <v>5155.3290080001361</v>
      </c>
      <c r="F19" s="74">
        <f>Clinker!EP3</f>
        <v>0</v>
      </c>
      <c r="G19" s="74">
        <f>F19</f>
        <v>0</v>
      </c>
      <c r="H19" s="74">
        <f>F19+Clinker!EP36</f>
        <v>13239.880000000003</v>
      </c>
      <c r="I19" s="74">
        <f>Clinker!EQ3</f>
        <v>0</v>
      </c>
      <c r="J19" s="74">
        <f>I19</f>
        <v>0</v>
      </c>
      <c r="K19" s="74">
        <f>I19+Clinker!EQ36</f>
        <v>16934.099999999999</v>
      </c>
      <c r="L19" s="74">
        <f>E19+F19-I19</f>
        <v>5155.3290080001361</v>
      </c>
      <c r="M19" s="784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Clinker!EN3</f>
        <v>0</v>
      </c>
      <c r="G20" s="74">
        <f t="shared" ref="G20:G24" si="6">F20</f>
        <v>0</v>
      </c>
      <c r="H20" s="74">
        <v>0</v>
      </c>
      <c r="I20" s="77">
        <f>Clinker!EN3</f>
        <v>0</v>
      </c>
      <c r="J20" s="74">
        <f t="shared" ref="J20:J24" si="7">I20</f>
        <v>0</v>
      </c>
      <c r="K20" s="74">
        <f>I20+Clinker!EN36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785" t="s">
        <v>242</v>
      </c>
      <c r="D21" s="786"/>
      <c r="E21" s="77"/>
      <c r="F21" s="77">
        <f>Cement!Q3</f>
        <v>0</v>
      </c>
      <c r="G21" s="74">
        <f t="shared" si="6"/>
        <v>0</v>
      </c>
      <c r="H21" s="74">
        <f>F21+Cement!Q36</f>
        <v>0</v>
      </c>
      <c r="I21" s="77">
        <f>Cement!R3</f>
        <v>217.99999982700001</v>
      </c>
      <c r="J21" s="74">
        <f t="shared" si="7"/>
        <v>217.99999982700001</v>
      </c>
      <c r="K21" s="74">
        <f>I21+Cement!R36</f>
        <v>8849.8199923892353</v>
      </c>
      <c r="L21" s="74"/>
      <c r="M21" s="78">
        <f>(I21/(J40+J46))*100</f>
        <v>20.185185169166665</v>
      </c>
      <c r="N21" s="78">
        <f>M21+(M21*P21)/100</f>
        <v>20.185185169166665</v>
      </c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Cement!C3</f>
        <v>7077.0800635982805</v>
      </c>
      <c r="F22" s="77">
        <f>Cement!D3</f>
        <v>0</v>
      </c>
      <c r="G22" s="74">
        <f t="shared" si="6"/>
        <v>0</v>
      </c>
      <c r="H22" s="74">
        <f>F22+Cement!D36</f>
        <v>1970.9</v>
      </c>
      <c r="I22" s="77">
        <f>Cement!E3</f>
        <v>54</v>
      </c>
      <c r="J22" s="74">
        <f t="shared" si="7"/>
        <v>54</v>
      </c>
      <c r="K22" s="74">
        <f>I22+Cement!E36</f>
        <v>2393.1999955514993</v>
      </c>
      <c r="L22" s="74">
        <f t="shared" ref="L22:L24" si="8">E22+F22-I22</f>
        <v>7023.0800635982805</v>
      </c>
      <c r="M22" s="78">
        <f>(I22/(J40+J46))*100</f>
        <v>5</v>
      </c>
      <c r="N22" s="78">
        <f>M22+(M22*P22)/100</f>
        <v>5</v>
      </c>
      <c r="O22" s="767"/>
      <c r="P22" s="87"/>
      <c r="Q22" s="774"/>
      <c r="R22" s="20"/>
      <c r="S22" s="20"/>
    </row>
    <row r="23" spans="2:19" ht="15" customHeight="1" x14ac:dyDescent="0.25">
      <c r="B23" s="763"/>
      <c r="C23" s="690" t="s">
        <v>251</v>
      </c>
      <c r="D23" s="614" t="s">
        <v>252</v>
      </c>
      <c r="E23" s="77">
        <f>Cement!H3</f>
        <v>0.23999999999796273</v>
      </c>
      <c r="F23" s="77">
        <f>Cement!I3</f>
        <v>0</v>
      </c>
      <c r="G23" s="74">
        <f t="shared" si="6"/>
        <v>0</v>
      </c>
      <c r="H23" s="74">
        <f>F23+Cement!I36</f>
        <v>0</v>
      </c>
      <c r="I23" s="77">
        <f>Cement!J3</f>
        <v>0</v>
      </c>
      <c r="J23" s="74">
        <f t="shared" si="7"/>
        <v>0</v>
      </c>
      <c r="K23" s="74">
        <f>I23+Cement!J36</f>
        <v>0</v>
      </c>
      <c r="L23" s="74">
        <f t="shared" si="8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614" t="s">
        <v>253</v>
      </c>
      <c r="E24" s="77">
        <f>Cement!L3</f>
        <v>0</v>
      </c>
      <c r="F24" s="77">
        <f>Cement!M3</f>
        <v>0</v>
      </c>
      <c r="G24" s="74">
        <f t="shared" si="6"/>
        <v>0</v>
      </c>
      <c r="H24" s="74">
        <f>F24+Cement!M36</f>
        <v>0</v>
      </c>
      <c r="I24" s="77">
        <f>Cement!N3</f>
        <v>0</v>
      </c>
      <c r="J24" s="74">
        <f t="shared" si="7"/>
        <v>0</v>
      </c>
      <c r="K24" s="74">
        <f>I24+Cement!N36</f>
        <v>0</v>
      </c>
      <c r="L24" s="74">
        <f t="shared" si="8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37152.309159338874</v>
      </c>
      <c r="F25" s="122">
        <f t="shared" ref="F25:L25" si="9">F18+F19+F21+F22+F23+F24</f>
        <v>225</v>
      </c>
      <c r="G25" s="122">
        <f t="shared" si="9"/>
        <v>225</v>
      </c>
      <c r="H25" s="122">
        <f t="shared" si="9"/>
        <v>55935.780000000006</v>
      </c>
      <c r="I25" s="122">
        <f t="shared" si="9"/>
        <v>1080</v>
      </c>
      <c r="J25" s="122">
        <f t="shared" si="9"/>
        <v>1080</v>
      </c>
      <c r="K25" s="122">
        <f t="shared" si="9"/>
        <v>47847.000000000007</v>
      </c>
      <c r="L25" s="122">
        <f t="shared" si="9"/>
        <v>36515.309159165874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Production2!C3</f>
        <v>15.42</v>
      </c>
      <c r="G30" s="75">
        <f>F30</f>
        <v>15.42</v>
      </c>
      <c r="H30" s="75">
        <f>F30+Production2!C36</f>
        <v>447.90000000000009</v>
      </c>
      <c r="I30" s="74">
        <f>'Mines (2)'!C3+'Mines (2)'!H3+'Mines (2)'!V3+'Mines (2)'!Z3+'Mines (2)'!AD3+Cement!P3+Cement!U3+Cement!Y3</f>
        <v>12571.751704621605</v>
      </c>
      <c r="J30" s="74">
        <f>F9+F21</f>
        <v>9628.2200000000012</v>
      </c>
      <c r="K30" s="74">
        <f>J30</f>
        <v>9628.2200000000012</v>
      </c>
      <c r="L30" s="74">
        <f>J30+Production2!D36</f>
        <v>74613.920000000013</v>
      </c>
      <c r="M30" s="74">
        <f>I9+I21</f>
        <v>453.99999982700001</v>
      </c>
      <c r="N30" s="74">
        <f>M30</f>
        <v>453.99999982700001</v>
      </c>
      <c r="O30" s="74">
        <f>M30+Production2!E36+Cement!R36</f>
        <v>75972.819992389239</v>
      </c>
      <c r="P30" s="74">
        <f>I30+J30-M30</f>
        <v>21745.971704794607</v>
      </c>
      <c r="Q30" s="93">
        <f>J30/F30</f>
        <v>624.39818417639435</v>
      </c>
      <c r="R30" s="94"/>
      <c r="S30" s="94"/>
    </row>
    <row r="31" spans="2:19" x14ac:dyDescent="0.25">
      <c r="B31" s="79">
        <v>2</v>
      </c>
      <c r="C31" s="725" t="s">
        <v>262</v>
      </c>
      <c r="D31" s="726"/>
      <c r="E31" s="95">
        <v>120</v>
      </c>
      <c r="F31" s="78">
        <f>Production2!G3</f>
        <v>1.92</v>
      </c>
      <c r="G31" s="75">
        <f t="shared" ref="G31:G38" si="10">F31</f>
        <v>1.92</v>
      </c>
      <c r="H31" s="75">
        <f>F31+Production2!G36</f>
        <v>495.14</v>
      </c>
      <c r="I31" s="724">
        <f>Production2!H3</f>
        <v>1718.1200168375199</v>
      </c>
      <c r="J31" s="78">
        <f>Production2!N3</f>
        <v>229.65</v>
      </c>
      <c r="K31" s="74">
        <f t="shared" ref="K31:K37" si="11">J31</f>
        <v>229.65</v>
      </c>
      <c r="L31" s="74">
        <f>J31+Production2!N36</f>
        <v>59086.8</v>
      </c>
      <c r="M31" s="724">
        <f>Production2!K3</f>
        <v>348.75</v>
      </c>
      <c r="N31" s="724">
        <f t="shared" ref="N31:N38" si="12">M31</f>
        <v>348.75</v>
      </c>
      <c r="O31" s="724">
        <f>M31+Production2!K36</f>
        <v>63123.75</v>
      </c>
      <c r="P31" s="724">
        <f>I31+J31+J32-M31</f>
        <v>1599.02001683752</v>
      </c>
      <c r="Q31" s="96">
        <f t="shared" ref="Q31:Q40" si="13">J31/F31</f>
        <v>119.60937500000001</v>
      </c>
      <c r="R31" s="94"/>
      <c r="S31" s="94"/>
    </row>
    <row r="32" spans="2:19" x14ac:dyDescent="0.25">
      <c r="B32" s="79"/>
      <c r="C32" s="725" t="s">
        <v>263</v>
      </c>
      <c r="D32" s="726"/>
      <c r="E32" s="95">
        <v>20</v>
      </c>
      <c r="F32" s="78">
        <f>Production2!P3</f>
        <v>0</v>
      </c>
      <c r="G32" s="75">
        <f t="shared" si="10"/>
        <v>0</v>
      </c>
      <c r="H32" s="75">
        <f>F32+Production2!P36</f>
        <v>406.28999999999996</v>
      </c>
      <c r="I32" s="712"/>
      <c r="J32" s="78">
        <f>Production2!Q3</f>
        <v>0</v>
      </c>
      <c r="K32" s="74">
        <f t="shared" si="11"/>
        <v>0</v>
      </c>
      <c r="L32" s="74">
        <f>J32+Production2!Q36</f>
        <v>3642.24</v>
      </c>
      <c r="M32" s="712"/>
      <c r="N32" s="712"/>
      <c r="O32" s="712"/>
      <c r="P32" s="712"/>
      <c r="Q32" s="96" t="e">
        <f t="shared" si="13"/>
        <v>#DIV/0!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Production2!S3</f>
        <v>3.5</v>
      </c>
      <c r="G33" s="75">
        <f t="shared" si="10"/>
        <v>3.5</v>
      </c>
      <c r="H33" s="75">
        <f>F33+Production2!S36</f>
        <v>449.87</v>
      </c>
      <c r="I33" s="77">
        <f>Production2!T3</f>
        <v>40.209999999999923</v>
      </c>
      <c r="J33" s="77">
        <f>Production2!U3</f>
        <v>50</v>
      </c>
      <c r="K33" s="74">
        <f t="shared" si="11"/>
        <v>50</v>
      </c>
      <c r="L33" s="74">
        <f>J33+Production2!U36</f>
        <v>6202.7</v>
      </c>
      <c r="M33" s="77">
        <f>Production2!V3</f>
        <v>51</v>
      </c>
      <c r="N33" s="74">
        <f t="shared" si="12"/>
        <v>51</v>
      </c>
      <c r="O33" s="74">
        <f>M33+Production2!V36</f>
        <v>6179</v>
      </c>
      <c r="P33" s="74">
        <f t="shared" ref="P33" si="14">I33+J33-M33</f>
        <v>39.209999999999923</v>
      </c>
      <c r="Q33" s="96">
        <f t="shared" si="13"/>
        <v>14.285714285714286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Production2!Y3</f>
        <v>4.9800000000000004</v>
      </c>
      <c r="G34" s="75">
        <f t="shared" si="10"/>
        <v>4.9800000000000004</v>
      </c>
      <c r="H34" s="75">
        <f>F34+Production2!Y36</f>
        <v>623.25</v>
      </c>
      <c r="I34" s="77">
        <f>Clinker!EJ3</f>
        <v>24919.660087740463</v>
      </c>
      <c r="J34" s="77">
        <f>Clinker!EK3</f>
        <v>225</v>
      </c>
      <c r="K34" s="74">
        <f t="shared" si="11"/>
        <v>225</v>
      </c>
      <c r="L34" s="74">
        <f>J34+Clinker!EK36</f>
        <v>40725</v>
      </c>
      <c r="M34" s="77">
        <f>Clinker!EL3</f>
        <v>808.00000017299999</v>
      </c>
      <c r="N34" s="74">
        <f t="shared" si="12"/>
        <v>808.00000017299999</v>
      </c>
      <c r="O34" s="74">
        <f>M34+Clinker!EL36</f>
        <v>19669.880012059271</v>
      </c>
      <c r="P34" s="74">
        <f>I34+J34-M34-I20</f>
        <v>24336.660087567463</v>
      </c>
      <c r="Q34" s="96">
        <f t="shared" si="13"/>
        <v>45.180722891566262</v>
      </c>
      <c r="R34" s="94"/>
      <c r="S34" s="94"/>
    </row>
    <row r="35" spans="2:19" x14ac:dyDescent="0.25">
      <c r="B35" s="687">
        <v>5</v>
      </c>
      <c r="C35" s="690" t="s">
        <v>264</v>
      </c>
      <c r="D35" s="80" t="s">
        <v>265</v>
      </c>
      <c r="E35" s="97">
        <v>90</v>
      </c>
      <c r="F35" s="78">
        <f>Production2!AE3</f>
        <v>0</v>
      </c>
      <c r="G35" s="75">
        <f t="shared" si="10"/>
        <v>0</v>
      </c>
      <c r="H35" s="75">
        <f>F35+Production2!AE36</f>
        <v>9</v>
      </c>
      <c r="I35" s="77">
        <f>Production2!BJ3</f>
        <v>411.79999999999995</v>
      </c>
      <c r="J35" s="77">
        <f>Production2!AF3</f>
        <v>0</v>
      </c>
      <c r="K35" s="74">
        <f t="shared" si="11"/>
        <v>0</v>
      </c>
      <c r="L35" s="75">
        <f>J35+Production2!AF36</f>
        <v>574</v>
      </c>
      <c r="M35" s="77">
        <f>Production2!BL3</f>
        <v>0</v>
      </c>
      <c r="N35" s="74">
        <f>M35</f>
        <v>0</v>
      </c>
      <c r="O35" s="75">
        <f>M35+Production2!BL36</f>
        <v>2394.5</v>
      </c>
      <c r="P35" s="74">
        <f>I35+J35+J41-M35-F59</f>
        <v>411.79999999999995</v>
      </c>
      <c r="Q35" s="96" t="e">
        <f t="shared" si="13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Production2!AB3</f>
        <v>0</v>
      </c>
      <c r="G36" s="75">
        <f t="shared" si="10"/>
        <v>0</v>
      </c>
      <c r="H36" s="75">
        <f>F36+Production2!AB36</f>
        <v>206.33</v>
      </c>
      <c r="I36" s="77">
        <f>Production2!BF3</f>
        <v>2679.28799999998</v>
      </c>
      <c r="J36" s="77">
        <f>Production2!AC3</f>
        <v>0</v>
      </c>
      <c r="K36" s="74">
        <f t="shared" si="11"/>
        <v>0</v>
      </c>
      <c r="L36" s="74">
        <f>J36+Production2!AC36</f>
        <v>12429</v>
      </c>
      <c r="M36" s="77">
        <f>Production2!BH3</f>
        <v>628</v>
      </c>
      <c r="N36" s="74">
        <f t="shared" si="12"/>
        <v>628</v>
      </c>
      <c r="O36" s="74">
        <f>M36+Production2!BH36</f>
        <v>35796.269999999997</v>
      </c>
      <c r="P36" s="74">
        <f>I36+J36+J42-M36-F57</f>
        <v>2901.28799999998</v>
      </c>
      <c r="Q36" s="96" t="e">
        <f t="shared" si="13"/>
        <v>#DIV/0!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Production2!AH3</f>
        <v>0</v>
      </c>
      <c r="G37" s="75">
        <f t="shared" si="10"/>
        <v>0</v>
      </c>
      <c r="H37" s="75">
        <f>F37+Production2!AH36</f>
        <v>0</v>
      </c>
      <c r="I37" s="77">
        <f>Production2!BN3</f>
        <v>2.0900000000008498</v>
      </c>
      <c r="J37" s="77">
        <f>Production2!AI3</f>
        <v>0</v>
      </c>
      <c r="K37" s="74">
        <f t="shared" si="11"/>
        <v>0</v>
      </c>
      <c r="L37" s="74">
        <f>J37+Production2!AI36</f>
        <v>0</v>
      </c>
      <c r="M37" s="77">
        <f>Production2!BP3</f>
        <v>0</v>
      </c>
      <c r="N37" s="74">
        <f t="shared" si="12"/>
        <v>0</v>
      </c>
      <c r="O37" s="74">
        <f>M37+Production2!BP36</f>
        <v>-0.15</v>
      </c>
      <c r="P37" s="74">
        <f>I37+J37+J43-M37-F58</f>
        <v>2.0900000000008498</v>
      </c>
      <c r="Q37" s="96" t="e">
        <f t="shared" si="13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Production2!AK3</f>
        <v>0</v>
      </c>
      <c r="G38" s="75">
        <f t="shared" si="10"/>
        <v>0</v>
      </c>
      <c r="H38" s="75">
        <f>F38+Production2!AK36</f>
        <v>0</v>
      </c>
      <c r="I38" s="590">
        <f>Production2!BR3</f>
        <v>186.3</v>
      </c>
      <c r="J38" s="195">
        <v>0</v>
      </c>
      <c r="K38" s="74">
        <f>J38</f>
        <v>0</v>
      </c>
      <c r="L38" s="74">
        <f>J38+Production2!AL36</f>
        <v>0</v>
      </c>
      <c r="M38" s="195">
        <f>Production2!BT3</f>
        <v>0</v>
      </c>
      <c r="N38" s="74">
        <f t="shared" si="12"/>
        <v>0</v>
      </c>
      <c r="O38" s="74">
        <f>M38+Production2!BT36</f>
        <v>1847</v>
      </c>
      <c r="P38" s="74">
        <f>I38+J38+J44-M38-F60</f>
        <v>186.3</v>
      </c>
      <c r="Q38" s="96" t="e">
        <f t="shared" si="13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Production2!AN3</f>
        <v>0</v>
      </c>
      <c r="G39" s="75">
        <f>F39</f>
        <v>0</v>
      </c>
      <c r="H39" s="75">
        <f>F39+Production2!AN36</f>
        <v>40.65</v>
      </c>
      <c r="I39" s="590">
        <f>Production2!BV3</f>
        <v>755.83000000000015</v>
      </c>
      <c r="J39" s="195">
        <v>0</v>
      </c>
      <c r="K39" s="74">
        <f>J39</f>
        <v>0</v>
      </c>
      <c r="L39" s="74">
        <f>J39+Production2!AO36</f>
        <v>2532</v>
      </c>
      <c r="M39" s="77">
        <f>Production2!BX3</f>
        <v>59.96</v>
      </c>
      <c r="N39" s="74">
        <f>M39</f>
        <v>59.96</v>
      </c>
      <c r="O39" s="74">
        <f>M39+Production2!BX36</f>
        <v>5481.8399999999992</v>
      </c>
      <c r="P39" s="74">
        <f>I39+J39+J45-M39</f>
        <v>925.87000000000012</v>
      </c>
      <c r="Q39" s="96" t="e">
        <f t="shared" si="13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0</v>
      </c>
      <c r="G40" s="132">
        <f t="shared" ref="G40:I40" si="15">G35+G36+G37+G38+G39</f>
        <v>0</v>
      </c>
      <c r="H40" s="132">
        <f t="shared" si="15"/>
        <v>255.98000000000002</v>
      </c>
      <c r="I40" s="122">
        <f t="shared" si="15"/>
        <v>4035.3079999999809</v>
      </c>
      <c r="J40" s="122">
        <f>J35+J36+J37+J38+J39</f>
        <v>0</v>
      </c>
      <c r="K40" s="122">
        <f t="shared" ref="K40:P40" si="16">K35+K36+K37+K38+K39</f>
        <v>0</v>
      </c>
      <c r="L40" s="122">
        <f t="shared" si="16"/>
        <v>15535</v>
      </c>
      <c r="M40" s="122">
        <f t="shared" si="16"/>
        <v>687.96</v>
      </c>
      <c r="N40" s="122">
        <f t="shared" si="16"/>
        <v>687.96</v>
      </c>
      <c r="O40" s="122">
        <f t="shared" si="16"/>
        <v>45519.459999999992</v>
      </c>
      <c r="P40" s="122">
        <f t="shared" si="16"/>
        <v>4427.3479999999809</v>
      </c>
      <c r="Q40" s="123" t="e">
        <f t="shared" si="13"/>
        <v>#DIV/0!</v>
      </c>
      <c r="R40" s="94"/>
      <c r="S40" s="94"/>
    </row>
    <row r="41" spans="2:19" x14ac:dyDescent="0.25">
      <c r="B41" s="687">
        <v>5</v>
      </c>
      <c r="C41" s="690" t="s">
        <v>268</v>
      </c>
      <c r="D41" s="80" t="s">
        <v>265</v>
      </c>
      <c r="E41" s="97">
        <v>75</v>
      </c>
      <c r="F41" s="78">
        <f>Production2!AT3</f>
        <v>0</v>
      </c>
      <c r="G41" s="75">
        <f>F41</f>
        <v>0</v>
      </c>
      <c r="H41" s="75">
        <f>F41+Production2!AT36</f>
        <v>33.099999999999994</v>
      </c>
      <c r="I41" s="710"/>
      <c r="J41" s="77">
        <f>Production2!AU3</f>
        <v>0</v>
      </c>
      <c r="K41" s="74">
        <f>J41</f>
        <v>0</v>
      </c>
      <c r="L41" s="75">
        <f>J41+Production2!AU36</f>
        <v>2000</v>
      </c>
      <c r="M41" s="713"/>
      <c r="N41" s="714"/>
      <c r="O41" s="714"/>
      <c r="P41" s="715"/>
      <c r="Q41" s="96" t="e">
        <f t="shared" ref="Q41:Q46" si="17">J41/F41</f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Production2!AQ3</f>
        <v>14.4</v>
      </c>
      <c r="G42" s="75">
        <f t="shared" ref="G42:G44" si="18">F42</f>
        <v>14.4</v>
      </c>
      <c r="H42" s="75">
        <f>F42+Production2!AQ36</f>
        <v>430.40000000000003</v>
      </c>
      <c r="I42" s="711"/>
      <c r="J42" s="77">
        <f>Production2!AR3</f>
        <v>850</v>
      </c>
      <c r="K42" s="74">
        <f t="shared" ref="K42:K44" si="19">J42</f>
        <v>850</v>
      </c>
      <c r="L42" s="74">
        <f>J42+Production2!AR36</f>
        <v>24990</v>
      </c>
      <c r="M42" s="716"/>
      <c r="N42" s="717"/>
      <c r="O42" s="717"/>
      <c r="P42" s="718"/>
      <c r="Q42" s="96">
        <f t="shared" si="17"/>
        <v>59.027777777777779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Production2!AW3</f>
        <v>0</v>
      </c>
      <c r="G43" s="75">
        <f t="shared" si="18"/>
        <v>0</v>
      </c>
      <c r="H43" s="75">
        <f>F43+Production2!AW36</f>
        <v>0</v>
      </c>
      <c r="I43" s="711"/>
      <c r="J43" s="77">
        <f>Production2!AX3</f>
        <v>0</v>
      </c>
      <c r="K43" s="74">
        <f t="shared" si="19"/>
        <v>0</v>
      </c>
      <c r="L43" s="74">
        <f>J43+Production2!AX36</f>
        <v>0</v>
      </c>
      <c r="M43" s="716"/>
      <c r="N43" s="717"/>
      <c r="O43" s="717"/>
      <c r="P43" s="718"/>
      <c r="Q43" s="96" t="e">
        <f t="shared" si="17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Production2!AZ3</f>
        <v>0</v>
      </c>
      <c r="G44" s="75">
        <f t="shared" si="18"/>
        <v>0</v>
      </c>
      <c r="H44" s="75">
        <f>F44+Production2!AZ36</f>
        <v>32.880000000000003</v>
      </c>
      <c r="I44" s="711"/>
      <c r="J44" s="195">
        <f>Production2!BA3</f>
        <v>0</v>
      </c>
      <c r="K44" s="74">
        <f t="shared" si="19"/>
        <v>0</v>
      </c>
      <c r="L44" s="74">
        <f>J44+Production2!BA36</f>
        <v>1820</v>
      </c>
      <c r="M44" s="716"/>
      <c r="N44" s="717"/>
      <c r="O44" s="717"/>
      <c r="P44" s="718"/>
      <c r="Q44" s="96" t="e">
        <f t="shared" si="17"/>
        <v>#DIV/0!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Production2!BC3</f>
        <v>3.76</v>
      </c>
      <c r="G45" s="75">
        <f>F45</f>
        <v>3.76</v>
      </c>
      <c r="H45" s="75">
        <f>F45+Production2!BC36</f>
        <v>58.730000000000004</v>
      </c>
      <c r="I45" s="712"/>
      <c r="J45" s="195">
        <f>Production2!BD3</f>
        <v>230</v>
      </c>
      <c r="K45" s="74">
        <f>J45</f>
        <v>230</v>
      </c>
      <c r="L45" s="74">
        <f>J45+Production2!BD36</f>
        <v>3502</v>
      </c>
      <c r="M45" s="719"/>
      <c r="N45" s="720"/>
      <c r="O45" s="720"/>
      <c r="P45" s="721"/>
      <c r="Q45" s="96">
        <f t="shared" si="17"/>
        <v>61.170212765957451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60</v>
      </c>
      <c r="F46" s="132">
        <f>F41+F42+F43+F44+F45</f>
        <v>18.16</v>
      </c>
      <c r="G46" s="132">
        <f t="shared" ref="G46:H46" si="20">G41+G42+G43+G44+G45</f>
        <v>18.16</v>
      </c>
      <c r="H46" s="132">
        <f t="shared" si="20"/>
        <v>555.11</v>
      </c>
      <c r="I46" s="132">
        <f t="shared" ref="I46" si="21">I41+I42+I43+I44</f>
        <v>0</v>
      </c>
      <c r="J46" s="122">
        <f>J41+J42+J43+J44+J45</f>
        <v>1080</v>
      </c>
      <c r="K46" s="122">
        <f t="shared" ref="K46:L46" si="22">K41+K42+K43+K44+K45</f>
        <v>1080</v>
      </c>
      <c r="L46" s="122">
        <f t="shared" si="22"/>
        <v>32312</v>
      </c>
      <c r="M46" s="122"/>
      <c r="N46" s="122"/>
      <c r="O46" s="122"/>
      <c r="P46" s="122"/>
      <c r="Q46" s="123">
        <f t="shared" si="17"/>
        <v>59.471365638766521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756" t="s">
        <v>269</v>
      </c>
      <c r="C48" s="722"/>
      <c r="D48" s="722"/>
      <c r="E48" s="722"/>
      <c r="F48" s="722"/>
      <c r="G48" s="722"/>
      <c r="H48" s="722"/>
      <c r="I48" s="722"/>
      <c r="J48" s="722"/>
      <c r="K48" s="722"/>
      <c r="L48" s="722"/>
      <c r="M48" s="757"/>
      <c r="N48" s="696" t="s">
        <v>270</v>
      </c>
      <c r="O48" s="697"/>
      <c r="P48" s="697"/>
      <c r="Q48" s="698"/>
      <c r="R48" s="98"/>
      <c r="S48" s="98"/>
    </row>
    <row r="49" spans="2:19" s="70" customFormat="1" ht="15.6" customHeight="1" thickBot="1" x14ac:dyDescent="0.3">
      <c r="B49" s="145" t="s">
        <v>229</v>
      </c>
      <c r="C49" s="708" t="s">
        <v>230</v>
      </c>
      <c r="D49" s="708"/>
      <c r="E49" s="133" t="s">
        <v>141</v>
      </c>
      <c r="F49" s="133" t="s">
        <v>120</v>
      </c>
      <c r="G49" s="133" t="s">
        <v>144</v>
      </c>
      <c r="H49" s="133" t="s">
        <v>145</v>
      </c>
      <c r="I49" s="133" t="s">
        <v>271</v>
      </c>
      <c r="J49" s="133" t="s">
        <v>147</v>
      </c>
      <c r="K49" s="133" t="s">
        <v>272</v>
      </c>
      <c r="L49" s="146" t="s">
        <v>273</v>
      </c>
      <c r="M49" s="135" t="s">
        <v>150</v>
      </c>
      <c r="N49" s="147" t="s">
        <v>229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0.22319805737716833</v>
      </c>
      <c r="F50" s="99">
        <f>F53/(J31+J32)</f>
        <v>70.16764641846288</v>
      </c>
      <c r="G50" s="99">
        <f>G53/J34</f>
        <v>88.25333333333333</v>
      </c>
      <c r="H50" s="99">
        <f>H53/J33</f>
        <v>101.38</v>
      </c>
      <c r="I50" s="99"/>
      <c r="J50" s="99"/>
      <c r="K50" s="99"/>
      <c r="L50" s="99"/>
      <c r="M50" s="100"/>
      <c r="N50" s="101">
        <v>1</v>
      </c>
      <c r="O50" s="727" t="s">
        <v>275</v>
      </c>
      <c r="P50" s="727"/>
      <c r="Q50" s="93">
        <f>(M33/J34)*100</f>
        <v>22.666666666666664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0.23410996240449658</v>
      </c>
      <c r="F51" s="102">
        <f>F50*1.55</f>
        <v>108.75985194861747</v>
      </c>
      <c r="G51" s="102">
        <f>G50</f>
        <v>88.25333333333333</v>
      </c>
      <c r="H51" s="102">
        <f>H50*Q50/100</f>
        <v>22.979466666666664</v>
      </c>
      <c r="I51" s="102"/>
      <c r="J51" s="102"/>
      <c r="K51" s="102"/>
      <c r="L51" s="102"/>
      <c r="M51" s="96">
        <f>SUM(E51:H51)</f>
        <v>220.22676191102198</v>
      </c>
      <c r="N51" s="103">
        <v>2</v>
      </c>
      <c r="O51" s="728" t="s">
        <v>277</v>
      </c>
      <c r="P51" s="728"/>
      <c r="Q51" s="104">
        <v>5289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0.17514893487345762</v>
      </c>
      <c r="F52" s="102">
        <f>F51*M18/100</f>
        <v>81.368481845646627</v>
      </c>
      <c r="G52" s="102">
        <f>G51*M18/100</f>
        <v>66.02656791537143</v>
      </c>
      <c r="H52" s="102">
        <f>H51*M18/100</f>
        <v>17.192045435779733</v>
      </c>
      <c r="I52" s="102">
        <f>I53/(J40+J46)</f>
        <v>43.975000000000001</v>
      </c>
      <c r="J52" s="99">
        <f>J53/(J40+J46)</f>
        <v>0.78703703703703709</v>
      </c>
      <c r="K52" s="99">
        <f>K53/(M40+M46)</f>
        <v>7.093435664864236</v>
      </c>
      <c r="L52" s="99">
        <f>L53/(J40+J46)</f>
        <v>4.5027777777777782</v>
      </c>
      <c r="M52" s="96">
        <f>SUM(E52:L52)</f>
        <v>221.1204946113503</v>
      </c>
      <c r="N52" s="103">
        <v>3</v>
      </c>
      <c r="O52" s="728" t="s">
        <v>279</v>
      </c>
      <c r="P52" s="728"/>
      <c r="Q52" s="104">
        <f>Q51*Q50/100</f>
        <v>1198.8399999999999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unit'!B3</f>
        <v>2149</v>
      </c>
      <c r="F53" s="118">
        <f>'Daily unit'!C3</f>
        <v>16114</v>
      </c>
      <c r="G53" s="118">
        <f>'Daily unit'!E3</f>
        <v>19857</v>
      </c>
      <c r="H53" s="118">
        <f>'Daily unit'!F3</f>
        <v>5069</v>
      </c>
      <c r="I53" s="118">
        <f>'Daily unit'!G3</f>
        <v>47493</v>
      </c>
      <c r="J53" s="118">
        <f>'Daily unit'!H3</f>
        <v>850</v>
      </c>
      <c r="K53" s="118">
        <f>'Daily unit'!I3</f>
        <v>4880</v>
      </c>
      <c r="L53" s="118">
        <f>'Daily unit'!J3</f>
        <v>4863</v>
      </c>
      <c r="M53" s="119">
        <f>SUM(E53:L53)</f>
        <v>101275</v>
      </c>
      <c r="N53" s="105"/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7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287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704">
        <v>1</v>
      </c>
      <c r="C57" s="701" t="s">
        <v>285</v>
      </c>
      <c r="D57" s="701"/>
      <c r="E57" s="80">
        <v>42.5</v>
      </c>
      <c r="F57" s="53">
        <f>'Internal use cement'!F3</f>
        <v>0</v>
      </c>
      <c r="G57" s="53">
        <f>F57</f>
        <v>0</v>
      </c>
      <c r="H57" s="182">
        <f>F57+'Internal use cement'!F36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704"/>
      <c r="C58" s="702"/>
      <c r="D58" s="702"/>
      <c r="E58" s="80" t="s">
        <v>195</v>
      </c>
      <c r="F58" s="53">
        <f>'Internal use cement'!Q3</f>
        <v>0</v>
      </c>
      <c r="G58" s="53">
        <f t="shared" ref="G58:G59" si="23">F58</f>
        <v>0</v>
      </c>
      <c r="H58" s="288">
        <f>F58+'Internal use cement'!N36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704"/>
      <c r="C59" s="702"/>
      <c r="D59" s="702"/>
      <c r="E59" s="80">
        <v>32.5</v>
      </c>
      <c r="F59" s="53">
        <f>'Internal use cement'!AB3</f>
        <v>0</v>
      </c>
      <c r="G59" s="53">
        <f t="shared" si="23"/>
        <v>0</v>
      </c>
      <c r="H59" s="289">
        <f>F59+'Internal use cement'!Y36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704"/>
      <c r="C60" s="703"/>
      <c r="D60" s="703"/>
      <c r="E60" s="112" t="s">
        <v>175</v>
      </c>
      <c r="F60" s="113">
        <f>'Internal use cement'!AJ3</f>
        <v>0</v>
      </c>
      <c r="G60" s="53">
        <f>F60</f>
        <v>0</v>
      </c>
      <c r="H60" s="288">
        <f>F60+'Internal use cement'!AJ36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B2:Q2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O9:O16"/>
    <mergeCell ref="C10:D10"/>
    <mergeCell ref="B3:Q3"/>
    <mergeCell ref="C8:Q8"/>
    <mergeCell ref="C11:D11"/>
    <mergeCell ref="C12:D12"/>
    <mergeCell ref="Q6:Q7"/>
    <mergeCell ref="B14:B16"/>
    <mergeCell ref="C14:C16"/>
    <mergeCell ref="C9:D9"/>
    <mergeCell ref="C13:D13"/>
    <mergeCell ref="P13:Q13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M23:N24"/>
    <mergeCell ref="P23:Q25"/>
    <mergeCell ref="C25:D25"/>
    <mergeCell ref="M25:N25"/>
    <mergeCell ref="M18:M19"/>
    <mergeCell ref="C21:D21"/>
    <mergeCell ref="C23:C24"/>
    <mergeCell ref="O49:P49"/>
    <mergeCell ref="C52:D52"/>
    <mergeCell ref="O52:P52"/>
    <mergeCell ref="I55:Q60"/>
    <mergeCell ref="C28:D29"/>
    <mergeCell ref="F28:H28"/>
    <mergeCell ref="I28:I29"/>
    <mergeCell ref="J28:L28"/>
    <mergeCell ref="M28:O28"/>
    <mergeCell ref="P28:P29"/>
    <mergeCell ref="Q28:Q29"/>
    <mergeCell ref="B54:Q54"/>
    <mergeCell ref="B47:Q47"/>
    <mergeCell ref="B48:M48"/>
    <mergeCell ref="N48:Q48"/>
    <mergeCell ref="B28:B29"/>
    <mergeCell ref="I41:I45"/>
    <mergeCell ref="M41:P45"/>
    <mergeCell ref="C56:E56"/>
    <mergeCell ref="C53:D53"/>
    <mergeCell ref="I31:I32"/>
    <mergeCell ref="P31:P32"/>
    <mergeCell ref="M31:M32"/>
    <mergeCell ref="C31:D31"/>
    <mergeCell ref="C33:D33"/>
    <mergeCell ref="C34:D34"/>
    <mergeCell ref="C32:D32"/>
    <mergeCell ref="N31:N32"/>
    <mergeCell ref="O31:O32"/>
    <mergeCell ref="O50:P50"/>
    <mergeCell ref="C51:D51"/>
    <mergeCell ref="O51:P51"/>
    <mergeCell ref="C57:D60"/>
    <mergeCell ref="B57:B60"/>
    <mergeCell ref="B41:B46"/>
    <mergeCell ref="C41:C46"/>
    <mergeCell ref="B55:H55"/>
    <mergeCell ref="C49:D49"/>
    <mergeCell ref="C50:D50"/>
    <mergeCell ref="B35:B40"/>
    <mergeCell ref="C35:C40"/>
    <mergeCell ref="B26:Q26"/>
    <mergeCell ref="B27:Q27"/>
    <mergeCell ref="C30:D30"/>
  </mergeCells>
  <pageMargins left="0" right="0" top="0.75" bottom="0.75" header="0.3" footer="0.3"/>
  <pageSetup paperSize="9" scale="5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B2:U150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Q4" sqref="Q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335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 t="s">
        <v>286</v>
      </c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822" t="s">
        <v>242</v>
      </c>
      <c r="D9" s="823"/>
      <c r="E9" s="74">
        <f>'1'!L9</f>
        <v>21745.971704794607</v>
      </c>
      <c r="F9" s="74">
        <f>Production2!D4</f>
        <v>529.88</v>
      </c>
      <c r="G9" s="74">
        <f>F9+'1'!G9</f>
        <v>10158.1</v>
      </c>
      <c r="H9" s="74">
        <f>F9+'1'!H9</f>
        <v>75143.800000000017</v>
      </c>
      <c r="I9" s="74">
        <f>Production2!E4</f>
        <v>2734</v>
      </c>
      <c r="J9" s="74">
        <f>I9+'1'!J9</f>
        <v>2970</v>
      </c>
      <c r="K9" s="74">
        <f>I9+'1'!K9</f>
        <v>69857</v>
      </c>
      <c r="L9" s="74">
        <f>E9+F9-I9-I21</f>
        <v>19294.851704849007</v>
      </c>
      <c r="M9" s="75">
        <f>I9</f>
        <v>2734</v>
      </c>
      <c r="N9" s="75">
        <f>(I9/I13)*100</f>
        <v>92.458572877916808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(2)'!L4</f>
        <v>1777.7600000000002</v>
      </c>
      <c r="F10" s="77">
        <f>'Mines (2)'!M4</f>
        <v>291.42</v>
      </c>
      <c r="G10" s="74">
        <f>F10+'1'!G10</f>
        <v>1123.6800000000003</v>
      </c>
      <c r="H10" s="74">
        <f>F10+'1'!H10</f>
        <v>2475.1400000000003</v>
      </c>
      <c r="I10" s="77">
        <f>'Mines (2)'!N4</f>
        <v>148</v>
      </c>
      <c r="J10" s="74">
        <f>I10+'1'!J10</f>
        <v>149</v>
      </c>
      <c r="K10" s="74">
        <f>I10+'1'!K10</f>
        <v>678</v>
      </c>
      <c r="L10" s="77">
        <f t="shared" ref="L10:L13" si="0">E10+F10-I10</f>
        <v>1921.1800000000003</v>
      </c>
      <c r="M10" s="75">
        <f t="shared" ref="M10:M12" si="1">I10</f>
        <v>148</v>
      </c>
      <c r="N10" s="75">
        <f>(I10/I13)*100</f>
        <v>5.0050727088265132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Clinker!C4</f>
        <v>3993.3399999999997</v>
      </c>
      <c r="F11" s="77">
        <f>Clinker!D4</f>
        <v>37.520000000000003</v>
      </c>
      <c r="G11" s="74">
        <f>F11+'1'!G11</f>
        <v>37.520000000000003</v>
      </c>
      <c r="H11" s="74">
        <f>F11+'1'!H11</f>
        <v>107.22</v>
      </c>
      <c r="I11" s="77">
        <f>Clinker!E4</f>
        <v>60</v>
      </c>
      <c r="J11" s="74">
        <f>I11+'1'!J11</f>
        <v>65</v>
      </c>
      <c r="K11" s="74">
        <f>I11+'1'!K11</f>
        <v>1502</v>
      </c>
      <c r="L11" s="77">
        <f t="shared" si="0"/>
        <v>3970.8599999999997</v>
      </c>
      <c r="M11" s="75">
        <f t="shared" si="1"/>
        <v>60</v>
      </c>
      <c r="N11" s="75">
        <f>(I11/I13)*100</f>
        <v>2.0290835306053432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(2)'!Q4</f>
        <v>178.03999999999996</v>
      </c>
      <c r="F12" s="77">
        <f>'Mines (2)'!R4</f>
        <v>0</v>
      </c>
      <c r="G12" s="74">
        <f>F12+'1'!G12</f>
        <v>0</v>
      </c>
      <c r="H12" s="74">
        <f>F12+'1'!H12</f>
        <v>137.76</v>
      </c>
      <c r="I12" s="77">
        <f>'Mines (2)'!S4</f>
        <v>15</v>
      </c>
      <c r="J12" s="74">
        <f>I12+'1'!J12</f>
        <v>28</v>
      </c>
      <c r="K12" s="74">
        <f>I12+'1'!K12</f>
        <v>575</v>
      </c>
      <c r="L12" s="77">
        <f t="shared" si="0"/>
        <v>163.03999999999996</v>
      </c>
      <c r="M12" s="75">
        <f t="shared" si="1"/>
        <v>15</v>
      </c>
      <c r="N12" s="75">
        <f>(I12/I13)*100</f>
        <v>0.5072708826513358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27695.111704794606</v>
      </c>
      <c r="F13" s="127">
        <f t="shared" si="2"/>
        <v>858.81999999999994</v>
      </c>
      <c r="G13" s="127">
        <f t="shared" si="2"/>
        <v>11319.300000000001</v>
      </c>
      <c r="H13" s="127">
        <f t="shared" si="2"/>
        <v>77863.920000000013</v>
      </c>
      <c r="I13" s="127">
        <f t="shared" si="2"/>
        <v>2957</v>
      </c>
      <c r="J13" s="127">
        <f t="shared" si="2"/>
        <v>3212</v>
      </c>
      <c r="K13" s="127">
        <f t="shared" si="2"/>
        <v>72612</v>
      </c>
      <c r="L13" s="127">
        <f t="shared" si="0"/>
        <v>25596.931704794606</v>
      </c>
      <c r="M13" s="128">
        <f>SUM(M9:M12)</f>
        <v>2957</v>
      </c>
      <c r="N13" s="128">
        <f>SUM(N9:N12)</f>
        <v>100.00000000000001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Clinker!EB4</f>
        <v>8136.9069999999901</v>
      </c>
      <c r="F14" s="77">
        <f>Clinker!EC4</f>
        <v>0</v>
      </c>
      <c r="G14" s="77">
        <f>F14+'1'!G14</f>
        <v>0</v>
      </c>
      <c r="H14" s="77">
        <f>F14+'1'!H14</f>
        <v>181.5</v>
      </c>
      <c r="I14" s="77">
        <f>Clinker!ED4</f>
        <v>266.67</v>
      </c>
      <c r="J14" s="77">
        <f>I14+'1'!J14</f>
        <v>322.23</v>
      </c>
      <c r="K14" s="77">
        <f>I14+'1'!K14</f>
        <v>7158.5300000000007</v>
      </c>
      <c r="L14" s="77">
        <f>E14+F14-I14-Clinker!N4-Clinker!Z4-Clinker!AS4-Clinker!AX4-Clinker!BC4-Clinker!BW4-Clinker!BH4-Clinker!BM4-Clinker!BR4-Clinker!CV4-Clinker!DP4</f>
        <v>7803.2369999999901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Clinker!EF4</f>
        <v>9962.6999999999971</v>
      </c>
      <c r="F15" s="77">
        <f>Clinker!EG4</f>
        <v>64.3</v>
      </c>
      <c r="G15" s="77">
        <f>F15+'1'!G15</f>
        <v>64.3</v>
      </c>
      <c r="H15" s="77">
        <f>F15+'1'!H15</f>
        <v>219.35000000000002</v>
      </c>
      <c r="I15" s="77">
        <f>Clinker!EH4</f>
        <v>135</v>
      </c>
      <c r="J15" s="77">
        <f>I15+'1'!J15</f>
        <v>231</v>
      </c>
      <c r="K15" s="77">
        <f>I15+'1'!K15</f>
        <v>4100</v>
      </c>
      <c r="L15" s="77">
        <f>E15+F15-Clinker!AE4-Clinker!AJ4-Clinker!CL4-Clinker!CQ4-Clinker!CG4</f>
        <v>9958.9999999999964</v>
      </c>
      <c r="M15" s="81"/>
      <c r="N15" s="81"/>
      <c r="O15" s="787"/>
      <c r="P15" s="78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18099.606999999989</v>
      </c>
      <c r="F16" s="125">
        <f>F14+F15</f>
        <v>64.3</v>
      </c>
      <c r="G16" s="125">
        <f t="shared" ref="G16" si="3">G14+G15</f>
        <v>64.3</v>
      </c>
      <c r="H16" s="125">
        <f>H14+H15</f>
        <v>400.85</v>
      </c>
      <c r="I16" s="125">
        <f>I14+I15</f>
        <v>401.67</v>
      </c>
      <c r="J16" s="125">
        <f>J14+J15</f>
        <v>553.23</v>
      </c>
      <c r="K16" s="125">
        <f>K14+K15</f>
        <v>11258.53</v>
      </c>
      <c r="L16" s="125">
        <f>L14+L15</f>
        <v>17762.236999999986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Clinker!EJ4</f>
        <v>24336.660087567463</v>
      </c>
      <c r="F18" s="74">
        <f>Clinker!EK4</f>
        <v>1445</v>
      </c>
      <c r="G18" s="74">
        <f>F18+'1'!G18</f>
        <v>1670</v>
      </c>
      <c r="H18" s="74">
        <f>F18+'1'!H18</f>
        <v>42170</v>
      </c>
      <c r="I18" s="74">
        <f>Clinker!EL4</f>
        <v>862.50000010240001</v>
      </c>
      <c r="J18" s="74">
        <f>I18+'1'!J18</f>
        <v>1670.5000002754</v>
      </c>
      <c r="K18" s="74">
        <f>I18+'1'!K18</f>
        <v>20532.380012161673</v>
      </c>
      <c r="L18" s="74">
        <f>E18+F18-I18-I20</f>
        <v>24919.160087465061</v>
      </c>
      <c r="M18" s="783">
        <f>((I18+I19)/(J40+J46))*100</f>
        <v>73.844178090958906</v>
      </c>
      <c r="N18" s="765"/>
      <c r="O18" s="767"/>
      <c r="P18" s="769"/>
      <c r="Q18" s="770"/>
      <c r="R18" s="20"/>
      <c r="S18" s="190"/>
    </row>
    <row r="19" spans="2:19" ht="45" x14ac:dyDescent="0.25">
      <c r="B19" s="763"/>
      <c r="C19" s="691"/>
      <c r="D19" s="85" t="s">
        <v>75</v>
      </c>
      <c r="E19" s="74">
        <f>Clinker!EO4</f>
        <v>5155.3290080001361</v>
      </c>
      <c r="F19" s="74">
        <f>Clinker!EP4</f>
        <v>91.19</v>
      </c>
      <c r="G19" s="74">
        <f>F19+'1'!G19</f>
        <v>91.19</v>
      </c>
      <c r="H19" s="74">
        <f>F19+'1'!H19</f>
        <v>13331.070000000003</v>
      </c>
      <c r="I19" s="74">
        <f>Clinker!EQ4</f>
        <v>0</v>
      </c>
      <c r="J19" s="74">
        <f>I19+'1'!J19</f>
        <v>0</v>
      </c>
      <c r="K19" s="74">
        <f>I19+'1'!K19</f>
        <v>16934.099999999999</v>
      </c>
      <c r="L19" s="74">
        <f>E19+F19-I19</f>
        <v>5246.5190080001357</v>
      </c>
      <c r="M19" s="784"/>
      <c r="N19" s="765"/>
      <c r="O19" s="767"/>
      <c r="P19" s="769"/>
      <c r="Q19" s="770"/>
      <c r="R19" s="20"/>
      <c r="S19" s="235"/>
    </row>
    <row r="20" spans="2:19" ht="30" x14ac:dyDescent="0.25">
      <c r="B20" s="763"/>
      <c r="C20" s="764"/>
      <c r="D20" s="86" t="s">
        <v>249</v>
      </c>
      <c r="E20" s="77"/>
      <c r="F20" s="77">
        <f>Clinker!EN4</f>
        <v>0</v>
      </c>
      <c r="G20" s="74">
        <f>F20+'1'!G20</f>
        <v>0</v>
      </c>
      <c r="H20" s="74">
        <f>F20+'1'!H20</f>
        <v>0</v>
      </c>
      <c r="I20" s="77">
        <f>Clinker!EN4</f>
        <v>0</v>
      </c>
      <c r="J20" s="74">
        <f>I20+'1'!J20</f>
        <v>0</v>
      </c>
      <c r="K20" s="74">
        <f>I20+'1'!K20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77">
        <f>Cement!R4</f>
        <v>246.99999994560002</v>
      </c>
      <c r="J21" s="74">
        <f>I21+'1'!J21</f>
        <v>464.99999977260006</v>
      </c>
      <c r="K21" s="74">
        <f>I21+'1'!K21</f>
        <v>9096.8199923348348</v>
      </c>
      <c r="L21" s="74"/>
      <c r="M21" s="78">
        <f>(I21/(J40+J46))*100</f>
        <v>21.147260269315073</v>
      </c>
      <c r="N21" s="78">
        <f>M21+(M21*P21)/100</f>
        <v>23.26198629624658</v>
      </c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Cement!C4</f>
        <v>7023.0800635982805</v>
      </c>
      <c r="F22" s="77">
        <f>Cement!D4</f>
        <v>0</v>
      </c>
      <c r="G22" s="74">
        <f>F22+'1'!G22</f>
        <v>0</v>
      </c>
      <c r="H22" s="74">
        <f>F22+'1'!H22</f>
        <v>1970.9</v>
      </c>
      <c r="I22" s="77">
        <f>Cement!E4</f>
        <v>58.499999951999996</v>
      </c>
      <c r="J22" s="74">
        <f>I22+'1'!J22</f>
        <v>112.499999952</v>
      </c>
      <c r="K22" s="74">
        <f>I22+'1'!K22</f>
        <v>2451.6999955034994</v>
      </c>
      <c r="L22" s="74">
        <f t="shared" ref="L22:L24" si="4">E22+F22-I22</f>
        <v>6964.5800636462809</v>
      </c>
      <c r="M22" s="78">
        <f>(I22/(J40+J46))*100</f>
        <v>5.0085616397260271</v>
      </c>
      <c r="N22" s="78">
        <f>M22+(M22*P22)/100</f>
        <v>5.2089041053150682</v>
      </c>
      <c r="O22" s="767"/>
      <c r="P22" s="87">
        <v>4</v>
      </c>
      <c r="Q22" s="774"/>
      <c r="R22" s="237"/>
      <c r="S22" s="20"/>
    </row>
    <row r="23" spans="2:19" ht="15" customHeight="1" x14ac:dyDescent="0.25">
      <c r="B23" s="763"/>
      <c r="C23" s="690" t="s">
        <v>251</v>
      </c>
      <c r="D23" s="614" t="s">
        <v>252</v>
      </c>
      <c r="E23" s="77">
        <f>Cement!H4</f>
        <v>0.23999999999796273</v>
      </c>
      <c r="F23" s="77">
        <f>Cement!I4</f>
        <v>0</v>
      </c>
      <c r="G23" s="74">
        <f>F23+'1'!G23</f>
        <v>0</v>
      </c>
      <c r="H23" s="74">
        <f>F23+'1'!H23</f>
        <v>0</v>
      </c>
      <c r="I23" s="77">
        <f>Cement!J4</f>
        <v>0</v>
      </c>
      <c r="J23" s="74">
        <f>I23+'1'!J23</f>
        <v>0</v>
      </c>
      <c r="K23" s="74">
        <f>I23+'1'!K23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614" t="s">
        <v>253</v>
      </c>
      <c r="E24" s="77">
        <f>Cement!L4</f>
        <v>0</v>
      </c>
      <c r="F24" s="77">
        <f>Cement!M4</f>
        <v>0</v>
      </c>
      <c r="G24" s="74">
        <f>F24+'1'!G24</f>
        <v>0</v>
      </c>
      <c r="H24" s="74">
        <f>F24+'1'!H24</f>
        <v>0</v>
      </c>
      <c r="I24" s="77">
        <f>Cement!N4</f>
        <v>0</v>
      </c>
      <c r="J24" s="74">
        <f>I24+'1'!J24</f>
        <v>0</v>
      </c>
      <c r="K24" s="74">
        <f>I24+'1'!K24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36515.309159165874</v>
      </c>
      <c r="F25" s="122">
        <f t="shared" ref="F25:L25" si="5">F18+F19+F21+F22+F23+F24</f>
        <v>1536.19</v>
      </c>
      <c r="G25" s="122">
        <f t="shared" si="5"/>
        <v>1761.19</v>
      </c>
      <c r="H25" s="122">
        <f t="shared" si="5"/>
        <v>57471.970000000008</v>
      </c>
      <c r="I25" s="122">
        <f t="shared" si="5"/>
        <v>1168</v>
      </c>
      <c r="J25" s="122">
        <f t="shared" si="5"/>
        <v>2248</v>
      </c>
      <c r="K25" s="122">
        <f t="shared" si="5"/>
        <v>49015.000000000007</v>
      </c>
      <c r="L25" s="122">
        <f t="shared" si="5"/>
        <v>37130.499159111474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Production2!C4</f>
        <v>4.92</v>
      </c>
      <c r="G30" s="75">
        <f>F30+'1'!G30</f>
        <v>20.34</v>
      </c>
      <c r="H30" s="75">
        <f>F30+'1'!H30</f>
        <v>452.82000000000011</v>
      </c>
      <c r="I30" s="74">
        <f>'Mines (2)'!C4+'Mines (2)'!H4+'Mines (2)'!V4+'Mines (2)'!Z4+'Mines (2)'!AD4</f>
        <v>21745.971704794607</v>
      </c>
      <c r="J30" s="74">
        <f>F9+F21</f>
        <v>529.88</v>
      </c>
      <c r="K30" s="74">
        <f>J30+'1'!K30</f>
        <v>10158.1</v>
      </c>
      <c r="L30" s="74">
        <f>J30+'1'!L30</f>
        <v>75143.800000000017</v>
      </c>
      <c r="M30" s="74">
        <f>I9+I21</f>
        <v>2980.9999999455999</v>
      </c>
      <c r="N30" s="74">
        <f>M30+'1'!N30</f>
        <v>3434.9999997725999</v>
      </c>
      <c r="O30" s="74">
        <f>M30+'1'!O30</f>
        <v>78953.819992334844</v>
      </c>
      <c r="P30" s="74">
        <f>I30+J30-M30</f>
        <v>19294.851704849007</v>
      </c>
      <c r="Q30" s="93">
        <f>J30/F30</f>
        <v>107.69918699186992</v>
      </c>
      <c r="R30" s="94"/>
      <c r="S30" s="94"/>
    </row>
    <row r="31" spans="2:19" x14ac:dyDescent="0.25">
      <c r="B31" s="79">
        <v>2</v>
      </c>
      <c r="C31" s="725" t="s">
        <v>262</v>
      </c>
      <c r="D31" s="726"/>
      <c r="E31" s="95">
        <v>120</v>
      </c>
      <c r="F31" s="78">
        <f>Production2!G4</f>
        <v>21.67</v>
      </c>
      <c r="G31" s="75">
        <f>F31+'1'!G31</f>
        <v>23.590000000000003</v>
      </c>
      <c r="H31" s="75">
        <f>F31+'1'!H31</f>
        <v>516.80999999999995</v>
      </c>
      <c r="I31" s="724">
        <f>Production2!H4</f>
        <v>1599.02001683752</v>
      </c>
      <c r="J31" s="78">
        <f>Production2!N4</f>
        <v>2535</v>
      </c>
      <c r="K31" s="74">
        <f>J31+'1'!K31</f>
        <v>2764.65</v>
      </c>
      <c r="L31" s="74">
        <f>J31+'1'!L31</f>
        <v>61621.8</v>
      </c>
      <c r="M31" s="724">
        <f>Production2!K4</f>
        <v>2239.75</v>
      </c>
      <c r="N31" s="724">
        <f>M31+'1'!N31</f>
        <v>2588.5</v>
      </c>
      <c r="O31" s="724">
        <f>M31+'1'!O31</f>
        <v>65363.5</v>
      </c>
      <c r="P31" s="724">
        <f>I31+J32+J31-M31</f>
        <v>2022.3700168375199</v>
      </c>
      <c r="Q31" s="96">
        <f t="shared" ref="Q31:Q46" si="6">J31/F31</f>
        <v>116.98200276880479</v>
      </c>
      <c r="R31" s="94"/>
      <c r="S31" s="94"/>
    </row>
    <row r="32" spans="2:19" x14ac:dyDescent="0.25">
      <c r="B32" s="79"/>
      <c r="C32" s="725" t="s">
        <v>263</v>
      </c>
      <c r="D32" s="726"/>
      <c r="E32" s="95">
        <v>20</v>
      </c>
      <c r="F32" s="78">
        <f>Production2!P4</f>
        <v>14.41</v>
      </c>
      <c r="G32" s="75">
        <f>F32+'1'!G32</f>
        <v>14.41</v>
      </c>
      <c r="H32" s="75">
        <f>F32+'1'!H32</f>
        <v>420.7</v>
      </c>
      <c r="I32" s="712"/>
      <c r="J32" s="78">
        <f>Production2!Q4</f>
        <v>128.1</v>
      </c>
      <c r="K32" s="74">
        <f>J32+'1'!K32</f>
        <v>128.1</v>
      </c>
      <c r="L32" s="74">
        <f>J32+'1'!L32</f>
        <v>3770.3399999999997</v>
      </c>
      <c r="M32" s="712"/>
      <c r="N32" s="712"/>
      <c r="O32" s="712"/>
      <c r="P32" s="712"/>
      <c r="Q32" s="96">
        <f t="shared" si="6"/>
        <v>8.8896599583622482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Production2!S4</f>
        <v>16.5</v>
      </c>
      <c r="G33" s="75">
        <f>F33+'1'!G33</f>
        <v>20</v>
      </c>
      <c r="H33" s="75">
        <f>F33+'1'!H33</f>
        <v>466.37</v>
      </c>
      <c r="I33" s="77">
        <f>Production2!T4</f>
        <v>39.209999999999923</v>
      </c>
      <c r="J33" s="77">
        <f>Production2!U4</f>
        <v>240</v>
      </c>
      <c r="K33" s="74">
        <f>J33+'1'!K33</f>
        <v>290</v>
      </c>
      <c r="L33" s="74">
        <f>J33+'1'!L33</f>
        <v>6442.7</v>
      </c>
      <c r="M33" s="77">
        <f>Production2!V4</f>
        <v>236</v>
      </c>
      <c r="N33" s="74">
        <f>M33+'1'!N33</f>
        <v>287</v>
      </c>
      <c r="O33" s="74">
        <f>M33+'1'!O33</f>
        <v>6415</v>
      </c>
      <c r="P33" s="74">
        <f t="shared" ref="P33" si="7">I33+J33-M33</f>
        <v>43.209999999999923</v>
      </c>
      <c r="Q33" s="96">
        <f t="shared" si="6"/>
        <v>14.545454545454545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Production2!Y4</f>
        <v>23</v>
      </c>
      <c r="G34" s="75">
        <f>F34+'1'!G34</f>
        <v>27.98</v>
      </c>
      <c r="H34" s="75">
        <f>F34+'1'!H34</f>
        <v>646.25</v>
      </c>
      <c r="I34" s="77">
        <f>Clinker!EJ4</f>
        <v>24336.660087567463</v>
      </c>
      <c r="J34" s="77">
        <f>Clinker!EK4</f>
        <v>1445</v>
      </c>
      <c r="K34" s="74">
        <f>J34+'1'!K34</f>
        <v>1670</v>
      </c>
      <c r="L34" s="74">
        <f>J34+'1'!L34</f>
        <v>42170</v>
      </c>
      <c r="M34" s="77">
        <f>Clinker!EL4</f>
        <v>862.50000010240001</v>
      </c>
      <c r="N34" s="74">
        <f>M34+'1'!N34</f>
        <v>1670.5000002754</v>
      </c>
      <c r="O34" s="74">
        <f>M34+'1'!O34</f>
        <v>20532.380012161673</v>
      </c>
      <c r="P34" s="74">
        <f>I34+J34-M34-I20</f>
        <v>24919.160087465061</v>
      </c>
      <c r="Q34" s="96">
        <f t="shared" si="6"/>
        <v>62.826086956521742</v>
      </c>
      <c r="R34" s="94"/>
      <c r="S34" s="94"/>
    </row>
    <row r="35" spans="2:19" x14ac:dyDescent="0.25">
      <c r="B35" s="687">
        <v>5</v>
      </c>
      <c r="C35" s="690" t="s">
        <v>146</v>
      </c>
      <c r="D35" s="80" t="s">
        <v>265</v>
      </c>
      <c r="E35" s="97">
        <v>90</v>
      </c>
      <c r="F35" s="78">
        <f>Production2!AE4</f>
        <v>0</v>
      </c>
      <c r="G35" s="75">
        <f>F35+'1'!G35</f>
        <v>0</v>
      </c>
      <c r="H35" s="75">
        <f>F35+'1'!H35</f>
        <v>9</v>
      </c>
      <c r="I35" s="77">
        <f>Production2!BJ4</f>
        <v>411.79999999999995</v>
      </c>
      <c r="J35" s="77">
        <f>Production2!AF4</f>
        <v>0</v>
      </c>
      <c r="K35" s="74">
        <f>J35+'1'!K35</f>
        <v>0</v>
      </c>
      <c r="L35" s="74">
        <f>J35+'1'!L35</f>
        <v>574</v>
      </c>
      <c r="M35" s="77">
        <f>Production2!BL4</f>
        <v>31</v>
      </c>
      <c r="N35" s="74">
        <f>M35+'1'!N35</f>
        <v>31</v>
      </c>
      <c r="O35" s="74">
        <f>M35+'1'!O35</f>
        <v>2425.5</v>
      </c>
      <c r="P35" s="74">
        <f>I35+J35+J41-M35-F59</f>
        <v>380.79999999999995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Production2!AB4</f>
        <v>0</v>
      </c>
      <c r="G36" s="75">
        <f>F36+'1'!G36</f>
        <v>0</v>
      </c>
      <c r="H36" s="75">
        <f>F36+'1'!H36</f>
        <v>206.33</v>
      </c>
      <c r="I36" s="77">
        <f>Production2!BF4</f>
        <v>2901.28799999998</v>
      </c>
      <c r="J36" s="77">
        <f>Production2!AC4</f>
        <v>0</v>
      </c>
      <c r="K36" s="74">
        <f>J36+'1'!K36</f>
        <v>0</v>
      </c>
      <c r="L36" s="74">
        <f>J36+'1'!L36</f>
        <v>12429</v>
      </c>
      <c r="M36" s="77">
        <f>Production2!BH4</f>
        <v>800.5</v>
      </c>
      <c r="N36" s="74">
        <f>M36+'1'!N36</f>
        <v>1428.5</v>
      </c>
      <c r="O36" s="74">
        <f>M36+'1'!O36</f>
        <v>36596.769999999997</v>
      </c>
      <c r="P36" s="74">
        <f>I36+J36+J42-M36-F57</f>
        <v>2900.78799999998</v>
      </c>
      <c r="Q36" s="96" t="e">
        <f t="shared" si="6"/>
        <v>#DIV/0!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Production2!AH4</f>
        <v>0</v>
      </c>
      <c r="G37" s="75">
        <f>F37+'1'!G37</f>
        <v>0</v>
      </c>
      <c r="H37" s="75">
        <f>F37+'1'!H37</f>
        <v>0</v>
      </c>
      <c r="I37" s="77">
        <f>Production2!BN4</f>
        <v>2.0900000000008498</v>
      </c>
      <c r="J37" s="77">
        <f>Production2!AI4</f>
        <v>0</v>
      </c>
      <c r="K37" s="74">
        <f>J37+'1'!K37</f>
        <v>0</v>
      </c>
      <c r="L37" s="74">
        <f>J37+'1'!L37</f>
        <v>0</v>
      </c>
      <c r="M37" s="77">
        <f>Production2!BP4</f>
        <v>0</v>
      </c>
      <c r="N37" s="74">
        <f>M37+'1'!N37</f>
        <v>0</v>
      </c>
      <c r="O37" s="74">
        <f>M37+'1'!O37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Production2!AK4</f>
        <v>0</v>
      </c>
      <c r="G38" s="75">
        <f>F38+'1'!G38</f>
        <v>0</v>
      </c>
      <c r="H38" s="75">
        <f>F38+'1'!H38</f>
        <v>0</v>
      </c>
      <c r="I38" s="195">
        <f>Production2!BR4</f>
        <v>186.3</v>
      </c>
      <c r="J38" s="195">
        <v>0</v>
      </c>
      <c r="K38" s="74">
        <f>J38+'1'!K38</f>
        <v>0</v>
      </c>
      <c r="L38" s="74">
        <f>J38+'1'!L38</f>
        <v>0</v>
      </c>
      <c r="M38" s="195">
        <f>Production2!BT4</f>
        <v>60</v>
      </c>
      <c r="N38" s="74">
        <f>M38+'1'!N38</f>
        <v>60</v>
      </c>
      <c r="O38" s="74">
        <f>M38+'1'!O38</f>
        <v>1907</v>
      </c>
      <c r="P38" s="74">
        <f>I38+J38+J44-M38-F60</f>
        <v>126.30000000000001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Production2!AN4</f>
        <v>0</v>
      </c>
      <c r="G39" s="75">
        <f>F39+'1'!G39</f>
        <v>0</v>
      </c>
      <c r="H39" s="75">
        <f>F39+'1'!H39</f>
        <v>40.65</v>
      </c>
      <c r="I39" s="195">
        <f>Production2!BV4</f>
        <v>925.87000000000012</v>
      </c>
      <c r="J39" s="195">
        <v>0</v>
      </c>
      <c r="K39" s="74">
        <f>J39+'1'!K39</f>
        <v>0</v>
      </c>
      <c r="L39" s="74">
        <f>J39+'1'!L39</f>
        <v>2532</v>
      </c>
      <c r="M39" s="77">
        <f>Production2!BX4</f>
        <v>121.92</v>
      </c>
      <c r="N39" s="74">
        <f>M39+'1'!N39</f>
        <v>181.88</v>
      </c>
      <c r="O39" s="74">
        <f>M39+'1'!O39</f>
        <v>5603.7599999999993</v>
      </c>
      <c r="P39" s="74">
        <f>I39+J39+J45-M39</f>
        <v>1171.95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0</v>
      </c>
      <c r="G40" s="132">
        <f t="shared" ref="G40:H40" si="8">G35+G36+G37+G38+G39</f>
        <v>0</v>
      </c>
      <c r="H40" s="132">
        <f t="shared" si="8"/>
        <v>255.98000000000002</v>
      </c>
      <c r="I40" s="122">
        <f>I35+I36+I37+I38+I39</f>
        <v>4427.3479999999809</v>
      </c>
      <c r="J40" s="122">
        <f>J35+J36+J37+J38+J39</f>
        <v>0</v>
      </c>
      <c r="K40" s="122">
        <f t="shared" ref="K40:P40" si="9">K35+K36+K37+K38+K39</f>
        <v>0</v>
      </c>
      <c r="L40" s="122">
        <f t="shared" si="9"/>
        <v>15535</v>
      </c>
      <c r="M40" s="122">
        <f t="shared" si="9"/>
        <v>1013.42</v>
      </c>
      <c r="N40" s="122">
        <f t="shared" si="9"/>
        <v>1701.38</v>
      </c>
      <c r="O40" s="122">
        <f t="shared" si="9"/>
        <v>46532.88</v>
      </c>
      <c r="P40" s="122">
        <f t="shared" si="9"/>
        <v>4581.9279999999808</v>
      </c>
      <c r="Q40" s="123" t="e">
        <f t="shared" si="6"/>
        <v>#DIV/0!</v>
      </c>
      <c r="R40" s="94"/>
      <c r="S40" s="94"/>
    </row>
    <row r="41" spans="2:19" x14ac:dyDescent="0.25">
      <c r="B41" s="687">
        <v>5</v>
      </c>
      <c r="C41" s="690" t="s">
        <v>268</v>
      </c>
      <c r="D41" s="80" t="s">
        <v>265</v>
      </c>
      <c r="E41" s="97">
        <v>75</v>
      </c>
      <c r="F41" s="78">
        <f>Production2!AT4</f>
        <v>0</v>
      </c>
      <c r="G41" s="75">
        <f>F41+'1'!G41</f>
        <v>0</v>
      </c>
      <c r="H41" s="75">
        <f>F41+'1'!H41</f>
        <v>33.099999999999994</v>
      </c>
      <c r="I41" s="710"/>
      <c r="J41" s="77">
        <f>Production2!AU4</f>
        <v>0</v>
      </c>
      <c r="K41" s="74">
        <f>J41+'1'!K41</f>
        <v>0</v>
      </c>
      <c r="L41" s="74">
        <f>J41+'1'!L41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Production2!AQ4</f>
        <v>14.28</v>
      </c>
      <c r="G42" s="75">
        <f>F42+'1'!G42</f>
        <v>28.68</v>
      </c>
      <c r="H42" s="75">
        <f>F42+'1'!H42</f>
        <v>444.68</v>
      </c>
      <c r="I42" s="711"/>
      <c r="J42" s="77">
        <f>Production2!AR4</f>
        <v>800</v>
      </c>
      <c r="K42" s="74">
        <f>J42+'1'!K42</f>
        <v>1650</v>
      </c>
      <c r="L42" s="74">
        <f>J42+'1'!L42</f>
        <v>25790</v>
      </c>
      <c r="M42" s="716"/>
      <c r="N42" s="717"/>
      <c r="O42" s="717"/>
      <c r="P42" s="718"/>
      <c r="Q42" s="96">
        <f t="shared" si="6"/>
        <v>56.022408963585434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Production2!AW4</f>
        <v>0</v>
      </c>
      <c r="G43" s="75">
        <f>F43+'1'!G43</f>
        <v>0</v>
      </c>
      <c r="H43" s="75">
        <f>F43+'1'!H43</f>
        <v>0</v>
      </c>
      <c r="I43" s="711"/>
      <c r="J43" s="77">
        <f>Production2!AX4</f>
        <v>0</v>
      </c>
      <c r="K43" s="74">
        <f>J43+'1'!K43</f>
        <v>0</v>
      </c>
      <c r="L43" s="74">
        <f>J43+'1'!L43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Production2!AZ4</f>
        <v>0</v>
      </c>
      <c r="G44" s="75">
        <f>F44+'1'!G44</f>
        <v>0</v>
      </c>
      <c r="H44" s="75">
        <f>F44+'1'!H44</f>
        <v>32.880000000000003</v>
      </c>
      <c r="I44" s="712"/>
      <c r="J44" s="195">
        <f>Production2!BA4</f>
        <v>0</v>
      </c>
      <c r="K44" s="74">
        <f>J44+'1'!K44</f>
        <v>0</v>
      </c>
      <c r="L44" s="74">
        <f>J44+'1'!L44</f>
        <v>1820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Production2!BC4</f>
        <v>6.22</v>
      </c>
      <c r="G45" s="75">
        <f>F45+'1'!G45</f>
        <v>9.98</v>
      </c>
      <c r="H45" s="75">
        <f>F45+'1'!H45</f>
        <v>64.95</v>
      </c>
      <c r="I45" s="427"/>
      <c r="J45" s="195">
        <f>Production2!BD4</f>
        <v>368</v>
      </c>
      <c r="K45" s="74">
        <f>J45+'1'!K45</f>
        <v>598</v>
      </c>
      <c r="L45" s="74">
        <f>J45+'1'!L45</f>
        <v>3870</v>
      </c>
      <c r="M45" s="719"/>
      <c r="N45" s="720"/>
      <c r="O45" s="720"/>
      <c r="P45" s="721"/>
      <c r="Q45" s="96">
        <f t="shared" si="6"/>
        <v>59.163987138263671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20.5</v>
      </c>
      <c r="G46" s="132">
        <f t="shared" ref="G46:H46" si="10">G41+G42+G43+G44+G45</f>
        <v>38.659999999999997</v>
      </c>
      <c r="H46" s="132">
        <f t="shared" si="10"/>
        <v>575.61</v>
      </c>
      <c r="I46" s="132">
        <f t="shared" ref="I46" si="11">I41+I42+I43+I44</f>
        <v>0</v>
      </c>
      <c r="J46" s="132">
        <f>J41+J42+J43+J44+J45</f>
        <v>1168</v>
      </c>
      <c r="K46" s="132">
        <f t="shared" ref="K46:L46" si="12">K41+K42+K43+K44+K45</f>
        <v>2248</v>
      </c>
      <c r="L46" s="132">
        <f t="shared" si="12"/>
        <v>33480</v>
      </c>
      <c r="M46" s="132"/>
      <c r="N46" s="132"/>
      <c r="O46" s="132"/>
      <c r="P46" s="132"/>
      <c r="Q46" s="123">
        <f t="shared" si="6"/>
        <v>56.975609756097562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756" t="s">
        <v>269</v>
      </c>
      <c r="C48" s="722"/>
      <c r="D48" s="722"/>
      <c r="E48" s="722"/>
      <c r="F48" s="722"/>
      <c r="G48" s="722"/>
      <c r="H48" s="722"/>
      <c r="I48" s="722"/>
      <c r="J48" s="722"/>
      <c r="K48" s="722"/>
      <c r="L48" s="722"/>
      <c r="M48" s="757"/>
      <c r="N48" s="696" t="s">
        <v>270</v>
      </c>
      <c r="O48" s="697"/>
      <c r="P48" s="697"/>
      <c r="Q48" s="698"/>
      <c r="R48" s="98"/>
      <c r="S48" s="98"/>
    </row>
    <row r="49" spans="2:19" s="70" customFormat="1" ht="15.6" customHeight="1" thickBot="1" x14ac:dyDescent="0.3">
      <c r="B49" s="145" t="s">
        <v>229</v>
      </c>
      <c r="C49" s="708" t="s">
        <v>230</v>
      </c>
      <c r="D49" s="708"/>
      <c r="E49" s="133" t="s">
        <v>141</v>
      </c>
      <c r="F49" s="133" t="s">
        <v>120</v>
      </c>
      <c r="G49" s="133" t="s">
        <v>144</v>
      </c>
      <c r="H49" s="133" t="s">
        <v>145</v>
      </c>
      <c r="I49" s="133" t="s">
        <v>271</v>
      </c>
      <c r="J49" s="133" t="s">
        <v>147</v>
      </c>
      <c r="K49" s="133" t="s">
        <v>272</v>
      </c>
      <c r="L49" s="146" t="s">
        <v>273</v>
      </c>
      <c r="M49" s="135" t="s">
        <v>150</v>
      </c>
      <c r="N49" s="147" t="s">
        <v>229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2.4401751339926023</v>
      </c>
      <c r="F50" s="99">
        <f>F53/(J31+J32)</f>
        <v>22.326236341106231</v>
      </c>
      <c r="G50" s="99">
        <f>G53/J34</f>
        <v>34.652595155709342</v>
      </c>
      <c r="H50" s="99">
        <f>H53/J33</f>
        <v>57.43333333333333</v>
      </c>
      <c r="I50" s="99"/>
      <c r="J50" s="99"/>
      <c r="K50" s="99"/>
      <c r="L50" s="99"/>
      <c r="M50" s="100"/>
      <c r="N50" s="101">
        <v>1</v>
      </c>
      <c r="O50" s="727" t="s">
        <v>275</v>
      </c>
      <c r="P50" s="727"/>
      <c r="Q50" s="93">
        <f>(M33/J34)*100</f>
        <v>16.332179930795849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4.6169126756648957</v>
      </c>
      <c r="F51" s="102">
        <f>F50*1.55</f>
        <v>34.605666328714662</v>
      </c>
      <c r="G51" s="102">
        <f>G50</f>
        <v>34.652595155709342</v>
      </c>
      <c r="H51" s="102">
        <f>H50*Q50/100</f>
        <v>9.3801153402537487</v>
      </c>
      <c r="I51" s="102"/>
      <c r="J51" s="102"/>
      <c r="K51" s="102"/>
      <c r="L51" s="102"/>
      <c r="M51" s="96">
        <f>SUM(E51:H51)</f>
        <v>83.255289500342656</v>
      </c>
      <c r="N51" s="103">
        <v>2</v>
      </c>
      <c r="O51" s="728" t="s">
        <v>277</v>
      </c>
      <c r="P51" s="728"/>
      <c r="Q51" s="104">
        <v>5311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3.4093212185220416</v>
      </c>
      <c r="F52" s="102">
        <f>F51*M18/100</f>
        <v>25.554269873339052</v>
      </c>
      <c r="G52" s="102">
        <f>G51*M18/100</f>
        <v>25.588924079921004</v>
      </c>
      <c r="H52" s="102">
        <f>H51*M18/100</f>
        <v>6.926669076994334</v>
      </c>
      <c r="I52" s="102">
        <f>I53/(J40+J46)</f>
        <v>44.386986301369866</v>
      </c>
      <c r="J52" s="99">
        <f>J53/(J40+J46)</f>
        <v>1.3912671232876712</v>
      </c>
      <c r="K52" s="99">
        <f>K53/(M40+M46)</f>
        <v>5.4903199068500719</v>
      </c>
      <c r="L52" s="99">
        <f>L53/(J40+J46)</f>
        <v>4.1224315068493151</v>
      </c>
      <c r="M52" s="96">
        <f>SUM(E52:L52)</f>
        <v>116.87018908713337</v>
      </c>
      <c r="N52" s="103">
        <v>3</v>
      </c>
      <c r="O52" s="728" t="s">
        <v>279</v>
      </c>
      <c r="P52" s="728"/>
      <c r="Q52" s="104">
        <f>Q51*Q50/100</f>
        <v>867.40207612456754</v>
      </c>
    </row>
    <row r="53" spans="2:19" ht="15" customHeight="1" thickBot="1" x14ac:dyDescent="0.3">
      <c r="B53" s="199" t="s">
        <v>241</v>
      </c>
      <c r="C53" s="821" t="s">
        <v>280</v>
      </c>
      <c r="D53" s="821"/>
      <c r="E53" s="203">
        <f>'Daily unit'!B4</f>
        <v>1293</v>
      </c>
      <c r="F53" s="203">
        <f>'Daily unit'!C4</f>
        <v>59457</v>
      </c>
      <c r="G53" s="203">
        <f>'Daily unit'!E4</f>
        <v>50073</v>
      </c>
      <c r="H53" s="203">
        <f>'Daily unit'!F4</f>
        <v>13784</v>
      </c>
      <c r="I53" s="203">
        <f>'Daily unit'!G4</f>
        <v>51844</v>
      </c>
      <c r="J53" s="203">
        <f>'Daily unit'!H4</f>
        <v>1625</v>
      </c>
      <c r="K53" s="203">
        <f>'Daily unit'!I4</f>
        <v>5564</v>
      </c>
      <c r="L53" s="203">
        <f>'Daily unit'!J4</f>
        <v>4815</v>
      </c>
      <c r="M53" s="204">
        <f>SUM(E53:L53)</f>
        <v>188455</v>
      </c>
      <c r="N53" s="205"/>
      <c r="O53" s="206"/>
      <c r="P53" s="84"/>
      <c r="Q53" s="207"/>
    </row>
    <row r="54" spans="2:19" ht="15" customHeight="1" thickBot="1" x14ac:dyDescent="0.3">
      <c r="B54" s="818"/>
      <c r="C54" s="819"/>
      <c r="D54" s="819"/>
      <c r="E54" s="819"/>
      <c r="F54" s="819"/>
      <c r="G54" s="819"/>
      <c r="H54" s="819"/>
      <c r="I54" s="819"/>
      <c r="J54" s="819"/>
      <c r="K54" s="819"/>
      <c r="L54" s="819"/>
      <c r="M54" s="819"/>
      <c r="N54" s="819"/>
      <c r="O54" s="819"/>
      <c r="P54" s="819"/>
      <c r="Q54" s="820"/>
    </row>
    <row r="55" spans="2:19" ht="14.45" customHeight="1" x14ac:dyDescent="0.25">
      <c r="B55" s="756" t="s">
        <v>281</v>
      </c>
      <c r="C55" s="722"/>
      <c r="D55" s="722"/>
      <c r="E55" s="722"/>
      <c r="F55" s="722"/>
      <c r="G55" s="722"/>
      <c r="H55" s="722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187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687">
        <v>1</v>
      </c>
      <c r="C57" s="812" t="s">
        <v>285</v>
      </c>
      <c r="D57" s="813"/>
      <c r="E57" s="80">
        <v>42.5</v>
      </c>
      <c r="F57" s="53">
        <f>'Internal use cement'!F4</f>
        <v>0</v>
      </c>
      <c r="G57" s="53">
        <f>F57+'1'!G57</f>
        <v>0</v>
      </c>
      <c r="H57" s="77">
        <f>F57+'1'!H57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688"/>
      <c r="C58" s="814"/>
      <c r="D58" s="815"/>
      <c r="E58" s="80" t="s">
        <v>195</v>
      </c>
      <c r="F58" s="53">
        <f>'Internal use cement'!Q4</f>
        <v>0</v>
      </c>
      <c r="G58" s="53">
        <f>F58+'1'!G58</f>
        <v>0</v>
      </c>
      <c r="H58" s="77">
        <f>F58+'1'!H58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688"/>
      <c r="C59" s="814"/>
      <c r="D59" s="815"/>
      <c r="E59" s="80">
        <v>32.5</v>
      </c>
      <c r="F59" s="53">
        <f>'Internal use cement'!AB4</f>
        <v>0</v>
      </c>
      <c r="G59" s="53">
        <f>F59+'1'!G59</f>
        <v>0</v>
      </c>
      <c r="H59" s="77">
        <f>F59+'1'!H59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89"/>
      <c r="C60" s="816"/>
      <c r="D60" s="817"/>
      <c r="E60" s="112" t="s">
        <v>175</v>
      </c>
      <c r="F60" s="113">
        <f>'Internal use cement'!AJ4</f>
        <v>0</v>
      </c>
      <c r="G60" s="113">
        <f>F60+'1'!G60</f>
        <v>0</v>
      </c>
      <c r="H60" s="209">
        <f>F60+'1'!H60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109"/>
      <c r="S61" s="109"/>
    </row>
    <row r="62" spans="2:19" x14ac:dyDescent="0.25">
      <c r="R62" s="94"/>
      <c r="S62" s="94"/>
    </row>
    <row r="63" spans="2:19" x14ac:dyDescent="0.25">
      <c r="R63" s="117"/>
      <c r="S63" s="117"/>
    </row>
    <row r="64" spans="2:19" x14ac:dyDescent="0.25">
      <c r="R64" s="117"/>
      <c r="S64" s="117"/>
    </row>
    <row r="65" spans="2:19" x14ac:dyDescent="0.25">
      <c r="R65" s="117"/>
      <c r="S65" s="117"/>
    </row>
    <row r="66" spans="2:19" x14ac:dyDescent="0.25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2:19" x14ac:dyDescent="0.25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</row>
    <row r="68" spans="2:19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</sheetData>
  <mergeCells count="85"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M23:N24"/>
    <mergeCell ref="P23:Q25"/>
    <mergeCell ref="C25:D25"/>
    <mergeCell ref="M25:N25"/>
    <mergeCell ref="C21:D21"/>
    <mergeCell ref="M18:M19"/>
    <mergeCell ref="C23:C24"/>
    <mergeCell ref="B35:B40"/>
    <mergeCell ref="C35:C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P31:P32"/>
    <mergeCell ref="C32:D32"/>
    <mergeCell ref="I31:I32"/>
    <mergeCell ref="M31:M32"/>
    <mergeCell ref="B57:B60"/>
    <mergeCell ref="B41:B46"/>
    <mergeCell ref="C41:C46"/>
    <mergeCell ref="B55:H55"/>
    <mergeCell ref="B47:Q47"/>
    <mergeCell ref="B48:M48"/>
    <mergeCell ref="N48:Q48"/>
    <mergeCell ref="C49:D49"/>
    <mergeCell ref="O49:P49"/>
    <mergeCell ref="C50:D50"/>
    <mergeCell ref="O50:P50"/>
    <mergeCell ref="C51:D51"/>
    <mergeCell ref="O51:P51"/>
    <mergeCell ref="C52:D52"/>
    <mergeCell ref="B54:Q54"/>
    <mergeCell ref="C53:D53"/>
    <mergeCell ref="C56:E56"/>
    <mergeCell ref="I55:Q60"/>
    <mergeCell ref="C57:D60"/>
    <mergeCell ref="I41:I44"/>
    <mergeCell ref="O52:P52"/>
    <mergeCell ref="N31:N32"/>
    <mergeCell ref="O31:O32"/>
    <mergeCell ref="M41:P45"/>
    <mergeCell ref="C30:D30"/>
    <mergeCell ref="C31:D31"/>
    <mergeCell ref="C33:D33"/>
    <mergeCell ref="C34:D34"/>
  </mergeCells>
  <pageMargins left="0" right="0" top="0.75" bottom="0.75" header="0.3" footer="0.3"/>
  <pageSetup paperSize="9" scale="5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B2:U155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T15" sqref="T15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10.140625" style="68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1.140625" style="68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318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 t="s">
        <v>286</v>
      </c>
    </row>
    <row r="7" spans="2:21" ht="15" customHeight="1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210" t="s">
        <v>242</v>
      </c>
      <c r="D9" s="73" t="s">
        <v>29</v>
      </c>
      <c r="E9" s="74">
        <f>'2'!L9</f>
        <v>19294.851704849007</v>
      </c>
      <c r="F9" s="74">
        <f>Production2!D5</f>
        <v>2727</v>
      </c>
      <c r="G9" s="74">
        <f>F9+'2'!G9</f>
        <v>12885.1</v>
      </c>
      <c r="H9" s="74">
        <f>F9+'2'!H9</f>
        <v>77870.800000000017</v>
      </c>
      <c r="I9" s="74">
        <f>Production2!E5</f>
        <v>2540</v>
      </c>
      <c r="J9" s="74">
        <f>I9+'2'!J9</f>
        <v>5510</v>
      </c>
      <c r="K9" s="74">
        <f>I9+'2'!K9</f>
        <v>72397</v>
      </c>
      <c r="L9" s="74">
        <f>E9+F9-I9-I21</f>
        <v>19439.351704599008</v>
      </c>
      <c r="M9" s="75">
        <f>I9</f>
        <v>2540</v>
      </c>
      <c r="N9" s="75">
        <f>(I9/I13)*100</f>
        <v>94.705443698732296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(2)'!L5</f>
        <v>1921.1800000000003</v>
      </c>
      <c r="F10" s="77">
        <f>'Mines (2)'!M5</f>
        <v>348.68</v>
      </c>
      <c r="G10" s="74">
        <f>F10+'2'!G10</f>
        <v>1472.3600000000004</v>
      </c>
      <c r="H10" s="74">
        <f>F10+'2'!H10</f>
        <v>2823.82</v>
      </c>
      <c r="I10" s="77">
        <f>'Mines (2)'!N5</f>
        <v>75</v>
      </c>
      <c r="J10" s="74">
        <f>I10+'2'!J10</f>
        <v>224</v>
      </c>
      <c r="K10" s="74">
        <f>I10+'2'!K10</f>
        <v>753</v>
      </c>
      <c r="L10" s="77">
        <f t="shared" ref="L10:L13" si="0">E10+F10-I10</f>
        <v>2194.86</v>
      </c>
      <c r="M10" s="75">
        <f t="shared" ref="M10:M12" si="1">I10</f>
        <v>75</v>
      </c>
      <c r="N10" s="75">
        <f>(I10/I13)*100</f>
        <v>2.796420581655481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Clinker!C5</f>
        <v>3970.8599999999997</v>
      </c>
      <c r="F11" s="77">
        <f>Clinker!D5</f>
        <v>0</v>
      </c>
      <c r="G11" s="74">
        <f>F11+'2'!G11</f>
        <v>37.520000000000003</v>
      </c>
      <c r="H11" s="74">
        <f>F11+'2'!H11</f>
        <v>107.22</v>
      </c>
      <c r="I11" s="77">
        <f>Clinker!E5</f>
        <v>54</v>
      </c>
      <c r="J11" s="74">
        <f>I11+'2'!J11</f>
        <v>119</v>
      </c>
      <c r="K11" s="74">
        <f>I11+'2'!K11</f>
        <v>1556</v>
      </c>
      <c r="L11" s="77">
        <f t="shared" si="0"/>
        <v>3916.8599999999997</v>
      </c>
      <c r="M11" s="75">
        <f t="shared" si="1"/>
        <v>54</v>
      </c>
      <c r="N11" s="75">
        <f>(I11/I13)*100</f>
        <v>2.0134228187919461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(2)'!Q5</f>
        <v>163.03999999999996</v>
      </c>
      <c r="F12" s="77">
        <f>'Mines (2)'!R5</f>
        <v>0</v>
      </c>
      <c r="G12" s="74">
        <f>F12+'2'!G12</f>
        <v>0</v>
      </c>
      <c r="H12" s="74">
        <f>F12+'2'!H12</f>
        <v>137.76</v>
      </c>
      <c r="I12" s="77">
        <f>'Mines (2)'!S5</f>
        <v>13</v>
      </c>
      <c r="J12" s="74">
        <f>I12+'2'!J12</f>
        <v>41</v>
      </c>
      <c r="K12" s="74">
        <f>I12+'2'!K12</f>
        <v>588</v>
      </c>
      <c r="L12" s="77">
        <f t="shared" si="0"/>
        <v>150.03999999999996</v>
      </c>
      <c r="M12" s="75">
        <f t="shared" si="1"/>
        <v>13</v>
      </c>
      <c r="N12" s="75">
        <f>(I12/I13)*100</f>
        <v>0.4847129008202834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25349.931704849008</v>
      </c>
      <c r="F13" s="127">
        <f t="shared" si="2"/>
        <v>3075.68</v>
      </c>
      <c r="G13" s="127">
        <f t="shared" si="2"/>
        <v>14394.980000000001</v>
      </c>
      <c r="H13" s="127">
        <f t="shared" si="2"/>
        <v>80939.60000000002</v>
      </c>
      <c r="I13" s="127">
        <f t="shared" si="2"/>
        <v>2682</v>
      </c>
      <c r="J13" s="127">
        <f t="shared" si="2"/>
        <v>5894</v>
      </c>
      <c r="K13" s="127">
        <f t="shared" si="2"/>
        <v>75294</v>
      </c>
      <c r="L13" s="127">
        <f t="shared" si="0"/>
        <v>25743.611704849009</v>
      </c>
      <c r="M13" s="128">
        <f>SUM(M9:M12)</f>
        <v>2682</v>
      </c>
      <c r="N13" s="128">
        <f>SUM(N9:N12)</f>
        <v>100.00000000000001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Clinker!EB5</f>
        <v>7803.2369999999901</v>
      </c>
      <c r="F14" s="77">
        <f>Clinker!EC5</f>
        <v>0</v>
      </c>
      <c r="G14" s="77">
        <f>F14+'2'!G14</f>
        <v>0</v>
      </c>
      <c r="H14" s="77">
        <f>F14+'2'!H14</f>
        <v>181.5</v>
      </c>
      <c r="I14" s="77">
        <f>Clinker!ED5</f>
        <v>265</v>
      </c>
      <c r="J14" s="77">
        <f>I14+'2'!J14</f>
        <v>587.23</v>
      </c>
      <c r="K14" s="77">
        <f>I14+'2'!K14</f>
        <v>7423.5300000000007</v>
      </c>
      <c r="L14" s="77">
        <f>E14+F14-I14-Clinker!N5-Clinker!Z5-Clinker!AS5-Clinker!AX5-Clinker!BC5-Clinker!BW5-Clinker!BH5-Clinker!BM5-Clinker!BR5-Clinker!CV5-Clinker!DP5</f>
        <v>7466.2369999999901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Clinker!EF5</f>
        <v>9958.9999999999964</v>
      </c>
      <c r="F15" s="77">
        <f>Clinker!EG5</f>
        <v>0</v>
      </c>
      <c r="G15" s="77">
        <f>F15+'2'!G15</f>
        <v>64.3</v>
      </c>
      <c r="H15" s="77">
        <f>F15+'2'!H15</f>
        <v>219.35000000000002</v>
      </c>
      <c r="I15" s="77">
        <f>Clinker!EH5</f>
        <v>144</v>
      </c>
      <c r="J15" s="77">
        <f>I15+'2'!J15</f>
        <v>375</v>
      </c>
      <c r="K15" s="77">
        <f>I15+'2'!K15</f>
        <v>4244</v>
      </c>
      <c r="L15" s="77">
        <f>E15+F15-Clinker!AE5-Clinker!AJ5-Clinker!CG5-Clinker!CL5-Clinker!CQ5</f>
        <v>9886.9999999999964</v>
      </c>
      <c r="M15" s="81"/>
      <c r="N15" s="81"/>
      <c r="O15" s="787"/>
      <c r="P15" s="78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17762.236999999986</v>
      </c>
      <c r="F16" s="125">
        <f>F14+F15</f>
        <v>0</v>
      </c>
      <c r="G16" s="125">
        <f t="shared" ref="G16:L16" si="3">G14+G15</f>
        <v>64.3</v>
      </c>
      <c r="H16" s="125">
        <f t="shared" si="3"/>
        <v>400.85</v>
      </c>
      <c r="I16" s="125">
        <f>I14+I15</f>
        <v>409</v>
      </c>
      <c r="J16" s="125">
        <f>J14+J15</f>
        <v>962.23</v>
      </c>
      <c r="K16" s="125">
        <f>K14+K15</f>
        <v>11667.53</v>
      </c>
      <c r="L16" s="125">
        <f t="shared" si="3"/>
        <v>17353.236999999986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Clinker!EJ5</f>
        <v>24919.160087465061</v>
      </c>
      <c r="F18" s="74">
        <f>Clinker!EK5</f>
        <v>1625</v>
      </c>
      <c r="G18" s="74">
        <f>F18+'2'!G18</f>
        <v>3295</v>
      </c>
      <c r="H18" s="74">
        <f>F18+'2'!H18</f>
        <v>43795</v>
      </c>
      <c r="I18" s="434">
        <f>Clinker!EL5</f>
        <v>194.99999975</v>
      </c>
      <c r="J18" s="74">
        <f>I18+'2'!J18</f>
        <v>1865.5000000253999</v>
      </c>
      <c r="K18" s="74">
        <f>I18+'2'!K18</f>
        <v>20727.380011911675</v>
      </c>
      <c r="L18" s="99">
        <f>E18+F18-I18-I20</f>
        <v>26349.160087715059</v>
      </c>
      <c r="M18" s="783">
        <f>((I19+I18)/I25)*100</f>
        <v>77.999999900000006</v>
      </c>
      <c r="N18" s="765"/>
      <c r="O18" s="767"/>
      <c r="P18" s="769"/>
      <c r="Q18" s="770"/>
      <c r="R18" s="20"/>
      <c r="S18" s="20"/>
    </row>
    <row r="19" spans="2:19" ht="45" x14ac:dyDescent="0.25">
      <c r="B19" s="763"/>
      <c r="C19" s="691"/>
      <c r="D19" s="85" t="s">
        <v>75</v>
      </c>
      <c r="E19" s="74">
        <f>Clinker!EO5</f>
        <v>5246.5190080001357</v>
      </c>
      <c r="F19" s="74">
        <f>Clinker!EP5</f>
        <v>0</v>
      </c>
      <c r="G19" s="74">
        <f>F19+'2'!G19</f>
        <v>91.19</v>
      </c>
      <c r="H19" s="74">
        <f>F19+'2'!H19</f>
        <v>13331.070000000003</v>
      </c>
      <c r="I19" s="74">
        <f>Clinker!EQ5</f>
        <v>0</v>
      </c>
      <c r="J19" s="74">
        <f>I19+'2'!J19</f>
        <v>0</v>
      </c>
      <c r="K19" s="74">
        <f>I19+'2'!K19</f>
        <v>16934.099999999999</v>
      </c>
      <c r="L19" s="74">
        <f>E19+F19-I19</f>
        <v>5246.5190080001357</v>
      </c>
      <c r="M19" s="784"/>
      <c r="N19" s="765"/>
      <c r="O19" s="767"/>
      <c r="P19" s="769"/>
      <c r="Q19" s="770"/>
      <c r="R19" s="190"/>
      <c r="S19" s="20"/>
    </row>
    <row r="20" spans="2:19" ht="30" x14ac:dyDescent="0.25">
      <c r="B20" s="763"/>
      <c r="C20" s="764"/>
      <c r="D20" s="86" t="s">
        <v>249</v>
      </c>
      <c r="E20" s="77"/>
      <c r="F20" s="77">
        <f>Clinker!EN5</f>
        <v>0</v>
      </c>
      <c r="G20" s="74">
        <f>F20+'2'!G20</f>
        <v>0</v>
      </c>
      <c r="H20" s="74">
        <f>F20+'2'!H20</f>
        <v>0</v>
      </c>
      <c r="I20" s="77">
        <f>Clinker!EN5</f>
        <v>0</v>
      </c>
      <c r="J20" s="74">
        <f>I20+'2'!J20</f>
        <v>0</v>
      </c>
      <c r="K20" s="74">
        <f>I20+'2'!K20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77">
        <f>Cement!R5</f>
        <v>42.500000249999999</v>
      </c>
      <c r="J21" s="74">
        <f>I21+'2'!J21</f>
        <v>507.50000002260003</v>
      </c>
      <c r="K21" s="74">
        <f>I21+'2'!K21</f>
        <v>9139.3199925848348</v>
      </c>
      <c r="L21" s="74"/>
      <c r="M21" s="78">
        <f>(I21/(J40+J46))*100</f>
        <v>17.000000099999998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Cement!C5</f>
        <v>6964.5800636462809</v>
      </c>
      <c r="F22" s="77">
        <f>Cement!D5</f>
        <v>0</v>
      </c>
      <c r="G22" s="74">
        <f>F22+'2'!G22</f>
        <v>0</v>
      </c>
      <c r="H22" s="74">
        <f>F22+'2'!H22</f>
        <v>1970.9</v>
      </c>
      <c r="I22" s="77">
        <f>Cement!E5</f>
        <v>12.5</v>
      </c>
      <c r="J22" s="74">
        <f>I22+'2'!J22</f>
        <v>124.999999952</v>
      </c>
      <c r="K22" s="74">
        <f>I22+'2'!K22</f>
        <v>2464.1999955034994</v>
      </c>
      <c r="L22" s="74">
        <f t="shared" ref="L22:L24" si="4">E22+F22-I22</f>
        <v>6952.0800636462809</v>
      </c>
      <c r="M22" s="78">
        <f>(I22/(J40+J46))*100</f>
        <v>5</v>
      </c>
      <c r="N22" s="78"/>
      <c r="O22" s="767"/>
      <c r="P22" s="87"/>
      <c r="Q22" s="774"/>
      <c r="R22" s="20"/>
      <c r="S22" s="20"/>
    </row>
    <row r="23" spans="2:19" ht="15" customHeight="1" x14ac:dyDescent="0.25">
      <c r="B23" s="763"/>
      <c r="C23" s="690" t="s">
        <v>251</v>
      </c>
      <c r="D23" s="614" t="s">
        <v>252</v>
      </c>
      <c r="E23" s="77">
        <f>Cement!H5</f>
        <v>0.23999999999796273</v>
      </c>
      <c r="F23" s="77">
        <f>Cement!I5</f>
        <v>0</v>
      </c>
      <c r="G23" s="74">
        <f>F23+'2'!G23</f>
        <v>0</v>
      </c>
      <c r="H23" s="74">
        <f>F23+'2'!H23</f>
        <v>0</v>
      </c>
      <c r="I23" s="77">
        <f>Cement!J5</f>
        <v>0</v>
      </c>
      <c r="J23" s="74">
        <f>I23+'2'!J23</f>
        <v>0</v>
      </c>
      <c r="K23" s="74">
        <f>I23+'2'!K23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614" t="s">
        <v>253</v>
      </c>
      <c r="E24" s="77">
        <f>Cement!L5</f>
        <v>0</v>
      </c>
      <c r="F24" s="77">
        <f>Cement!M5</f>
        <v>0</v>
      </c>
      <c r="G24" s="74">
        <f>F24+'2'!G24</f>
        <v>0</v>
      </c>
      <c r="H24" s="74">
        <f>F24+'2'!H24</f>
        <v>0</v>
      </c>
      <c r="I24" s="77">
        <f>Cement!N5</f>
        <v>0</v>
      </c>
      <c r="J24" s="74">
        <f>I24+'2'!J24</f>
        <v>0</v>
      </c>
      <c r="K24" s="74">
        <f>I24+'2'!K24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37130.499159111474</v>
      </c>
      <c r="F25" s="122">
        <f t="shared" ref="F25:L25" si="5">F18+F19+F21+F22+F23+F24</f>
        <v>1625</v>
      </c>
      <c r="G25" s="122">
        <f t="shared" si="5"/>
        <v>3386.19</v>
      </c>
      <c r="H25" s="122">
        <f t="shared" si="5"/>
        <v>59096.970000000008</v>
      </c>
      <c r="I25" s="122">
        <f t="shared" si="5"/>
        <v>250</v>
      </c>
      <c r="J25" s="122">
        <f t="shared" si="5"/>
        <v>2498</v>
      </c>
      <c r="K25" s="122">
        <f t="shared" si="5"/>
        <v>49265</v>
      </c>
      <c r="L25" s="122">
        <f t="shared" si="5"/>
        <v>38547.999159361476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Production2!C5</f>
        <v>18.98</v>
      </c>
      <c r="G30" s="75">
        <f>F30+'2'!G30</f>
        <v>39.32</v>
      </c>
      <c r="H30" s="75">
        <f>F30+'2'!H30</f>
        <v>471.80000000000013</v>
      </c>
      <c r="I30" s="74">
        <f>'Mines (2)'!C5+'Mines (2)'!H5+'Mines (2)'!V5+'Mines (2)'!Z5+'Mines (2)'!AD5</f>
        <v>19294.851704849007</v>
      </c>
      <c r="J30" s="74">
        <f>Production2!D5</f>
        <v>2727</v>
      </c>
      <c r="K30" s="74">
        <f>J30+'2'!K30</f>
        <v>12885.1</v>
      </c>
      <c r="L30" s="74">
        <f>J30+'2'!L30</f>
        <v>77870.800000000017</v>
      </c>
      <c r="M30" s="74">
        <f>I9+I21</f>
        <v>2582.5000002500001</v>
      </c>
      <c r="N30" s="74">
        <f>M30+'2'!N30</f>
        <v>6017.5000000226</v>
      </c>
      <c r="O30" s="74">
        <f>M30+'2'!O30</f>
        <v>81536.319992584846</v>
      </c>
      <c r="P30" s="74">
        <f>I30+J30-M30</f>
        <v>19439.351704599008</v>
      </c>
      <c r="Q30" s="93">
        <f>J30/F30</f>
        <v>143.67755532139094</v>
      </c>
      <c r="R30" s="94"/>
      <c r="S30" s="94"/>
    </row>
    <row r="31" spans="2:19" x14ac:dyDescent="0.25">
      <c r="B31" s="91">
        <v>2</v>
      </c>
      <c r="C31" s="725" t="s">
        <v>262</v>
      </c>
      <c r="D31" s="726"/>
      <c r="E31" s="95">
        <v>120</v>
      </c>
      <c r="F31" s="78">
        <f>Production2!G5</f>
        <v>20.67</v>
      </c>
      <c r="G31" s="75">
        <f>F31+'2'!G31</f>
        <v>44.260000000000005</v>
      </c>
      <c r="H31" s="75">
        <f>F31+'2'!H31</f>
        <v>537.4799999999999</v>
      </c>
      <c r="I31" s="724">
        <f>Production2!H5</f>
        <v>2022.3700168375199</v>
      </c>
      <c r="J31" s="77">
        <f>Production2!N5</f>
        <v>2235</v>
      </c>
      <c r="K31" s="74">
        <f>J31+'2'!K31</f>
        <v>4999.6499999999996</v>
      </c>
      <c r="L31" s="74">
        <f>J31+'2'!L31</f>
        <v>63856.800000000003</v>
      </c>
      <c r="M31" s="724">
        <f>Production2!K5</f>
        <v>2518.75</v>
      </c>
      <c r="N31" s="724">
        <f>M31+'2'!N31</f>
        <v>5107.25</v>
      </c>
      <c r="O31" s="724">
        <f>M31+'2'!O31</f>
        <v>67882.25</v>
      </c>
      <c r="P31" s="724">
        <f>I31+J32+J31-M31</f>
        <v>1919.0400168375199</v>
      </c>
      <c r="Q31" s="96">
        <f t="shared" ref="Q31:Q46" si="6">J31/F31</f>
        <v>108.12772133526849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Production2!P5</f>
        <v>21.2</v>
      </c>
      <c r="G32" s="75">
        <f>F32+'2'!G32</f>
        <v>35.61</v>
      </c>
      <c r="H32" s="75">
        <f>F32+'2'!H32</f>
        <v>441.9</v>
      </c>
      <c r="I32" s="712"/>
      <c r="J32" s="78">
        <f>Production2!Q5</f>
        <v>180.42</v>
      </c>
      <c r="K32" s="74">
        <f>J32+'2'!K32</f>
        <v>308.52</v>
      </c>
      <c r="L32" s="74">
        <f>J32+'2'!L32</f>
        <v>3950.7599999999998</v>
      </c>
      <c r="M32" s="712"/>
      <c r="N32" s="712"/>
      <c r="O32" s="712"/>
      <c r="P32" s="712"/>
      <c r="Q32" s="96">
        <f>J32/F32</f>
        <v>8.5103773584905653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Production2!S5</f>
        <v>17.5</v>
      </c>
      <c r="G33" s="75">
        <f>F33+'2'!G33</f>
        <v>37.5</v>
      </c>
      <c r="H33" s="75">
        <f>F33+'2'!H33</f>
        <v>483.87</v>
      </c>
      <c r="I33" s="77">
        <f>Production2!T5</f>
        <v>43.209999999999923</v>
      </c>
      <c r="J33" s="77">
        <f>Production2!U5</f>
        <v>238.5</v>
      </c>
      <c r="K33" s="74">
        <f>J33+'2'!K33</f>
        <v>528.5</v>
      </c>
      <c r="L33" s="74">
        <f>J33+'2'!L33</f>
        <v>6681.2</v>
      </c>
      <c r="M33" s="77">
        <f>Production2!V5</f>
        <v>241</v>
      </c>
      <c r="N33" s="74">
        <f>M33+'2'!N33</f>
        <v>528</v>
      </c>
      <c r="O33" s="74">
        <f>M33+'2'!O33</f>
        <v>6656</v>
      </c>
      <c r="P33" s="74">
        <f t="shared" ref="P33" si="7">I33+J33-M33</f>
        <v>40.709999999999923</v>
      </c>
      <c r="Q33" s="96">
        <f t="shared" si="6"/>
        <v>13.628571428571428</v>
      </c>
      <c r="R33" s="94"/>
      <c r="S33" s="94"/>
    </row>
    <row r="34" spans="2:19" x14ac:dyDescent="0.25">
      <c r="B34" s="79">
        <v>5</v>
      </c>
      <c r="C34" s="725" t="s">
        <v>69</v>
      </c>
      <c r="D34" s="726"/>
      <c r="E34" s="95">
        <v>50</v>
      </c>
      <c r="F34" s="78">
        <f>Production2!Y5</f>
        <v>24</v>
      </c>
      <c r="G34" s="75">
        <f>F34+'2'!G34</f>
        <v>51.980000000000004</v>
      </c>
      <c r="H34" s="75">
        <f>F34+'2'!H34</f>
        <v>670.25</v>
      </c>
      <c r="I34" s="77">
        <f>Clinker!EJ5</f>
        <v>24919.160087465061</v>
      </c>
      <c r="J34" s="77">
        <f>Clinker!EK5</f>
        <v>1625</v>
      </c>
      <c r="K34" s="74">
        <f>J34+'2'!K34</f>
        <v>3295</v>
      </c>
      <c r="L34" s="74">
        <f>J34+'2'!L34</f>
        <v>43795</v>
      </c>
      <c r="M34" s="77">
        <f>Clinker!EL5</f>
        <v>194.99999975</v>
      </c>
      <c r="N34" s="74">
        <f>M34+'2'!N34</f>
        <v>1865.5000000253999</v>
      </c>
      <c r="O34" s="74">
        <f>M34+'2'!O34</f>
        <v>20727.380011911675</v>
      </c>
      <c r="P34" s="74">
        <f>I34+J34-M34-I20</f>
        <v>26349.160087715059</v>
      </c>
      <c r="Q34" s="96">
        <f t="shared" si="6"/>
        <v>67.708333333333329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Production2!AE5</f>
        <v>0</v>
      </c>
      <c r="G35" s="75">
        <f>F35+'2'!G35</f>
        <v>0</v>
      </c>
      <c r="H35" s="75">
        <f>F35+'2'!H35</f>
        <v>9</v>
      </c>
      <c r="I35" s="77">
        <f>Production2!BJ5</f>
        <v>380.79999999999995</v>
      </c>
      <c r="J35" s="77">
        <f>Production2!AF5</f>
        <v>0</v>
      </c>
      <c r="K35" s="74">
        <f>J35+'2'!K35</f>
        <v>0</v>
      </c>
      <c r="L35" s="74">
        <f>J35+'2'!L35</f>
        <v>574</v>
      </c>
      <c r="M35" s="77">
        <f>Production2!BL5</f>
        <v>0</v>
      </c>
      <c r="N35" s="74">
        <f>M35+'2'!N35</f>
        <v>31</v>
      </c>
      <c r="O35" s="74">
        <f>M35+'2'!O35</f>
        <v>2425.5</v>
      </c>
      <c r="P35" s="74">
        <f>I35+J35+J41-M35-F59</f>
        <v>380.79999999999995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Production2!AB5</f>
        <v>0</v>
      </c>
      <c r="G36" s="75">
        <f>F36+'2'!G36</f>
        <v>0</v>
      </c>
      <c r="H36" s="75">
        <f>F36+'2'!H36</f>
        <v>206.33</v>
      </c>
      <c r="I36" s="77">
        <f>Production2!BF5</f>
        <v>2900.78799999998</v>
      </c>
      <c r="J36" s="77">
        <f>Production2!AC5</f>
        <v>0</v>
      </c>
      <c r="K36" s="608">
        <f>J36+'2'!K36</f>
        <v>0</v>
      </c>
      <c r="L36" s="608">
        <f>J36+'2'!L36</f>
        <v>12429</v>
      </c>
      <c r="M36" s="77">
        <f>Production2!BH5</f>
        <v>545</v>
      </c>
      <c r="N36" s="74">
        <f>M36+'2'!N36</f>
        <v>1973.5</v>
      </c>
      <c r="O36" s="74">
        <f>M36+'2'!O36</f>
        <v>37141.769999999997</v>
      </c>
      <c r="P36" s="74">
        <f>I36+J36+J42-M36-F57</f>
        <v>2605.78799999998</v>
      </c>
      <c r="Q36" s="96" t="e">
        <f t="shared" si="6"/>
        <v>#DIV/0!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Production2!AH5</f>
        <v>0</v>
      </c>
      <c r="G37" s="75">
        <f>F37+'2'!G37</f>
        <v>0</v>
      </c>
      <c r="H37" s="75">
        <f>F37+'2'!H37</f>
        <v>0</v>
      </c>
      <c r="I37" s="77">
        <f>Production2!BN5</f>
        <v>2.0900000000008498</v>
      </c>
      <c r="J37" s="77">
        <f>Production2!AI5</f>
        <v>0</v>
      </c>
      <c r="K37" s="608">
        <f>J37+'2'!K37</f>
        <v>0</v>
      </c>
      <c r="L37" s="608">
        <f>J37+'2'!L37</f>
        <v>0</v>
      </c>
      <c r="M37" s="77">
        <f>Production2!BP5</f>
        <v>0</v>
      </c>
      <c r="N37" s="74">
        <f>M37+'2'!N37</f>
        <v>0</v>
      </c>
      <c r="O37" s="74">
        <f>M37+'2'!O37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Production2!AK5</f>
        <v>0</v>
      </c>
      <c r="G38" s="75">
        <f>F38+'2'!G38</f>
        <v>0</v>
      </c>
      <c r="H38" s="75">
        <f>F38+'2'!H38</f>
        <v>0</v>
      </c>
      <c r="I38" s="195">
        <f>Production2!BR5</f>
        <v>126.30000000000001</v>
      </c>
      <c r="J38" s="195">
        <v>0</v>
      </c>
      <c r="K38" s="608">
        <f>J38+'2'!K38</f>
        <v>0</v>
      </c>
      <c r="L38" s="608">
        <f>J38+'2'!L38</f>
        <v>0</v>
      </c>
      <c r="M38" s="195">
        <f>Production2!BT5</f>
        <v>0</v>
      </c>
      <c r="N38" s="608">
        <f>M38+'2'!N38</f>
        <v>60</v>
      </c>
      <c r="O38" s="608">
        <f>M38+'2'!O38</f>
        <v>1907</v>
      </c>
      <c r="P38" s="74">
        <f>I38+J38+J44-M38-F60</f>
        <v>126.30000000000001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Production2!AN5</f>
        <v>0</v>
      </c>
      <c r="G39" s="75">
        <f>F39+'2'!G39</f>
        <v>0</v>
      </c>
      <c r="H39" s="75">
        <f>F39+'2'!H39</f>
        <v>40.65</v>
      </c>
      <c r="I39" s="195">
        <f>Production2!BV5</f>
        <v>1171.95</v>
      </c>
      <c r="J39" s="195">
        <f>Production2!BW5</f>
        <v>0</v>
      </c>
      <c r="K39" s="608">
        <f>J39+'2'!K39</f>
        <v>0</v>
      </c>
      <c r="L39" s="608">
        <f>J39+'2'!L39</f>
        <v>2532</v>
      </c>
      <c r="M39" s="77">
        <f>Production2!BX5</f>
        <v>32</v>
      </c>
      <c r="N39" s="608">
        <f>M39+'2'!N39</f>
        <v>213.88</v>
      </c>
      <c r="O39" s="608">
        <f>M39+'2'!O39</f>
        <v>5635.7599999999993</v>
      </c>
      <c r="P39" s="74">
        <f>I39+J39+J45-M39</f>
        <v>1139.95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0</v>
      </c>
      <c r="G40" s="132">
        <f t="shared" ref="G40:H40" si="8">G35+G36+G37+G38+G39</f>
        <v>0</v>
      </c>
      <c r="H40" s="132">
        <f t="shared" si="8"/>
        <v>255.98000000000002</v>
      </c>
      <c r="I40" s="122">
        <f>I35+I36+I37+I38+I39</f>
        <v>4581.9279999999808</v>
      </c>
      <c r="J40" s="122">
        <f t="shared" ref="J40:O40" si="9">J35+J36+J37+J38+J39</f>
        <v>0</v>
      </c>
      <c r="K40" s="122">
        <f t="shared" si="9"/>
        <v>0</v>
      </c>
      <c r="L40" s="122">
        <f t="shared" si="9"/>
        <v>15535</v>
      </c>
      <c r="M40" s="122">
        <f t="shared" si="9"/>
        <v>577</v>
      </c>
      <c r="N40" s="122">
        <f t="shared" si="9"/>
        <v>2278.38</v>
      </c>
      <c r="O40" s="122">
        <f t="shared" si="9"/>
        <v>47109.88</v>
      </c>
      <c r="P40" s="122">
        <f>P35+P36+P37+P38+P39</f>
        <v>4254.9279999999808</v>
      </c>
      <c r="Q40" s="123" t="e">
        <f t="shared" si="6"/>
        <v>#DIV/0!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Production2!AT5</f>
        <v>0</v>
      </c>
      <c r="G41" s="75">
        <f>F41+'2'!G41</f>
        <v>0</v>
      </c>
      <c r="H41" s="75">
        <f>F41+'2'!H41</f>
        <v>33.099999999999994</v>
      </c>
      <c r="I41" s="710"/>
      <c r="J41" s="77">
        <f>Production2!AU5</f>
        <v>0</v>
      </c>
      <c r="K41" s="74">
        <f>J41+'2'!K41</f>
        <v>0</v>
      </c>
      <c r="L41" s="74">
        <f>J41+'2'!L41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Production2!AQ5</f>
        <v>4.33</v>
      </c>
      <c r="G42" s="75">
        <f>F42+'2'!G42</f>
        <v>33.01</v>
      </c>
      <c r="H42" s="75">
        <f>F42+'2'!H42</f>
        <v>449.01</v>
      </c>
      <c r="I42" s="711"/>
      <c r="J42" s="77">
        <f>Production2!AR5</f>
        <v>250</v>
      </c>
      <c r="K42" s="74">
        <f>J42+'2'!K42</f>
        <v>1900</v>
      </c>
      <c r="L42" s="74">
        <f>J42+'2'!L42</f>
        <v>26040</v>
      </c>
      <c r="M42" s="716"/>
      <c r="N42" s="717"/>
      <c r="O42" s="717"/>
      <c r="P42" s="718"/>
      <c r="Q42" s="96">
        <f t="shared" si="6"/>
        <v>57.736720554272516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Production2!AW5</f>
        <v>0</v>
      </c>
      <c r="G43" s="75">
        <f>F43+'2'!G43</f>
        <v>0</v>
      </c>
      <c r="H43" s="75">
        <f>F43+'2'!H43</f>
        <v>0</v>
      </c>
      <c r="I43" s="711"/>
      <c r="J43" s="77">
        <f>Production2!AX5</f>
        <v>0</v>
      </c>
      <c r="K43" s="74">
        <f>J43+'2'!K43</f>
        <v>0</v>
      </c>
      <c r="L43" s="74">
        <f>J43+'2'!L43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Production2!AZ5</f>
        <v>0</v>
      </c>
      <c r="G44" s="75">
        <f>F44+'2'!G44</f>
        <v>0</v>
      </c>
      <c r="H44" s="75">
        <f>F44+'2'!H44</f>
        <v>32.880000000000003</v>
      </c>
      <c r="I44" s="712"/>
      <c r="J44" s="195">
        <f>Production2!BA5</f>
        <v>0</v>
      </c>
      <c r="K44" s="608">
        <f>J44+'2'!K44</f>
        <v>0</v>
      </c>
      <c r="L44" s="608">
        <f>J44+'2'!L44</f>
        <v>1820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Production2!BC5</f>
        <v>0</v>
      </c>
      <c r="G45" s="75">
        <f>F45+'2'!G45</f>
        <v>9.98</v>
      </c>
      <c r="H45" s="75">
        <f>F45+'2'!H45</f>
        <v>64.95</v>
      </c>
      <c r="I45" s="427"/>
      <c r="J45" s="195">
        <f>Production2!BD5</f>
        <v>0</v>
      </c>
      <c r="K45" s="608">
        <f>J45+'2'!K45</f>
        <v>598</v>
      </c>
      <c r="L45" s="608">
        <f>J45+'2'!L45</f>
        <v>3870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4.33</v>
      </c>
      <c r="G46" s="132">
        <f t="shared" ref="G46:H46" si="10">G41+G42+G43+G44+G45</f>
        <v>42.989999999999995</v>
      </c>
      <c r="H46" s="132">
        <f t="shared" si="10"/>
        <v>579.94000000000005</v>
      </c>
      <c r="I46" s="132">
        <f t="shared" ref="I46" si="11">I41+I42+I43+I44</f>
        <v>0</v>
      </c>
      <c r="J46" s="122">
        <f>J41+J42+J43+J44+J45</f>
        <v>250</v>
      </c>
      <c r="K46" s="122">
        <f t="shared" ref="K46:L46" si="12">K41+K42+K43+K44+K45</f>
        <v>2498</v>
      </c>
      <c r="L46" s="122">
        <f t="shared" si="12"/>
        <v>33730</v>
      </c>
      <c r="M46" s="132"/>
      <c r="N46" s="132"/>
      <c r="O46" s="132"/>
      <c r="P46" s="132"/>
      <c r="Q46" s="123">
        <f t="shared" si="6"/>
        <v>57.736720554272516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32" t="s">
        <v>269</v>
      </c>
      <c r="C48" s="833"/>
      <c r="D48" s="833"/>
      <c r="E48" s="833"/>
      <c r="F48" s="833"/>
      <c r="G48" s="833"/>
      <c r="H48" s="833"/>
      <c r="I48" s="833"/>
      <c r="J48" s="833"/>
      <c r="K48" s="833"/>
      <c r="L48" s="833"/>
      <c r="M48" s="834"/>
      <c r="N48" s="835" t="s">
        <v>270</v>
      </c>
      <c r="O48" s="836"/>
      <c r="P48" s="836"/>
      <c r="Q48" s="837"/>
      <c r="R48" s="98"/>
      <c r="S48" s="98"/>
    </row>
    <row r="49" spans="2:19" s="70" customFormat="1" ht="15.6" customHeight="1" thickBot="1" x14ac:dyDescent="0.3">
      <c r="B49" s="302" t="s">
        <v>229</v>
      </c>
      <c r="C49" s="830" t="s">
        <v>230</v>
      </c>
      <c r="D49" s="830"/>
      <c r="E49" s="301" t="s">
        <v>141</v>
      </c>
      <c r="F49" s="306" t="s">
        <v>142</v>
      </c>
      <c r="G49" s="301" t="s">
        <v>143</v>
      </c>
      <c r="H49" s="301" t="s">
        <v>144</v>
      </c>
      <c r="I49" s="301" t="s">
        <v>145</v>
      </c>
      <c r="J49" s="301" t="s">
        <v>271</v>
      </c>
      <c r="K49" s="301" t="s">
        <v>147</v>
      </c>
      <c r="L49" s="301" t="s">
        <v>272</v>
      </c>
      <c r="M49" s="303" t="s">
        <v>273</v>
      </c>
      <c r="N49" s="304" t="s">
        <v>150</v>
      </c>
      <c r="O49" s="830" t="s">
        <v>230</v>
      </c>
      <c r="P49" s="830"/>
      <c r="Q49" s="305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0.9277594426109278</v>
      </c>
      <c r="F50" s="99">
        <f>F53/(J31+J32)</f>
        <v>24.611040729976565</v>
      </c>
      <c r="G50" s="99">
        <f>G53/J32</f>
        <v>0</v>
      </c>
      <c r="H50" s="99">
        <f>H53/J34</f>
        <v>33.307692307692307</v>
      </c>
      <c r="I50" s="99">
        <f>I53/J33</f>
        <v>67.174004192872118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14.830769230769231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1.4501593749118502</v>
      </c>
      <c r="F51" s="102">
        <f>F50*1.55</f>
        <v>38.147113131463676</v>
      </c>
      <c r="G51" s="102">
        <f>G50*1.55</f>
        <v>0</v>
      </c>
      <c r="H51" s="102">
        <f>H50</f>
        <v>33.307692307692307</v>
      </c>
      <c r="I51" s="102">
        <f>I50*(Q50/100)</f>
        <v>9.962421544912111</v>
      </c>
      <c r="J51" s="102"/>
      <c r="K51" s="102"/>
      <c r="L51" s="102"/>
      <c r="M51" s="96"/>
      <c r="N51" s="307">
        <f>SUM(E51:I51)</f>
        <v>82.867386358979928</v>
      </c>
      <c r="O51" s="728" t="s">
        <v>277</v>
      </c>
      <c r="P51" s="728"/>
      <c r="Q51" s="104">
        <v>5385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1.1311243109810838</v>
      </c>
      <c r="F52" s="102">
        <f>F51*M18/100</f>
        <v>29.754748204394556</v>
      </c>
      <c r="G52" s="102">
        <f>G51*M18/100</f>
        <v>0</v>
      </c>
      <c r="H52" s="102">
        <f>H51*M18/100</f>
        <v>25.979999966692308</v>
      </c>
      <c r="I52" s="102">
        <f>I51*M18/100</f>
        <v>7.7706887950690255</v>
      </c>
      <c r="J52" s="99">
        <f>J53/(J40+J46)</f>
        <v>59.607999999999997</v>
      </c>
      <c r="K52" s="99">
        <f>K53/(J46+J40)</f>
        <v>5.4119999999999999</v>
      </c>
      <c r="L52" s="99">
        <f>L53/(M40)</f>
        <v>8.6239168110918545</v>
      </c>
      <c r="M52" s="96">
        <f>M53/(J46+J40)</f>
        <v>18.431999999999999</v>
      </c>
      <c r="N52" s="307">
        <f>SUM(E52:M52)</f>
        <v>156.71247808822881</v>
      </c>
      <c r="O52" s="728" t="s">
        <v>279</v>
      </c>
      <c r="P52" s="728"/>
      <c r="Q52" s="104">
        <f>Q51*Q50/100</f>
        <v>798.63692307692315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unit'!B5</f>
        <v>2530</v>
      </c>
      <c r="F53" s="118">
        <f>'Daily unit'!C5</f>
        <v>59446</v>
      </c>
      <c r="G53" s="118">
        <f>'Daily unit'!D5</f>
        <v>0</v>
      </c>
      <c r="H53" s="118">
        <f>'Daily unit'!E5</f>
        <v>54125</v>
      </c>
      <c r="I53" s="118">
        <f>'Daily unit'!F5</f>
        <v>16021</v>
      </c>
      <c r="J53" s="118">
        <f>'Daily unit'!G5</f>
        <v>14902</v>
      </c>
      <c r="K53" s="118">
        <f>'Daily unit'!H5</f>
        <v>1353</v>
      </c>
      <c r="L53" s="118">
        <f>'Daily unit'!I5</f>
        <v>4976</v>
      </c>
      <c r="M53" s="119">
        <f>'Daily unit'!J5</f>
        <v>4608</v>
      </c>
      <c r="N53" s="318">
        <f>SUM(E53:M53)</f>
        <v>157961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687">
        <v>1</v>
      </c>
      <c r="C57" s="824" t="s">
        <v>285</v>
      </c>
      <c r="D57" s="825"/>
      <c r="E57" s="80">
        <v>42.5</v>
      </c>
      <c r="F57" s="53">
        <f>'Internal use cement'!F5</f>
        <v>0</v>
      </c>
      <c r="G57" s="53">
        <f>F57+'2'!G57</f>
        <v>0</v>
      </c>
      <c r="H57" s="104">
        <f>F57+'2'!H57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688"/>
      <c r="C58" s="826"/>
      <c r="D58" s="827"/>
      <c r="E58" s="80" t="s">
        <v>195</v>
      </c>
      <c r="F58" s="53">
        <f>'Internal use cement'!Q5</f>
        <v>0</v>
      </c>
      <c r="G58" s="53">
        <f>F58+'2'!G58</f>
        <v>0</v>
      </c>
      <c r="H58" s="104">
        <f>F58+'2'!H58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688"/>
      <c r="C59" s="826"/>
      <c r="D59" s="827"/>
      <c r="E59" s="80">
        <v>32.5</v>
      </c>
      <c r="F59" s="53">
        <f>'Internal use cement'!AB5</f>
        <v>0</v>
      </c>
      <c r="G59" s="53">
        <f>F59+'2'!G59</f>
        <v>0</v>
      </c>
      <c r="H59" s="104">
        <f>F59+'2'!H59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89"/>
      <c r="C60" s="828"/>
      <c r="D60" s="829"/>
      <c r="E60" s="112" t="s">
        <v>175</v>
      </c>
      <c r="F60" s="113">
        <f>'Internal use cement'!AJ5</f>
        <v>0</v>
      </c>
      <c r="G60" s="53">
        <f>F60+'2'!G60</f>
        <v>0</v>
      </c>
      <c r="H60" s="104">
        <f>F60+'2'!H60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4">
    <mergeCell ref="B2:Q2"/>
    <mergeCell ref="B3:Q3"/>
    <mergeCell ref="B55:H55"/>
    <mergeCell ref="I55:Q60"/>
    <mergeCell ref="C56:E56"/>
    <mergeCell ref="B54:Q54"/>
    <mergeCell ref="B47:Q47"/>
    <mergeCell ref="B48:M48"/>
    <mergeCell ref="N48:Q48"/>
    <mergeCell ref="C49:D49"/>
    <mergeCell ref="C52:D52"/>
    <mergeCell ref="O52:P52"/>
    <mergeCell ref="C53:D53"/>
    <mergeCell ref="C30:D30"/>
    <mergeCell ref="C31:D31"/>
    <mergeCell ref="C33:D33"/>
    <mergeCell ref="C34:D34"/>
    <mergeCell ref="O49:P49"/>
    <mergeCell ref="C50:D50"/>
    <mergeCell ref="O50:P50"/>
    <mergeCell ref="C41:C46"/>
    <mergeCell ref="M41:P45"/>
    <mergeCell ref="C51:D51"/>
    <mergeCell ref="O51:P51"/>
    <mergeCell ref="I41:I44"/>
    <mergeCell ref="B35:B40"/>
    <mergeCell ref="C35:C40"/>
    <mergeCell ref="B41:B46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M23:N24"/>
    <mergeCell ref="P23:Q25"/>
    <mergeCell ref="C25:D25"/>
    <mergeCell ref="M25:N25"/>
    <mergeCell ref="O18:O25"/>
    <mergeCell ref="P18:Q20"/>
    <mergeCell ref="Q21:Q22"/>
    <mergeCell ref="C22:D22"/>
    <mergeCell ref="C21:D21"/>
    <mergeCell ref="M18:M19"/>
    <mergeCell ref="C18:C20"/>
    <mergeCell ref="N18:N20"/>
    <mergeCell ref="C23:C24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C57:D60"/>
    <mergeCell ref="B57:B60"/>
    <mergeCell ref="C8:Q8"/>
    <mergeCell ref="C11:D11"/>
    <mergeCell ref="C12:D12"/>
    <mergeCell ref="C13:D13"/>
    <mergeCell ref="P13:Q13"/>
    <mergeCell ref="O9:O16"/>
    <mergeCell ref="C10:D10"/>
    <mergeCell ref="C17:Q17"/>
    <mergeCell ref="B18:B20"/>
    <mergeCell ref="B23:B24"/>
    <mergeCell ref="P31:P32"/>
    <mergeCell ref="C32:D32"/>
    <mergeCell ref="I31:I32"/>
    <mergeCell ref="M31:M32"/>
    <mergeCell ref="N31:N32"/>
    <mergeCell ref="O31:O32"/>
  </mergeCells>
  <pageMargins left="0" right="0" top="0.75" bottom="0.75" header="0.3" footer="0.3"/>
  <pageSetup paperSize="9" scale="5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B2:U156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23" sqref="C23:D2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5.85546875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319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 t="s">
        <v>288</v>
      </c>
    </row>
    <row r="7" spans="2:21" ht="27" customHeight="1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'3'!L9</f>
        <v>19439.351704599008</v>
      </c>
      <c r="F9" s="74">
        <f>Production2!D6</f>
        <v>2299.56</v>
      </c>
      <c r="G9" s="74">
        <f>F9+'3'!G9</f>
        <v>15184.66</v>
      </c>
      <c r="H9" s="74">
        <f>F9+'3'!H9</f>
        <v>80170.360000000015</v>
      </c>
      <c r="I9" s="74">
        <f>Production2!E6</f>
        <v>1874</v>
      </c>
      <c r="J9" s="74">
        <f>I9+'3'!J9</f>
        <v>7384</v>
      </c>
      <c r="K9" s="74">
        <f>I9+'3'!K9</f>
        <v>74271</v>
      </c>
      <c r="L9" s="74">
        <f>E9+F9-I9-I21</f>
        <v>19728.91170459901</v>
      </c>
      <c r="M9" s="75">
        <f>I9</f>
        <v>1874</v>
      </c>
      <c r="N9" s="75">
        <f>(I9/I13)*100</f>
        <v>94.982260516979224</v>
      </c>
      <c r="O9" s="787"/>
      <c r="P9" s="286">
        <v>10</v>
      </c>
      <c r="Q9" s="261">
        <f>'Raw mill moisture content'!L35</f>
        <v>9.9999999999999922E-2</v>
      </c>
      <c r="S9" s="176"/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(2)'!L6</f>
        <v>2194.86</v>
      </c>
      <c r="F10" s="77">
        <f>'Mines (2)'!M6</f>
        <v>70.7</v>
      </c>
      <c r="G10" s="74">
        <f>F10+'3'!G10</f>
        <v>1543.0600000000004</v>
      </c>
      <c r="H10" s="74">
        <f>F10+'3'!H10</f>
        <v>2894.52</v>
      </c>
      <c r="I10" s="77">
        <f>'Mines (2)'!N6</f>
        <v>40</v>
      </c>
      <c r="J10" s="74">
        <f>I10+'3'!J10</f>
        <v>264</v>
      </c>
      <c r="K10" s="74">
        <f>I10+'3'!K10</f>
        <v>793</v>
      </c>
      <c r="L10" s="77">
        <f t="shared" ref="L10:L16" si="0">E10+F10-I10</f>
        <v>2225.56</v>
      </c>
      <c r="M10" s="75">
        <f t="shared" ref="M10:M12" si="1">I10</f>
        <v>40</v>
      </c>
      <c r="N10" s="75">
        <f>(I10/I13)*100</f>
        <v>2.0273694880892044</v>
      </c>
      <c r="O10" s="787"/>
      <c r="P10" s="53">
        <v>10</v>
      </c>
      <c r="Q10" s="262">
        <f>'Raw mill moisture content'!M35</f>
        <v>9.9999999999999867E-2</v>
      </c>
      <c r="S10" s="176"/>
    </row>
    <row r="11" spans="2:21" x14ac:dyDescent="0.25">
      <c r="B11" s="79">
        <v>3</v>
      </c>
      <c r="C11" s="728" t="s">
        <v>32</v>
      </c>
      <c r="D11" s="728"/>
      <c r="E11" s="77">
        <f>Clinker!C6</f>
        <v>3916.8599999999997</v>
      </c>
      <c r="F11" s="77">
        <f>Clinker!D6</f>
        <v>32</v>
      </c>
      <c r="G11" s="74">
        <f>F11+'3'!G11</f>
        <v>69.52000000000001</v>
      </c>
      <c r="H11" s="74">
        <f>F11+'3'!H11</f>
        <v>139.22</v>
      </c>
      <c r="I11" s="77">
        <f>Clinker!E6</f>
        <v>39</v>
      </c>
      <c r="J11" s="74">
        <f>I11+'3'!J11</f>
        <v>158</v>
      </c>
      <c r="K11" s="74">
        <f>I11+'3'!K11</f>
        <v>1595</v>
      </c>
      <c r="L11" s="77">
        <f t="shared" si="0"/>
        <v>3909.8599999999997</v>
      </c>
      <c r="M11" s="75">
        <f t="shared" si="1"/>
        <v>39</v>
      </c>
      <c r="N11" s="75">
        <f>(I11/I13)*100</f>
        <v>1.9766852508869743</v>
      </c>
      <c r="O11" s="787"/>
      <c r="P11" s="53">
        <v>7</v>
      </c>
      <c r="Q11" s="262">
        <f>'Raw mill moisture content'!N35</f>
        <v>7.0000000000000076E-2</v>
      </c>
      <c r="S11" s="176"/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(2)'!Q6</f>
        <v>150.03999999999996</v>
      </c>
      <c r="F12" s="77">
        <f>'Mines (2)'!R6</f>
        <v>0</v>
      </c>
      <c r="G12" s="74">
        <f>F12+'3'!G12</f>
        <v>0</v>
      </c>
      <c r="H12" s="74">
        <f>F12+'3'!H12</f>
        <v>137.76</v>
      </c>
      <c r="I12" s="77">
        <f>'Mines (2)'!S6</f>
        <v>20</v>
      </c>
      <c r="J12" s="74">
        <f>I12+'3'!J12</f>
        <v>61</v>
      </c>
      <c r="K12" s="74">
        <f>I12+'3'!K12</f>
        <v>608</v>
      </c>
      <c r="L12" s="77">
        <f t="shared" si="0"/>
        <v>130.03999999999996</v>
      </c>
      <c r="M12" s="75">
        <f t="shared" si="1"/>
        <v>20</v>
      </c>
      <c r="N12" s="75">
        <f>(I12/I13)*100</f>
        <v>1.0136847440446022</v>
      </c>
      <c r="O12" s="787"/>
      <c r="P12" s="53">
        <v>10</v>
      </c>
      <c r="Q12" s="262">
        <f>'Raw mill moisture content'!O35</f>
        <v>0.10000000000000012</v>
      </c>
      <c r="S12" s="176"/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25701.11170459901</v>
      </c>
      <c r="F13" s="127">
        <f t="shared" si="2"/>
        <v>2402.2599999999998</v>
      </c>
      <c r="G13" s="127">
        <f t="shared" si="2"/>
        <v>16797.240000000002</v>
      </c>
      <c r="H13" s="127">
        <f t="shared" si="2"/>
        <v>83341.860000000015</v>
      </c>
      <c r="I13" s="127">
        <f>SUM(I9:I12)</f>
        <v>1973</v>
      </c>
      <c r="J13" s="127">
        <f t="shared" si="2"/>
        <v>7867</v>
      </c>
      <c r="K13" s="127">
        <f t="shared" si="2"/>
        <v>77267</v>
      </c>
      <c r="L13" s="127">
        <f t="shared" si="0"/>
        <v>26130.371704599009</v>
      </c>
      <c r="M13" s="128">
        <f>SUM(M9:M12)</f>
        <v>1973</v>
      </c>
      <c r="N13" s="128">
        <f>SUM(N9:N12)</f>
        <v>100</v>
      </c>
      <c r="O13" s="787"/>
      <c r="P13" s="797"/>
      <c r="Q13" s="798"/>
      <c r="S13" s="177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Clinker!EB6</f>
        <v>7466.2369999999901</v>
      </c>
      <c r="F14" s="77">
        <f>Clinker!EC6</f>
        <v>0</v>
      </c>
      <c r="G14" s="77">
        <f>F14+'3'!G14</f>
        <v>0</v>
      </c>
      <c r="H14" s="77">
        <f>F14+'3'!H14</f>
        <v>181.5</v>
      </c>
      <c r="I14" s="77">
        <f>Clinker!ED6</f>
        <v>250</v>
      </c>
      <c r="J14" s="77">
        <f>I14+'3'!J14</f>
        <v>837.23</v>
      </c>
      <c r="K14" s="77">
        <f>I14+'3'!K14</f>
        <v>7673.5300000000007</v>
      </c>
      <c r="L14" s="77">
        <f>E14+F14-I14-Clinker!N6-Clinker!Z6-Clinker!AS6-Clinker!AX6-Clinker!BC6-Clinker!BW6-Clinker!BH6-Clinker!BM6-Clinker!BR6-Clinker!CV6-Clinker!DP6</f>
        <v>7142.2369999999901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256"/>
    </row>
    <row r="15" spans="2:21" x14ac:dyDescent="0.25">
      <c r="B15" s="763"/>
      <c r="C15" s="775"/>
      <c r="D15" s="80" t="s">
        <v>68</v>
      </c>
      <c r="E15" s="77">
        <f>Clinker!EF6</f>
        <v>9886.9999999999964</v>
      </c>
      <c r="F15" s="77">
        <f>Clinker!EG6</f>
        <v>90.9</v>
      </c>
      <c r="G15" s="77">
        <f>F15+'3'!G15</f>
        <v>155.19999999999999</v>
      </c>
      <c r="H15" s="77">
        <f>F15+'3'!H15</f>
        <v>310.25</v>
      </c>
      <c r="I15" s="77">
        <f>Clinker!EH6</f>
        <v>123</v>
      </c>
      <c r="J15" s="77">
        <f>I15+'3'!J15</f>
        <v>498</v>
      </c>
      <c r="K15" s="77">
        <f>I15+'3'!K15</f>
        <v>4367</v>
      </c>
      <c r="L15" s="77">
        <f>E15+F15-Clinker!AE6-Clinker!AJ6-Clinker!CL6-Clinker!CQ6</f>
        <v>9928.899999999996</v>
      </c>
      <c r="M15" s="81"/>
      <c r="N15" s="81"/>
      <c r="O15" s="787"/>
      <c r="P15" s="78"/>
      <c r="Q15" s="82"/>
      <c r="R15" s="83"/>
      <c r="S15" s="257"/>
    </row>
    <row r="16" spans="2:21" x14ac:dyDescent="0.25">
      <c r="B16" s="763"/>
      <c r="C16" s="690"/>
      <c r="D16" s="124" t="s">
        <v>150</v>
      </c>
      <c r="E16" s="125">
        <f>E14+E15</f>
        <v>17353.236999999986</v>
      </c>
      <c r="F16" s="125">
        <f>F14+F15</f>
        <v>90.9</v>
      </c>
      <c r="G16" s="421">
        <f t="shared" ref="G16:K16" si="3">G14+G15</f>
        <v>155.19999999999999</v>
      </c>
      <c r="H16" s="125">
        <f t="shared" si="3"/>
        <v>491.75</v>
      </c>
      <c r="I16" s="125">
        <f>I14+I15</f>
        <v>373</v>
      </c>
      <c r="J16" s="125">
        <f>J14+J15</f>
        <v>1335.23</v>
      </c>
      <c r="K16" s="125">
        <f t="shared" si="3"/>
        <v>12040.53</v>
      </c>
      <c r="L16" s="125">
        <f t="shared" si="0"/>
        <v>17071.136999999988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19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Clinker!EJ6</f>
        <v>26349.160087715059</v>
      </c>
      <c r="F18" s="74">
        <f>Clinker!EK6</f>
        <v>1475</v>
      </c>
      <c r="G18" s="74">
        <f>F18+'3'!G18</f>
        <v>4770</v>
      </c>
      <c r="H18" s="74">
        <f>F18+'3'!H18</f>
        <v>45270</v>
      </c>
      <c r="I18" s="435">
        <f>Clinker!EL6</f>
        <v>671.50000000000057</v>
      </c>
      <c r="J18" s="74">
        <f>I18+'3'!J18</f>
        <v>2537.0000000254004</v>
      </c>
      <c r="K18" s="74">
        <f>I18+'3'!K18</f>
        <v>21398.880011911675</v>
      </c>
      <c r="L18" s="74">
        <f>E18+F18-I18-I20</f>
        <v>27152.660087715059</v>
      </c>
      <c r="M18" s="75">
        <f>((I18+I19)/(J40+J46))*100</f>
        <v>79.000000000000071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Clinker!EO6</f>
        <v>5246.5190080001357</v>
      </c>
      <c r="F19" s="74">
        <f>Clinker!EP6</f>
        <v>59.59</v>
      </c>
      <c r="G19" s="74">
        <f>F19+'3'!G19</f>
        <v>150.78</v>
      </c>
      <c r="H19" s="74">
        <f>F19+'3'!H19</f>
        <v>13390.660000000003</v>
      </c>
      <c r="I19" s="74">
        <f>Clinker!EQ6</f>
        <v>0</v>
      </c>
      <c r="J19" s="74">
        <f>I19+'3'!J19</f>
        <v>0</v>
      </c>
      <c r="K19" s="74">
        <f>I19+'3'!K19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235"/>
    </row>
    <row r="20" spans="2:19" ht="30" x14ac:dyDescent="0.25">
      <c r="B20" s="763"/>
      <c r="C20" s="764"/>
      <c r="D20" s="86" t="s">
        <v>249</v>
      </c>
      <c r="E20" s="77"/>
      <c r="F20" s="77">
        <f>Clinker!EN6</f>
        <v>0</v>
      </c>
      <c r="G20" s="74">
        <f>F20+'3'!G20</f>
        <v>0</v>
      </c>
      <c r="H20" s="74">
        <f>F20+'3'!H20</f>
        <v>0</v>
      </c>
      <c r="I20" s="77">
        <f>Clinker!EN6</f>
        <v>0</v>
      </c>
      <c r="J20" s="74">
        <f>I20+'3'!J20</f>
        <v>0</v>
      </c>
      <c r="K20" s="74">
        <f>I20+'3'!K20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>
        <f>Cement!U6</f>
        <v>0</v>
      </c>
      <c r="F21" s="77"/>
      <c r="G21" s="74"/>
      <c r="H21" s="74"/>
      <c r="I21" s="77">
        <f>Cement!R6</f>
        <v>135.9999999999994</v>
      </c>
      <c r="J21" s="74">
        <f>I21+'3'!J21</f>
        <v>643.50000002259947</v>
      </c>
      <c r="K21" s="74">
        <f>I21+'3'!K21</f>
        <v>9275.3199925848348</v>
      </c>
      <c r="L21" s="74"/>
      <c r="M21" s="78">
        <f>(I21/I25)*100</f>
        <v>15.999999999999931</v>
      </c>
      <c r="N21" s="78"/>
      <c r="O21" s="767"/>
      <c r="P21" s="87"/>
      <c r="Q21" s="838" t="s">
        <v>289</v>
      </c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Cement!C6</f>
        <v>6952.0800636462809</v>
      </c>
      <c r="F22" s="77">
        <f>Cement!D6</f>
        <v>0</v>
      </c>
      <c r="G22" s="74">
        <f>F22+'3'!G22</f>
        <v>0</v>
      </c>
      <c r="H22" s="74">
        <f>F22+'3'!H22</f>
        <v>1970.9</v>
      </c>
      <c r="I22" s="77">
        <f>Cement!E6</f>
        <v>42.5</v>
      </c>
      <c r="J22" s="74">
        <f>I22+'3'!J22</f>
        <v>167.499999952</v>
      </c>
      <c r="K22" s="74">
        <f>I22+'3'!K22</f>
        <v>2506.6999955034994</v>
      </c>
      <c r="L22" s="74">
        <f t="shared" ref="L22:L24" si="4">E22+F22-I22</f>
        <v>6909.5800636462809</v>
      </c>
      <c r="M22" s="78">
        <f>(I22/(J40+J46))*100</f>
        <v>5</v>
      </c>
      <c r="N22" s="78"/>
      <c r="O22" s="767"/>
      <c r="P22" s="87"/>
      <c r="Q22" s="774"/>
      <c r="R22" s="20"/>
      <c r="S22" s="20"/>
    </row>
    <row r="23" spans="2:19" ht="15" customHeight="1" x14ac:dyDescent="0.25">
      <c r="B23" s="763"/>
      <c r="C23" s="690" t="s">
        <v>251</v>
      </c>
      <c r="D23" s="614" t="s">
        <v>252</v>
      </c>
      <c r="E23" s="77">
        <f>Cement!H6</f>
        <v>0.23999999999796273</v>
      </c>
      <c r="F23" s="77">
        <f>Cement!I6</f>
        <v>0</v>
      </c>
      <c r="G23" s="74">
        <f>F23+'3'!G23</f>
        <v>0</v>
      </c>
      <c r="H23" s="74">
        <f>F23+'3'!H23</f>
        <v>0</v>
      </c>
      <c r="I23" s="77">
        <f>Cement!J6</f>
        <v>0</v>
      </c>
      <c r="J23" s="74">
        <f>I23+'3'!J23</f>
        <v>0</v>
      </c>
      <c r="K23" s="74">
        <f>I23+'3'!K23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614" t="s">
        <v>253</v>
      </c>
      <c r="E24" s="77">
        <f>Cement!L6</f>
        <v>0</v>
      </c>
      <c r="F24" s="77">
        <f>Cement!M6</f>
        <v>0</v>
      </c>
      <c r="G24" s="74">
        <f>F24+'3'!G24</f>
        <v>0</v>
      </c>
      <c r="H24" s="74">
        <f>F24+'3'!H24</f>
        <v>0</v>
      </c>
      <c r="I24" s="77">
        <f>Cement!N6</f>
        <v>0</v>
      </c>
      <c r="J24" s="74">
        <f>I24+'3'!J24</f>
        <v>0</v>
      </c>
      <c r="K24" s="74">
        <f>I24+'3'!K24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38547.999159361476</v>
      </c>
      <c r="F25" s="122">
        <f>F18+F19+F21+F22+F23+F24</f>
        <v>1534.59</v>
      </c>
      <c r="G25" s="122">
        <f t="shared" ref="G25:L25" si="5">G18+G19+G21+G22+G23+G24</f>
        <v>4920.78</v>
      </c>
      <c r="H25" s="122">
        <f t="shared" si="5"/>
        <v>60631.560000000005</v>
      </c>
      <c r="I25" s="122">
        <f>I18+I19+I21+I22+I23+I24</f>
        <v>850</v>
      </c>
      <c r="J25" s="122">
        <f t="shared" si="5"/>
        <v>3348</v>
      </c>
      <c r="K25" s="122">
        <f t="shared" si="5"/>
        <v>50115</v>
      </c>
      <c r="L25" s="122">
        <f t="shared" si="5"/>
        <v>39368.589159361472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Production2!C6</f>
        <v>19.48</v>
      </c>
      <c r="G30" s="75">
        <f>F30+'3'!G30</f>
        <v>58.8</v>
      </c>
      <c r="H30" s="75">
        <f>F30+'3'!H30</f>
        <v>491.28000000000014</v>
      </c>
      <c r="I30" s="74">
        <f>'Mines (2)'!C6+'Mines (2)'!H6+'Mines (2)'!V6+'Mines (2)'!Z6+'Mines (2)'!AD6</f>
        <v>19439.351704599008</v>
      </c>
      <c r="J30" s="439">
        <f>Production2!D6</f>
        <v>2299.56</v>
      </c>
      <c r="K30" s="74">
        <f>J30+'3'!K30</f>
        <v>15184.66</v>
      </c>
      <c r="L30" s="74">
        <f>J30+'3'!L30</f>
        <v>80170.360000000015</v>
      </c>
      <c r="M30" s="74">
        <f>I9+I21</f>
        <v>2009.9999999999993</v>
      </c>
      <c r="N30" s="74">
        <f>M30+'3'!N30</f>
        <v>8027.5000000225991</v>
      </c>
      <c r="O30" s="74">
        <f>M30+'3'!O30</f>
        <v>83546.319992584846</v>
      </c>
      <c r="P30" s="74">
        <f>I30+J30-M30</f>
        <v>19728.91170459901</v>
      </c>
      <c r="Q30" s="93">
        <f>J30/F30</f>
        <v>118.04722792607802</v>
      </c>
      <c r="R30" s="94"/>
      <c r="S30" s="94"/>
    </row>
    <row r="31" spans="2:19" x14ac:dyDescent="0.25">
      <c r="B31" s="79">
        <v>2</v>
      </c>
      <c r="C31" s="725" t="s">
        <v>290</v>
      </c>
      <c r="D31" s="726"/>
      <c r="E31" s="95">
        <v>120</v>
      </c>
      <c r="F31" s="78">
        <f>Production2!G6</f>
        <v>16.95</v>
      </c>
      <c r="G31" s="75">
        <f>F31+'3'!G31</f>
        <v>61.210000000000008</v>
      </c>
      <c r="H31" s="75">
        <f>F31+'3'!H31</f>
        <v>554.42999999999995</v>
      </c>
      <c r="I31" s="724">
        <f>Production2!H6</f>
        <v>1919.0400168375199</v>
      </c>
      <c r="J31" s="77">
        <f>Production2!N6</f>
        <v>1680</v>
      </c>
      <c r="K31" s="74">
        <f>J31+'3'!K31</f>
        <v>6679.65</v>
      </c>
      <c r="L31" s="74">
        <f>J31+'3'!L31</f>
        <v>65536.800000000003</v>
      </c>
      <c r="M31" s="724">
        <f>Production2!K6</f>
        <v>2286.25</v>
      </c>
      <c r="N31" s="724">
        <f>M31+'3'!N31</f>
        <v>7393.5</v>
      </c>
      <c r="O31" s="724">
        <f>M31+'3'!O31</f>
        <v>70168.5</v>
      </c>
      <c r="P31" s="724">
        <f>I31+J31+J32-M31</f>
        <v>1409.6600168375198</v>
      </c>
      <c r="Q31" s="96">
        <f t="shared" ref="Q31:Q46" si="6">J31/F31</f>
        <v>99.115044247787608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Production2!P6</f>
        <v>12.15</v>
      </c>
      <c r="G32" s="75">
        <f>F32+'3'!G32</f>
        <v>47.76</v>
      </c>
      <c r="H32" s="75">
        <f>F32+'3'!H32</f>
        <v>454.04999999999995</v>
      </c>
      <c r="I32" s="712"/>
      <c r="J32" s="78">
        <f>Production2!Q6</f>
        <v>96.87</v>
      </c>
      <c r="K32" s="74">
        <f>J32+'3'!K32</f>
        <v>405.39</v>
      </c>
      <c r="L32" s="74">
        <f>J32+'3'!L32</f>
        <v>4047.6299999999997</v>
      </c>
      <c r="M32" s="712"/>
      <c r="N32" s="712"/>
      <c r="O32" s="712"/>
      <c r="P32" s="712"/>
      <c r="Q32" s="96">
        <f>J32/F32</f>
        <v>7.9728395061728392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Production2!S6</f>
        <v>17</v>
      </c>
      <c r="G33" s="75">
        <f>F33+'3'!G33</f>
        <v>54.5</v>
      </c>
      <c r="H33" s="75">
        <f>F33+'3'!H33</f>
        <v>500.87</v>
      </c>
      <c r="I33" s="77">
        <f>Production2!T6</f>
        <v>40.709999999999923</v>
      </c>
      <c r="J33" s="77">
        <f>Production2!U6</f>
        <v>225</v>
      </c>
      <c r="K33" s="74">
        <f>J33+'3'!K33</f>
        <v>753.5</v>
      </c>
      <c r="L33" s="74">
        <f>J33+'3'!L33</f>
        <v>6906.2</v>
      </c>
      <c r="M33" s="77">
        <f>Production2!V6</f>
        <v>222</v>
      </c>
      <c r="N33" s="74">
        <f>M33+'3'!N33</f>
        <v>750</v>
      </c>
      <c r="O33" s="74">
        <f>M33+'3'!O33</f>
        <v>6878</v>
      </c>
      <c r="P33" s="74">
        <f t="shared" ref="P33" si="7">I33+J33-M33</f>
        <v>43.709999999999923</v>
      </c>
      <c r="Q33" s="96">
        <f t="shared" si="6"/>
        <v>13.235294117647058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Production2!Y6</f>
        <v>24</v>
      </c>
      <c r="G34" s="75">
        <f>F34+'3'!G34</f>
        <v>75.98</v>
      </c>
      <c r="H34" s="75">
        <f>F34+'3'!H34</f>
        <v>694.25</v>
      </c>
      <c r="I34" s="77">
        <f>Clinker!EJ6</f>
        <v>26349.160087715059</v>
      </c>
      <c r="J34" s="77">
        <f>Clinker!EK6</f>
        <v>1475</v>
      </c>
      <c r="K34" s="74">
        <f>J34+'3'!K34</f>
        <v>4770</v>
      </c>
      <c r="L34" s="74">
        <f>J34+'3'!L34</f>
        <v>45270</v>
      </c>
      <c r="M34" s="77">
        <f>Clinker!EL6</f>
        <v>671.50000000000057</v>
      </c>
      <c r="N34" s="74">
        <f>M34+'3'!N34</f>
        <v>2537.0000000254004</v>
      </c>
      <c r="O34" s="74">
        <f>M34+'3'!O34</f>
        <v>21398.880011911675</v>
      </c>
      <c r="P34" s="74">
        <f>I34+J34-M34-I20</f>
        <v>27152.660087715059</v>
      </c>
      <c r="Q34" s="96">
        <f t="shared" si="6"/>
        <v>61.458333333333336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Production2!AE6</f>
        <v>0</v>
      </c>
      <c r="G35" s="75">
        <f>F35+'3'!G35</f>
        <v>0</v>
      </c>
      <c r="H35" s="75">
        <f>F35+'3'!H35</f>
        <v>9</v>
      </c>
      <c r="I35" s="77">
        <f>Production2!BJ6</f>
        <v>380.79999999999995</v>
      </c>
      <c r="J35" s="77">
        <f>Production2!AF6</f>
        <v>0</v>
      </c>
      <c r="K35" s="74">
        <f>J35+'3'!K35</f>
        <v>0</v>
      </c>
      <c r="L35" s="74">
        <f>J35+'3'!L35</f>
        <v>574</v>
      </c>
      <c r="M35" s="77">
        <f>Production2!BL6</f>
        <v>0</v>
      </c>
      <c r="N35" s="74">
        <f>M35+'3'!N35</f>
        <v>31</v>
      </c>
      <c r="O35" s="74">
        <f>M35+'3'!O35</f>
        <v>2425.5</v>
      </c>
      <c r="P35" s="74">
        <f>I35+J35+J41-M35-F59</f>
        <v>380.79999999999995</v>
      </c>
      <c r="Q35" s="96" t="e">
        <f t="shared" si="6"/>
        <v>#DIV/0!</v>
      </c>
      <c r="R35" s="94"/>
      <c r="S35" s="94"/>
    </row>
    <row r="36" spans="2:19" ht="15.75" customHeight="1" x14ac:dyDescent="0.25">
      <c r="B36" s="688"/>
      <c r="C36" s="691"/>
      <c r="D36" s="80" t="s">
        <v>266</v>
      </c>
      <c r="E36" s="97">
        <v>78</v>
      </c>
      <c r="F36" s="78">
        <f>Production2!AB6</f>
        <v>13.77</v>
      </c>
      <c r="G36" s="75">
        <f>F36+'3'!G36</f>
        <v>13.77</v>
      </c>
      <c r="H36" s="75">
        <f>F36+'3'!H36</f>
        <v>220.10000000000002</v>
      </c>
      <c r="I36" s="77">
        <f>Production2!BF6</f>
        <v>2605.78799999998</v>
      </c>
      <c r="J36" s="77">
        <f>Production2!AC6</f>
        <v>850</v>
      </c>
      <c r="K36" s="74">
        <f>J36+'3'!K36</f>
        <v>850</v>
      </c>
      <c r="L36" s="74">
        <f>J36+'3'!L36</f>
        <v>13279</v>
      </c>
      <c r="M36" s="77">
        <f>Production2!BH6</f>
        <v>512.23</v>
      </c>
      <c r="N36" s="74">
        <f>M36+'3'!N36</f>
        <v>2485.73</v>
      </c>
      <c r="O36" s="74">
        <f>M36+'3'!O36</f>
        <v>37654</v>
      </c>
      <c r="P36" s="74">
        <f>I36+J36+J42-M36-F57</f>
        <v>2943.55799999998</v>
      </c>
      <c r="Q36" s="96">
        <f t="shared" si="6"/>
        <v>61.728395061728399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Production2!AH6</f>
        <v>0</v>
      </c>
      <c r="G37" s="75">
        <f>F37+'3'!G37</f>
        <v>0</v>
      </c>
      <c r="H37" s="75">
        <f>F37+'3'!H37</f>
        <v>0</v>
      </c>
      <c r="I37" s="77">
        <f>Production2!BN6</f>
        <v>2.0900000000008498</v>
      </c>
      <c r="J37" s="77">
        <f>Production2!AI6</f>
        <v>0</v>
      </c>
      <c r="K37" s="74">
        <f>J37+'3'!K37</f>
        <v>0</v>
      </c>
      <c r="L37" s="74">
        <f>J37+'3'!L37</f>
        <v>0</v>
      </c>
      <c r="M37" s="77">
        <f>Production2!BP6</f>
        <v>0</v>
      </c>
      <c r="N37" s="74">
        <f>M37+'3'!N37</f>
        <v>0</v>
      </c>
      <c r="O37" s="74">
        <f>M37+'3'!O37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Production2!AK6</f>
        <v>0</v>
      </c>
      <c r="G38" s="75">
        <f>F38+'3'!G38</f>
        <v>0</v>
      </c>
      <c r="H38" s="75">
        <f>F38+'3'!H38</f>
        <v>0</v>
      </c>
      <c r="I38" s="195">
        <f>Production2!BR6</f>
        <v>126.30000000000001</v>
      </c>
      <c r="J38" s="195">
        <v>0</v>
      </c>
      <c r="K38" s="74">
        <f>J38+'3'!K38</f>
        <v>0</v>
      </c>
      <c r="L38" s="74">
        <f>J38+'3'!L38</f>
        <v>0</v>
      </c>
      <c r="M38" s="195">
        <f>Production2!BT6</f>
        <v>0</v>
      </c>
      <c r="N38" s="74">
        <f>M38+'3'!N38</f>
        <v>60</v>
      </c>
      <c r="O38" s="74">
        <f>M38+'3'!O38</f>
        <v>1907</v>
      </c>
      <c r="P38" s="74">
        <f>I38+J38+J44-M38-F60</f>
        <v>126.30000000000001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Production2!AN6</f>
        <v>0</v>
      </c>
      <c r="G39" s="75">
        <f>F39+'3'!G39</f>
        <v>0</v>
      </c>
      <c r="H39" s="75">
        <f>F39+'3'!H39</f>
        <v>40.65</v>
      </c>
      <c r="I39" s="195">
        <f>Production2!BV6</f>
        <v>1139.95</v>
      </c>
      <c r="J39" s="195">
        <f>Production2!BW6</f>
        <v>0</v>
      </c>
      <c r="K39" s="74">
        <f>J39+'3'!K39</f>
        <v>0</v>
      </c>
      <c r="L39" s="74">
        <f>J39+'3'!L39</f>
        <v>2532</v>
      </c>
      <c r="M39" s="77">
        <f>Production2!BX6</f>
        <v>62</v>
      </c>
      <c r="N39" s="74">
        <f>M39+'3'!N39</f>
        <v>275.88</v>
      </c>
      <c r="O39" s="74">
        <f>M39+'3'!O39</f>
        <v>5697.7599999999993</v>
      </c>
      <c r="P39" s="74">
        <f>I39+J39+J45-M39</f>
        <v>1077.95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13.77</v>
      </c>
      <c r="G40" s="132">
        <f>G35+G36+G37+G38+G39</f>
        <v>13.77</v>
      </c>
      <c r="H40" s="132">
        <f>H35+H36+H37+H38+H39</f>
        <v>269.75</v>
      </c>
      <c r="I40" s="122">
        <f>I35+I36+I37+I38+I39</f>
        <v>4254.9279999999808</v>
      </c>
      <c r="J40" s="122">
        <f>J35+J36+J37+J38+J39</f>
        <v>850</v>
      </c>
      <c r="K40" s="122">
        <f t="shared" ref="K40:P40" si="8">K35+K36+K37+K38+K39</f>
        <v>850</v>
      </c>
      <c r="L40" s="122">
        <f t="shared" si="8"/>
        <v>16385</v>
      </c>
      <c r="M40" s="122">
        <f t="shared" si="8"/>
        <v>574.23</v>
      </c>
      <c r="N40" s="122">
        <f t="shared" si="8"/>
        <v>2852.61</v>
      </c>
      <c r="O40" s="609">
        <f t="shared" si="8"/>
        <v>47684.11</v>
      </c>
      <c r="P40" s="122">
        <f t="shared" si="8"/>
        <v>4530.6979999999812</v>
      </c>
      <c r="Q40" s="123">
        <f t="shared" si="6"/>
        <v>61.728395061728399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Production2!AT6</f>
        <v>0</v>
      </c>
      <c r="G41" s="75">
        <f>F41+'3'!G41</f>
        <v>0</v>
      </c>
      <c r="H41" s="75">
        <f>F41+'3'!H41</f>
        <v>33.099999999999994</v>
      </c>
      <c r="I41" s="710"/>
      <c r="J41" s="77">
        <f>Production2!AU6</f>
        <v>0</v>
      </c>
      <c r="K41" s="74">
        <f>J41+'3'!K41</f>
        <v>0</v>
      </c>
      <c r="L41" s="74">
        <f>J41+'3'!L41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Production2!AQ6</f>
        <v>0</v>
      </c>
      <c r="G42" s="75">
        <f>F42+'3'!G42</f>
        <v>33.01</v>
      </c>
      <c r="H42" s="75">
        <f>F42+'3'!H42</f>
        <v>449.01</v>
      </c>
      <c r="I42" s="711"/>
      <c r="J42" s="77">
        <f>Production2!AR6</f>
        <v>0</v>
      </c>
      <c r="K42" s="74">
        <f>J42+'3'!K42</f>
        <v>1900</v>
      </c>
      <c r="L42" s="74">
        <f>J42+'3'!L42</f>
        <v>26040</v>
      </c>
      <c r="M42" s="716"/>
      <c r="N42" s="717"/>
      <c r="O42" s="717"/>
      <c r="P42" s="718"/>
      <c r="Q42" s="96" t="e">
        <f t="shared" si="6"/>
        <v>#DIV/0!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Production2!AW6</f>
        <v>0</v>
      </c>
      <c r="G43" s="75">
        <f>F43+'3'!G43</f>
        <v>0</v>
      </c>
      <c r="H43" s="75">
        <f>F43+'3'!H43</f>
        <v>0</v>
      </c>
      <c r="I43" s="711"/>
      <c r="J43" s="77">
        <f>Production2!AX6</f>
        <v>0</v>
      </c>
      <c r="K43" s="74">
        <f>J43+'3'!K43</f>
        <v>0</v>
      </c>
      <c r="L43" s="74">
        <f>J43+'3'!L43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Production2!AZ6</f>
        <v>0</v>
      </c>
      <c r="G44" s="75">
        <f>F44+'3'!G44</f>
        <v>0</v>
      </c>
      <c r="H44" s="75">
        <f>F44+'3'!H44</f>
        <v>32.880000000000003</v>
      </c>
      <c r="I44" s="712"/>
      <c r="J44" s="195">
        <f>Production2!BA6</f>
        <v>0</v>
      </c>
      <c r="K44" s="74">
        <f>J44+'3'!K44</f>
        <v>0</v>
      </c>
      <c r="L44" s="74">
        <f>J44+'3'!L44</f>
        <v>1820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Production2!BC6</f>
        <v>0</v>
      </c>
      <c r="G45" s="75">
        <f>F45+'3'!G45</f>
        <v>9.98</v>
      </c>
      <c r="H45" s="75">
        <f>F45+'3'!H45</f>
        <v>64.95</v>
      </c>
      <c r="I45" s="427"/>
      <c r="J45" s="195">
        <f>Production2!BD6</f>
        <v>0</v>
      </c>
      <c r="K45" s="74">
        <f>J45+'2'!K45</f>
        <v>598</v>
      </c>
      <c r="L45" s="74">
        <f>J45+'2'!L45</f>
        <v>3870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0</v>
      </c>
      <c r="G46" s="132">
        <f t="shared" ref="G46:H46" si="9">G41+G42+G43+G44+G45</f>
        <v>42.989999999999995</v>
      </c>
      <c r="H46" s="132">
        <f t="shared" si="9"/>
        <v>579.94000000000005</v>
      </c>
      <c r="I46" s="132">
        <f t="shared" ref="I46" si="10">I41+I42+I43+I44</f>
        <v>0</v>
      </c>
      <c r="J46" s="122">
        <f>J41+J42+J43+J44+J45</f>
        <v>0</v>
      </c>
      <c r="K46" s="122">
        <f t="shared" ref="K46:L46" si="11">K41+K42+K43+K44+K45</f>
        <v>2498</v>
      </c>
      <c r="L46" s="122">
        <f t="shared" si="11"/>
        <v>33730</v>
      </c>
      <c r="M46" s="132"/>
      <c r="N46" s="132"/>
      <c r="O46" s="132"/>
      <c r="P46" s="132"/>
      <c r="Q46" s="123" t="e">
        <f t="shared" si="6"/>
        <v>#DIV/0!</v>
      </c>
      <c r="R46" s="94"/>
      <c r="S46" s="94"/>
    </row>
    <row r="47" spans="2:19" x14ac:dyDescent="0.25">
      <c r="B47" s="839"/>
      <c r="C47" s="840"/>
      <c r="D47" s="840"/>
      <c r="E47" s="840"/>
      <c r="F47" s="840"/>
      <c r="G47" s="840"/>
      <c r="H47" s="840"/>
      <c r="I47" s="840"/>
      <c r="J47" s="840"/>
      <c r="K47" s="840"/>
      <c r="L47" s="840"/>
      <c r="M47" s="840"/>
      <c r="N47" s="840"/>
      <c r="O47" s="840"/>
      <c r="P47" s="840"/>
      <c r="Q47" s="841"/>
      <c r="R47" s="94"/>
      <c r="S47" s="94"/>
    </row>
    <row r="48" spans="2:19" s="70" customFormat="1" ht="15" customHeight="1" x14ac:dyDescent="0.25">
      <c r="B48" s="811" t="s">
        <v>269</v>
      </c>
      <c r="C48" s="811"/>
      <c r="D48" s="811"/>
      <c r="E48" s="811"/>
      <c r="F48" s="811"/>
      <c r="G48" s="811"/>
      <c r="H48" s="811"/>
      <c r="I48" s="811"/>
      <c r="J48" s="811"/>
      <c r="K48" s="811"/>
      <c r="L48" s="811"/>
      <c r="M48" s="842"/>
      <c r="N48" s="311"/>
      <c r="O48" s="848" t="s">
        <v>270</v>
      </c>
      <c r="P48" s="807"/>
      <c r="Q48" s="807"/>
      <c r="R48" s="98"/>
      <c r="S48" s="98"/>
    </row>
    <row r="49" spans="2:19" s="70" customFormat="1" ht="15.6" customHeight="1" thickBot="1" x14ac:dyDescent="0.3">
      <c r="B49" s="145" t="s">
        <v>229</v>
      </c>
      <c r="C49" s="708" t="s">
        <v>230</v>
      </c>
      <c r="D49" s="708"/>
      <c r="E49" s="315" t="s">
        <v>141</v>
      </c>
      <c r="F49" s="316" t="s">
        <v>142</v>
      </c>
      <c r="G49" s="315" t="s">
        <v>143</v>
      </c>
      <c r="H49" s="315" t="s">
        <v>144</v>
      </c>
      <c r="I49" s="315" t="s">
        <v>145</v>
      </c>
      <c r="J49" s="315" t="s">
        <v>271</v>
      </c>
      <c r="K49" s="315" t="s">
        <v>147</v>
      </c>
      <c r="L49" s="315" t="s">
        <v>272</v>
      </c>
      <c r="M49" s="317" t="s">
        <v>273</v>
      </c>
      <c r="N49" s="315" t="s">
        <v>150</v>
      </c>
      <c r="O49" s="843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1.181095513924403</v>
      </c>
      <c r="F50" s="99">
        <f>F53/(J31+J32)</f>
        <v>28.298637491769238</v>
      </c>
      <c r="G50" s="99">
        <f>G53/J32</f>
        <v>0</v>
      </c>
      <c r="H50" s="99">
        <f>H53/J34</f>
        <v>35.89491525423729</v>
      </c>
      <c r="I50" s="99">
        <f>I53/J33</f>
        <v>71.093333333333334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15.050847457627118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1.5005918597249703</v>
      </c>
      <c r="F51" s="102">
        <f>F50*1.55</f>
        <v>43.862888112242324</v>
      </c>
      <c r="G51" s="102">
        <f>G50*1.55</f>
        <v>0</v>
      </c>
      <c r="H51" s="102">
        <f>H50</f>
        <v>35.89491525423729</v>
      </c>
      <c r="I51" s="102">
        <f>I50*(Q50/100)</f>
        <v>10.700149152542371</v>
      </c>
      <c r="J51" s="102"/>
      <c r="K51" s="102"/>
      <c r="L51" s="102"/>
      <c r="M51" s="96"/>
      <c r="N51" s="307">
        <f>SUM(E51:I51)</f>
        <v>91.95854437874695</v>
      </c>
      <c r="O51" s="728" t="s">
        <v>277</v>
      </c>
      <c r="P51" s="728"/>
      <c r="Q51" s="104">
        <v>5399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1.1854675691827277</v>
      </c>
      <c r="F52" s="102">
        <f>F51*M18/100</f>
        <v>34.651681608671467</v>
      </c>
      <c r="G52" s="102">
        <f>G51*M18/100</f>
        <v>0</v>
      </c>
      <c r="H52" s="102">
        <f>H51*M18/100</f>
        <v>28.356983050847486</v>
      </c>
      <c r="I52" s="102">
        <f>I51*M18/100</f>
        <v>8.4531178305084822</v>
      </c>
      <c r="J52" s="99">
        <f>J53/(J40+J46)</f>
        <v>43.164705882352941</v>
      </c>
      <c r="K52" s="99">
        <f>K53/(J46+J40)</f>
        <v>1.66</v>
      </c>
      <c r="L52" s="99">
        <f>L53/(M40)</f>
        <v>7.8435470107796528</v>
      </c>
      <c r="M52" s="96">
        <f>M53/(J46+J40)</f>
        <v>5.7317647058823527</v>
      </c>
      <c r="N52" s="307">
        <f>SUM(E52:M52)</f>
        <v>131.04726765822511</v>
      </c>
      <c r="O52" s="728" t="s">
        <v>279</v>
      </c>
      <c r="P52" s="728"/>
      <c r="Q52" s="104">
        <f>Q51*Q50/100</f>
        <v>812.59525423728803</v>
      </c>
    </row>
    <row r="53" spans="2:19" ht="15" customHeight="1" thickBot="1" x14ac:dyDescent="0.3">
      <c r="B53" s="199" t="s">
        <v>241</v>
      </c>
      <c r="C53" s="821" t="s">
        <v>280</v>
      </c>
      <c r="D53" s="821"/>
      <c r="E53" s="118">
        <f>'Daily unit'!B6</f>
        <v>2716</v>
      </c>
      <c r="F53" s="118">
        <f>'Daily unit'!C6</f>
        <v>50283</v>
      </c>
      <c r="G53" s="118">
        <f>'Daily unit'!D6</f>
        <v>0</v>
      </c>
      <c r="H53" s="118">
        <f>'Daily unit'!E6</f>
        <v>52945</v>
      </c>
      <c r="I53" s="118">
        <f>'Daily unit'!F6</f>
        <v>15996</v>
      </c>
      <c r="J53" s="118">
        <f>'Daily unit'!G6</f>
        <v>36690</v>
      </c>
      <c r="K53" s="118">
        <f>'Daily unit'!H6</f>
        <v>1411</v>
      </c>
      <c r="L53" s="118">
        <f>'Daily unit'!I6</f>
        <v>4504</v>
      </c>
      <c r="M53" s="119">
        <f>'Daily unit'!J6</f>
        <v>4872</v>
      </c>
      <c r="N53" s="318">
        <f>SUM(E53:M53)</f>
        <v>169417</v>
      </c>
      <c r="O53" s="206"/>
      <c r="P53" s="84"/>
      <c r="Q53" s="207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844" t="s">
        <v>281</v>
      </c>
      <c r="C55" s="811"/>
      <c r="D55" s="811"/>
      <c r="E55" s="811"/>
      <c r="F55" s="811"/>
      <c r="G55" s="811"/>
      <c r="H55" s="81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187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45">
        <v>1</v>
      </c>
      <c r="C57" s="812" t="s">
        <v>285</v>
      </c>
      <c r="D57" s="813"/>
      <c r="E57" s="80">
        <v>42.5</v>
      </c>
      <c r="F57" s="53">
        <f>'Internal use cement'!F6</f>
        <v>0</v>
      </c>
      <c r="G57" s="53">
        <f>F57+'3'!G57</f>
        <v>0</v>
      </c>
      <c r="H57" s="77">
        <f>F57+'3'!H57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46"/>
      <c r="C58" s="814"/>
      <c r="D58" s="815"/>
      <c r="E58" s="80" t="s">
        <v>195</v>
      </c>
      <c r="F58" s="53">
        <f>'Internal use cement'!Q6</f>
        <v>0</v>
      </c>
      <c r="G58" s="53">
        <f>F58+'3'!G58</f>
        <v>0</v>
      </c>
      <c r="H58" s="77">
        <f>F58+'3'!H58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46"/>
      <c r="C59" s="814"/>
      <c r="D59" s="815"/>
      <c r="E59" s="80">
        <v>32.5</v>
      </c>
      <c r="F59" s="53">
        <f>'Internal use cement'!AB6</f>
        <v>0</v>
      </c>
      <c r="G59" s="53">
        <f>F59+'3'!G59</f>
        <v>0</v>
      </c>
      <c r="H59" s="77">
        <f>F59+'3'!H59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47"/>
      <c r="C60" s="816"/>
      <c r="D60" s="817"/>
      <c r="E60" s="112" t="s">
        <v>175</v>
      </c>
      <c r="F60" s="113">
        <f>'Internal use cement'!AJ6</f>
        <v>0</v>
      </c>
      <c r="G60" s="113">
        <f>F60+'3'!G60</f>
        <v>0</v>
      </c>
      <c r="H60" s="212">
        <f>F60+'3'!H60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Q28:Q29"/>
    <mergeCell ref="F28:H28"/>
    <mergeCell ref="I28:I29"/>
    <mergeCell ref="J28:L28"/>
    <mergeCell ref="M28:O28"/>
    <mergeCell ref="P28:P29"/>
    <mergeCell ref="P31:P32"/>
    <mergeCell ref="O48:Q48"/>
    <mergeCell ref="C32:D32"/>
    <mergeCell ref="I31:I32"/>
    <mergeCell ref="M31:M32"/>
    <mergeCell ref="N31:N32"/>
    <mergeCell ref="O31:O32"/>
    <mergeCell ref="M41:P45"/>
    <mergeCell ref="B41:B46"/>
    <mergeCell ref="C41:C46"/>
    <mergeCell ref="I41:I44"/>
    <mergeCell ref="B2:Q2"/>
    <mergeCell ref="B3:Q3"/>
    <mergeCell ref="C30:D30"/>
    <mergeCell ref="C31:D31"/>
    <mergeCell ref="C33:D33"/>
    <mergeCell ref="C34:D34"/>
    <mergeCell ref="M25:N25"/>
    <mergeCell ref="B35:B40"/>
    <mergeCell ref="C35:C40"/>
    <mergeCell ref="B26:Q26"/>
    <mergeCell ref="B27:Q27"/>
    <mergeCell ref="B28:B29"/>
    <mergeCell ref="C28:D29"/>
    <mergeCell ref="B55:H55"/>
    <mergeCell ref="C56:E56"/>
    <mergeCell ref="C57:D60"/>
    <mergeCell ref="B57:B60"/>
    <mergeCell ref="I55:Q60"/>
    <mergeCell ref="B54:Q54"/>
    <mergeCell ref="B47:Q47"/>
    <mergeCell ref="B48:M48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C12:D12"/>
    <mergeCell ref="C13:D13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M23:N24"/>
    <mergeCell ref="P23:Q25"/>
    <mergeCell ref="C25:D25"/>
    <mergeCell ref="C21:D21"/>
    <mergeCell ref="C23:C24"/>
    <mergeCell ref="C10:D10"/>
    <mergeCell ref="C9:D9"/>
    <mergeCell ref="P6:P7"/>
    <mergeCell ref="Q6:Q7"/>
    <mergeCell ref="C11:D11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8:Q8"/>
    <mergeCell ref="P13:Q13"/>
    <mergeCell ref="O9:O16"/>
  </mergeCells>
  <pageMargins left="0.2" right="0.2" top="0.75" bottom="0.75" header="0.3" footer="0.3"/>
  <pageSetup paperSize="9" scale="55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B2:U157"/>
  <sheetViews>
    <sheetView zoomScale="90" zoomScaleNormal="90" workbookViewId="0">
      <pane xSplit="4" ySplit="1" topLeftCell="E2" activePane="bottomRight" state="frozen"/>
      <selection pane="topRight" activeCell="E1" sqref="E1"/>
      <selection pane="bottomLeft" activeCell="A6" sqref="A6"/>
      <selection pane="bottomRight" activeCell="C23" sqref="C23:D24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1.140625" style="68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7.5703125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320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 t="s">
        <v>288</v>
      </c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822" t="s">
        <v>242</v>
      </c>
      <c r="D9" s="823"/>
      <c r="E9" s="74">
        <f>'4'!L9</f>
        <v>19728.91170459901</v>
      </c>
      <c r="F9" s="74">
        <f>Production2!D7</f>
        <v>3026.4</v>
      </c>
      <c r="G9" s="74">
        <f>F9+'4'!G9</f>
        <v>18211.060000000001</v>
      </c>
      <c r="H9" s="74">
        <f>F9+'4'!H9</f>
        <v>83196.760000000009</v>
      </c>
      <c r="I9" s="74">
        <f>Production2!E7</f>
        <v>1862</v>
      </c>
      <c r="J9" s="74">
        <f>I9+'4'!J9</f>
        <v>9246</v>
      </c>
      <c r="K9" s="74">
        <f>I9+'4'!K9</f>
        <v>76133</v>
      </c>
      <c r="L9" s="74">
        <f>E9+F9-I9-I21</f>
        <v>20748.91170459901</v>
      </c>
      <c r="M9" s="75">
        <f>I9</f>
        <v>1862</v>
      </c>
      <c r="N9" s="75">
        <f>(I9/I13)*100</f>
        <v>95.389344262295083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(2)'!L7</f>
        <v>2225.56</v>
      </c>
      <c r="F10" s="77">
        <f>'Mines (2)'!M7</f>
        <v>84.9</v>
      </c>
      <c r="G10" s="74">
        <f>F10+'4'!G10</f>
        <v>1627.9600000000005</v>
      </c>
      <c r="H10" s="74">
        <f>F10+'4'!H10</f>
        <v>2979.42</v>
      </c>
      <c r="I10" s="77">
        <f>'Mines (2)'!N7</f>
        <v>47</v>
      </c>
      <c r="J10" s="74">
        <f>I10+'4'!J10</f>
        <v>311</v>
      </c>
      <c r="K10" s="74">
        <f>I10+'4'!K10</f>
        <v>840</v>
      </c>
      <c r="L10" s="77">
        <f t="shared" ref="L10:L16" si="0">E10+F10-I10</f>
        <v>2263.46</v>
      </c>
      <c r="M10" s="75">
        <f t="shared" ref="M10:M12" si="1">I10</f>
        <v>47</v>
      </c>
      <c r="N10" s="75">
        <f>(I10/I13)*100</f>
        <v>2.4077868852459017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Clinker!C7</f>
        <v>3909.8599999999997</v>
      </c>
      <c r="F11" s="77">
        <f>Clinker!D7</f>
        <v>0</v>
      </c>
      <c r="G11" s="74">
        <f>F11+'4'!G11</f>
        <v>69.52000000000001</v>
      </c>
      <c r="H11" s="74">
        <f>F11+'4'!H11</f>
        <v>139.22</v>
      </c>
      <c r="I11" s="77">
        <f>Clinker!E7</f>
        <v>39</v>
      </c>
      <c r="J11" s="74">
        <f>I11+'4'!J11</f>
        <v>197</v>
      </c>
      <c r="K11" s="74">
        <f>I11+'4'!K11</f>
        <v>1634</v>
      </c>
      <c r="L11" s="77">
        <f t="shared" si="0"/>
        <v>3870.8599999999997</v>
      </c>
      <c r="M11" s="75">
        <f t="shared" si="1"/>
        <v>39</v>
      </c>
      <c r="N11" s="75">
        <f>(I11/I13)*100</f>
        <v>1.9979508196721314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(2)'!Q7</f>
        <v>130.03999999999996</v>
      </c>
      <c r="F12" s="77">
        <f>'Mines (2)'!R7</f>
        <v>0</v>
      </c>
      <c r="G12" s="74">
        <f>F12+'4'!G12</f>
        <v>0</v>
      </c>
      <c r="H12" s="74">
        <f>F12+'4'!H12</f>
        <v>137.76</v>
      </c>
      <c r="I12" s="77">
        <f>'Mines (2)'!S7</f>
        <v>4</v>
      </c>
      <c r="J12" s="74">
        <f>I12+'4'!J12</f>
        <v>65</v>
      </c>
      <c r="K12" s="74">
        <f>I12+'4'!K12</f>
        <v>612</v>
      </c>
      <c r="L12" s="77">
        <f t="shared" si="0"/>
        <v>126.03999999999996</v>
      </c>
      <c r="M12" s="75">
        <f t="shared" si="1"/>
        <v>4</v>
      </c>
      <c r="N12" s="75">
        <f>(I12/I13)*100</f>
        <v>0.20491803278688525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25994.371704599012</v>
      </c>
      <c r="F13" s="127">
        <f t="shared" si="2"/>
        <v>3111.3</v>
      </c>
      <c r="G13" s="127">
        <f t="shared" si="2"/>
        <v>19908.54</v>
      </c>
      <c r="H13" s="127">
        <f t="shared" si="2"/>
        <v>86453.16</v>
      </c>
      <c r="I13" s="127">
        <f t="shared" si="2"/>
        <v>1952</v>
      </c>
      <c r="J13" s="127">
        <f t="shared" si="2"/>
        <v>9819</v>
      </c>
      <c r="K13" s="127">
        <f t="shared" si="2"/>
        <v>79219</v>
      </c>
      <c r="L13" s="127">
        <f t="shared" si="0"/>
        <v>27153.671704599012</v>
      </c>
      <c r="M13" s="128">
        <f>SUM(M9:M12)</f>
        <v>1952</v>
      </c>
      <c r="N13" s="128">
        <f>SUM(N9:N12)</f>
        <v>99.999999999999986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Clinker!EB7</f>
        <v>7142.2369999999901</v>
      </c>
      <c r="F14" s="77">
        <f>Clinker!EC7</f>
        <v>0</v>
      </c>
      <c r="G14" s="77">
        <f>F14+'4'!G14</f>
        <v>0</v>
      </c>
      <c r="H14" s="77">
        <f>F14+'4'!H14</f>
        <v>181.5</v>
      </c>
      <c r="I14" s="77">
        <f>Clinker!ED7</f>
        <v>230</v>
      </c>
      <c r="J14" s="77">
        <f>I14+'4'!J14</f>
        <v>1067.23</v>
      </c>
      <c r="K14" s="77">
        <f>I14+'4'!K14</f>
        <v>7903.5300000000007</v>
      </c>
      <c r="L14" s="77">
        <f>E14+F14-I14-Clinker!N7-Clinker!Z7-Clinker!AS7-Clinker!AX7-Clinker!BC7-Clinker!BW7-Clinker!BH7-Clinker!BM7-Clinker!BR7-Clinker!CV7</f>
        <v>6852.2369999999901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Clinker!EF7</f>
        <v>9928.8999999999978</v>
      </c>
      <c r="F15" s="77">
        <f>Clinker!EG7</f>
        <v>154.30000000000001</v>
      </c>
      <c r="G15" s="77">
        <f>F15+'4'!G15</f>
        <v>309.5</v>
      </c>
      <c r="H15" s="77">
        <f>F15+'4'!H15</f>
        <v>464.55</v>
      </c>
      <c r="I15" s="77">
        <f>Clinker!EH7</f>
        <v>120</v>
      </c>
      <c r="J15" s="77">
        <f>I15+'4'!J15</f>
        <v>618</v>
      </c>
      <c r="K15" s="77">
        <f>I15+'4'!K15</f>
        <v>4487</v>
      </c>
      <c r="L15" s="77">
        <f>E15+F15-Clinker!AE7-Clinker!AJ7-Clinker!CL7-Clinker!CQ7-Clinker!CG7</f>
        <v>10023.199999999997</v>
      </c>
      <c r="M15" s="81"/>
      <c r="N15" s="81"/>
      <c r="O15" s="787"/>
      <c r="P15" s="78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17071.136999999988</v>
      </c>
      <c r="F16" s="125">
        <f>F14+F15</f>
        <v>154.30000000000001</v>
      </c>
      <c r="G16" s="125">
        <f t="shared" ref="G16:K16" si="3">G14+G15</f>
        <v>309.5</v>
      </c>
      <c r="H16" s="125">
        <f t="shared" si="3"/>
        <v>646.04999999999995</v>
      </c>
      <c r="I16" s="125">
        <f>I14+I15</f>
        <v>350</v>
      </c>
      <c r="J16" s="125">
        <f>J14+J15</f>
        <v>1685.23</v>
      </c>
      <c r="K16" s="125">
        <f t="shared" si="3"/>
        <v>12390.53</v>
      </c>
      <c r="L16" s="125">
        <f t="shared" si="0"/>
        <v>16875.436999999987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Clinker!EJ7</f>
        <v>27152.660087715059</v>
      </c>
      <c r="F18" s="74">
        <f>Clinker!EK7</f>
        <v>1310</v>
      </c>
      <c r="G18" s="74">
        <f>F18+'4'!G18</f>
        <v>6080</v>
      </c>
      <c r="H18" s="74">
        <f>F18+'4'!H18</f>
        <v>46580</v>
      </c>
      <c r="I18" s="74">
        <f>Clinker!EL7</f>
        <v>463.60000000000031</v>
      </c>
      <c r="J18" s="74">
        <f>I18+'4'!J18</f>
        <v>3000.6000000254007</v>
      </c>
      <c r="K18" s="74">
        <f>I18+'4'!K18</f>
        <v>21862.480011911674</v>
      </c>
      <c r="L18" s="74">
        <f>E18+F18-I18-I20</f>
        <v>27999.060087715061</v>
      </c>
      <c r="M18" s="783">
        <f>((I18+I19)/(J40+J46))*100</f>
        <v>72.437500000000043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Clinker!EO7</f>
        <v>5306.1090080001359</v>
      </c>
      <c r="F19" s="74">
        <f>Clinker!EP7</f>
        <v>0</v>
      </c>
      <c r="G19" s="74">
        <f>F19+'4'!G19</f>
        <v>150.78</v>
      </c>
      <c r="H19" s="74">
        <f>F19+'4'!H19</f>
        <v>13390.660000000003</v>
      </c>
      <c r="I19" s="74">
        <f>Clinker!EQ7</f>
        <v>0</v>
      </c>
      <c r="J19" s="74">
        <f>I19+'4'!J19</f>
        <v>0</v>
      </c>
      <c r="K19" s="74">
        <f>I19+'4'!K19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19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Clinker!EN7</f>
        <v>0</v>
      </c>
      <c r="G20" s="74">
        <f>F20+'4'!G20</f>
        <v>0</v>
      </c>
      <c r="H20" s="74">
        <f>F20+'4'!H20</f>
        <v>0</v>
      </c>
      <c r="I20" s="77">
        <f>Clinker!EN7</f>
        <v>0</v>
      </c>
      <c r="J20" s="74">
        <f>I20+'4'!J20</f>
        <v>0</v>
      </c>
      <c r="K20" s="74">
        <f>I20+'4'!K20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77">
        <f>Cement!R7</f>
        <v>144.39999999999966</v>
      </c>
      <c r="J21" s="74">
        <f>I21+'4'!J21</f>
        <v>787.9000000225991</v>
      </c>
      <c r="K21" s="74">
        <f>I21+'4'!K21</f>
        <v>9419.7199925848345</v>
      </c>
      <c r="L21" s="74"/>
      <c r="M21" s="78">
        <f>(I21/(J40+J46))*100</f>
        <v>22.562499999999947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Cement!C7</f>
        <v>6909.5800636462809</v>
      </c>
      <c r="F22" s="77">
        <f>Cement!D7</f>
        <v>0</v>
      </c>
      <c r="G22" s="74">
        <f>F22+'4'!G22</f>
        <v>0</v>
      </c>
      <c r="H22" s="74">
        <f>F22+'4'!H22</f>
        <v>1970.9</v>
      </c>
      <c r="I22" s="77">
        <f>Cement!E7</f>
        <v>32</v>
      </c>
      <c r="J22" s="74">
        <f>I22+'4'!J22</f>
        <v>199.499999952</v>
      </c>
      <c r="K22" s="74">
        <f>I22+'4'!K22</f>
        <v>2538.6999955034994</v>
      </c>
      <c r="L22" s="74">
        <f t="shared" ref="L22:L24" si="4">E22+F22-I22</f>
        <v>6877.5800636462809</v>
      </c>
      <c r="M22" s="78">
        <f>(I22/(J40+J46))*100</f>
        <v>5</v>
      </c>
      <c r="N22" s="78"/>
      <c r="O22" s="767"/>
      <c r="P22" s="87"/>
      <c r="Q22" s="774"/>
      <c r="R22" s="20"/>
      <c r="S22" s="235"/>
    </row>
    <row r="23" spans="2:19" ht="15" customHeight="1" x14ac:dyDescent="0.25">
      <c r="B23" s="763"/>
      <c r="C23" s="690" t="s">
        <v>251</v>
      </c>
      <c r="D23" s="614" t="s">
        <v>252</v>
      </c>
      <c r="E23" s="77">
        <f>Cement!H7</f>
        <v>0.23999999999796273</v>
      </c>
      <c r="F23" s="77">
        <f>Cement!I7</f>
        <v>0</v>
      </c>
      <c r="G23" s="74">
        <f>F23+'4'!G23</f>
        <v>0</v>
      </c>
      <c r="H23" s="74">
        <f>F23+'4'!H23</f>
        <v>0</v>
      </c>
      <c r="I23" s="77">
        <f>Cement!J7</f>
        <v>0</v>
      </c>
      <c r="J23" s="74">
        <f>I23+'4'!J23</f>
        <v>0</v>
      </c>
      <c r="K23" s="74">
        <f>I23+'4'!K23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614" t="s">
        <v>253</v>
      </c>
      <c r="E24" s="77">
        <f>Cement!L7</f>
        <v>0</v>
      </c>
      <c r="F24" s="77">
        <f>Cement!M7</f>
        <v>0</v>
      </c>
      <c r="G24" s="74">
        <f>F24+'4'!G24</f>
        <v>0</v>
      </c>
      <c r="H24" s="74">
        <f>F24+'4'!H24</f>
        <v>0</v>
      </c>
      <c r="I24" s="77">
        <f>Cement!N7</f>
        <v>0</v>
      </c>
      <c r="J24" s="74">
        <f>I24+'4'!J24</f>
        <v>0</v>
      </c>
      <c r="K24" s="74">
        <f>I24+'4'!K24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39368.589159361472</v>
      </c>
      <c r="F25" s="122">
        <f t="shared" ref="F25:L25" si="5">F18+F19+F21+F22+F23+F24</f>
        <v>1310</v>
      </c>
      <c r="G25" s="122">
        <f t="shared" si="5"/>
        <v>6230.78</v>
      </c>
      <c r="H25" s="122">
        <f t="shared" si="5"/>
        <v>61941.560000000005</v>
      </c>
      <c r="I25" s="122">
        <f t="shared" si="5"/>
        <v>640</v>
      </c>
      <c r="J25" s="122">
        <f t="shared" si="5"/>
        <v>3988</v>
      </c>
      <c r="K25" s="122">
        <f t="shared" si="5"/>
        <v>50755.000000000007</v>
      </c>
      <c r="L25" s="122">
        <f t="shared" si="5"/>
        <v>40182.989159361474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Production2!C7</f>
        <v>18.88</v>
      </c>
      <c r="G30" s="75">
        <f>F30+'4'!G30</f>
        <v>77.679999999999993</v>
      </c>
      <c r="H30" s="75">
        <f>F30+'4'!H30</f>
        <v>510.16000000000014</v>
      </c>
      <c r="I30" s="74">
        <f>'Mines (2)'!C7+'Mines (2)'!H7+'Mines (2)'!V7+'Mines (2)'!Z7+'Mines (2)'!AD7</f>
        <v>19728.911704599006</v>
      </c>
      <c r="J30" s="74">
        <f>Production2!D7</f>
        <v>3026.4</v>
      </c>
      <c r="K30" s="74">
        <f>J30+'4'!K30</f>
        <v>18211.060000000001</v>
      </c>
      <c r="L30" s="74">
        <f>J30+'4'!L30</f>
        <v>83196.760000000009</v>
      </c>
      <c r="M30" s="74">
        <f>I9+I21</f>
        <v>2006.3999999999996</v>
      </c>
      <c r="N30" s="74">
        <f>M30+'4'!N30</f>
        <v>10033.900000022599</v>
      </c>
      <c r="O30" s="74">
        <f>M30+'4'!O30</f>
        <v>85552.71999258484</v>
      </c>
      <c r="P30" s="74">
        <f>I30+J30-M30</f>
        <v>20748.911704599006</v>
      </c>
      <c r="Q30" s="93">
        <f>J30/F30</f>
        <v>160.29661016949154</v>
      </c>
      <c r="R30" s="94"/>
      <c r="S30" s="94"/>
    </row>
    <row r="31" spans="2:19" x14ac:dyDescent="0.25">
      <c r="B31" s="79">
        <v>2</v>
      </c>
      <c r="C31" s="725" t="s">
        <v>290</v>
      </c>
      <c r="D31" s="726"/>
      <c r="E31" s="95">
        <v>120</v>
      </c>
      <c r="F31" s="78">
        <f>Production2!G7</f>
        <v>16.3</v>
      </c>
      <c r="G31" s="75">
        <f>F31+'4'!G31</f>
        <v>77.510000000000005</v>
      </c>
      <c r="H31" s="75">
        <f>F31+'4'!H31</f>
        <v>570.7299999999999</v>
      </c>
      <c r="I31" s="724">
        <f>Production2!H7</f>
        <v>1409.6600168375198</v>
      </c>
      <c r="J31" s="78">
        <f>Production2!N7</f>
        <v>1678</v>
      </c>
      <c r="K31" s="74">
        <f>J31+'4'!K31</f>
        <v>8357.65</v>
      </c>
      <c r="L31" s="74">
        <f>J31+'4'!L31</f>
        <v>67214.8</v>
      </c>
      <c r="M31" s="724">
        <f>Production2!K7</f>
        <v>2030.5</v>
      </c>
      <c r="N31" s="724">
        <f>M31+'4'!N31</f>
        <v>9424</v>
      </c>
      <c r="O31" s="724">
        <f>M31+'4'!O31</f>
        <v>72199</v>
      </c>
      <c r="P31" s="724">
        <f>I31+J31+J32-M31</f>
        <v>1137.1300168375196</v>
      </c>
      <c r="Q31" s="96">
        <f t="shared" ref="Q31:Q46" si="6">J31/F31</f>
        <v>102.94478527607362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Production2!P7</f>
        <v>10</v>
      </c>
      <c r="G32" s="75">
        <f>F32+'4'!G32</f>
        <v>57.76</v>
      </c>
      <c r="H32" s="75">
        <f>F32+'4'!H32</f>
        <v>464.04999999999995</v>
      </c>
      <c r="I32" s="712"/>
      <c r="J32" s="78">
        <f>Production2!Q7</f>
        <v>79.97</v>
      </c>
      <c r="K32" s="74">
        <f>J32+'4'!K32</f>
        <v>485.36</v>
      </c>
      <c r="L32" s="74">
        <f>J32+'4'!L32</f>
        <v>4127.5999999999995</v>
      </c>
      <c r="M32" s="712"/>
      <c r="N32" s="712"/>
      <c r="O32" s="712"/>
      <c r="P32" s="712"/>
      <c r="Q32" s="96">
        <f>J32/F32</f>
        <v>7.9969999999999999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Production2!S7</f>
        <v>15.5</v>
      </c>
      <c r="G33" s="75">
        <f>F33+'4'!G33</f>
        <v>70</v>
      </c>
      <c r="H33" s="75">
        <f>F33+'4'!H33</f>
        <v>516.37</v>
      </c>
      <c r="I33" s="77">
        <f>Production2!T7</f>
        <v>43.709999999999923</v>
      </c>
      <c r="J33" s="77">
        <f>Production2!U7</f>
        <v>207</v>
      </c>
      <c r="K33" s="74">
        <f>J33+'4'!K33</f>
        <v>960.5</v>
      </c>
      <c r="L33" s="74">
        <f>J33+'4'!L33</f>
        <v>7113.2</v>
      </c>
      <c r="M33" s="77">
        <f>Production2!V7</f>
        <v>202</v>
      </c>
      <c r="N33" s="74">
        <f>M33+'4'!N33</f>
        <v>952</v>
      </c>
      <c r="O33" s="74">
        <f>M33+'4'!O33</f>
        <v>7080</v>
      </c>
      <c r="P33" s="74">
        <f t="shared" ref="P33" si="7">I33+J33-M33</f>
        <v>48.709999999999923</v>
      </c>
      <c r="Q33" s="96">
        <f t="shared" si="6"/>
        <v>13.35483870967742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Production2!Y7</f>
        <v>24</v>
      </c>
      <c r="G34" s="75">
        <f>F34+'4'!G34</f>
        <v>99.98</v>
      </c>
      <c r="H34" s="75">
        <f>F34+'4'!H34</f>
        <v>718.25</v>
      </c>
      <c r="I34" s="77">
        <f>Clinker!EJ7</f>
        <v>27152.660087715059</v>
      </c>
      <c r="J34" s="77">
        <f>Clinker!EK7</f>
        <v>1310</v>
      </c>
      <c r="K34" s="74">
        <f>J34+'4'!K34</f>
        <v>6080</v>
      </c>
      <c r="L34" s="74">
        <f>J34+'4'!L34</f>
        <v>46580</v>
      </c>
      <c r="M34" s="77">
        <f>Clinker!EL7</f>
        <v>463.60000000000031</v>
      </c>
      <c r="N34" s="74">
        <f>M34+'4'!N34</f>
        <v>3000.6000000254007</v>
      </c>
      <c r="O34" s="74">
        <f>M34+'4'!O34</f>
        <v>21862.480011911674</v>
      </c>
      <c r="P34" s="74">
        <f>I34+J34-M34-I20</f>
        <v>27999.060087715061</v>
      </c>
      <c r="Q34" s="96">
        <f t="shared" si="6"/>
        <v>54.583333333333336</v>
      </c>
      <c r="R34" s="94"/>
      <c r="S34" s="94"/>
    </row>
    <row r="35" spans="2:19" x14ac:dyDescent="0.25">
      <c r="B35" s="687">
        <v>5</v>
      </c>
      <c r="C35" s="690" t="s">
        <v>146</v>
      </c>
      <c r="D35" s="80" t="s">
        <v>265</v>
      </c>
      <c r="E35" s="97">
        <v>90</v>
      </c>
      <c r="F35" s="78">
        <f>Production2!AE7</f>
        <v>3.6</v>
      </c>
      <c r="G35" s="75">
        <f>F35+'4'!G35</f>
        <v>3.6</v>
      </c>
      <c r="H35" s="75">
        <f>F35+'4'!H35</f>
        <v>12.6</v>
      </c>
      <c r="I35" s="77">
        <f>Production2!BJ7</f>
        <v>380.79999999999995</v>
      </c>
      <c r="J35" s="77">
        <f>Production2!AF7</f>
        <v>200</v>
      </c>
      <c r="K35" s="74">
        <f>J35+'4'!K35</f>
        <v>200</v>
      </c>
      <c r="L35" s="74">
        <f>J35+'4'!L35</f>
        <v>774</v>
      </c>
      <c r="M35" s="77">
        <f>Production2!BL7</f>
        <v>124</v>
      </c>
      <c r="N35" s="74">
        <f>M35+'4'!N35</f>
        <v>155</v>
      </c>
      <c r="O35" s="74">
        <f>M35+'4'!O35</f>
        <v>2549.5</v>
      </c>
      <c r="P35" s="74">
        <f>I35+J35+J41-M35-F59</f>
        <v>456.79999999999995</v>
      </c>
      <c r="Q35" s="96">
        <f t="shared" si="6"/>
        <v>55.555555555555557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Production2!AB7</f>
        <v>4.43</v>
      </c>
      <c r="G36" s="75">
        <f>F36+'4'!G36</f>
        <v>18.2</v>
      </c>
      <c r="H36" s="75">
        <f>F36+'4'!H36</f>
        <v>224.53000000000003</v>
      </c>
      <c r="I36" s="77">
        <f>Production2!BF7</f>
        <v>2943.55799999998</v>
      </c>
      <c r="J36" s="77">
        <f>Production2!AC7</f>
        <v>240</v>
      </c>
      <c r="K36" s="74">
        <f>J36+'4'!K36</f>
        <v>1090</v>
      </c>
      <c r="L36" s="74">
        <f>J36+'4'!L36</f>
        <v>13519</v>
      </c>
      <c r="M36" s="77">
        <f>Production2!BH7</f>
        <v>841.5</v>
      </c>
      <c r="N36" s="74">
        <f>M36+'4'!N36</f>
        <v>3327.23</v>
      </c>
      <c r="O36" s="74">
        <f>M36+'4'!O36</f>
        <v>38495.5</v>
      </c>
      <c r="P36" s="74">
        <f>I36+J36+J42-M36-F57</f>
        <v>2342.05799999998</v>
      </c>
      <c r="Q36" s="96">
        <f t="shared" si="6"/>
        <v>54.176072234762984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Production2!AH7</f>
        <v>0</v>
      </c>
      <c r="G37" s="75">
        <f>F37+'4'!G37</f>
        <v>0</v>
      </c>
      <c r="H37" s="75">
        <f>F37+'4'!H37</f>
        <v>0</v>
      </c>
      <c r="I37" s="77">
        <f>Production2!BN7</f>
        <v>2.0900000000008498</v>
      </c>
      <c r="J37" s="77">
        <f>Production2!AI7</f>
        <v>0</v>
      </c>
      <c r="K37" s="74">
        <f>J37+'4'!K37</f>
        <v>0</v>
      </c>
      <c r="L37" s="74">
        <f>J37+'4'!L37</f>
        <v>0</v>
      </c>
      <c r="M37" s="77">
        <f>Production2!BP7</f>
        <v>0</v>
      </c>
      <c r="N37" s="74">
        <f>M37+'4'!N37</f>
        <v>0</v>
      </c>
      <c r="O37" s="74">
        <f>M37+'4'!O37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Production2!AK7</f>
        <v>0</v>
      </c>
      <c r="G38" s="75">
        <f>F38+'4'!G38</f>
        <v>0</v>
      </c>
      <c r="H38" s="75">
        <f>F38+'4'!H38</f>
        <v>0</v>
      </c>
      <c r="I38" s="195">
        <f>Production2!BR7</f>
        <v>126.30000000000001</v>
      </c>
      <c r="J38" s="195">
        <f>Production2!AL9</f>
        <v>0</v>
      </c>
      <c r="K38" s="74">
        <f>J38+'4'!K38</f>
        <v>0</v>
      </c>
      <c r="L38" s="74">
        <f>J38+'4'!L38</f>
        <v>0</v>
      </c>
      <c r="M38" s="195">
        <f>Production2!BT7</f>
        <v>30</v>
      </c>
      <c r="N38" s="74">
        <f>M38+'4'!N38</f>
        <v>90</v>
      </c>
      <c r="O38" s="74">
        <f>M38+'4'!O38</f>
        <v>1937</v>
      </c>
      <c r="P38" s="74">
        <f>I38+J38+J44-M38-F60</f>
        <v>96.300000000000011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Production2!AN7</f>
        <v>3.6</v>
      </c>
      <c r="G39" s="75">
        <f>F39+'4'!G39</f>
        <v>3.6</v>
      </c>
      <c r="H39" s="75">
        <f>F39+'4'!H39</f>
        <v>44.25</v>
      </c>
      <c r="I39" s="195">
        <f>Production2!BV7</f>
        <v>1077.95</v>
      </c>
      <c r="J39" s="437">
        <f>Production2!AO7</f>
        <v>200</v>
      </c>
      <c r="K39" s="74">
        <f>J39+'4'!K39</f>
        <v>200</v>
      </c>
      <c r="L39" s="74">
        <f>J39+'4'!L39</f>
        <v>2732</v>
      </c>
      <c r="M39" s="77">
        <f>Production2!BX7</f>
        <v>277.8</v>
      </c>
      <c r="N39" s="74">
        <f>M39+'4'!N39</f>
        <v>553.68000000000006</v>
      </c>
      <c r="O39" s="74">
        <f>M39+'4'!O39</f>
        <v>5975.5599999999995</v>
      </c>
      <c r="P39" s="74">
        <f>I39+J39+J45-M39</f>
        <v>1000.1500000000001</v>
      </c>
      <c r="Q39" s="96">
        <f t="shared" si="6"/>
        <v>55.555555555555557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11.629999999999999</v>
      </c>
      <c r="G40" s="132">
        <f t="shared" ref="G40:H40" si="8">G35+G36+G37+G38+G39</f>
        <v>25.400000000000002</v>
      </c>
      <c r="H40" s="132">
        <f t="shared" si="8"/>
        <v>281.38</v>
      </c>
      <c r="I40" s="122">
        <f>I35+I36+I37+I38+I39</f>
        <v>4530.6979999999812</v>
      </c>
      <c r="J40" s="122">
        <f>J35+J36+J37+J38+J39</f>
        <v>640</v>
      </c>
      <c r="K40" s="122">
        <f>K35+K36+K37+K38+K39</f>
        <v>1490</v>
      </c>
      <c r="L40" s="122">
        <f t="shared" ref="L40:O40" si="9">L35+L36+L37+L38+L39</f>
        <v>17025</v>
      </c>
      <c r="M40" s="122">
        <f t="shared" si="9"/>
        <v>1273.3</v>
      </c>
      <c r="N40" s="122">
        <f t="shared" si="9"/>
        <v>4125.91</v>
      </c>
      <c r="O40" s="122">
        <f t="shared" si="9"/>
        <v>48957.409999999996</v>
      </c>
      <c r="P40" s="122">
        <f>P35+P36+P37+P38+P39</f>
        <v>3897.3979999999815</v>
      </c>
      <c r="Q40" s="123">
        <f t="shared" si="6"/>
        <v>55.030094582975067</v>
      </c>
      <c r="R40" s="94"/>
      <c r="S40" s="94"/>
    </row>
    <row r="41" spans="2:19" x14ac:dyDescent="0.25">
      <c r="B41" s="687">
        <v>5</v>
      </c>
      <c r="C41" s="690" t="s">
        <v>268</v>
      </c>
      <c r="D41" s="80" t="s">
        <v>265</v>
      </c>
      <c r="E41" s="97">
        <v>75</v>
      </c>
      <c r="F41" s="78">
        <f>Production2!AT7</f>
        <v>0</v>
      </c>
      <c r="G41" s="75">
        <f>F41+'4'!G41</f>
        <v>0</v>
      </c>
      <c r="H41" s="75">
        <f>F41+'4'!H41</f>
        <v>33.099999999999994</v>
      </c>
      <c r="I41" s="710"/>
      <c r="J41" s="77">
        <f>Production2!AU7</f>
        <v>0</v>
      </c>
      <c r="K41" s="74">
        <f>J41+'4'!K41</f>
        <v>0</v>
      </c>
      <c r="L41" s="74">
        <f>J41+'4'!L41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Production2!AQ7</f>
        <v>0</v>
      </c>
      <c r="G42" s="75">
        <f>F42+'4'!G42</f>
        <v>33.01</v>
      </c>
      <c r="H42" s="75">
        <f>F42+'4'!H42</f>
        <v>449.01</v>
      </c>
      <c r="I42" s="711"/>
      <c r="J42" s="77">
        <f>Production2!AR7</f>
        <v>0</v>
      </c>
      <c r="K42" s="74">
        <f>J42+'4'!K42</f>
        <v>1900</v>
      </c>
      <c r="L42" s="74">
        <f>J42+'4'!L42</f>
        <v>26040</v>
      </c>
      <c r="M42" s="716"/>
      <c r="N42" s="717"/>
      <c r="O42" s="717"/>
      <c r="P42" s="718"/>
      <c r="Q42" s="96" t="e">
        <f t="shared" si="6"/>
        <v>#DIV/0!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Production2!AW7</f>
        <v>0</v>
      </c>
      <c r="G43" s="75">
        <f>F43+'4'!G43</f>
        <v>0</v>
      </c>
      <c r="H43" s="75">
        <f>F43+'4'!H43</f>
        <v>0</v>
      </c>
      <c r="I43" s="711"/>
      <c r="J43" s="77">
        <f>Production2!AX7</f>
        <v>0</v>
      </c>
      <c r="K43" s="74">
        <f>J43+'4'!K43</f>
        <v>0</v>
      </c>
      <c r="L43" s="74">
        <f>J43+'4'!L43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Production2!AZ7</f>
        <v>0</v>
      </c>
      <c r="G44" s="75">
        <f>F44+'4'!G44</f>
        <v>0</v>
      </c>
      <c r="H44" s="75">
        <f>F44+'4'!H44</f>
        <v>32.880000000000003</v>
      </c>
      <c r="I44" s="712"/>
      <c r="J44" s="195">
        <f>Production2!BA7</f>
        <v>0</v>
      </c>
      <c r="K44" s="74">
        <f>J44+'4'!K44</f>
        <v>0</v>
      </c>
      <c r="L44" s="74">
        <f>J44+'4'!L44</f>
        <v>1820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Production2!BC7</f>
        <v>0</v>
      </c>
      <c r="G45" s="75">
        <f>F45+'4'!G45</f>
        <v>9.98</v>
      </c>
      <c r="H45" s="75">
        <f>F45+'4'!H45</f>
        <v>64.95</v>
      </c>
      <c r="I45" s="427"/>
      <c r="J45" s="195">
        <f>Production2!BD7</f>
        <v>0</v>
      </c>
      <c r="K45" s="74">
        <f>J45+'4'!K45</f>
        <v>598</v>
      </c>
      <c r="L45" s="74">
        <f>J45+'4'!L45</f>
        <v>3870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0</v>
      </c>
      <c r="G46" s="132">
        <f t="shared" ref="G46:H46" si="10">G41+G42+G43+G44+G45</f>
        <v>42.989999999999995</v>
      </c>
      <c r="H46" s="132">
        <f t="shared" si="10"/>
        <v>579.94000000000005</v>
      </c>
      <c r="I46" s="132">
        <f t="shared" ref="I46" si="11">I41+I42+I43+I44</f>
        <v>0</v>
      </c>
      <c r="J46" s="122">
        <f>J41+J42+J43+J44+J45</f>
        <v>0</v>
      </c>
      <c r="K46" s="436">
        <f t="shared" ref="K46:L46" si="12">K41+K42+K43+K44+K45</f>
        <v>2498</v>
      </c>
      <c r="L46" s="122">
        <f t="shared" si="12"/>
        <v>33730</v>
      </c>
      <c r="M46" s="132"/>
      <c r="N46" s="132"/>
      <c r="O46" s="132"/>
      <c r="P46" s="132"/>
      <c r="Q46" s="123" t="e">
        <f t="shared" si="6"/>
        <v>#DIV/0!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3" t="s">
        <v>269</v>
      </c>
      <c r="C48" s="854"/>
      <c r="D48" s="854"/>
      <c r="E48" s="854"/>
      <c r="F48" s="854"/>
      <c r="G48" s="854"/>
      <c r="H48" s="854"/>
      <c r="I48" s="854"/>
      <c r="J48" s="854"/>
      <c r="K48" s="854"/>
      <c r="L48" s="854"/>
      <c r="M48" s="854"/>
      <c r="N48" s="855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843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0.8581152524451493</v>
      </c>
      <c r="F50" s="99">
        <f>F53/(J31+J32)</f>
        <v>25.685876323259212</v>
      </c>
      <c r="G50" s="99">
        <v>0</v>
      </c>
      <c r="H50" s="99">
        <f>H53/J34</f>
        <v>38.719847328244278</v>
      </c>
      <c r="I50" s="99">
        <f>I53/J33</f>
        <v>77.193236714975839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15.419847328244273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1.2197027481319602</v>
      </c>
      <c r="F51" s="102">
        <f>F50*1.55</f>
        <v>39.813108301051777</v>
      </c>
      <c r="G51" s="102">
        <f>G50*1.55</f>
        <v>0</v>
      </c>
      <c r="H51" s="102">
        <f>H50</f>
        <v>38.719847328244278</v>
      </c>
      <c r="I51" s="102">
        <f>I50*(Q50/100)</f>
        <v>11.903079249179481</v>
      </c>
      <c r="J51" s="102"/>
      <c r="K51" s="102"/>
      <c r="L51" s="102"/>
      <c r="M51" s="96"/>
      <c r="N51" s="307">
        <f>SUM(E51:I51)</f>
        <v>91.655737626607504</v>
      </c>
      <c r="O51" s="728" t="s">
        <v>277</v>
      </c>
      <c r="P51" s="728"/>
      <c r="Q51" s="104">
        <v>5375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0.8835221781780892</v>
      </c>
      <c r="F52" s="102">
        <f>F51*M18/100</f>
        <v>28.839620325574398</v>
      </c>
      <c r="G52" s="102">
        <f>G51*M18/100</f>
        <v>0</v>
      </c>
      <c r="H52" s="102">
        <f>H51*M18/100</f>
        <v>28.047689408396963</v>
      </c>
      <c r="I52" s="102">
        <f>I51*M18/100</f>
        <v>8.622293031124391</v>
      </c>
      <c r="J52" s="99">
        <f>J53/(J40+J46)</f>
        <v>62.557812499999997</v>
      </c>
      <c r="K52" s="99">
        <f>K53/(J46+J40)</f>
        <v>2.2531249999999998</v>
      </c>
      <c r="L52" s="99">
        <f>L53/(M40)</f>
        <v>4.4255085211654759</v>
      </c>
      <c r="M52" s="96">
        <f>M53/(J46+J40)</f>
        <v>7.8609375000000004</v>
      </c>
      <c r="N52" s="307">
        <f>SUM(E52:M52)</f>
        <v>143.49050846443933</v>
      </c>
      <c r="O52" s="728" t="s">
        <v>279</v>
      </c>
      <c r="P52" s="728"/>
      <c r="Q52" s="104">
        <f>Q51*Q50/100</f>
        <v>828.81679389312967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unit'!B7</f>
        <v>2597</v>
      </c>
      <c r="F53" s="118">
        <f>'Daily unit'!C7</f>
        <v>45155</v>
      </c>
      <c r="G53" s="118">
        <f>'Daily unit'!D7</f>
        <v>0</v>
      </c>
      <c r="H53" s="118">
        <f>'Daily unit'!E7</f>
        <v>50723</v>
      </c>
      <c r="I53" s="118">
        <f>'Daily unit'!F7</f>
        <v>15979</v>
      </c>
      <c r="J53" s="118">
        <f>'Daily unit'!G7</f>
        <v>40037</v>
      </c>
      <c r="K53" s="118">
        <f>'Daily unit'!H7</f>
        <v>1442</v>
      </c>
      <c r="L53" s="118">
        <f>'Daily unit'!I7</f>
        <v>5635</v>
      </c>
      <c r="M53" s="119">
        <f>'Daily unit'!J7</f>
        <v>5031</v>
      </c>
      <c r="N53" s="318">
        <f>SUM(E53:M53)</f>
        <v>166599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856" t="s">
        <v>283</v>
      </c>
      <c r="D56" s="856"/>
      <c r="E56" s="722"/>
      <c r="F56" s="150" t="s">
        <v>284</v>
      </c>
      <c r="G56" s="150" t="s">
        <v>26</v>
      </c>
      <c r="H56" s="183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58">
        <v>1</v>
      </c>
      <c r="C57" s="766" t="s">
        <v>285</v>
      </c>
      <c r="D57" s="766"/>
      <c r="E57" s="211">
        <v>42.5</v>
      </c>
      <c r="F57" s="53">
        <f>'Internal use cement'!F7</f>
        <v>0</v>
      </c>
      <c r="G57" s="53">
        <f>F57+'4'!G57</f>
        <v>0</v>
      </c>
      <c r="H57" s="182">
        <f>F57+'4'!H57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39"/>
      <c r="C58" s="766"/>
      <c r="D58" s="766"/>
      <c r="E58" s="211" t="s">
        <v>195</v>
      </c>
      <c r="F58" s="53">
        <f>'Internal use cement'!Q7</f>
        <v>0</v>
      </c>
      <c r="G58" s="53">
        <f>F58+'4'!G58</f>
        <v>0</v>
      </c>
      <c r="H58" s="182">
        <f>F58+'4'!H58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39"/>
      <c r="C59" s="766"/>
      <c r="D59" s="766"/>
      <c r="E59" s="211">
        <v>32.5</v>
      </c>
      <c r="F59" s="53">
        <f>'Internal use cement'!AB7</f>
        <v>0</v>
      </c>
      <c r="G59" s="53">
        <f>F59+'4'!G59</f>
        <v>0</v>
      </c>
      <c r="H59" s="182">
        <f>F59+'4'!H59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93"/>
      <c r="C60" s="857"/>
      <c r="D60" s="857"/>
      <c r="E60" s="213" t="s">
        <v>175</v>
      </c>
      <c r="F60" s="113">
        <f>'Internal use cement'!AJ7</f>
        <v>0</v>
      </c>
      <c r="G60" s="113">
        <f>F60+'4'!G60</f>
        <v>0</v>
      </c>
      <c r="H60" s="198">
        <f>F60+'4'!H60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5">
    <mergeCell ref="J28:L28"/>
    <mergeCell ref="M28:O28"/>
    <mergeCell ref="B35:B40"/>
    <mergeCell ref="C35:C40"/>
    <mergeCell ref="C34:D34"/>
    <mergeCell ref="C30:D30"/>
    <mergeCell ref="O31:O32"/>
    <mergeCell ref="P31:P32"/>
    <mergeCell ref="B41:B46"/>
    <mergeCell ref="C41:C46"/>
    <mergeCell ref="I41:I44"/>
    <mergeCell ref="M41:P45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P23:Q25"/>
    <mergeCell ref="C25:D25"/>
    <mergeCell ref="M25:N25"/>
    <mergeCell ref="C23:C24"/>
    <mergeCell ref="M18:M19"/>
    <mergeCell ref="C8:Q8"/>
    <mergeCell ref="C11:D11"/>
    <mergeCell ref="C12:D12"/>
    <mergeCell ref="C13:D13"/>
    <mergeCell ref="P13:Q13"/>
    <mergeCell ref="O9:O16"/>
    <mergeCell ref="C10:D10"/>
    <mergeCell ref="C9:D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21:D21"/>
    <mergeCell ref="C31:D31"/>
    <mergeCell ref="C33:D33"/>
    <mergeCell ref="M23:N24"/>
    <mergeCell ref="C32:D32"/>
    <mergeCell ref="I31:I32"/>
    <mergeCell ref="M31:M32"/>
    <mergeCell ref="N31:N32"/>
    <mergeCell ref="B26:Q26"/>
    <mergeCell ref="B27:Q27"/>
    <mergeCell ref="B28:B29"/>
    <mergeCell ref="C28:D29"/>
    <mergeCell ref="F28:H28"/>
    <mergeCell ref="I28:I29"/>
    <mergeCell ref="P28:P29"/>
    <mergeCell ref="Q28:Q29"/>
    <mergeCell ref="B55:H55"/>
    <mergeCell ref="I55:Q60"/>
    <mergeCell ref="C56:E56"/>
    <mergeCell ref="C57:D60"/>
    <mergeCell ref="B57:B60"/>
    <mergeCell ref="B54:Q54"/>
    <mergeCell ref="B47:Q47"/>
    <mergeCell ref="C49:D49"/>
    <mergeCell ref="O49:P49"/>
    <mergeCell ref="C50:D50"/>
    <mergeCell ref="O50:P50"/>
    <mergeCell ref="O51:P51"/>
    <mergeCell ref="C52:D52"/>
    <mergeCell ref="O52:P52"/>
    <mergeCell ref="C53:D53"/>
    <mergeCell ref="C51:D51"/>
    <mergeCell ref="O48:Q48"/>
    <mergeCell ref="B48:N48"/>
  </mergeCells>
  <pageMargins left="0.2" right="0.2" top="0.75" bottom="0.75" header="0.3" footer="0.3"/>
  <pageSetup paperSize="9" scale="5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B2:U157"/>
  <sheetViews>
    <sheetView zoomScale="90" zoomScaleNormal="90" workbookViewId="0">
      <pane xSplit="4" ySplit="1" topLeftCell="E34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321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822" t="s">
        <v>242</v>
      </c>
      <c r="D9" s="823"/>
      <c r="E9" s="74">
        <f>'5'!L9</f>
        <v>20748.91170459901</v>
      </c>
      <c r="F9" s="74">
        <f>Production2!D8</f>
        <v>2037.1800000000007</v>
      </c>
      <c r="G9" s="74">
        <f>F9+'5'!G9</f>
        <v>20248.240000000002</v>
      </c>
      <c r="H9" s="74">
        <f>F9+'5'!H9</f>
        <v>85233.940000000017</v>
      </c>
      <c r="I9" s="74">
        <f>Production2!E8</f>
        <v>2241</v>
      </c>
      <c r="J9" s="74">
        <f>I9+'5'!J9</f>
        <v>11487</v>
      </c>
      <c r="K9" s="74">
        <f>I9+'5'!K9</f>
        <v>78374</v>
      </c>
      <c r="L9" s="74">
        <f>E9+F9-I9-I21</f>
        <v>20295.761704599012</v>
      </c>
      <c r="M9" s="75">
        <f>I9</f>
        <v>2241</v>
      </c>
      <c r="N9" s="75">
        <f>(I9/I13)*100</f>
        <v>94.957627118644069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(2)'!L8</f>
        <v>2263.46</v>
      </c>
      <c r="F10" s="77">
        <f>'Mines (2)'!M8</f>
        <v>0</v>
      </c>
      <c r="G10" s="74">
        <f>F10+'5'!G10</f>
        <v>1627.9600000000005</v>
      </c>
      <c r="H10" s="74">
        <f>F10+'5'!H10</f>
        <v>2979.42</v>
      </c>
      <c r="I10" s="77">
        <f>'Mines (2)'!N8</f>
        <v>60</v>
      </c>
      <c r="J10" s="74">
        <f>I10+'5'!J10</f>
        <v>371</v>
      </c>
      <c r="K10" s="74">
        <f>I10+'5'!K10</f>
        <v>900</v>
      </c>
      <c r="L10" s="77">
        <f t="shared" ref="L10:L13" si="0">E10+F10-I10</f>
        <v>2203.46</v>
      </c>
      <c r="M10" s="75">
        <f t="shared" ref="M10:M12" si="1">I10</f>
        <v>60</v>
      </c>
      <c r="N10" s="75">
        <f>(I10/I13)*100</f>
        <v>2.5423728813559325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Clinker!C8</f>
        <v>3870.8599999999997</v>
      </c>
      <c r="F11" s="77">
        <f>Clinker!D8</f>
        <v>0</v>
      </c>
      <c r="G11" s="74">
        <f>F11+'5'!G11</f>
        <v>69.52000000000001</v>
      </c>
      <c r="H11" s="74">
        <f>F11+'5'!H11</f>
        <v>139.22</v>
      </c>
      <c r="I11" s="77">
        <f>Clinker!E8</f>
        <v>59</v>
      </c>
      <c r="J11" s="74">
        <f>I11+'5'!J11</f>
        <v>256</v>
      </c>
      <c r="K11" s="74">
        <f>I11+'5'!K11</f>
        <v>1693</v>
      </c>
      <c r="L11" s="77">
        <f t="shared" si="0"/>
        <v>3811.8599999999997</v>
      </c>
      <c r="M11" s="75">
        <f t="shared" si="1"/>
        <v>59</v>
      </c>
      <c r="N11" s="75">
        <f>(I11/I13)*100</f>
        <v>2.5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(2)'!Q8</f>
        <v>126.03999999999996</v>
      </c>
      <c r="F12" s="77">
        <f>'Mines (2)'!R8</f>
        <v>0</v>
      </c>
      <c r="G12" s="74">
        <f>F12+'5'!G12</f>
        <v>0</v>
      </c>
      <c r="H12" s="74">
        <f>F12+'5'!H12</f>
        <v>137.76</v>
      </c>
      <c r="I12" s="77">
        <f>'Mines (2)'!S8</f>
        <v>0</v>
      </c>
      <c r="J12" s="74">
        <f>I12+'5'!J12</f>
        <v>65</v>
      </c>
      <c r="K12" s="74">
        <f>I12+'5'!K12</f>
        <v>612</v>
      </c>
      <c r="L12" s="77">
        <f t="shared" si="0"/>
        <v>126.03999999999996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27009.27170459901</v>
      </c>
      <c r="F13" s="127">
        <f t="shared" si="2"/>
        <v>2037.1800000000007</v>
      </c>
      <c r="G13" s="127">
        <f t="shared" si="2"/>
        <v>21945.72</v>
      </c>
      <c r="H13" s="127">
        <f t="shared" si="2"/>
        <v>88490.340000000011</v>
      </c>
      <c r="I13" s="127">
        <f t="shared" si="2"/>
        <v>2360</v>
      </c>
      <c r="J13" s="127">
        <f t="shared" si="2"/>
        <v>12179</v>
      </c>
      <c r="K13" s="127">
        <f t="shared" si="2"/>
        <v>81579</v>
      </c>
      <c r="L13" s="127">
        <f t="shared" si="0"/>
        <v>26686.451704599011</v>
      </c>
      <c r="M13" s="128">
        <f>SUM(M9:M12)</f>
        <v>2360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Clinker!EB8</f>
        <v>6852.2369999999901</v>
      </c>
      <c r="F14" s="77">
        <f>Clinker!EC8</f>
        <v>0</v>
      </c>
      <c r="G14" s="77">
        <f>F14+'5'!G14</f>
        <v>0</v>
      </c>
      <c r="H14" s="77">
        <f>F14+'5'!H14</f>
        <v>181.5</v>
      </c>
      <c r="I14" s="77">
        <f>Clinker!ED8</f>
        <v>233</v>
      </c>
      <c r="J14" s="77">
        <f>I14+'5'!J14</f>
        <v>1300.23</v>
      </c>
      <c r="K14" s="77">
        <f>I14+'5'!K14</f>
        <v>8136.5300000000007</v>
      </c>
      <c r="L14" s="77">
        <f>E14+F14-I14-Clinker!N8-Clinker!Z8-Clinker!AS8-Clinker!AX8-Clinker!BC8-Clinker!BW8-Clinker!BH8-Clinker!BM8-Clinker!BR8-Clinker!CV8</f>
        <v>6609.2369999999901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Clinker!EF8</f>
        <v>10023.199999999997</v>
      </c>
      <c r="F15" s="77">
        <f>Clinker!EG8</f>
        <v>269.8</v>
      </c>
      <c r="G15" s="77">
        <f>F15+'5'!G15</f>
        <v>579.29999999999995</v>
      </c>
      <c r="H15" s="77">
        <f>F15+'5'!H15</f>
        <v>734.35</v>
      </c>
      <c r="I15" s="77">
        <f>Clinker!EH8</f>
        <v>124</v>
      </c>
      <c r="J15" s="77">
        <f>I15+'5'!J15</f>
        <v>742</v>
      </c>
      <c r="K15" s="77">
        <f>I15+'5'!K15</f>
        <v>4611</v>
      </c>
      <c r="L15" s="77">
        <f>E15+F15-Clinker!AE8-Clinker!AJ8-Clinker!CL8-Clinker!CQ8-Clinker!CG8</f>
        <v>10178.999999999996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16875.436999999987</v>
      </c>
      <c r="F16" s="125">
        <f>F14+F15</f>
        <v>269.8</v>
      </c>
      <c r="G16" s="125">
        <f t="shared" ref="G16:K16" si="3">G14+G15</f>
        <v>579.29999999999995</v>
      </c>
      <c r="H16" s="125">
        <f t="shared" si="3"/>
        <v>915.85</v>
      </c>
      <c r="I16" s="125">
        <f>I14+I15</f>
        <v>357</v>
      </c>
      <c r="J16" s="125">
        <f>J14+J15</f>
        <v>2042.23</v>
      </c>
      <c r="K16" s="125">
        <f t="shared" si="3"/>
        <v>12747.53</v>
      </c>
      <c r="L16" s="125">
        <f>E16+F16-I16</f>
        <v>16788.236999999986</v>
      </c>
      <c r="M16" s="126"/>
      <c r="N16" s="126"/>
      <c r="O16" s="787"/>
      <c r="P16" s="84"/>
      <c r="Q16" s="131"/>
      <c r="R16" s="83"/>
      <c r="S16" s="83"/>
    </row>
    <row r="17" spans="2:20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20" x14ac:dyDescent="0.25">
      <c r="B18" s="763">
        <v>7</v>
      </c>
      <c r="C18" s="691" t="s">
        <v>247</v>
      </c>
      <c r="D18" s="85" t="s">
        <v>248</v>
      </c>
      <c r="E18" s="74">
        <f>Clinker!EJ8</f>
        <v>27999.060087715061</v>
      </c>
      <c r="F18" s="74">
        <f>Clinker!EK8</f>
        <v>1350</v>
      </c>
      <c r="G18" s="74">
        <f>F18+'5'!G18</f>
        <v>7430</v>
      </c>
      <c r="H18" s="74">
        <f>F18+'5'!H18</f>
        <v>47930</v>
      </c>
      <c r="I18" s="74">
        <f>Clinker!EL8</f>
        <v>1028.420000000001</v>
      </c>
      <c r="J18" s="438">
        <f>I18+'5'!J18</f>
        <v>4029.0200000254017</v>
      </c>
      <c r="K18" s="74">
        <f>I18+'5'!K18</f>
        <v>22890.900011911675</v>
      </c>
      <c r="L18" s="74">
        <f>E18+F18-I18-I20</f>
        <v>28320.640087715059</v>
      </c>
      <c r="M18" s="75">
        <f>((I18+I19)/(J40+J46))*100</f>
        <v>76.462453531598584</v>
      </c>
      <c r="N18" s="765"/>
      <c r="O18" s="767"/>
      <c r="P18" s="769"/>
      <c r="Q18" s="770"/>
      <c r="R18" s="190"/>
      <c r="S18" s="190"/>
    </row>
    <row r="19" spans="2:20" ht="45" x14ac:dyDescent="0.25">
      <c r="B19" s="763"/>
      <c r="C19" s="691"/>
      <c r="D19" s="85" t="s">
        <v>75</v>
      </c>
      <c r="E19" s="74">
        <f>Clinker!EO8</f>
        <v>5306.1090080001359</v>
      </c>
      <c r="F19" s="74">
        <f>Clinker!EP8</f>
        <v>0</v>
      </c>
      <c r="G19" s="74">
        <f>F19+'5'!G19</f>
        <v>150.78</v>
      </c>
      <c r="H19" s="74">
        <f>F19+'5'!H19</f>
        <v>13390.660000000003</v>
      </c>
      <c r="I19" s="74">
        <f>Clinker!EQ8</f>
        <v>0</v>
      </c>
      <c r="J19" s="438">
        <f>I19+'5'!J19</f>
        <v>0</v>
      </c>
      <c r="K19" s="74">
        <f>I19+'5'!K19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190"/>
      <c r="T19" s="176"/>
    </row>
    <row r="20" spans="2:20" ht="30" x14ac:dyDescent="0.25">
      <c r="B20" s="763"/>
      <c r="C20" s="764"/>
      <c r="D20" s="86" t="s">
        <v>249</v>
      </c>
      <c r="E20" s="77"/>
      <c r="F20" s="77">
        <f>Clinker!EN8</f>
        <v>0</v>
      </c>
      <c r="G20" s="74">
        <f>F20+'5'!G20</f>
        <v>0</v>
      </c>
      <c r="H20" s="74">
        <f>F20+'5'!H20</f>
        <v>0</v>
      </c>
      <c r="I20" s="77">
        <f>Clinker!EN8</f>
        <v>0</v>
      </c>
      <c r="J20" s="74">
        <f>I20+'5'!J20</f>
        <v>0</v>
      </c>
      <c r="K20" s="74">
        <f>I20+'5'!K20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20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77">
        <f>Cement!R8</f>
        <v>249.32999999999902</v>
      </c>
      <c r="J21" s="74">
        <f>I21+'5'!J21</f>
        <v>1037.2300000225982</v>
      </c>
      <c r="K21" s="74">
        <f>I21+'5'!K21</f>
        <v>9669.0499925848344</v>
      </c>
      <c r="L21" s="74"/>
      <c r="M21" s="78">
        <f>(I21/(J40+J46))*100</f>
        <v>18.537546468401413</v>
      </c>
      <c r="N21" s="78"/>
      <c r="O21" s="767"/>
      <c r="P21" s="87"/>
      <c r="Q21" s="773"/>
      <c r="R21" s="20"/>
      <c r="S21" s="20"/>
    </row>
    <row r="22" spans="2:20" x14ac:dyDescent="0.25">
      <c r="B22" s="89">
        <v>9</v>
      </c>
      <c r="C22" s="775" t="s">
        <v>250</v>
      </c>
      <c r="D22" s="775"/>
      <c r="E22" s="77">
        <f>Cement!C8</f>
        <v>6877.5800636462809</v>
      </c>
      <c r="F22" s="77">
        <f>Cement!D8</f>
        <v>0</v>
      </c>
      <c r="G22" s="74">
        <f>F22+'5'!G22</f>
        <v>0</v>
      </c>
      <c r="H22" s="74">
        <f>F22+'5'!H22</f>
        <v>1970.9</v>
      </c>
      <c r="I22" s="77">
        <f>Cement!E8</f>
        <v>67.25</v>
      </c>
      <c r="J22" s="438">
        <f>I22+'5'!J22</f>
        <v>266.749999952</v>
      </c>
      <c r="K22" s="74">
        <f>I22+'5'!K22</f>
        <v>2605.9499955034994</v>
      </c>
      <c r="L22" s="74">
        <f t="shared" ref="L22:L24" si="4">E22+F22-I22</f>
        <v>6810.3300636462809</v>
      </c>
      <c r="M22" s="78">
        <f>(I22/(J40+J46))*100</f>
        <v>5</v>
      </c>
      <c r="N22" s="78"/>
      <c r="O22" s="767"/>
      <c r="P22" s="87"/>
      <c r="Q22" s="774"/>
      <c r="R22" s="20"/>
      <c r="S22" s="20"/>
    </row>
    <row r="23" spans="2:20" ht="15" customHeight="1" x14ac:dyDescent="0.25">
      <c r="B23" s="763"/>
      <c r="C23" s="690" t="s">
        <v>251</v>
      </c>
      <c r="D23" s="614" t="s">
        <v>252</v>
      </c>
      <c r="E23" s="77">
        <f>Cement!H8</f>
        <v>0.23999999999796273</v>
      </c>
      <c r="F23" s="77">
        <f>Cement!I8</f>
        <v>0</v>
      </c>
      <c r="G23" s="74">
        <f>F23+'5'!G23</f>
        <v>0</v>
      </c>
      <c r="H23" s="74">
        <f>F23+'5'!H23</f>
        <v>0</v>
      </c>
      <c r="I23" s="77">
        <f>Cement!J8</f>
        <v>0</v>
      </c>
      <c r="J23" s="74">
        <f>I23+'5'!J23</f>
        <v>0</v>
      </c>
      <c r="K23" s="74">
        <f>I23+'5'!K23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20" x14ac:dyDescent="0.25">
      <c r="B24" s="763"/>
      <c r="C24" s="764"/>
      <c r="D24" s="614" t="s">
        <v>253</v>
      </c>
      <c r="E24" s="77">
        <f>Cement!L8</f>
        <v>0</v>
      </c>
      <c r="F24" s="77">
        <f>Cement!M8</f>
        <v>0</v>
      </c>
      <c r="G24" s="74">
        <f>F24+'5'!G24</f>
        <v>0</v>
      </c>
      <c r="H24" s="74">
        <f>F24+'5'!H24</f>
        <v>0</v>
      </c>
      <c r="I24" s="77">
        <f>Cement!N8</f>
        <v>0</v>
      </c>
      <c r="J24" s="74">
        <f>I24+'5'!J24</f>
        <v>0</v>
      </c>
      <c r="K24" s="74">
        <f>I24+'5'!K24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20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40182.989159361474</v>
      </c>
      <c r="F25" s="122">
        <f t="shared" ref="F25:L25" si="5">F18+F19+F21+F22+F23+F24</f>
        <v>1350</v>
      </c>
      <c r="G25" s="122">
        <f t="shared" si="5"/>
        <v>7580.78</v>
      </c>
      <c r="H25" s="122">
        <f t="shared" si="5"/>
        <v>63291.560000000005</v>
      </c>
      <c r="I25" s="122">
        <f t="shared" si="5"/>
        <v>1345</v>
      </c>
      <c r="J25" s="122">
        <f t="shared" si="5"/>
        <v>5332.9999999999991</v>
      </c>
      <c r="K25" s="122">
        <f t="shared" si="5"/>
        <v>52100.000000000007</v>
      </c>
      <c r="L25" s="122">
        <f t="shared" si="5"/>
        <v>40437.319159361476</v>
      </c>
      <c r="M25" s="782"/>
      <c r="N25" s="782"/>
      <c r="O25" s="768"/>
      <c r="P25" s="779"/>
      <c r="Q25" s="780"/>
      <c r="R25" s="83"/>
      <c r="S25" s="83"/>
    </row>
    <row r="26" spans="2:20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20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20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20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20" x14ac:dyDescent="0.25">
      <c r="B30" s="91">
        <v>1</v>
      </c>
      <c r="C30" s="699" t="s">
        <v>261</v>
      </c>
      <c r="D30" s="700"/>
      <c r="E30" s="92">
        <v>250</v>
      </c>
      <c r="F30" s="75">
        <f>Production2!C8</f>
        <v>15.1</v>
      </c>
      <c r="G30" s="75">
        <f>F30+'5'!G30</f>
        <v>92.779999999999987</v>
      </c>
      <c r="H30" s="75">
        <f>F30+'5'!H30</f>
        <v>525.2600000000001</v>
      </c>
      <c r="I30" s="74">
        <f>'Mines (2)'!C8+'Mines (2)'!H8+'Mines (2)'!V8+'Mines (2)'!Z8+'Mines (2)'!AD8</f>
        <v>20748.911704599006</v>
      </c>
      <c r="J30" s="74">
        <f>Production2!D8</f>
        <v>2037.1800000000007</v>
      </c>
      <c r="K30" s="74">
        <f>J30+'5'!K30</f>
        <v>20248.240000000002</v>
      </c>
      <c r="L30" s="74">
        <f>J30+'5'!L30</f>
        <v>85233.940000000017</v>
      </c>
      <c r="M30" s="74">
        <f>I9+I21</f>
        <v>2490.329999999999</v>
      </c>
      <c r="N30" s="438">
        <f>M30+'5'!N30</f>
        <v>12524.230000022599</v>
      </c>
      <c r="O30" s="74">
        <f>M30+'5'!O30</f>
        <v>88043.049992584842</v>
      </c>
      <c r="P30" s="74">
        <f>I30+J30-M30</f>
        <v>20295.761704599008</v>
      </c>
      <c r="Q30" s="93">
        <f>J30/F30</f>
        <v>134.91258278145702</v>
      </c>
      <c r="R30" s="94"/>
      <c r="S30" s="94"/>
    </row>
    <row r="31" spans="2:20" x14ac:dyDescent="0.25">
      <c r="B31" s="79">
        <v>2</v>
      </c>
      <c r="C31" s="725" t="s">
        <v>290</v>
      </c>
      <c r="D31" s="726"/>
      <c r="E31" s="95">
        <v>120</v>
      </c>
      <c r="F31" s="78">
        <f>Production2!G8</f>
        <v>20.25</v>
      </c>
      <c r="G31" s="75">
        <f>F31+'5'!G31</f>
        <v>97.76</v>
      </c>
      <c r="H31" s="75">
        <f>F31+'5'!H31</f>
        <v>590.9799999999999</v>
      </c>
      <c r="I31" s="724">
        <f>Production2!H8</f>
        <v>1137.1300168375196</v>
      </c>
      <c r="J31" s="77">
        <f>Production2!N8</f>
        <v>2125.77</v>
      </c>
      <c r="K31" s="610">
        <f>J31+'5'!K31</f>
        <v>10483.42</v>
      </c>
      <c r="L31" s="74">
        <f>J31+'5'!L31</f>
        <v>69340.570000000007</v>
      </c>
      <c r="M31" s="724">
        <f>Production2!K8</f>
        <v>2092.5</v>
      </c>
      <c r="N31" s="724">
        <f>M31+'5'!N31</f>
        <v>11516.5</v>
      </c>
      <c r="O31" s="724">
        <f>M31+'5'!O31</f>
        <v>74291.5</v>
      </c>
      <c r="P31" s="724">
        <f>I31+J31+J32-M31</f>
        <v>1170.4000168375196</v>
      </c>
      <c r="Q31" s="96">
        <f t="shared" ref="Q31:Q46" si="6">J31/F31</f>
        <v>104.9762962962963</v>
      </c>
      <c r="R31" s="94"/>
      <c r="S31" s="94"/>
    </row>
    <row r="32" spans="2:20" x14ac:dyDescent="0.25">
      <c r="B32" s="91">
        <v>3</v>
      </c>
      <c r="C32" s="725" t="s">
        <v>263</v>
      </c>
      <c r="D32" s="726"/>
      <c r="E32" s="95">
        <v>20</v>
      </c>
      <c r="F32" s="78">
        <f>Production2!P8</f>
        <v>0</v>
      </c>
      <c r="G32" s="75">
        <f>F32+'5'!G32</f>
        <v>57.76</v>
      </c>
      <c r="H32" s="75">
        <f>F32+'5'!H32</f>
        <v>464.04999999999995</v>
      </c>
      <c r="I32" s="712"/>
      <c r="J32" s="77">
        <f>Production2!Q8</f>
        <v>0</v>
      </c>
      <c r="K32" s="610">
        <f>J32+'5'!K32</f>
        <v>485.36</v>
      </c>
      <c r="L32" s="74">
        <f>J32+'5'!L32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Production2!S8</f>
        <v>16.100000000000001</v>
      </c>
      <c r="G33" s="75">
        <f>F33+'5'!G33</f>
        <v>86.1</v>
      </c>
      <c r="H33" s="75">
        <f>F33+'5'!H33</f>
        <v>532.47</v>
      </c>
      <c r="I33" s="77">
        <f>Production2!T8</f>
        <v>48.709999999999923</v>
      </c>
      <c r="J33" s="77">
        <f>Production2!U8</f>
        <v>209.7</v>
      </c>
      <c r="K33" s="74">
        <f>J33+'5'!K33</f>
        <v>1170.2</v>
      </c>
      <c r="L33" s="74">
        <f>J33+'5'!L33</f>
        <v>7322.9</v>
      </c>
      <c r="M33" s="77">
        <f>Production2!V8</f>
        <v>207</v>
      </c>
      <c r="N33" s="74">
        <f>M33+'5'!N33</f>
        <v>1159</v>
      </c>
      <c r="O33" s="74">
        <f>M33+'5'!O33</f>
        <v>7287</v>
      </c>
      <c r="P33" s="74">
        <f t="shared" ref="P33" si="7">I33+J33-M33</f>
        <v>51.409999999999911</v>
      </c>
      <c r="Q33" s="96">
        <f t="shared" si="6"/>
        <v>13.024844720496892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Production2!Y8</f>
        <v>24</v>
      </c>
      <c r="G34" s="75">
        <f>F34+'5'!G34</f>
        <v>123.98</v>
      </c>
      <c r="H34" s="75">
        <f>F34+'5'!H34</f>
        <v>742.25</v>
      </c>
      <c r="I34" s="77">
        <f>Clinker!EJ8</f>
        <v>27999.060087715061</v>
      </c>
      <c r="J34" s="77">
        <f>Clinker!EK8</f>
        <v>1350</v>
      </c>
      <c r="K34" s="74">
        <f>J34+'5'!K34</f>
        <v>7430</v>
      </c>
      <c r="L34" s="74">
        <f>J34+'5'!L34</f>
        <v>47930</v>
      </c>
      <c r="M34" s="77">
        <f>Clinker!EL8</f>
        <v>1028.420000000001</v>
      </c>
      <c r="N34" s="74">
        <f>M34+'5'!N34</f>
        <v>4029.0200000254017</v>
      </c>
      <c r="O34" s="74">
        <f>M34+'5'!O34</f>
        <v>22890.900011911675</v>
      </c>
      <c r="P34" s="74">
        <f>I34+J34-M34-I20</f>
        <v>28320.640087715059</v>
      </c>
      <c r="Q34" s="96">
        <f t="shared" si="6"/>
        <v>56.25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Production2!AE8</f>
        <v>0</v>
      </c>
      <c r="G35" s="654">
        <f>F35+'5'!G35</f>
        <v>3.6</v>
      </c>
      <c r="H35" s="75">
        <f>F35+'5'!H35</f>
        <v>12.6</v>
      </c>
      <c r="I35" s="77">
        <f>Production2!BJ8</f>
        <v>456.79999999999995</v>
      </c>
      <c r="J35" s="77">
        <f>Production2!AF8</f>
        <v>0</v>
      </c>
      <c r="K35" s="74">
        <f>J35+'5'!K35</f>
        <v>200</v>
      </c>
      <c r="L35" s="74">
        <f>J35+'5'!L35</f>
        <v>774</v>
      </c>
      <c r="M35" s="77">
        <f>Production2!BL8</f>
        <v>62</v>
      </c>
      <c r="N35" s="74">
        <f>M35+'5'!N35</f>
        <v>217</v>
      </c>
      <c r="O35" s="74">
        <f>M35+'5'!O35</f>
        <v>2611.5</v>
      </c>
      <c r="P35" s="74">
        <f>I35+J35+J41-M35-F59</f>
        <v>394.79999999999995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Production2!AB8</f>
        <v>16.32</v>
      </c>
      <c r="G36" s="654">
        <f>F36+'5'!G36</f>
        <v>34.519999999999996</v>
      </c>
      <c r="H36" s="654">
        <f>F36+'5'!H36</f>
        <v>240.85000000000002</v>
      </c>
      <c r="I36" s="77">
        <f>Production2!BF8</f>
        <v>2342.05799999998</v>
      </c>
      <c r="J36" s="77">
        <f>Production2!AC8</f>
        <v>930</v>
      </c>
      <c r="K36" s="74">
        <f>J36+'5'!K36</f>
        <v>2020</v>
      </c>
      <c r="L36" s="74">
        <f>J36+'5'!L36</f>
        <v>14449</v>
      </c>
      <c r="M36" s="77">
        <f>Production2!BH8</f>
        <v>980.5</v>
      </c>
      <c r="N36" s="74">
        <f>M36+'5'!N36</f>
        <v>4307.7299999999996</v>
      </c>
      <c r="O36" s="74">
        <f>M36+'5'!O36</f>
        <v>39476</v>
      </c>
      <c r="P36" s="74">
        <f>I36+J36+J42-M36-F57</f>
        <v>2291.55799999998</v>
      </c>
      <c r="Q36" s="96">
        <f t="shared" si="6"/>
        <v>56.985294117647058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Production2!AH8</f>
        <v>0</v>
      </c>
      <c r="G37" s="654">
        <f>F37+'5'!G37</f>
        <v>0</v>
      </c>
      <c r="H37" s="654">
        <f>F37+'5'!H37</f>
        <v>0</v>
      </c>
      <c r="I37" s="77">
        <f>Production2!BN8</f>
        <v>2.0900000000008498</v>
      </c>
      <c r="J37" s="77">
        <f>Production2!AI8</f>
        <v>0</v>
      </c>
      <c r="K37" s="74">
        <f>J37+'5'!K37</f>
        <v>0</v>
      </c>
      <c r="L37" s="74">
        <f>J37+'5'!L37</f>
        <v>0</v>
      </c>
      <c r="M37" s="77">
        <f>Production2!BP8</f>
        <v>0</v>
      </c>
      <c r="N37" s="74">
        <f>M37+'5'!N37</f>
        <v>0</v>
      </c>
      <c r="O37" s="74">
        <f>M37+'5'!O37</f>
        <v>-0.15</v>
      </c>
      <c r="P37" s="74">
        <f>I37+J37+J43-M37-F58</f>
        <v>2.0900000000008498</v>
      </c>
      <c r="Q37" s="96" t="e">
        <f>J37/F37</f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Production2!AK8</f>
        <v>0</v>
      </c>
      <c r="G38" s="654">
        <f>F38+'5'!G38</f>
        <v>0</v>
      </c>
      <c r="H38" s="654">
        <f>F38+'5'!H38</f>
        <v>0</v>
      </c>
      <c r="I38" s="195">
        <f>Production2!BR8</f>
        <v>96.300000000000011</v>
      </c>
      <c r="J38" s="195">
        <f>Production2!AL8</f>
        <v>0</v>
      </c>
      <c r="K38" s="74">
        <f>J38+'5'!K38</f>
        <v>0</v>
      </c>
      <c r="L38" s="74">
        <f>J38+'5'!L38</f>
        <v>0</v>
      </c>
      <c r="M38" s="195">
        <f>Production2!BT8</f>
        <v>60</v>
      </c>
      <c r="N38" s="74">
        <f>M38+'5'!N38</f>
        <v>150</v>
      </c>
      <c r="O38" s="74">
        <f>M38+'5'!O38</f>
        <v>1997</v>
      </c>
      <c r="P38" s="74">
        <f>I38+J38+J44-M38-F60</f>
        <v>36.300000000000011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Production2!AN8</f>
        <v>7.2</v>
      </c>
      <c r="G39" s="654">
        <f>F39+'5'!G39</f>
        <v>10.8</v>
      </c>
      <c r="H39" s="654">
        <f>F39+'5'!H39</f>
        <v>51.45</v>
      </c>
      <c r="I39" s="195">
        <f>Production2!BV8</f>
        <v>1000.1500000000001</v>
      </c>
      <c r="J39" s="195">
        <f>Production2!AO8</f>
        <v>415</v>
      </c>
      <c r="K39" s="74">
        <f>J39+'5'!K39</f>
        <v>615</v>
      </c>
      <c r="L39" s="74">
        <f>J39+'5'!L39</f>
        <v>3147</v>
      </c>
      <c r="M39" s="77">
        <f>Production2!BX8</f>
        <v>331.56</v>
      </c>
      <c r="N39" s="74">
        <f>M39+'5'!N39</f>
        <v>885.24</v>
      </c>
      <c r="O39" s="74">
        <f>M39+'5'!O39</f>
        <v>6307.12</v>
      </c>
      <c r="P39" s="74">
        <f>I39+J39+J45-M39</f>
        <v>1083.5900000000001</v>
      </c>
      <c r="Q39" s="96">
        <f t="shared" si="6"/>
        <v>57.638888888888886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23.52</v>
      </c>
      <c r="G40" s="132">
        <f t="shared" ref="G40:H40" si="8">G35+G36+G37+G38+G39</f>
        <v>48.92</v>
      </c>
      <c r="H40" s="132">
        <f t="shared" si="8"/>
        <v>304.90000000000003</v>
      </c>
      <c r="I40" s="122">
        <f>I35+I36+I37+I38+I39</f>
        <v>3897.3979999999815</v>
      </c>
      <c r="J40" s="122">
        <f>J35+J36+J37+J38+J39</f>
        <v>1345</v>
      </c>
      <c r="K40" s="122">
        <f>K35+K36+K37+K38+K39</f>
        <v>2835</v>
      </c>
      <c r="L40" s="122">
        <f>L35+L36+L37+L38+L39</f>
        <v>18370</v>
      </c>
      <c r="M40" s="122">
        <f t="shared" ref="M40:P40" si="9">M35+M36+M37+M38+M39</f>
        <v>1434.06</v>
      </c>
      <c r="N40" s="122">
        <f t="shared" si="9"/>
        <v>5559.9699999999993</v>
      </c>
      <c r="O40" s="122">
        <f t="shared" si="9"/>
        <v>50391.47</v>
      </c>
      <c r="P40" s="122">
        <f t="shared" si="9"/>
        <v>3808.3379999999815</v>
      </c>
      <c r="Q40" s="123">
        <f>J40/F40</f>
        <v>57.185374149659864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Production2!AT8</f>
        <v>0</v>
      </c>
      <c r="G41" s="75">
        <f>F41+'5'!G41</f>
        <v>0</v>
      </c>
      <c r="H41" s="75">
        <f>F41+'5'!H41</f>
        <v>33.099999999999994</v>
      </c>
      <c r="I41" s="710"/>
      <c r="J41" s="77">
        <f>Production2!AU8</f>
        <v>0</v>
      </c>
      <c r="K41" s="74">
        <f>J41+'5'!K41</f>
        <v>0</v>
      </c>
      <c r="L41" s="74">
        <f>J41+'5'!L41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Production2!AQ8</f>
        <v>0</v>
      </c>
      <c r="G42" s="75">
        <f>F42+'5'!G42</f>
        <v>33.01</v>
      </c>
      <c r="H42" s="75">
        <f>F42+'5'!H42</f>
        <v>449.01</v>
      </c>
      <c r="I42" s="711"/>
      <c r="J42" s="77">
        <f>Production2!AR8</f>
        <v>0</v>
      </c>
      <c r="K42" s="611">
        <f>J42+'5'!K42</f>
        <v>1900</v>
      </c>
      <c r="L42" s="611">
        <f>J42+'5'!L42</f>
        <v>26040</v>
      </c>
      <c r="M42" s="716"/>
      <c r="N42" s="717"/>
      <c r="O42" s="717"/>
      <c r="P42" s="718"/>
      <c r="Q42" s="96" t="e">
        <f t="shared" si="6"/>
        <v>#DIV/0!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Production2!AW8</f>
        <v>0</v>
      </c>
      <c r="G43" s="75">
        <f>F43+'5'!G43</f>
        <v>0</v>
      </c>
      <c r="H43" s="75">
        <f>F43+'5'!H43</f>
        <v>0</v>
      </c>
      <c r="I43" s="711"/>
      <c r="J43" s="77">
        <f>Production2!AX8</f>
        <v>0</v>
      </c>
      <c r="K43" s="611">
        <f>J43+'5'!K43</f>
        <v>0</v>
      </c>
      <c r="L43" s="611">
        <f>J43+'5'!L43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Production2!AZ8</f>
        <v>0</v>
      </c>
      <c r="G44" s="75">
        <f>F44+'5'!G44</f>
        <v>0</v>
      </c>
      <c r="H44" s="75">
        <f>F44+'5'!H44</f>
        <v>32.880000000000003</v>
      </c>
      <c r="I44" s="712"/>
      <c r="J44" s="195">
        <f>Production2!BA8</f>
        <v>0</v>
      </c>
      <c r="K44" s="611">
        <f>J44+'5'!K44</f>
        <v>0</v>
      </c>
      <c r="L44" s="611">
        <f>J44+'5'!L44</f>
        <v>1820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Production2!BC8</f>
        <v>0</v>
      </c>
      <c r="G45" s="75">
        <f>F45+'5'!G45</f>
        <v>9.98</v>
      </c>
      <c r="H45" s="75">
        <f>F45+'5'!H45</f>
        <v>64.95</v>
      </c>
      <c r="I45" s="427"/>
      <c r="J45" s="195">
        <f>Production2!BD8</f>
        <v>0</v>
      </c>
      <c r="K45" s="611">
        <f>J45+'5'!K45</f>
        <v>598</v>
      </c>
      <c r="L45" s="611">
        <f>J45+'5'!L45</f>
        <v>3870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0</v>
      </c>
      <c r="G46" s="132">
        <f t="shared" ref="G46" si="10">G41+G42+G43+G44+G45</f>
        <v>42.989999999999995</v>
      </c>
      <c r="H46" s="132">
        <f>H41+H42+H43+H44+H45</f>
        <v>579.94000000000005</v>
      </c>
      <c r="I46" s="132">
        <f>I41+I42+I43+I44+I45</f>
        <v>0</v>
      </c>
      <c r="J46" s="132">
        <f>J41+J42+J43+J44+J45</f>
        <v>0</v>
      </c>
      <c r="K46" s="132">
        <f>K41+K42+K43+K44+K45</f>
        <v>2498</v>
      </c>
      <c r="L46" s="132">
        <f>L41+L42+L43+L44+L45</f>
        <v>33730</v>
      </c>
      <c r="M46" s="132"/>
      <c r="N46" s="132"/>
      <c r="O46" s="132"/>
      <c r="P46" s="132"/>
      <c r="Q46" s="123" t="e">
        <f t="shared" si="6"/>
        <v>#DIV/0!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1.0809059582363851</v>
      </c>
      <c r="F50" s="99">
        <f>F53/(J31+J32)</f>
        <v>25.262375515695489</v>
      </c>
      <c r="G50" s="99" t="e">
        <f>G53/J32</f>
        <v>#DIV/0!</v>
      </c>
      <c r="H50" s="99">
        <f>H53/J34</f>
        <v>37.75925925925926</v>
      </c>
      <c r="I50" s="99">
        <f>I53/J33</f>
        <v>64.630424415832138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15.333333333333332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1.7943038906723991</v>
      </c>
      <c r="F51" s="102">
        <f>F50*1.55</f>
        <v>39.156682049328012</v>
      </c>
      <c r="G51" s="102" t="e">
        <f>G50*1.55</f>
        <v>#DIV/0!</v>
      </c>
      <c r="H51" s="102">
        <f>H50</f>
        <v>37.75925925925926</v>
      </c>
      <c r="I51" s="102">
        <f>I50*(Q50/100)</f>
        <v>9.909998410427594</v>
      </c>
      <c r="J51" s="102"/>
      <c r="K51" s="102"/>
      <c r="L51" s="102"/>
      <c r="M51" s="96"/>
      <c r="N51" s="103"/>
      <c r="O51" s="728" t="s">
        <v>277</v>
      </c>
      <c r="P51" s="728"/>
      <c r="Q51" s="104">
        <v>5288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1.3719687786210486</v>
      </c>
      <c r="F52" s="102">
        <f>F51*M18/100</f>
        <v>29.940159816483234</v>
      </c>
      <c r="G52" s="102" t="e">
        <f>G51*M18/100</f>
        <v>#DIV/0!</v>
      </c>
      <c r="H52" s="102">
        <f>H51*M18/100</f>
        <v>28.871656064986947</v>
      </c>
      <c r="I52" s="102">
        <f>I51*M18/100</f>
        <v>7.5774279295553573</v>
      </c>
      <c r="J52" s="99">
        <f>J53/(J40+J46)</f>
        <v>47.918959107806693</v>
      </c>
      <c r="K52" s="99">
        <f>K53/(J46+J40)</f>
        <v>1.2297397769516729</v>
      </c>
      <c r="L52" s="99">
        <f>L53/(M40)</f>
        <v>3.9349817999246897</v>
      </c>
      <c r="M52" s="96">
        <f>M53/(J46+J40)</f>
        <v>3.6832713754646842</v>
      </c>
      <c r="N52" s="307" t="e">
        <f>SUM(E52:M52)</f>
        <v>#DIV/0!</v>
      </c>
      <c r="O52" s="728" t="s">
        <v>279</v>
      </c>
      <c r="P52" s="728"/>
      <c r="Q52" s="104">
        <f>Q51*Q50/100</f>
        <v>810.8266666666666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unit'!B8</f>
        <v>2202</v>
      </c>
      <c r="F53" s="118">
        <f>'Daily unit'!C8</f>
        <v>53702</v>
      </c>
      <c r="G53" s="118">
        <v>0</v>
      </c>
      <c r="H53" s="118">
        <f>'Daily unit'!E8</f>
        <v>50975</v>
      </c>
      <c r="I53" s="118">
        <f>'Daily unit'!F8</f>
        <v>13553</v>
      </c>
      <c r="J53" s="118">
        <f>'Daily unit'!G8</f>
        <v>64451</v>
      </c>
      <c r="K53" s="118">
        <f>'Daily unit'!H8</f>
        <v>1654</v>
      </c>
      <c r="L53" s="118">
        <f>'Daily unit'!I8</f>
        <v>5643</v>
      </c>
      <c r="M53" s="119">
        <f>'Daily unit'!J8</f>
        <v>4954</v>
      </c>
      <c r="N53" s="318">
        <f>SUM(E53:M53)</f>
        <v>197134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thickBot="1" x14ac:dyDescent="0.3">
      <c r="B56" s="214" t="s">
        <v>229</v>
      </c>
      <c r="C56" s="856" t="s">
        <v>283</v>
      </c>
      <c r="D56" s="856"/>
      <c r="E56" s="856"/>
      <c r="F56" s="215" t="s">
        <v>284</v>
      </c>
      <c r="G56" s="215" t="s">
        <v>26</v>
      </c>
      <c r="H56" s="216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60">
        <v>1</v>
      </c>
      <c r="C57" s="859" t="s">
        <v>285</v>
      </c>
      <c r="D57" s="859"/>
      <c r="E57" s="217">
        <v>42.5</v>
      </c>
      <c r="F57" s="218">
        <f>'Internal use cement'!F8</f>
        <v>0</v>
      </c>
      <c r="G57" s="218">
        <f>F57+'5'!G57</f>
        <v>0</v>
      </c>
      <c r="H57" s="219">
        <f>F57+'5'!H57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61"/>
      <c r="C58" s="702"/>
      <c r="D58" s="702"/>
      <c r="E58" s="80" t="s">
        <v>195</v>
      </c>
      <c r="F58" s="53">
        <f>'Internal use cement'!Q8</f>
        <v>0</v>
      </c>
      <c r="G58" s="53">
        <f>F58+'5'!G58</f>
        <v>0</v>
      </c>
      <c r="H58" s="104">
        <f>F58+'5'!H58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61"/>
      <c r="C59" s="702"/>
      <c r="D59" s="702"/>
      <c r="E59" s="80">
        <v>32.5</v>
      </c>
      <c r="F59" s="53">
        <f>'Internal use cement'!AB8</f>
        <v>0</v>
      </c>
      <c r="G59" s="53">
        <f>F59+'5'!G59</f>
        <v>0</v>
      </c>
      <c r="H59" s="104">
        <f>F59+'5'!H59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62"/>
      <c r="C60" s="703"/>
      <c r="D60" s="703"/>
      <c r="E60" s="213" t="s">
        <v>175</v>
      </c>
      <c r="F60" s="113">
        <f>'Internal use cement'!AJ8</f>
        <v>0</v>
      </c>
      <c r="G60" s="113">
        <f>F60+'5'!G60</f>
        <v>0</v>
      </c>
      <c r="H60" s="114">
        <f>F60+'5'!H60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4">
    <mergeCell ref="C52:D52"/>
    <mergeCell ref="O52:P52"/>
    <mergeCell ref="C22:D22"/>
    <mergeCell ref="B23:B24"/>
    <mergeCell ref="M23:N24"/>
    <mergeCell ref="F28:H28"/>
    <mergeCell ref="P31:P32"/>
    <mergeCell ref="J28:L28"/>
    <mergeCell ref="M28:O28"/>
    <mergeCell ref="I55:Q60"/>
    <mergeCell ref="B35:B40"/>
    <mergeCell ref="C35:C40"/>
    <mergeCell ref="B26:Q26"/>
    <mergeCell ref="B27:Q27"/>
    <mergeCell ref="B28:B29"/>
    <mergeCell ref="C28:D29"/>
    <mergeCell ref="B55:H55"/>
    <mergeCell ref="C56:E56"/>
    <mergeCell ref="B41:B46"/>
    <mergeCell ref="C41:C46"/>
    <mergeCell ref="I41:I44"/>
    <mergeCell ref="O48:Q48"/>
    <mergeCell ref="M41:P45"/>
    <mergeCell ref="P28:P29"/>
    <mergeCell ref="B54:Q54"/>
    <mergeCell ref="B2:Q2"/>
    <mergeCell ref="B3:Q3"/>
    <mergeCell ref="C30:D30"/>
    <mergeCell ref="C31:D31"/>
    <mergeCell ref="C33:D33"/>
    <mergeCell ref="C17:Q17"/>
    <mergeCell ref="B18:B20"/>
    <mergeCell ref="C18:C20"/>
    <mergeCell ref="N18:N20"/>
    <mergeCell ref="O18:O25"/>
    <mergeCell ref="P18:Q20"/>
    <mergeCell ref="Q21:Q22"/>
    <mergeCell ref="I31:I32"/>
    <mergeCell ref="M31:M32"/>
    <mergeCell ref="N31:N32"/>
    <mergeCell ref="O31:O32"/>
    <mergeCell ref="Q6:Q7"/>
    <mergeCell ref="C53:D53"/>
    <mergeCell ref="C34:D34"/>
    <mergeCell ref="C51:D51"/>
    <mergeCell ref="B48:N48"/>
    <mergeCell ref="C25:D25"/>
    <mergeCell ref="C23:C24"/>
    <mergeCell ref="C21:D21"/>
    <mergeCell ref="O51:P51"/>
    <mergeCell ref="C49:D49"/>
    <mergeCell ref="O49:P49"/>
    <mergeCell ref="C50:D50"/>
    <mergeCell ref="O50:P50"/>
    <mergeCell ref="C32:D32"/>
    <mergeCell ref="P6:P7"/>
    <mergeCell ref="B47:Q47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57:D60"/>
    <mergeCell ref="B57:B60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M25:N25"/>
    <mergeCell ref="B14:B16"/>
    <mergeCell ref="Q28:Q29"/>
    <mergeCell ref="P23:Q25"/>
    <mergeCell ref="I28:I29"/>
  </mergeCells>
  <pageMargins left="0.2" right="0.2" top="0.75" bottom="0.75" header="0.3" footer="0.3"/>
  <pageSetup paperSize="9" scale="5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B2:U156"/>
  <sheetViews>
    <sheetView zoomScale="90" zoomScaleNormal="90" workbookViewId="0">
      <pane xSplit="4" ySplit="1" topLeftCell="E26" activePane="bottomRight" state="frozen"/>
      <selection pane="topRight" activeCell="E1" sqref="E1"/>
      <selection pane="bottomLeft" activeCell="A6" sqref="A6"/>
      <selection pane="bottomRight" activeCell="I37" sqref="I37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322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 t="s">
        <v>286</v>
      </c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73" t="s">
        <v>242</v>
      </c>
      <c r="D9" s="73" t="s">
        <v>29</v>
      </c>
      <c r="E9" s="74">
        <f>'6'!L9</f>
        <v>20295.761704599012</v>
      </c>
      <c r="F9" s="74">
        <f>Production2!D9</f>
        <v>2516.04</v>
      </c>
      <c r="G9" s="74">
        <f>F9+'6'!G9</f>
        <v>22764.280000000002</v>
      </c>
      <c r="H9" s="74">
        <f>F9+'6'!H9</f>
        <v>87749.98000000001</v>
      </c>
      <c r="I9" s="74">
        <f>Production2!E9</f>
        <v>1017</v>
      </c>
      <c r="J9" s="74">
        <f>I9+'6'!J9</f>
        <v>12504</v>
      </c>
      <c r="K9" s="74">
        <f>I9+'6'!K9</f>
        <v>79391</v>
      </c>
      <c r="L9" s="74">
        <f>E9+F9-I9-I21</f>
        <v>21596.013926821237</v>
      </c>
      <c r="M9" s="75">
        <f>I9</f>
        <v>1017</v>
      </c>
      <c r="N9" s="75">
        <f>(I9/I13)*100</f>
        <v>93.474264705882348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(2)'!L9</f>
        <v>2203.46</v>
      </c>
      <c r="F10" s="77">
        <f>'Mines (2)'!M9</f>
        <v>0</v>
      </c>
      <c r="G10" s="74">
        <f>F10+'6'!G10</f>
        <v>1627.9600000000005</v>
      </c>
      <c r="H10" s="74">
        <f>F10+'6'!H10</f>
        <v>2979.42</v>
      </c>
      <c r="I10" s="77">
        <f>'Mines (2)'!N9</f>
        <v>24</v>
      </c>
      <c r="J10" s="74">
        <f>I10+'6'!J10</f>
        <v>395</v>
      </c>
      <c r="K10" s="74">
        <f>I10+'6'!K10</f>
        <v>924</v>
      </c>
      <c r="L10" s="77">
        <f t="shared" ref="L10:L13" si="0">E10+F10-I10</f>
        <v>2179.46</v>
      </c>
      <c r="M10" s="75">
        <f t="shared" ref="M10:M12" si="1">I10</f>
        <v>24</v>
      </c>
      <c r="N10" s="75">
        <f>(I10/I13)*100</f>
        <v>2.2058823529411766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Clinker!C9</f>
        <v>3811.8599999999997</v>
      </c>
      <c r="F11" s="77">
        <f>Clinker!D9</f>
        <v>74.260000000000005</v>
      </c>
      <c r="G11" s="74">
        <f>F11+'6'!G11</f>
        <v>143.78000000000003</v>
      </c>
      <c r="H11" s="74">
        <f>F11+'6'!H11</f>
        <v>213.48000000000002</v>
      </c>
      <c r="I11" s="77">
        <f>Clinker!E9</f>
        <v>22</v>
      </c>
      <c r="J11" s="74">
        <f>I11+'6'!J11</f>
        <v>278</v>
      </c>
      <c r="K11" s="74">
        <f>I11+'6'!K11</f>
        <v>1715</v>
      </c>
      <c r="L11" s="77">
        <f t="shared" si="0"/>
        <v>3864.12</v>
      </c>
      <c r="M11" s="75">
        <f t="shared" si="1"/>
        <v>22</v>
      </c>
      <c r="N11" s="75">
        <f>(I11/I13)*100</f>
        <v>2.0220588235294117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(2)'!Q9</f>
        <v>126.03999999999996</v>
      </c>
      <c r="F12" s="77">
        <f>'Mines (2)'!R9</f>
        <v>0</v>
      </c>
      <c r="G12" s="74">
        <f>F12+'6'!G12</f>
        <v>0</v>
      </c>
      <c r="H12" s="74">
        <f>F12+'6'!H12</f>
        <v>137.76</v>
      </c>
      <c r="I12" s="77">
        <f>'Mines (2)'!S9</f>
        <v>25</v>
      </c>
      <c r="J12" s="74">
        <f>I12+'6'!J12</f>
        <v>90</v>
      </c>
      <c r="K12" s="74">
        <f>I12+'6'!K12</f>
        <v>637</v>
      </c>
      <c r="L12" s="77">
        <f t="shared" si="0"/>
        <v>101.03999999999996</v>
      </c>
      <c r="M12" s="75">
        <f t="shared" si="1"/>
        <v>25</v>
      </c>
      <c r="N12" s="75">
        <f>(I12/I13)*100</f>
        <v>2.2977941176470589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26437.121704599012</v>
      </c>
      <c r="F13" s="127">
        <f t="shared" si="2"/>
        <v>2590.3000000000002</v>
      </c>
      <c r="G13" s="127">
        <f t="shared" si="2"/>
        <v>24536.02</v>
      </c>
      <c r="H13" s="127">
        <f t="shared" si="2"/>
        <v>91080.639999999999</v>
      </c>
      <c r="I13" s="127">
        <f t="shared" si="2"/>
        <v>1088</v>
      </c>
      <c r="J13" s="127">
        <f t="shared" si="2"/>
        <v>13267</v>
      </c>
      <c r="K13" s="127">
        <f t="shared" si="2"/>
        <v>82667</v>
      </c>
      <c r="L13" s="127">
        <f t="shared" si="0"/>
        <v>27939.421704599012</v>
      </c>
      <c r="M13" s="128">
        <f>SUM(M9:M12)</f>
        <v>1088</v>
      </c>
      <c r="N13" s="128">
        <f>SUM(N9:N12)</f>
        <v>99.999999999999986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Clinker!EB9</f>
        <v>6609.2369999999901</v>
      </c>
      <c r="F14" s="77">
        <f>Clinker!EC9</f>
        <v>0</v>
      </c>
      <c r="G14" s="77">
        <f>F14+'6'!G14</f>
        <v>0</v>
      </c>
      <c r="H14" s="77">
        <f>F14+'6'!H14</f>
        <v>181.5</v>
      </c>
      <c r="I14" s="77">
        <f>Clinker!ED9</f>
        <v>159</v>
      </c>
      <c r="J14" s="77">
        <f>I14+'6'!J14</f>
        <v>1459.23</v>
      </c>
      <c r="K14" s="77">
        <f>I14+'6'!K14</f>
        <v>8295.5300000000007</v>
      </c>
      <c r="L14" s="77">
        <f>E14+F14-I14-Clinker!N9-Clinker!Z9-Clinker!AS9-Clinker!AX9-Clinker!BC9-Clinker!BW9-Clinker!BH9-Clinker!BM9-Clinker!BR9-Clinker!CV9</f>
        <v>6393.2369999999901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Clinker!EF9</f>
        <v>10178.999999999996</v>
      </c>
      <c r="F15" s="77">
        <f>Clinker!EG9</f>
        <v>0</v>
      </c>
      <c r="G15" s="77">
        <f>F15+'6'!G15</f>
        <v>579.29999999999995</v>
      </c>
      <c r="H15" s="77">
        <f>F15+'6'!H15</f>
        <v>734.35</v>
      </c>
      <c r="I15" s="77">
        <f>Clinker!EH9</f>
        <v>114</v>
      </c>
      <c r="J15" s="77">
        <f>I15+'6'!J15</f>
        <v>856</v>
      </c>
      <c r="K15" s="77">
        <f>I15+'6'!K15</f>
        <v>4725</v>
      </c>
      <c r="L15" s="77">
        <f>E15+F15-Clinker!AE9-Clinker!AJ9-Clinker!CL9-Clinker!CQ9-Clinker!CG9</f>
        <v>10121.999999999996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16788.236999999986</v>
      </c>
      <c r="F16" s="125">
        <f>F14+F15</f>
        <v>0</v>
      </c>
      <c r="G16" s="125">
        <f t="shared" ref="G16:K16" si="3">G14+G15</f>
        <v>579.29999999999995</v>
      </c>
      <c r="H16" s="125">
        <f t="shared" si="3"/>
        <v>915.85</v>
      </c>
      <c r="I16" s="125">
        <f>I14+I15</f>
        <v>273</v>
      </c>
      <c r="J16" s="125">
        <f>J14+J15</f>
        <v>2315.23</v>
      </c>
      <c r="K16" s="125">
        <f t="shared" si="3"/>
        <v>13020.53</v>
      </c>
      <c r="L16" s="125">
        <f>E16+F16-I16</f>
        <v>16515.236999999986</v>
      </c>
      <c r="M16" s="126"/>
      <c r="N16" s="126"/>
      <c r="O16" s="787"/>
      <c r="P16" s="84"/>
      <c r="Q16" s="131"/>
      <c r="R16" s="83"/>
      <c r="S16" s="83"/>
    </row>
    <row r="17" spans="2:20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20" x14ac:dyDescent="0.25">
      <c r="B18" s="763">
        <v>7</v>
      </c>
      <c r="C18" s="691" t="s">
        <v>247</v>
      </c>
      <c r="D18" s="85" t="s">
        <v>248</v>
      </c>
      <c r="E18" s="74">
        <f>Clinker!EJ9</f>
        <v>28320.640087715059</v>
      </c>
      <c r="F18" s="74">
        <f>Clinker!EK9</f>
        <v>725</v>
      </c>
      <c r="G18" s="74">
        <f>F18+'6'!G18</f>
        <v>8155</v>
      </c>
      <c r="H18" s="74">
        <f>F18+'6'!H18</f>
        <v>48655</v>
      </c>
      <c r="I18" s="74">
        <f>Clinker!EL9</f>
        <v>851.85000000000082</v>
      </c>
      <c r="J18" s="74">
        <f>I18+'6'!J18</f>
        <v>4880.870000025403</v>
      </c>
      <c r="K18" s="74">
        <f>I18+'6'!K18</f>
        <v>23742.750011911678</v>
      </c>
      <c r="L18" s="74">
        <f>E18+F18-I18-I20</f>
        <v>28193.790087715057</v>
      </c>
      <c r="M18" s="75">
        <f>((I18+I19)/I25)*100</f>
        <v>76.930525563734804</v>
      </c>
      <c r="N18" s="765"/>
      <c r="O18" s="767"/>
      <c r="P18" s="769"/>
      <c r="Q18" s="770"/>
      <c r="R18" s="190"/>
      <c r="S18" s="190"/>
    </row>
    <row r="19" spans="2:20" ht="45" x14ac:dyDescent="0.25">
      <c r="B19" s="763"/>
      <c r="C19" s="691"/>
      <c r="D19" s="85" t="s">
        <v>75</v>
      </c>
      <c r="E19" s="74">
        <f>Clinker!EO9</f>
        <v>5306.1090080001359</v>
      </c>
      <c r="F19" s="74">
        <f>Clinker!EP9</f>
        <v>0</v>
      </c>
      <c r="G19" s="74">
        <f>F19+'6'!G19</f>
        <v>150.78</v>
      </c>
      <c r="H19" s="74">
        <f>F19+'6'!H19</f>
        <v>13390.660000000003</v>
      </c>
      <c r="I19" s="74">
        <f>Clinker!EQ9</f>
        <v>0</v>
      </c>
      <c r="J19" s="74">
        <f>I19+'6'!J19</f>
        <v>0</v>
      </c>
      <c r="K19" s="74">
        <f>I19+'6'!K19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20"/>
      <c r="T19" s="176"/>
    </row>
    <row r="20" spans="2:20" ht="30" x14ac:dyDescent="0.25">
      <c r="B20" s="763"/>
      <c r="C20" s="764"/>
      <c r="D20" s="86" t="s">
        <v>249</v>
      </c>
      <c r="E20" s="77"/>
      <c r="F20" s="77">
        <f>Clinker!EN9</f>
        <v>0</v>
      </c>
      <c r="G20" s="74">
        <f>F20+'6'!G20</f>
        <v>0</v>
      </c>
      <c r="H20" s="74">
        <f>F20+'6'!H20</f>
        <v>0</v>
      </c>
      <c r="I20" s="77">
        <f>Clinker!EN9</f>
        <v>0</v>
      </c>
      <c r="J20" s="74">
        <f>I20+'6'!J20</f>
        <v>0</v>
      </c>
      <c r="K20" s="74">
        <f>I20+'6'!K20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20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77">
        <f>Cement!S9</f>
        <v>198.78777777777697</v>
      </c>
      <c r="J21" s="74">
        <f>I21+'6'!J21</f>
        <v>1236.0177778003751</v>
      </c>
      <c r="K21" s="74">
        <f>I21+'6'!K21</f>
        <v>9867.837770362612</v>
      </c>
      <c r="L21" s="74"/>
      <c r="M21" s="78">
        <f>(I21/(J40+J46))*100</f>
        <v>18.321454173067</v>
      </c>
      <c r="N21" s="78"/>
      <c r="O21" s="767"/>
      <c r="P21" s="87">
        <v>10</v>
      </c>
      <c r="Q21" s="773"/>
      <c r="R21" s="20"/>
      <c r="S21" s="20"/>
    </row>
    <row r="22" spans="2:20" x14ac:dyDescent="0.25">
      <c r="B22" s="89">
        <v>9</v>
      </c>
      <c r="C22" s="775" t="s">
        <v>250</v>
      </c>
      <c r="D22" s="775"/>
      <c r="E22" s="77">
        <f>Cement!C9</f>
        <v>6810.3300636462809</v>
      </c>
      <c r="F22" s="77">
        <f>Cement!D9</f>
        <v>0</v>
      </c>
      <c r="G22" s="74">
        <f>F22+'6'!G22</f>
        <v>0</v>
      </c>
      <c r="H22" s="74">
        <f>F22+'6'!H22</f>
        <v>1970.9</v>
      </c>
      <c r="I22" s="77">
        <f>Cement!F9</f>
        <v>56.66</v>
      </c>
      <c r="J22" s="74">
        <f>I22+'6'!J22</f>
        <v>323.40999995200002</v>
      </c>
      <c r="K22" s="74">
        <f>I22+'6'!K22</f>
        <v>2662.6099955034992</v>
      </c>
      <c r="L22" s="616">
        <f>E22+F22-I22</f>
        <v>6753.6700636462811</v>
      </c>
      <c r="M22" s="78">
        <f>(I22/(J40+J46))*100</f>
        <v>5.2221198156682025</v>
      </c>
      <c r="N22" s="78"/>
      <c r="O22" s="767"/>
      <c r="P22" s="87">
        <v>5</v>
      </c>
      <c r="Q22" s="774"/>
      <c r="R22" s="20"/>
      <c r="S22" s="20"/>
    </row>
    <row r="23" spans="2:20" x14ac:dyDescent="0.25">
      <c r="B23" s="763"/>
      <c r="C23" s="690" t="s">
        <v>251</v>
      </c>
      <c r="D23" s="614" t="s">
        <v>252</v>
      </c>
      <c r="E23" s="77"/>
      <c r="F23" s="77">
        <f>Cement!I9</f>
        <v>0</v>
      </c>
      <c r="G23" s="74">
        <f>F23+'6'!G23</f>
        <v>0</v>
      </c>
      <c r="H23" s="74">
        <f>F23+'6'!H23</f>
        <v>0</v>
      </c>
      <c r="I23" s="77">
        <f>Cement!J9</f>
        <v>0</v>
      </c>
      <c r="J23" s="74">
        <f>I23+'6'!J23</f>
        <v>0</v>
      </c>
      <c r="K23" s="74">
        <f>I23+'6'!K23</f>
        <v>0</v>
      </c>
      <c r="L23" s="74"/>
      <c r="M23" s="776"/>
      <c r="N23" s="776"/>
      <c r="O23" s="767"/>
      <c r="P23" s="777"/>
      <c r="Q23" s="778"/>
      <c r="R23" s="83"/>
      <c r="S23" s="83"/>
    </row>
    <row r="24" spans="2:20" x14ac:dyDescent="0.25">
      <c r="B24" s="763"/>
      <c r="C24" s="764"/>
      <c r="D24" s="614" t="s">
        <v>253</v>
      </c>
      <c r="E24" s="77"/>
      <c r="F24" s="77">
        <f>Cement!M9</f>
        <v>0</v>
      </c>
      <c r="G24" s="74">
        <f>F24+'6'!G24</f>
        <v>0</v>
      </c>
      <c r="H24" s="74">
        <f>F24+'6'!H24</f>
        <v>0</v>
      </c>
      <c r="I24" s="77">
        <f>Cement!N9</f>
        <v>0</v>
      </c>
      <c r="J24" s="74">
        <f>I24+'6'!J24</f>
        <v>0</v>
      </c>
      <c r="K24" s="74">
        <f>I24+'6'!K24</f>
        <v>0</v>
      </c>
      <c r="L24" s="74"/>
      <c r="M24" s="776"/>
      <c r="N24" s="776"/>
      <c r="O24" s="767"/>
      <c r="P24" s="769"/>
      <c r="Q24" s="770"/>
      <c r="R24" s="83"/>
      <c r="S24" s="83"/>
    </row>
    <row r="25" spans="2:20" ht="14.45" customHeight="1" thickBot="1" x14ac:dyDescent="0.3">
      <c r="B25" s="90" t="s">
        <v>241</v>
      </c>
      <c r="C25" s="781" t="s">
        <v>254</v>
      </c>
      <c r="D25" s="781"/>
      <c r="E25" s="122">
        <f>E18+E19++E21+E22+E23+E24</f>
        <v>40437.079159361478</v>
      </c>
      <c r="F25" s="122">
        <f t="shared" ref="F25:L25" si="4">F18+F19++F21+F22+F23+F24</f>
        <v>725</v>
      </c>
      <c r="G25" s="122">
        <f t="shared" si="4"/>
        <v>8305.7800000000007</v>
      </c>
      <c r="H25" s="122">
        <f t="shared" si="4"/>
        <v>64016.560000000005</v>
      </c>
      <c r="I25" s="122">
        <f>I18+I19+I21+I22</f>
        <v>1107.2977777777778</v>
      </c>
      <c r="J25" s="613">
        <f t="shared" ref="J25:K25" si="5">J18+J19+J21+J22</f>
        <v>6440.2977777777787</v>
      </c>
      <c r="K25" s="613">
        <f t="shared" si="5"/>
        <v>53207.297777777792</v>
      </c>
      <c r="L25" s="122">
        <f t="shared" si="4"/>
        <v>40253.569159361476</v>
      </c>
      <c r="M25" s="782"/>
      <c r="N25" s="782"/>
      <c r="O25" s="768"/>
      <c r="P25" s="779"/>
      <c r="Q25" s="780"/>
      <c r="R25" s="83"/>
      <c r="S25" s="83"/>
    </row>
    <row r="26" spans="2:20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20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20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20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20" x14ac:dyDescent="0.25">
      <c r="B30" s="91">
        <v>1</v>
      </c>
      <c r="C30" s="699" t="s">
        <v>261</v>
      </c>
      <c r="D30" s="700"/>
      <c r="E30" s="92">
        <v>250</v>
      </c>
      <c r="F30" s="75">
        <f>Production2!C9</f>
        <v>16.07</v>
      </c>
      <c r="G30" s="75">
        <f>F30+'6'!G30</f>
        <v>108.85</v>
      </c>
      <c r="H30" s="75">
        <f>F30+'6'!H30</f>
        <v>541.33000000000015</v>
      </c>
      <c r="I30" s="74">
        <f>'Mines (2)'!C9+'Mines (2)'!H9+'Mines (2)'!V9+'Mines (2)'!Z9+'Mines (2)'!AD9</f>
        <v>20295.761704599008</v>
      </c>
      <c r="J30" s="74">
        <f>Production2!D9</f>
        <v>2516.04</v>
      </c>
      <c r="K30" s="74">
        <f>J30+'6'!K30</f>
        <v>22764.280000000002</v>
      </c>
      <c r="L30" s="74">
        <f>J30+'6'!L30</f>
        <v>87749.98000000001</v>
      </c>
      <c r="M30" s="74">
        <f>I9+I21</f>
        <v>1215.7877777777769</v>
      </c>
      <c r="N30" s="74">
        <f>M30+'6'!N30</f>
        <v>13740.017777800376</v>
      </c>
      <c r="O30" s="74">
        <f>M30+'6'!O30</f>
        <v>89258.837770362617</v>
      </c>
      <c r="P30" s="74">
        <f>I30+J30-M30</f>
        <v>21596.013926821233</v>
      </c>
      <c r="Q30" s="93">
        <f>J30/F30</f>
        <v>156.56751711263223</v>
      </c>
      <c r="R30" s="94"/>
      <c r="S30" s="94"/>
    </row>
    <row r="31" spans="2:20" x14ac:dyDescent="0.25">
      <c r="B31" s="79">
        <v>2</v>
      </c>
      <c r="C31" s="725" t="s">
        <v>262</v>
      </c>
      <c r="D31" s="726"/>
      <c r="E31" s="95">
        <v>120</v>
      </c>
      <c r="F31" s="78">
        <f>Production2!G9</f>
        <v>9.1999999999999993</v>
      </c>
      <c r="G31" s="75">
        <f>F31+'6'!G31</f>
        <v>106.96000000000001</v>
      </c>
      <c r="H31" s="75">
        <f>F31+'6'!H31</f>
        <v>600.17999999999995</v>
      </c>
      <c r="I31" s="724">
        <f>Production2!H9</f>
        <v>1170.4000168375196</v>
      </c>
      <c r="J31" s="78">
        <f>Production2!N9</f>
        <v>980.3</v>
      </c>
      <c r="K31" s="74">
        <f>J31+'6'!K31</f>
        <v>11463.72</v>
      </c>
      <c r="L31" s="74">
        <f>J31+'6'!L31</f>
        <v>70320.87000000001</v>
      </c>
      <c r="M31" s="724">
        <f>Production2!K9</f>
        <v>1123.75</v>
      </c>
      <c r="N31" s="724">
        <f>M31+'6'!N31</f>
        <v>12640.25</v>
      </c>
      <c r="O31" s="724">
        <f>M31+'6'!O31</f>
        <v>75415.25</v>
      </c>
      <c r="P31" s="724">
        <f>I31+J31+J32-M31</f>
        <v>1026.9500168375198</v>
      </c>
      <c r="Q31" s="96">
        <f t="shared" ref="Q31:Q46" si="6">J31/F31</f>
        <v>106.55434782608695</v>
      </c>
      <c r="R31" s="94"/>
      <c r="S31" s="94"/>
    </row>
    <row r="32" spans="2:20" x14ac:dyDescent="0.25">
      <c r="B32" s="91">
        <v>3</v>
      </c>
      <c r="C32" s="725" t="s">
        <v>263</v>
      </c>
      <c r="D32" s="726"/>
      <c r="E32" s="95">
        <v>20</v>
      </c>
      <c r="F32" s="78">
        <f>Production2!P9</f>
        <v>0</v>
      </c>
      <c r="G32" s="75">
        <f>F32+'6'!G32</f>
        <v>57.76</v>
      </c>
      <c r="H32" s="75">
        <f>F32+'6'!H32</f>
        <v>464.04999999999995</v>
      </c>
      <c r="I32" s="712"/>
      <c r="J32" s="77">
        <f>Production2!Q9</f>
        <v>0</v>
      </c>
      <c r="K32" s="74">
        <f>J32+'6'!K32</f>
        <v>485.36</v>
      </c>
      <c r="L32" s="74">
        <f>J32+'6'!L32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Production2!S9</f>
        <v>11</v>
      </c>
      <c r="G33" s="75">
        <f>F33+'6'!G33</f>
        <v>97.1</v>
      </c>
      <c r="H33" s="75">
        <f>F33+'6'!H33</f>
        <v>543.47</v>
      </c>
      <c r="I33" s="77">
        <f>Production2!T9</f>
        <v>51.409999999999911</v>
      </c>
      <c r="J33" s="77">
        <f>Production2!U9</f>
        <v>143.1</v>
      </c>
      <c r="K33" s="74">
        <f>J33+'6'!K33</f>
        <v>1313.3</v>
      </c>
      <c r="L33" s="74">
        <f>J33+'6'!L33</f>
        <v>7466</v>
      </c>
      <c r="M33" s="77">
        <f>Production2!V9</f>
        <v>145</v>
      </c>
      <c r="N33" s="74">
        <f>M33+'6'!N33</f>
        <v>1304</v>
      </c>
      <c r="O33" s="74">
        <f>M33+'6'!O33</f>
        <v>7432</v>
      </c>
      <c r="P33" s="74">
        <f t="shared" ref="P33" si="7">I33+J33-M33</f>
        <v>49.509999999999906</v>
      </c>
      <c r="Q33" s="96">
        <f t="shared" si="6"/>
        <v>13.009090909090908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Production2!Y9</f>
        <v>14.35</v>
      </c>
      <c r="G34" s="75">
        <f>F34+'6'!G34</f>
        <v>138.33000000000001</v>
      </c>
      <c r="H34" s="75">
        <f>F34+'6'!H34</f>
        <v>756.6</v>
      </c>
      <c r="I34" s="77">
        <f>Clinker!EJ9</f>
        <v>28320.640087715059</v>
      </c>
      <c r="J34" s="77">
        <f>Clinker!EK9</f>
        <v>725</v>
      </c>
      <c r="K34" s="74">
        <f>J34+'6'!K34</f>
        <v>8155</v>
      </c>
      <c r="L34" s="74">
        <f>J34+'6'!L34</f>
        <v>48655</v>
      </c>
      <c r="M34" s="77">
        <f>Clinker!EL9</f>
        <v>851.85000000000082</v>
      </c>
      <c r="N34" s="74">
        <f>M34+'6'!N34</f>
        <v>4880.870000025403</v>
      </c>
      <c r="O34" s="74">
        <f>M34+'6'!O34</f>
        <v>23742.750011911678</v>
      </c>
      <c r="P34" s="74">
        <f>I34+J34-M34-I20</f>
        <v>28193.790087715057</v>
      </c>
      <c r="Q34" s="96">
        <f t="shared" si="6"/>
        <v>50.522648083623693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Production2!AE9</f>
        <v>0</v>
      </c>
      <c r="G35" s="75">
        <f>F35+'6'!G35</f>
        <v>3.6</v>
      </c>
      <c r="H35" s="75">
        <f>F35+'6'!H35</f>
        <v>12.6</v>
      </c>
      <c r="I35" s="77">
        <f>Production2!BJ9</f>
        <v>394.79999999999995</v>
      </c>
      <c r="J35" s="77">
        <f>Production2!AF9</f>
        <v>0</v>
      </c>
      <c r="K35" s="74">
        <f>J35+'6'!K35</f>
        <v>200</v>
      </c>
      <c r="L35" s="74">
        <f>J35+'6'!L35</f>
        <v>774</v>
      </c>
      <c r="M35" s="77">
        <f>Production2!BL9</f>
        <v>31</v>
      </c>
      <c r="N35" s="74">
        <f>M35+'6'!N35</f>
        <v>248</v>
      </c>
      <c r="O35" s="74">
        <f>M35+'6'!O35</f>
        <v>2642.5</v>
      </c>
      <c r="P35" s="74">
        <f>I35+J35+J41-M35-F59</f>
        <v>363.79999999999995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Production2!AB9</f>
        <v>4.17</v>
      </c>
      <c r="G36" s="654">
        <f>F36+'6'!G36</f>
        <v>38.69</v>
      </c>
      <c r="H36" s="654">
        <f>F36+'6'!H36</f>
        <v>245.02</v>
      </c>
      <c r="I36" s="77">
        <f>Production2!BF9</f>
        <v>2291.55799999998</v>
      </c>
      <c r="J36" s="77">
        <f>Production2!AC9</f>
        <v>225</v>
      </c>
      <c r="K36" s="74">
        <f>J36+'6'!K36</f>
        <v>2245</v>
      </c>
      <c r="L36" s="74">
        <f>J36+'6'!L36</f>
        <v>14674</v>
      </c>
      <c r="M36" s="77">
        <f>Production2!BH9</f>
        <v>1138</v>
      </c>
      <c r="N36" s="74">
        <f>M36+'6'!N36</f>
        <v>5445.73</v>
      </c>
      <c r="O36" s="74">
        <f>M36+'6'!O36</f>
        <v>40614</v>
      </c>
      <c r="P36" s="74">
        <f>I36+J36+J42-M36-F57</f>
        <v>1823.55799999998</v>
      </c>
      <c r="Q36" s="96">
        <f t="shared" si="6"/>
        <v>53.956834532374103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Production2!AH9</f>
        <v>0</v>
      </c>
      <c r="G37" s="654">
        <f>F37+'6'!G37</f>
        <v>0</v>
      </c>
      <c r="H37" s="654">
        <f>F37+'6'!H37</f>
        <v>0</v>
      </c>
      <c r="I37" s="77">
        <f>Production2!BN9</f>
        <v>2.0900000000008498</v>
      </c>
      <c r="J37" s="77">
        <f>Production2!AI9</f>
        <v>0</v>
      </c>
      <c r="K37" s="612">
        <f>J37+'6'!K37</f>
        <v>0</v>
      </c>
      <c r="L37" s="612">
        <f>J37+'6'!L37</f>
        <v>0</v>
      </c>
      <c r="M37" s="77">
        <f>Production2!BP9</f>
        <v>0</v>
      </c>
      <c r="N37" s="74">
        <f>M37+'6'!N37</f>
        <v>0</v>
      </c>
      <c r="O37" s="74">
        <f>M37+'6'!O37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Production2!AK9</f>
        <v>0</v>
      </c>
      <c r="G38" s="654">
        <f>F38+'6'!G38</f>
        <v>0</v>
      </c>
      <c r="H38" s="654">
        <f>F38+'6'!H38</f>
        <v>0</v>
      </c>
      <c r="I38" s="195">
        <f>Production2!BR9</f>
        <v>36.300000000000011</v>
      </c>
      <c r="J38" s="195">
        <f>Production2!AL9</f>
        <v>0</v>
      </c>
      <c r="K38" s="612">
        <f>J38+'6'!K38</f>
        <v>0</v>
      </c>
      <c r="L38" s="612">
        <f>J38+'6'!L38</f>
        <v>0</v>
      </c>
      <c r="M38" s="195">
        <f>Production2!BT9</f>
        <v>30</v>
      </c>
      <c r="N38" s="74">
        <f>M38+'6'!N38</f>
        <v>180</v>
      </c>
      <c r="O38" s="74">
        <f>M38+'6'!O38</f>
        <v>2027</v>
      </c>
      <c r="P38" s="74">
        <f>I38+J38+J44-M38-F60</f>
        <v>171.3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Production2!AN9</f>
        <v>0</v>
      </c>
      <c r="G39" s="654">
        <f>F39+'6'!G39</f>
        <v>10.8</v>
      </c>
      <c r="H39" s="654">
        <f>F39+'6'!H39</f>
        <v>51.45</v>
      </c>
      <c r="I39" s="195">
        <f>Production2!BV9</f>
        <v>1083.5900000000001</v>
      </c>
      <c r="J39" s="195">
        <f>Production2!AO9</f>
        <v>0</v>
      </c>
      <c r="K39" s="612">
        <f>J39+'6'!K39</f>
        <v>615</v>
      </c>
      <c r="L39" s="612">
        <f>J39+'6'!L39</f>
        <v>3147</v>
      </c>
      <c r="M39" s="77">
        <f>Production2!BX9</f>
        <v>331.06</v>
      </c>
      <c r="N39" s="440">
        <f>M39+'6'!N39</f>
        <v>1216.3</v>
      </c>
      <c r="O39" s="440">
        <f>M39+'6'!O39</f>
        <v>6638.18</v>
      </c>
      <c r="P39" s="74">
        <f>I39+J39+J45-M39</f>
        <v>1002.5300000000002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</f>
        <v>4.17</v>
      </c>
      <c r="G40" s="132">
        <f t="shared" ref="G40:H40" si="8">G35+G36+G37+G38</f>
        <v>42.29</v>
      </c>
      <c r="H40" s="132">
        <f t="shared" si="8"/>
        <v>257.62</v>
      </c>
      <c r="I40" s="122">
        <f>I35+I36+I37+I38+I39</f>
        <v>3808.3379999999815</v>
      </c>
      <c r="J40" s="122">
        <f t="shared" ref="J40:M40" si="9">J35+J36+J37+J38+J39</f>
        <v>225</v>
      </c>
      <c r="K40" s="122">
        <f>K35+K36+K37+K38+K39</f>
        <v>3060</v>
      </c>
      <c r="L40" s="122">
        <f>L35+L36+L37+L38+L39</f>
        <v>18595</v>
      </c>
      <c r="M40" s="122">
        <f t="shared" si="9"/>
        <v>1530.06</v>
      </c>
      <c r="N40" s="122">
        <f>N35+N36+N37+N38+N39</f>
        <v>7090.03</v>
      </c>
      <c r="O40" s="122">
        <f>O35+O36+O37+O38+O39</f>
        <v>51921.53</v>
      </c>
      <c r="P40" s="122">
        <f>P35+P36+P37+P38+P39</f>
        <v>3363.2779999999816</v>
      </c>
      <c r="Q40" s="123">
        <f t="shared" si="6"/>
        <v>53.956834532374103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Production2!AT9</f>
        <v>0</v>
      </c>
      <c r="G41" s="75">
        <f>F41+'6'!G41</f>
        <v>0</v>
      </c>
      <c r="H41" s="75">
        <f>F41+'6'!H41</f>
        <v>33.099999999999994</v>
      </c>
      <c r="I41" s="710"/>
      <c r="J41" s="77">
        <f>Production2!AU9</f>
        <v>0</v>
      </c>
      <c r="K41" s="74">
        <f>J41+'6'!K41</f>
        <v>0</v>
      </c>
      <c r="L41" s="74">
        <f>J41+'6'!L41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Production2!AQ9</f>
        <v>7.2</v>
      </c>
      <c r="G42" s="75">
        <f>F42+'6'!G42</f>
        <v>40.21</v>
      </c>
      <c r="H42" s="75">
        <f>F42+'6'!H42</f>
        <v>456.21</v>
      </c>
      <c r="I42" s="711"/>
      <c r="J42" s="77">
        <f>Production2!AR9</f>
        <v>445</v>
      </c>
      <c r="K42" s="74">
        <f>J42+'6'!K42</f>
        <v>2345</v>
      </c>
      <c r="L42" s="612">
        <f>J42+'6'!L42</f>
        <v>26485</v>
      </c>
      <c r="M42" s="716"/>
      <c r="N42" s="717"/>
      <c r="O42" s="717"/>
      <c r="P42" s="718"/>
      <c r="Q42" s="96">
        <f t="shared" si="6"/>
        <v>61.805555555555557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Production2!AW9</f>
        <v>0</v>
      </c>
      <c r="G43" s="75">
        <f>F43+'6'!G43</f>
        <v>0</v>
      </c>
      <c r="H43" s="75">
        <f>F43+'6'!H43</f>
        <v>0</v>
      </c>
      <c r="I43" s="711"/>
      <c r="J43" s="77">
        <f>Production2!AX9</f>
        <v>0</v>
      </c>
      <c r="K43" s="612">
        <f>J43+'6'!K43</f>
        <v>0</v>
      </c>
      <c r="L43" s="612">
        <f>J43+'6'!L43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Production2!AZ9</f>
        <v>3</v>
      </c>
      <c r="G44" s="75">
        <f>F44+'6'!G44</f>
        <v>3</v>
      </c>
      <c r="H44" s="75">
        <f>F44+'6'!H44</f>
        <v>35.880000000000003</v>
      </c>
      <c r="I44" s="712"/>
      <c r="J44" s="195">
        <f>Production2!BA9</f>
        <v>165</v>
      </c>
      <c r="K44" s="612">
        <f>J44+'6'!K44</f>
        <v>165</v>
      </c>
      <c r="L44" s="612">
        <f>J44+'6'!L44</f>
        <v>1985</v>
      </c>
      <c r="M44" s="716"/>
      <c r="N44" s="717"/>
      <c r="O44" s="717"/>
      <c r="P44" s="718"/>
      <c r="Q44" s="96">
        <f t="shared" si="6"/>
        <v>55</v>
      </c>
      <c r="R44" s="94"/>
      <c r="S44" s="94"/>
    </row>
    <row r="45" spans="2:19" x14ac:dyDescent="0.25">
      <c r="B45" s="688"/>
      <c r="C45" s="691"/>
      <c r="D45" s="80" t="s">
        <v>304</v>
      </c>
      <c r="E45" s="97"/>
      <c r="F45" s="84">
        <f>Production2!BC9</f>
        <v>4</v>
      </c>
      <c r="G45" s="75">
        <f>F45+'5'!G45</f>
        <v>13.98</v>
      </c>
      <c r="H45" s="75">
        <f>F45+'5'!H45</f>
        <v>68.95</v>
      </c>
      <c r="I45" s="427"/>
      <c r="J45" s="195">
        <f>Production2!BD9</f>
        <v>250</v>
      </c>
      <c r="K45" s="612">
        <f>J45+'6'!K45</f>
        <v>848</v>
      </c>
      <c r="L45" s="612">
        <f>J45+'6'!L45</f>
        <v>4120</v>
      </c>
      <c r="M45" s="719"/>
      <c r="N45" s="720"/>
      <c r="O45" s="720"/>
      <c r="P45" s="721"/>
      <c r="Q45" s="96">
        <f t="shared" si="6"/>
        <v>62.5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14.2</v>
      </c>
      <c r="G46" s="132">
        <f t="shared" ref="G46:H46" si="10">G41+G42+G43+G44+G45</f>
        <v>57.19</v>
      </c>
      <c r="H46" s="132">
        <f t="shared" si="10"/>
        <v>594.14</v>
      </c>
      <c r="I46" s="132">
        <f t="shared" ref="I46" si="11">I41+I42+I43+I44</f>
        <v>0</v>
      </c>
      <c r="J46" s="132">
        <f>J41+J42+J43+J44+J45</f>
        <v>860</v>
      </c>
      <c r="K46" s="132">
        <f>K41+K42+K43+K44+K45</f>
        <v>3358</v>
      </c>
      <c r="L46" s="132">
        <f>L41+L42+L43+L44+L45</f>
        <v>34590</v>
      </c>
      <c r="M46" s="132"/>
      <c r="N46" s="132"/>
      <c r="O46" s="132"/>
      <c r="P46" s="132"/>
      <c r="Q46" s="123">
        <f t="shared" si="6"/>
        <v>60.563380281690144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0.92089155975262715</v>
      </c>
      <c r="F50" s="99">
        <f>F53/(J31+J32)</f>
        <v>31.583188819749058</v>
      </c>
      <c r="G50" s="99">
        <v>0</v>
      </c>
      <c r="H50" s="99">
        <f>H53/J34</f>
        <v>51.903448275862068</v>
      </c>
      <c r="I50" s="99">
        <f>I53/J33</f>
        <v>63.38225017470301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20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1.2917885741633404</v>
      </c>
      <c r="F51" s="102">
        <f>F50*1.55</f>
        <v>48.953942670611042</v>
      </c>
      <c r="G51" s="102">
        <f>G50*1.55</f>
        <v>0</v>
      </c>
      <c r="H51" s="102">
        <f>H50</f>
        <v>51.903448275862068</v>
      </c>
      <c r="I51" s="102">
        <f>I50*(Q50/100)</f>
        <v>12.676450034940602</v>
      </c>
      <c r="J51" s="102"/>
      <c r="K51" s="102"/>
      <c r="L51" s="102"/>
      <c r="M51" s="96"/>
      <c r="N51" s="307">
        <f>SUM(E51:I51)</f>
        <v>114.82562955557705</v>
      </c>
      <c r="O51" s="728" t="s">
        <v>277</v>
      </c>
      <c r="P51" s="728"/>
      <c r="Q51" s="104">
        <v>5359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0.99377973927613383</v>
      </c>
      <c r="F52" s="102">
        <f>F51*M18/100</f>
        <v>37.660525380670506</v>
      </c>
      <c r="G52" s="102">
        <f>G51*M18/100</f>
        <v>0</v>
      </c>
      <c r="H52" s="102">
        <f>H51*M18/100</f>
        <v>39.929595544321941</v>
      </c>
      <c r="I52" s="102">
        <f>I51*M18/100</f>
        <v>9.7520596347040502</v>
      </c>
      <c r="J52" s="99">
        <f>J53/(J40+J46)</f>
        <v>44.279262672811058</v>
      </c>
      <c r="K52" s="99">
        <f>K53/(J46+J40)</f>
        <v>1.0958525345622119</v>
      </c>
      <c r="L52" s="99">
        <f>L53/(M40)</f>
        <v>3.7449511783851617</v>
      </c>
      <c r="M52" s="96">
        <f>M53/(J46+J40)</f>
        <v>4.6184331797235023</v>
      </c>
      <c r="N52" s="307">
        <f>SUM(E52:M52)</f>
        <v>142.07445986445452</v>
      </c>
      <c r="O52" s="728" t="s">
        <v>279</v>
      </c>
      <c r="P52" s="728"/>
      <c r="Q52" s="104">
        <f>Q51*Q50/100</f>
        <v>1071.8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unit'!B9</f>
        <v>2317</v>
      </c>
      <c r="F53" s="118">
        <f>'Daily unit'!C9</f>
        <v>30961</v>
      </c>
      <c r="G53" s="118">
        <v>0</v>
      </c>
      <c r="H53" s="118">
        <f>'Daily unit'!E9</f>
        <v>37630</v>
      </c>
      <c r="I53" s="118">
        <f>'Daily unit'!F9</f>
        <v>9070</v>
      </c>
      <c r="J53" s="118">
        <f>'Daily unit'!G9</f>
        <v>48043</v>
      </c>
      <c r="K53" s="118">
        <f>'Daily unit'!H9</f>
        <v>1189</v>
      </c>
      <c r="L53" s="118">
        <f>'Daily unit'!I9</f>
        <v>5730</v>
      </c>
      <c r="M53" s="119">
        <f>'Daily unit'!J9</f>
        <v>5011</v>
      </c>
      <c r="N53" s="318">
        <f>SUM(E53:M53)</f>
        <v>139951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83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58">
        <v>1</v>
      </c>
      <c r="C57" s="863" t="s">
        <v>285</v>
      </c>
      <c r="D57" s="863"/>
      <c r="E57" s="80">
        <v>42.5</v>
      </c>
      <c r="F57" s="53">
        <f>'Internal use cement'!F9</f>
        <v>0</v>
      </c>
      <c r="G57" s="53">
        <f>F57+'6'!G57</f>
        <v>0</v>
      </c>
      <c r="H57" s="182">
        <f>F57+'6'!H57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39"/>
      <c r="C58" s="840"/>
      <c r="D58" s="840"/>
      <c r="E58" s="80" t="s">
        <v>195</v>
      </c>
      <c r="F58" s="53">
        <f>'Internal use cement'!Q9</f>
        <v>0</v>
      </c>
      <c r="G58" s="53">
        <f>F58+'6'!G58</f>
        <v>0</v>
      </c>
      <c r="H58" s="182">
        <f>F58+'6'!H58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39"/>
      <c r="C59" s="840"/>
      <c r="D59" s="840"/>
      <c r="E59" s="80">
        <v>32.5</v>
      </c>
      <c r="F59" s="53">
        <f>'Internal use cement'!AB9</f>
        <v>0</v>
      </c>
      <c r="G59" s="53">
        <f>F59+'6'!G59</f>
        <v>0</v>
      </c>
      <c r="H59" s="182">
        <f>F59+'6'!H59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93"/>
      <c r="C60" s="694"/>
      <c r="D60" s="694"/>
      <c r="E60" s="112" t="s">
        <v>175</v>
      </c>
      <c r="F60" s="113">
        <f>'Internal use cement'!AJ9</f>
        <v>0</v>
      </c>
      <c r="G60" s="113">
        <f>F60+'6'!G60</f>
        <v>0</v>
      </c>
      <c r="H60" s="198">
        <f>F60+'6'!H60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3">
    <mergeCell ref="P31:P32"/>
    <mergeCell ref="B48:N48"/>
    <mergeCell ref="O48:Q48"/>
    <mergeCell ref="C32:D32"/>
    <mergeCell ref="I31:I32"/>
    <mergeCell ref="M31:M32"/>
    <mergeCell ref="N31:N32"/>
    <mergeCell ref="O31:O32"/>
    <mergeCell ref="B41:B46"/>
    <mergeCell ref="C41:C46"/>
    <mergeCell ref="I41:I44"/>
    <mergeCell ref="C34:D34"/>
    <mergeCell ref="B35:B40"/>
    <mergeCell ref="C35:C40"/>
    <mergeCell ref="M41:P45"/>
    <mergeCell ref="B2:Q2"/>
    <mergeCell ref="B3:Q3"/>
    <mergeCell ref="C30:D30"/>
    <mergeCell ref="C31:D31"/>
    <mergeCell ref="C33:D33"/>
    <mergeCell ref="B26:Q26"/>
    <mergeCell ref="B27:Q27"/>
    <mergeCell ref="B28:B29"/>
    <mergeCell ref="C28:D29"/>
    <mergeCell ref="J28:L28"/>
    <mergeCell ref="M28:O28"/>
    <mergeCell ref="P28:P29"/>
    <mergeCell ref="Q28:Q29"/>
    <mergeCell ref="C17:Q17"/>
    <mergeCell ref="B18:B20"/>
    <mergeCell ref="C18:C20"/>
    <mergeCell ref="B55:H55"/>
    <mergeCell ref="C56:E56"/>
    <mergeCell ref="C57:D60"/>
    <mergeCell ref="B57:B60"/>
    <mergeCell ref="I55:Q60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23:B24"/>
    <mergeCell ref="M23:N24"/>
    <mergeCell ref="P23:Q25"/>
    <mergeCell ref="C25:D25"/>
    <mergeCell ref="O18:O25"/>
    <mergeCell ref="P18:Q20"/>
    <mergeCell ref="Q21:Q22"/>
    <mergeCell ref="C22:D22"/>
    <mergeCell ref="F28:H28"/>
    <mergeCell ref="I28:I29"/>
    <mergeCell ref="M25:N25"/>
    <mergeCell ref="C8:Q8"/>
    <mergeCell ref="C11:D11"/>
    <mergeCell ref="C12:D12"/>
    <mergeCell ref="C13:D13"/>
    <mergeCell ref="P13:Q13"/>
    <mergeCell ref="C21:D21"/>
    <mergeCell ref="O9:O16"/>
    <mergeCell ref="C10:D10"/>
    <mergeCell ref="N18:N20"/>
    <mergeCell ref="C23:C24"/>
    <mergeCell ref="P6:P7"/>
    <mergeCell ref="Q6:Q7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</mergeCells>
  <pageMargins left="0" right="0" top="0.75" bottom="0.75" header="0.3" footer="0.3"/>
  <pageSetup paperSize="9" scale="48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pageSetUpPr fitToPage="1"/>
  </sheetPr>
  <dimension ref="B2:U156"/>
  <sheetViews>
    <sheetView zoomScale="90" zoomScaleNormal="90" workbookViewId="0">
      <pane xSplit="4" ySplit="1" topLeftCell="E31" activePane="bottomRight" state="frozen"/>
      <selection pane="topRight" activeCell="E1" sqref="E1"/>
      <selection pane="bottomLeft" activeCell="A6" sqref="A6"/>
      <selection pane="bottomRight" activeCell="I37" sqref="I37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18.42578125" style="68" bestFit="1" customWidth="1"/>
    <col min="19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328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822" t="s">
        <v>242</v>
      </c>
      <c r="D9" s="823"/>
      <c r="E9" s="74">
        <f>'7'!L9</f>
        <v>21596.013926821237</v>
      </c>
      <c r="F9" s="74">
        <f>Production2!D10</f>
        <v>3259.1000000000004</v>
      </c>
      <c r="G9" s="74">
        <f>F9+'7'!G9</f>
        <v>26023.380000000005</v>
      </c>
      <c r="H9" s="74">
        <f>F9+'7'!H9</f>
        <v>91009.080000000016</v>
      </c>
      <c r="I9" s="74">
        <f>Production2!E10</f>
        <v>2014</v>
      </c>
      <c r="J9" s="74">
        <f>I9+'7'!J9</f>
        <v>14518</v>
      </c>
      <c r="K9" s="74">
        <f>I9+'7'!K9</f>
        <v>81405</v>
      </c>
      <c r="L9" s="74">
        <f>E9+F9-I9-I21</f>
        <v>22538.123926821234</v>
      </c>
      <c r="M9" s="75">
        <f>I9</f>
        <v>2014</v>
      </c>
      <c r="N9" s="75">
        <f>(I9/I13)*100</f>
        <v>93.500464252553385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(2)'!L10</f>
        <v>2179.46</v>
      </c>
      <c r="F10" s="77">
        <f>'Mines (2)'!M10</f>
        <v>177.22</v>
      </c>
      <c r="G10" s="74">
        <f>F10+'7'!G10</f>
        <v>1805.1800000000005</v>
      </c>
      <c r="H10" s="74">
        <f>F10+'7'!H10</f>
        <v>3156.64</v>
      </c>
      <c r="I10" s="77">
        <f>'Mines (2)'!N10</f>
        <v>47</v>
      </c>
      <c r="J10" s="74">
        <f>I10+'7'!J10</f>
        <v>442</v>
      </c>
      <c r="K10" s="74">
        <f>I10+'7'!K10</f>
        <v>971</v>
      </c>
      <c r="L10" s="77">
        <f t="shared" ref="L10:L16" si="0">E10+F10-I10</f>
        <v>2309.6799999999998</v>
      </c>
      <c r="M10" s="75">
        <f t="shared" ref="M10:M12" si="1">I10</f>
        <v>47</v>
      </c>
      <c r="N10" s="75">
        <f>(I10/I13)*100</f>
        <v>2.1819870009285052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Clinker!C10</f>
        <v>3864.12</v>
      </c>
      <c r="F11" s="77">
        <f>Clinker!D10</f>
        <v>69.86</v>
      </c>
      <c r="G11" s="74">
        <f>F11+'7'!G11</f>
        <v>213.64000000000004</v>
      </c>
      <c r="H11" s="74">
        <f>F11+'7'!H11</f>
        <v>283.34000000000003</v>
      </c>
      <c r="I11" s="77">
        <f>Clinker!E10</f>
        <v>50</v>
      </c>
      <c r="J11" s="74">
        <f>I11+'7'!J11</f>
        <v>328</v>
      </c>
      <c r="K11" s="74">
        <f>I11+'7'!K11</f>
        <v>1765</v>
      </c>
      <c r="L11" s="77">
        <f t="shared" si="0"/>
        <v>3883.98</v>
      </c>
      <c r="M11" s="75">
        <f t="shared" si="1"/>
        <v>50</v>
      </c>
      <c r="N11" s="75">
        <f>(I11/I13)*100</f>
        <v>2.3212627669452179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(2)'!Q10</f>
        <v>101.03999999999996</v>
      </c>
      <c r="F12" s="77">
        <f>'Mines (2)'!R10</f>
        <v>0</v>
      </c>
      <c r="G12" s="74">
        <f>F12+'7'!G12</f>
        <v>0</v>
      </c>
      <c r="H12" s="74">
        <f>F12+'7'!H12</f>
        <v>137.76</v>
      </c>
      <c r="I12" s="77">
        <f>'Mines (2)'!S10</f>
        <v>43</v>
      </c>
      <c r="J12" s="74">
        <f>I12+'7'!J12</f>
        <v>133</v>
      </c>
      <c r="K12" s="74">
        <f>I12+'7'!K12</f>
        <v>680</v>
      </c>
      <c r="L12" s="77">
        <f t="shared" si="0"/>
        <v>58.039999999999964</v>
      </c>
      <c r="M12" s="75">
        <f t="shared" si="1"/>
        <v>43</v>
      </c>
      <c r="N12" s="75">
        <f>(I12/I13)*100</f>
        <v>1.9962859795728878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27740.633926821236</v>
      </c>
      <c r="F13" s="127">
        <f t="shared" si="2"/>
        <v>3506.1800000000003</v>
      </c>
      <c r="G13" s="127">
        <f t="shared" si="2"/>
        <v>28042.200000000004</v>
      </c>
      <c r="H13" s="127">
        <f t="shared" si="2"/>
        <v>94586.82</v>
      </c>
      <c r="I13" s="127">
        <f t="shared" si="2"/>
        <v>2154</v>
      </c>
      <c r="J13" s="127">
        <f t="shared" si="2"/>
        <v>15421</v>
      </c>
      <c r="K13" s="127">
        <f t="shared" si="2"/>
        <v>84821</v>
      </c>
      <c r="L13" s="127">
        <f t="shared" si="0"/>
        <v>29092.813926821236</v>
      </c>
      <c r="M13" s="128">
        <f>SUM(M9:M12)</f>
        <v>2154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Clinker!EB10</f>
        <v>6393.2369999999901</v>
      </c>
      <c r="F14" s="77">
        <f>Clinker!EC10</f>
        <v>0</v>
      </c>
      <c r="G14" s="77">
        <f>F14+'7'!G14</f>
        <v>0</v>
      </c>
      <c r="H14" s="77">
        <f>F14+'7'!H14</f>
        <v>181.5</v>
      </c>
      <c r="I14" s="77">
        <f>Clinker!ED10</f>
        <v>225.56</v>
      </c>
      <c r="J14" s="77">
        <f>I14+'7'!J14</f>
        <v>1684.79</v>
      </c>
      <c r="K14" s="77">
        <f>I14+'7'!K14</f>
        <v>8521.09</v>
      </c>
      <c r="L14" s="77">
        <f>E14+F14-I14-Clinker!N10-Clinker!Z10-Clinker!AS10-Clinker!AX10-Clinker!BC10-Clinker!BW10-Clinker!BH10-Clinker!BM10-Clinker!BR10-Clinker!CV10</f>
        <v>6167.6769999999897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Clinker!EF10</f>
        <v>10121.999999999996</v>
      </c>
      <c r="F15" s="77">
        <f>Clinker!EG10</f>
        <v>270.05</v>
      </c>
      <c r="G15" s="77">
        <f>F15+'7'!G15</f>
        <v>849.34999999999991</v>
      </c>
      <c r="H15" s="77">
        <f>F15+'7'!H15</f>
        <v>1004.4000000000001</v>
      </c>
      <c r="I15" s="77">
        <f>Clinker!EH10</f>
        <v>120</v>
      </c>
      <c r="J15" s="77">
        <f>I15+'7'!J15</f>
        <v>976</v>
      </c>
      <c r="K15" s="77">
        <f>I15+'7'!K15</f>
        <v>4845</v>
      </c>
      <c r="L15" s="77">
        <f>E15+F15-Clinker!AE10-Clinker!AJ10-Clinker!CL10-Clinker!CQ10-Clinker!CG10</f>
        <v>10272.049999999996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16515.236999999986</v>
      </c>
      <c r="F16" s="125">
        <f>F14+F15</f>
        <v>270.05</v>
      </c>
      <c r="G16" s="125">
        <f t="shared" ref="G16:K16" si="3">G14+G15</f>
        <v>849.34999999999991</v>
      </c>
      <c r="H16" s="125">
        <f t="shared" si="3"/>
        <v>1185.9000000000001</v>
      </c>
      <c r="I16" s="125">
        <f>I14+I15</f>
        <v>345.56</v>
      </c>
      <c r="J16" s="125">
        <f>J14+J15</f>
        <v>2660.79</v>
      </c>
      <c r="K16" s="125">
        <f t="shared" si="3"/>
        <v>13366.09</v>
      </c>
      <c r="L16" s="125">
        <f t="shared" si="0"/>
        <v>16439.726999999984</v>
      </c>
      <c r="M16" s="126"/>
      <c r="N16" s="126"/>
      <c r="O16" s="787"/>
      <c r="P16" s="84"/>
      <c r="Q16" s="131"/>
      <c r="R16" s="244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424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Clinker!EJ10</f>
        <v>28193.790087715057</v>
      </c>
      <c r="F18" s="74">
        <f>Clinker!EK10</f>
        <v>1300</v>
      </c>
      <c r="G18" s="74">
        <f>F18+'7'!G18</f>
        <v>9455</v>
      </c>
      <c r="H18" s="74">
        <f>F18+'7'!H18</f>
        <v>49955</v>
      </c>
      <c r="I18" s="74">
        <f>Clinker!EL10</f>
        <v>1166.55400078</v>
      </c>
      <c r="J18" s="74">
        <f>I18+'7'!J18</f>
        <v>6047.424000805403</v>
      </c>
      <c r="K18" s="74">
        <f>I18+'7'!K18</f>
        <v>24909.304012691679</v>
      </c>
      <c r="L18" s="99">
        <f>E18+F18-I18-I20</f>
        <v>28327.236086935056</v>
      </c>
      <c r="M18" s="783">
        <f>((I18+I19)/(J40+J46))*100</f>
        <v>77.000264077887792</v>
      </c>
      <c r="N18" s="765"/>
      <c r="O18" s="767"/>
      <c r="P18" s="769"/>
      <c r="Q18" s="770"/>
      <c r="R18" s="190"/>
      <c r="S18" s="20"/>
    </row>
    <row r="19" spans="2:19" ht="45" x14ac:dyDescent="0.25">
      <c r="B19" s="763"/>
      <c r="C19" s="691"/>
      <c r="D19" s="85" t="s">
        <v>75</v>
      </c>
      <c r="E19" s="74">
        <f>Clinker!EO10</f>
        <v>5306.1090080001359</v>
      </c>
      <c r="F19" s="74">
        <f>Clinker!EP10</f>
        <v>0</v>
      </c>
      <c r="G19" s="74">
        <f>F19+'7'!G19</f>
        <v>150.78</v>
      </c>
      <c r="H19" s="449">
        <f>F19+'7'!H19</f>
        <v>13390.660000000003</v>
      </c>
      <c r="I19" s="74">
        <f>Clinker!EQ10</f>
        <v>0</v>
      </c>
      <c r="J19" s="74">
        <f>I19+'7'!J19</f>
        <v>0</v>
      </c>
      <c r="K19" s="74">
        <f>I19+'7'!K19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190"/>
      <c r="S19" s="20"/>
    </row>
    <row r="20" spans="2:19" ht="30" x14ac:dyDescent="0.25">
      <c r="B20" s="763"/>
      <c r="C20" s="764"/>
      <c r="D20" s="86" t="s">
        <v>249</v>
      </c>
      <c r="E20" s="77"/>
      <c r="F20" s="77">
        <f>Clinker!EN10</f>
        <v>0</v>
      </c>
      <c r="G20" s="74">
        <f>F20+'7'!G20</f>
        <v>0</v>
      </c>
      <c r="H20" s="74">
        <f>F20+'7'!H20</f>
        <v>0</v>
      </c>
      <c r="I20" s="77">
        <f>Clinker!EN10</f>
        <v>0</v>
      </c>
      <c r="J20" s="74">
        <f>I20+'7'!J20</f>
        <v>0</v>
      </c>
      <c r="K20" s="74">
        <f>I20+'7'!K20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617">
        <f>Cement!S10</f>
        <v>302.99</v>
      </c>
      <c r="J21" s="74">
        <f>I21+'7'!J21</f>
        <v>1539.0077778003752</v>
      </c>
      <c r="K21" s="74">
        <f>I21+'7'!K21</f>
        <v>10170.827770362612</v>
      </c>
      <c r="L21" s="74"/>
      <c r="M21" s="78">
        <f>(I21/(J40+J46))*100</f>
        <v>19.999339933993397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Cement!C10</f>
        <v>6753.6700636462811</v>
      </c>
      <c r="F22" s="77">
        <f>Cement!D10</f>
        <v>30.12</v>
      </c>
      <c r="G22" s="74">
        <f>F22+'7'!G22</f>
        <v>30.12</v>
      </c>
      <c r="H22" s="449">
        <f>F22+'7'!H22</f>
        <v>2001.02</v>
      </c>
      <c r="I22" s="619">
        <f>Cement!F10</f>
        <v>79.742104442105273</v>
      </c>
      <c r="J22" s="74">
        <f>I22+'7'!J22</f>
        <v>403.15210439410532</v>
      </c>
      <c r="K22" s="74">
        <f>I22+'7'!K22</f>
        <v>2742.3520999456046</v>
      </c>
      <c r="L22" s="74">
        <f>E22+F22-I22</f>
        <v>6704.0479592041756</v>
      </c>
      <c r="M22" s="78">
        <f>(I22/(J40+J46))*100</f>
        <v>5.2635052437033183</v>
      </c>
      <c r="N22" s="78"/>
      <c r="O22" s="767"/>
      <c r="P22" s="87">
        <v>5</v>
      </c>
      <c r="Q22" s="774"/>
      <c r="R22" s="20"/>
      <c r="S22" s="20"/>
    </row>
    <row r="23" spans="2:19" ht="15" customHeight="1" x14ac:dyDescent="0.25">
      <c r="B23" s="763"/>
      <c r="C23" s="690" t="s">
        <v>251</v>
      </c>
      <c r="D23" s="614" t="s">
        <v>252</v>
      </c>
      <c r="E23" s="77"/>
      <c r="F23" s="77">
        <f>Cement!I10</f>
        <v>0</v>
      </c>
      <c r="G23" s="74">
        <f>F23+'7'!G23</f>
        <v>0</v>
      </c>
      <c r="H23" s="74">
        <f>F23+'7'!H23</f>
        <v>0</v>
      </c>
      <c r="I23" s="77">
        <f>Cement!J10</f>
        <v>0</v>
      </c>
      <c r="J23" s="74">
        <f>I23+'7'!J23</f>
        <v>0</v>
      </c>
      <c r="K23" s="74">
        <f>I23+'7'!K23</f>
        <v>0</v>
      </c>
      <c r="L23" s="74"/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614" t="s">
        <v>253</v>
      </c>
      <c r="E24" s="77"/>
      <c r="F24" s="77">
        <f>Cement!M10</f>
        <v>0</v>
      </c>
      <c r="G24" s="74">
        <f>F24+'7'!G24</f>
        <v>0</v>
      </c>
      <c r="H24" s="74">
        <f>F24+'7'!H24</f>
        <v>0</v>
      </c>
      <c r="I24" s="77">
        <f>Cement!N10</f>
        <v>0</v>
      </c>
      <c r="J24" s="74">
        <f>I24+'7'!J24</f>
        <v>0</v>
      </c>
      <c r="K24" s="74">
        <f>I24+'7'!K24</f>
        <v>0</v>
      </c>
      <c r="L24" s="74"/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40253.569159361476</v>
      </c>
      <c r="F25" s="122">
        <f t="shared" ref="F25:L25" si="4">F18+F19+F21+F22+F23+F24</f>
        <v>1330.12</v>
      </c>
      <c r="G25" s="122">
        <f t="shared" si="4"/>
        <v>9635.9000000000015</v>
      </c>
      <c r="H25" s="122">
        <f t="shared" si="4"/>
        <v>65346.68</v>
      </c>
      <c r="I25" s="132">
        <f>I18+I19+I21+I22+I23+I24</f>
        <v>1549.2861052221053</v>
      </c>
      <c r="J25" s="122">
        <f t="shared" si="4"/>
        <v>7989.5838829998838</v>
      </c>
      <c r="K25" s="122">
        <f t="shared" si="4"/>
        <v>54756.58388299989</v>
      </c>
      <c r="L25" s="122">
        <f t="shared" si="4"/>
        <v>40337.393054139364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Production2!C10</f>
        <v>18.59</v>
      </c>
      <c r="G30" s="75">
        <f>F30+'7'!G30</f>
        <v>127.44</v>
      </c>
      <c r="H30" s="75">
        <f>F30+'7'!H30</f>
        <v>559.92000000000019</v>
      </c>
      <c r="I30" s="74">
        <f>'Mines (2)'!C10+'Mines (2)'!H10+'Mines (2)'!V10+'Mines (2)'!Z10+'Mines (2)'!AD10</f>
        <v>21596.01392682123</v>
      </c>
      <c r="J30" s="74">
        <f>Production2!D10</f>
        <v>3259.1000000000004</v>
      </c>
      <c r="K30" s="74">
        <f>J30+'7'!K30</f>
        <v>26023.380000000005</v>
      </c>
      <c r="L30" s="74">
        <f>J30+'7'!L30</f>
        <v>91009.080000000016</v>
      </c>
      <c r="M30" s="74">
        <f>I9+I21</f>
        <v>2316.9899999999998</v>
      </c>
      <c r="N30" s="74">
        <f>M30+'7'!N30</f>
        <v>16057.007777800376</v>
      </c>
      <c r="O30" s="74">
        <f>M30+'7'!O30</f>
        <v>91575.827770362623</v>
      </c>
      <c r="P30" s="74">
        <f>I30+J30-M30</f>
        <v>22538.12392682123</v>
      </c>
      <c r="Q30" s="93">
        <f>J30/F30</f>
        <v>175.31468531468533</v>
      </c>
      <c r="R30" s="94"/>
      <c r="S30" s="94"/>
    </row>
    <row r="31" spans="2:19" x14ac:dyDescent="0.25">
      <c r="B31" s="79">
        <v>2</v>
      </c>
      <c r="C31" s="725" t="s">
        <v>262</v>
      </c>
      <c r="D31" s="726"/>
      <c r="E31" s="95">
        <v>120</v>
      </c>
      <c r="F31" s="78">
        <f>Production2!G10</f>
        <v>16.98</v>
      </c>
      <c r="G31" s="75">
        <f>F31+'7'!G31</f>
        <v>123.94000000000001</v>
      </c>
      <c r="H31" s="75">
        <f>F31+'7'!H31</f>
        <v>617.16</v>
      </c>
      <c r="I31" s="724">
        <f>Production2!H10</f>
        <v>1026.9500168375198</v>
      </c>
      <c r="J31" s="78">
        <f>Production2!N10</f>
        <v>1940.1</v>
      </c>
      <c r="K31" s="74">
        <f>J31+'7'!K31</f>
        <v>13403.82</v>
      </c>
      <c r="L31" s="74">
        <f>J31+'7'!L31</f>
        <v>72260.970000000016</v>
      </c>
      <c r="M31" s="724">
        <f>Production2!K10</f>
        <v>2015</v>
      </c>
      <c r="N31" s="724">
        <f>M31+'7'!N31</f>
        <v>14655.25</v>
      </c>
      <c r="O31" s="724">
        <f>M31+'7'!O31</f>
        <v>77430.25</v>
      </c>
      <c r="P31" s="724">
        <f>I31+J31+J32-M31</f>
        <v>952.05001683751971</v>
      </c>
      <c r="Q31" s="96">
        <f t="shared" ref="Q31:Q46" si="5">J31/F31</f>
        <v>114.25795053003533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Production2!P10</f>
        <v>0</v>
      </c>
      <c r="G32" s="75">
        <f>F32+'7'!G32</f>
        <v>57.76</v>
      </c>
      <c r="H32" s="75">
        <f>F32+'7'!H32</f>
        <v>464.04999999999995</v>
      </c>
      <c r="I32" s="712"/>
      <c r="J32" s="78">
        <f>Production2!Q10</f>
        <v>0</v>
      </c>
      <c r="K32" s="74">
        <f>J32+'7'!K32</f>
        <v>485.36</v>
      </c>
      <c r="L32" s="74">
        <f>J32+'7'!L32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Production2!S10</f>
        <v>14</v>
      </c>
      <c r="G33" s="75">
        <f>F33+'7'!G33</f>
        <v>111.1</v>
      </c>
      <c r="H33" s="75">
        <f>F33+'7'!H33</f>
        <v>557.47</v>
      </c>
      <c r="I33" s="77">
        <f>Production2!T10</f>
        <v>49.509999999999906</v>
      </c>
      <c r="J33" s="77">
        <f>Production2!U10</f>
        <v>203</v>
      </c>
      <c r="K33" s="74">
        <f>J33+'7'!K33</f>
        <v>1516.3</v>
      </c>
      <c r="L33" s="74">
        <f>J33+'7'!L33</f>
        <v>7669</v>
      </c>
      <c r="M33" s="77">
        <f>Production2!V10</f>
        <v>207</v>
      </c>
      <c r="N33" s="74">
        <f>M33+'7'!N33</f>
        <v>1511</v>
      </c>
      <c r="O33" s="74">
        <f>M33+'7'!O33</f>
        <v>7639</v>
      </c>
      <c r="P33" s="74">
        <f t="shared" ref="P33" si="6">I33+J33-M33</f>
        <v>45.509999999999906</v>
      </c>
      <c r="Q33" s="96">
        <f t="shared" si="5"/>
        <v>14.5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Production2!Y10</f>
        <v>24</v>
      </c>
      <c r="G34" s="75">
        <f>F34+'7'!G34</f>
        <v>162.33000000000001</v>
      </c>
      <c r="H34" s="75">
        <f>F34+'7'!H34</f>
        <v>780.6</v>
      </c>
      <c r="I34" s="77">
        <f>Clinker!EJ10</f>
        <v>28193.790087715057</v>
      </c>
      <c r="J34" s="77">
        <f>Clinker!EK10</f>
        <v>1300</v>
      </c>
      <c r="K34" s="74">
        <f>J34+'7'!K34</f>
        <v>9455</v>
      </c>
      <c r="L34" s="74">
        <f>J34+'7'!L34</f>
        <v>49955</v>
      </c>
      <c r="M34" s="77">
        <f>Clinker!EL10</f>
        <v>1166.55400078</v>
      </c>
      <c r="N34" s="74">
        <f>M34+'7'!N34</f>
        <v>6047.424000805403</v>
      </c>
      <c r="O34" s="74">
        <f>M34+'7'!O34</f>
        <v>24909.304012691679</v>
      </c>
      <c r="P34" s="74">
        <f>I34+J34-M34-I20</f>
        <v>28327.236086935056</v>
      </c>
      <c r="Q34" s="96">
        <f t="shared" si="5"/>
        <v>54.166666666666664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Production2!AE10</f>
        <v>0</v>
      </c>
      <c r="G35" s="75">
        <f>F35+'7'!G35</f>
        <v>3.6</v>
      </c>
      <c r="H35" s="75">
        <f>F35+'7'!H35</f>
        <v>12.6</v>
      </c>
      <c r="I35" s="77">
        <f>Production2!BJ10</f>
        <v>363.79999999999995</v>
      </c>
      <c r="J35" s="77">
        <f>Production2!AF10</f>
        <v>0</v>
      </c>
      <c r="K35" s="74">
        <f>J35+'7'!K35</f>
        <v>200</v>
      </c>
      <c r="L35" s="74">
        <f>J35+'7'!L35</f>
        <v>774</v>
      </c>
      <c r="M35" s="77">
        <f>Production2!BL10</f>
        <v>32</v>
      </c>
      <c r="N35" s="74">
        <f>M35+'7'!N35</f>
        <v>280</v>
      </c>
      <c r="O35" s="74">
        <f>M35+'7'!O35</f>
        <v>2674.5</v>
      </c>
      <c r="P35" s="74">
        <f>I35+J35+J41-M35-F59</f>
        <v>331.79999999999995</v>
      </c>
      <c r="Q35" s="96" t="e">
        <f t="shared" si="5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Production2!AB10</f>
        <v>1.4</v>
      </c>
      <c r="G36" s="654">
        <f>F36+'7'!G36</f>
        <v>40.089999999999996</v>
      </c>
      <c r="H36" s="654">
        <f>F36+'7'!H36</f>
        <v>246.42000000000002</v>
      </c>
      <c r="I36" s="77">
        <f>Production2!BF10</f>
        <v>1823.55799999998</v>
      </c>
      <c r="J36" s="77">
        <f>Production2!AC10</f>
        <v>80</v>
      </c>
      <c r="K36" s="74">
        <f>J36+'7'!K36</f>
        <v>2325</v>
      </c>
      <c r="L36" s="74">
        <f>J36+'7'!L36</f>
        <v>14754</v>
      </c>
      <c r="M36" s="77">
        <f>Production2!BH10</f>
        <v>1306</v>
      </c>
      <c r="N36" s="74">
        <f>M36+'7'!N36</f>
        <v>6751.73</v>
      </c>
      <c r="O36" s="74">
        <f>M36+'7'!O36</f>
        <v>41920</v>
      </c>
      <c r="P36" s="74">
        <f>I36+J36+J42-M36-F57</f>
        <v>2032.55799999998</v>
      </c>
      <c r="Q36" s="96">
        <f t="shared" si="5"/>
        <v>57.142857142857146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Production2!AH10</f>
        <v>0</v>
      </c>
      <c r="G37" s="654">
        <f>F37+'7'!G37</f>
        <v>0</v>
      </c>
      <c r="H37" s="654">
        <f>F37+'7'!H37</f>
        <v>0</v>
      </c>
      <c r="I37" s="77">
        <f>Production2!BN10</f>
        <v>2.0900000000008498</v>
      </c>
      <c r="J37" s="77">
        <f>Production2!AI10</f>
        <v>0</v>
      </c>
      <c r="K37" s="74">
        <f>J37+'7'!K37</f>
        <v>0</v>
      </c>
      <c r="L37" s="74">
        <f>J37+'7'!L37</f>
        <v>0</v>
      </c>
      <c r="M37" s="77">
        <f>Production2!BP10</f>
        <v>0</v>
      </c>
      <c r="N37" s="74">
        <f>M37+'7'!N37</f>
        <v>0</v>
      </c>
      <c r="O37" s="74">
        <f>M37+'7'!O37</f>
        <v>-0.15</v>
      </c>
      <c r="P37" s="74">
        <f>I37+J37+J43-M37-F58</f>
        <v>2.0900000000008498</v>
      </c>
      <c r="Q37" s="96" t="e">
        <f t="shared" si="5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Production2!AK10</f>
        <v>0</v>
      </c>
      <c r="G38" s="654">
        <f>F38+'7'!G38</f>
        <v>0</v>
      </c>
      <c r="H38" s="654">
        <f>F38+'7'!H38</f>
        <v>0</v>
      </c>
      <c r="I38" s="195">
        <f>Production2!BR10</f>
        <v>171.3</v>
      </c>
      <c r="J38" s="195">
        <f>Production2!AL10</f>
        <v>0</v>
      </c>
      <c r="K38" s="74">
        <f>J38+'7'!K38</f>
        <v>0</v>
      </c>
      <c r="L38" s="74">
        <f>J38+'7'!L38</f>
        <v>0</v>
      </c>
      <c r="M38" s="195">
        <f>Production2!BT10</f>
        <v>60</v>
      </c>
      <c r="N38" s="74">
        <f>M38+'7'!N38</f>
        <v>240</v>
      </c>
      <c r="O38" s="74">
        <f>M38+'7'!O38</f>
        <v>2087</v>
      </c>
      <c r="P38" s="74">
        <f>I38+J38+J44-M38-F60</f>
        <v>111.30000000000001</v>
      </c>
      <c r="Q38" s="96" t="e">
        <f t="shared" si="5"/>
        <v>#DIV/0!</v>
      </c>
      <c r="R38" s="94"/>
      <c r="S38" s="94"/>
    </row>
    <row r="39" spans="2:19" x14ac:dyDescent="0.25">
      <c r="B39" s="688"/>
      <c r="C39" s="691"/>
      <c r="D39" s="441" t="s">
        <v>304</v>
      </c>
      <c r="E39" s="448"/>
      <c r="F39" s="443">
        <f>Production2!AN10</f>
        <v>0</v>
      </c>
      <c r="G39" s="654">
        <f>F39+'7'!G39</f>
        <v>10.8</v>
      </c>
      <c r="H39" s="654">
        <f>F39+'7'!H39</f>
        <v>51.45</v>
      </c>
      <c r="I39" s="445">
        <f>Production2!BV10</f>
        <v>1002.5300000000002</v>
      </c>
      <c r="J39" s="445">
        <f>Production2!AO10</f>
        <v>0</v>
      </c>
      <c r="K39" s="446">
        <f>J39+'7'!K39</f>
        <v>615</v>
      </c>
      <c r="L39" s="446">
        <f>J39+'7'!L39</f>
        <v>3147</v>
      </c>
      <c r="M39" s="77">
        <f>Production2!BX10</f>
        <v>30</v>
      </c>
      <c r="N39" s="446">
        <f>M39+'7'!N39</f>
        <v>1246.3</v>
      </c>
      <c r="O39" s="446">
        <f>M39+'7'!O39</f>
        <v>6668.18</v>
      </c>
      <c r="P39" s="446">
        <f>I39+J39+J45-M39</f>
        <v>972.5300000000002</v>
      </c>
      <c r="Q39" s="96" t="e">
        <f t="shared" si="5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1.4</v>
      </c>
      <c r="G40" s="132">
        <f t="shared" ref="G40:H40" si="7">G35+G36+G37+G38+G39</f>
        <v>54.489999999999995</v>
      </c>
      <c r="H40" s="132">
        <f t="shared" si="7"/>
        <v>310.47000000000003</v>
      </c>
      <c r="I40" s="122">
        <f>I35+I36+I37+I38+I39</f>
        <v>3363.2779999999816</v>
      </c>
      <c r="J40" s="442">
        <f t="shared" ref="J40:P40" si="8">J35+J36+J37+J38+J39</f>
        <v>80</v>
      </c>
      <c r="K40" s="442">
        <f t="shared" si="8"/>
        <v>3140</v>
      </c>
      <c r="L40" s="442">
        <f t="shared" si="8"/>
        <v>18675</v>
      </c>
      <c r="M40" s="442">
        <f>M35+M36+M37+M38+M39</f>
        <v>1428</v>
      </c>
      <c r="N40" s="442">
        <f t="shared" si="8"/>
        <v>8518.0299999999988</v>
      </c>
      <c r="O40" s="442">
        <f t="shared" si="8"/>
        <v>53349.53</v>
      </c>
      <c r="P40" s="442">
        <f t="shared" si="8"/>
        <v>3450.2779999999816</v>
      </c>
      <c r="Q40" s="123">
        <f t="shared" si="5"/>
        <v>57.142857142857146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Production2!AT10</f>
        <v>0</v>
      </c>
      <c r="G41" s="75">
        <f>F41+'7'!G41</f>
        <v>0</v>
      </c>
      <c r="H41" s="75">
        <f>F41+'7'!H41</f>
        <v>33.099999999999994</v>
      </c>
      <c r="I41" s="710"/>
      <c r="J41" s="77">
        <f>Production2!AU10</f>
        <v>0</v>
      </c>
      <c r="K41" s="74">
        <f>J41+'7'!K41</f>
        <v>0</v>
      </c>
      <c r="L41" s="74">
        <f>J41+'7'!L41</f>
        <v>2000</v>
      </c>
      <c r="M41" s="713"/>
      <c r="N41" s="714"/>
      <c r="O41" s="714"/>
      <c r="P41" s="715"/>
      <c r="Q41" s="96" t="e">
        <f t="shared" si="5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Production2!AQ10</f>
        <v>22.95</v>
      </c>
      <c r="G42" s="75">
        <f>F42+'7'!G42</f>
        <v>63.16</v>
      </c>
      <c r="H42" s="75">
        <f>F42+'7'!H42</f>
        <v>479.15999999999997</v>
      </c>
      <c r="I42" s="711"/>
      <c r="J42" s="77">
        <f>Production2!AR10</f>
        <v>1435</v>
      </c>
      <c r="K42" s="74">
        <f>J42+'7'!K42</f>
        <v>3780</v>
      </c>
      <c r="L42" s="74">
        <f>J42+'7'!L42</f>
        <v>27920</v>
      </c>
      <c r="M42" s="716"/>
      <c r="N42" s="867"/>
      <c r="O42" s="867"/>
      <c r="P42" s="718"/>
      <c r="Q42" s="96">
        <f>J42/F42</f>
        <v>62.527233115468412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Production2!AW10</f>
        <v>0</v>
      </c>
      <c r="G43" s="75">
        <f>F43+'7'!G43</f>
        <v>0</v>
      </c>
      <c r="H43" s="75">
        <f>F43+'7'!H43</f>
        <v>0</v>
      </c>
      <c r="I43" s="711"/>
      <c r="J43" s="77">
        <f>Production2!AX10</f>
        <v>0</v>
      </c>
      <c r="K43" s="74">
        <f>J43+'7'!K43</f>
        <v>0</v>
      </c>
      <c r="L43" s="74">
        <f>J43+'7'!L43</f>
        <v>0</v>
      </c>
      <c r="M43" s="716"/>
      <c r="N43" s="867"/>
      <c r="O43" s="867"/>
      <c r="P43" s="718"/>
      <c r="Q43" s="96" t="e">
        <f t="shared" si="5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Production2!AZ10</f>
        <v>0</v>
      </c>
      <c r="G44" s="75">
        <f>F44+'7'!G44</f>
        <v>3</v>
      </c>
      <c r="H44" s="75">
        <f>F44+'7'!H44</f>
        <v>35.880000000000003</v>
      </c>
      <c r="I44" s="712"/>
      <c r="J44" s="195">
        <f>Production2!BA10</f>
        <v>0</v>
      </c>
      <c r="K44" s="74">
        <f>J44+'7'!K44</f>
        <v>165</v>
      </c>
      <c r="L44" s="74">
        <f>J44+'7'!L44</f>
        <v>1985</v>
      </c>
      <c r="M44" s="716"/>
      <c r="N44" s="867"/>
      <c r="O44" s="867"/>
      <c r="P44" s="718"/>
      <c r="Q44" s="96" t="e">
        <f t="shared" si="5"/>
        <v>#DIV/0!</v>
      </c>
      <c r="R44" s="94"/>
      <c r="S44" s="94"/>
    </row>
    <row r="45" spans="2:19" x14ac:dyDescent="0.25">
      <c r="B45" s="688"/>
      <c r="C45" s="691"/>
      <c r="D45" s="441" t="s">
        <v>304</v>
      </c>
      <c r="E45" s="448"/>
      <c r="F45" s="443">
        <f>Production2!BC10</f>
        <v>0</v>
      </c>
      <c r="G45" s="444">
        <f>F45+'7'!G45</f>
        <v>13.98</v>
      </c>
      <c r="H45" s="444">
        <f>F45+'7'!H45</f>
        <v>68.95</v>
      </c>
      <c r="I45" s="447"/>
      <c r="J45" s="445">
        <f>Production2!BD10</f>
        <v>0</v>
      </c>
      <c r="K45" s="446">
        <f>J45+'7'!K45</f>
        <v>848</v>
      </c>
      <c r="L45" s="446">
        <f>J45+'7'!L45</f>
        <v>4120</v>
      </c>
      <c r="M45" s="719"/>
      <c r="N45" s="720"/>
      <c r="O45" s="720"/>
      <c r="P45" s="721"/>
      <c r="Q45" s="96" t="e">
        <f t="shared" si="5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22.95</v>
      </c>
      <c r="G46" s="132">
        <f t="shared" ref="G46:H46" si="9">G41+G42+G43+G44+G45</f>
        <v>80.14</v>
      </c>
      <c r="H46" s="132">
        <f t="shared" si="9"/>
        <v>617.09</v>
      </c>
      <c r="I46" s="122">
        <f t="shared" ref="I46" si="10">I41+I42+I43+I44</f>
        <v>0</v>
      </c>
      <c r="J46" s="122">
        <f>J41+J42+J43+J44+J45</f>
        <v>1435</v>
      </c>
      <c r="K46" s="442">
        <f t="shared" ref="K46:L46" si="11">K41+K42+K43+K44+K45</f>
        <v>4793</v>
      </c>
      <c r="L46" s="442">
        <f t="shared" si="11"/>
        <v>36025</v>
      </c>
      <c r="M46" s="442"/>
      <c r="N46" s="442"/>
      <c r="O46" s="442"/>
      <c r="P46" s="442"/>
      <c r="Q46" s="123">
        <f t="shared" si="5"/>
        <v>62.527233115468412</v>
      </c>
      <c r="R46" s="94"/>
      <c r="S46" s="94"/>
    </row>
    <row r="47" spans="2:19" ht="15.75" thickBot="1" x14ac:dyDescent="0.3">
      <c r="B47" s="864"/>
      <c r="C47" s="865"/>
      <c r="D47" s="865"/>
      <c r="E47" s="865"/>
      <c r="F47" s="865"/>
      <c r="G47" s="865"/>
      <c r="H47" s="865"/>
      <c r="I47" s="865"/>
      <c r="J47" s="865"/>
      <c r="K47" s="865"/>
      <c r="L47" s="865"/>
      <c r="M47" s="865"/>
      <c r="N47" s="865"/>
      <c r="O47" s="865"/>
      <c r="P47" s="865"/>
      <c r="Q47" s="866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0.82169924212205814</v>
      </c>
      <c r="F50" s="99">
        <f>F53/(J31+J32)</f>
        <v>21.320035049739705</v>
      </c>
      <c r="G50" s="99" t="e">
        <f>G53/J32</f>
        <v>#DIV/0!</v>
      </c>
      <c r="H50" s="99">
        <f>H53/J34</f>
        <v>36.328461538461539</v>
      </c>
      <c r="I50" s="99">
        <f>I53/J33</f>
        <v>64.438423645320199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15.923076923076923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1.2730017489490961</v>
      </c>
      <c r="F51" s="102">
        <f>F50*1.55</f>
        <v>33.046054327096542</v>
      </c>
      <c r="G51" s="102" t="e">
        <f>G50*1.55</f>
        <v>#DIV/0!</v>
      </c>
      <c r="H51" s="102">
        <f>H50</f>
        <v>36.328461538461539</v>
      </c>
      <c r="I51" s="102">
        <f>I50*(Q50/100)</f>
        <v>10.260579765062523</v>
      </c>
      <c r="J51" s="102"/>
      <c r="K51" s="102"/>
      <c r="L51" s="102"/>
      <c r="M51" s="96"/>
      <c r="N51" s="307" t="e">
        <f>SUM(E51:I51)</f>
        <v>#DIV/0!</v>
      </c>
      <c r="O51" s="728" t="s">
        <v>277</v>
      </c>
      <c r="P51" s="728"/>
      <c r="Q51" s="104">
        <v>5180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0.98021470840693425</v>
      </c>
      <c r="F52" s="102">
        <f>F51*M18/100</f>
        <v>25.4455490991866</v>
      </c>
      <c r="G52" s="102" t="e">
        <f>G51*M18/100</f>
        <v>#DIV/0!</v>
      </c>
      <c r="H52" s="102">
        <f>H51*M18/100</f>
        <v>27.973011320049281</v>
      </c>
      <c r="I52" s="102">
        <f>I51*M18/100</f>
        <v>7.9006735150204621</v>
      </c>
      <c r="J52" s="99">
        <f>J53/(J40+J46)</f>
        <v>34.994059405940597</v>
      </c>
      <c r="K52" s="99">
        <f>K53/(J46+J40)</f>
        <v>0.96237623762376234</v>
      </c>
      <c r="L52" s="99">
        <f>L53/(M40)</f>
        <v>3.553221288515406</v>
      </c>
      <c r="M52" s="96">
        <f>M53/(J46+J40)</f>
        <v>3.392079207920792</v>
      </c>
      <c r="N52" s="307" t="e">
        <f>SUM(E52:M52)</f>
        <v>#DIV/0!</v>
      </c>
      <c r="O52" s="728" t="s">
        <v>279</v>
      </c>
      <c r="P52" s="728"/>
      <c r="Q52" s="104">
        <f>Q51*Q50/100</f>
        <v>824.81538461538469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unit'!B10</f>
        <v>2678</v>
      </c>
      <c r="F53" s="118">
        <f>'Daily unit'!C10</f>
        <v>41363</v>
      </c>
      <c r="G53" s="118">
        <f>'Daily unit'!D10</f>
        <v>0</v>
      </c>
      <c r="H53" s="118">
        <f>'Daily unit'!E10</f>
        <v>47227</v>
      </c>
      <c r="I53" s="118">
        <f>'Daily unit'!F10</f>
        <v>13081</v>
      </c>
      <c r="J53" s="118">
        <f>'Daily unit'!G10</f>
        <v>53016</v>
      </c>
      <c r="K53" s="118">
        <f>'Daily unit'!H10</f>
        <v>1458</v>
      </c>
      <c r="L53" s="118">
        <f>'Daily unit'!I10</f>
        <v>5074</v>
      </c>
      <c r="M53" s="119">
        <f>'Daily unit'!J10</f>
        <v>5139</v>
      </c>
      <c r="N53" s="318">
        <f>SUM(E53:M53)</f>
        <v>169036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83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45">
        <v>1</v>
      </c>
      <c r="C57" s="812" t="s">
        <v>285</v>
      </c>
      <c r="D57" s="813"/>
      <c r="E57" s="80">
        <v>42.5</v>
      </c>
      <c r="F57" s="53">
        <f>'Internal use cement'!F10</f>
        <v>0</v>
      </c>
      <c r="G57" s="53">
        <f>F57+'7'!G57</f>
        <v>0</v>
      </c>
      <c r="H57" s="182">
        <f>F57+'7'!H57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46"/>
      <c r="C58" s="814"/>
      <c r="D58" s="815"/>
      <c r="E58" s="80" t="s">
        <v>195</v>
      </c>
      <c r="F58" s="53">
        <f>'Internal use cement'!Q10</f>
        <v>0</v>
      </c>
      <c r="G58" s="53">
        <f>F58+'7'!G58</f>
        <v>0</v>
      </c>
      <c r="H58" s="182">
        <f>F58+'7'!H58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46"/>
      <c r="C59" s="814"/>
      <c r="D59" s="815"/>
      <c r="E59" s="80">
        <v>32.5</v>
      </c>
      <c r="F59" s="53">
        <f>'Internal use cement'!AB10</f>
        <v>0</v>
      </c>
      <c r="G59" s="53">
        <f>F59+'7'!G59</f>
        <v>0</v>
      </c>
      <c r="H59" s="221">
        <f>F59+'7'!H59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47"/>
      <c r="C60" s="816"/>
      <c r="D60" s="817"/>
      <c r="E60" s="112" t="s">
        <v>175</v>
      </c>
      <c r="F60" s="113">
        <f>'Internal use cement'!AJ10</f>
        <v>0</v>
      </c>
      <c r="G60" s="220">
        <f>F60+'7'!G60</f>
        <v>0</v>
      </c>
      <c r="H60" s="198">
        <f>F60+'7'!H60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M31:M32"/>
    <mergeCell ref="N31:N32"/>
    <mergeCell ref="O31:O32"/>
    <mergeCell ref="P31:P32"/>
    <mergeCell ref="B48:N48"/>
    <mergeCell ref="O48:Q48"/>
    <mergeCell ref="B35:B40"/>
    <mergeCell ref="C35:C40"/>
    <mergeCell ref="I41:I44"/>
    <mergeCell ref="C32:D32"/>
    <mergeCell ref="I31:I32"/>
    <mergeCell ref="B41:B46"/>
    <mergeCell ref="C41:C46"/>
    <mergeCell ref="M41:P45"/>
    <mergeCell ref="B14:B16"/>
    <mergeCell ref="C14:C16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8:Q8"/>
    <mergeCell ref="C11:D11"/>
    <mergeCell ref="C12:D12"/>
    <mergeCell ref="P6:P7"/>
    <mergeCell ref="Q6:Q7"/>
    <mergeCell ref="C13:D13"/>
    <mergeCell ref="P13:Q13"/>
    <mergeCell ref="O9:O16"/>
    <mergeCell ref="C10:D10"/>
    <mergeCell ref="C9:D9"/>
    <mergeCell ref="M18:M19"/>
    <mergeCell ref="B23:B24"/>
    <mergeCell ref="M23:N24"/>
    <mergeCell ref="P23:Q25"/>
    <mergeCell ref="C25:D25"/>
    <mergeCell ref="M25:N25"/>
    <mergeCell ref="C21:D21"/>
    <mergeCell ref="B18:B20"/>
    <mergeCell ref="M28:O28"/>
    <mergeCell ref="P28:P29"/>
    <mergeCell ref="Q28:Q29"/>
    <mergeCell ref="Q21:Q22"/>
    <mergeCell ref="C22:D22"/>
    <mergeCell ref="C23:C24"/>
    <mergeCell ref="I55:Q60"/>
    <mergeCell ref="C56:E56"/>
    <mergeCell ref="B54:Q54"/>
    <mergeCell ref="B47:Q47"/>
    <mergeCell ref="C49:D49"/>
    <mergeCell ref="C52:D52"/>
    <mergeCell ref="O52:P52"/>
    <mergeCell ref="C53:D53"/>
    <mergeCell ref="O49:P49"/>
    <mergeCell ref="C50:D50"/>
    <mergeCell ref="O50:P50"/>
    <mergeCell ref="C51:D51"/>
    <mergeCell ref="C57:D60"/>
    <mergeCell ref="O51:P51"/>
    <mergeCell ref="B57:B60"/>
    <mergeCell ref="B55:H55"/>
    <mergeCell ref="C30:D30"/>
    <mergeCell ref="C31:D31"/>
    <mergeCell ref="C33:D33"/>
    <mergeCell ref="C34:D34"/>
    <mergeCell ref="C17:Q17"/>
    <mergeCell ref="C18:C20"/>
    <mergeCell ref="N18:N20"/>
    <mergeCell ref="O18:O25"/>
    <mergeCell ref="P18:Q20"/>
    <mergeCell ref="B26:Q26"/>
    <mergeCell ref="B27:Q27"/>
    <mergeCell ref="B28:B29"/>
    <mergeCell ref="C28:D29"/>
    <mergeCell ref="F28:H28"/>
    <mergeCell ref="I28:I29"/>
    <mergeCell ref="J28:L28"/>
  </mergeCells>
  <pageMargins left="0" right="0" top="0.75" bottom="0.75" header="0.3" footer="0.3"/>
  <pageSetup paperSize="9" scale="4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/>
  <dimension ref="B2:U156"/>
  <sheetViews>
    <sheetView zoomScale="90" zoomScaleNormal="90" workbookViewId="0">
      <pane xSplit="4" ySplit="1" topLeftCell="E25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336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 t="s">
        <v>291</v>
      </c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73" t="s">
        <v>242</v>
      </c>
      <c r="D9" s="73" t="s">
        <v>29</v>
      </c>
      <c r="E9" s="74">
        <f>'8'!L9</f>
        <v>22538.123926821234</v>
      </c>
      <c r="F9" s="74">
        <f>Production2!D11</f>
        <v>2787.6</v>
      </c>
      <c r="G9" s="74">
        <f>F9+'8'!G9</f>
        <v>28810.980000000003</v>
      </c>
      <c r="H9" s="74">
        <f>F9+'8'!H9</f>
        <v>93796.680000000022</v>
      </c>
      <c r="I9" s="74">
        <f>Production2!E11</f>
        <v>1697</v>
      </c>
      <c r="J9" s="74">
        <f>I9+'8'!J9</f>
        <v>16215</v>
      </c>
      <c r="K9" s="74">
        <f>I9+'8'!K9</f>
        <v>83102</v>
      </c>
      <c r="L9" s="74">
        <f>E9+F9-I9-I21</f>
        <v>23101.883926998231</v>
      </c>
      <c r="M9" s="75">
        <f>I9</f>
        <v>1697</v>
      </c>
      <c r="N9" s="75">
        <f>(I9/I13)*100</f>
        <v>93.498622589531678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(2)'!L11</f>
        <v>2309.6799999999998</v>
      </c>
      <c r="F10" s="77">
        <f>'Mines (2)'!M11</f>
        <v>73.240000000000009</v>
      </c>
      <c r="G10" s="74">
        <f>F10+'8'!G10</f>
        <v>1878.4200000000005</v>
      </c>
      <c r="H10" s="74">
        <f>F10+'8'!H10</f>
        <v>3229.88</v>
      </c>
      <c r="I10" s="77">
        <f>'Mines (2)'!N11</f>
        <v>40</v>
      </c>
      <c r="J10" s="74">
        <f>I10+'8'!J10</f>
        <v>482</v>
      </c>
      <c r="K10" s="74">
        <f>I10+'8'!K10</f>
        <v>1011</v>
      </c>
      <c r="L10" s="77">
        <f t="shared" ref="L10:L16" si="0">E10+F10-I10</f>
        <v>2342.92</v>
      </c>
      <c r="M10" s="75">
        <f t="shared" ref="M10:M12" si="1">I10</f>
        <v>40</v>
      </c>
      <c r="N10" s="75">
        <f>(I10/I13)*100</f>
        <v>2.2038567493112948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Clinker!C11</f>
        <v>3883.98</v>
      </c>
      <c r="F11" s="77">
        <f>Clinker!D11</f>
        <v>0</v>
      </c>
      <c r="G11" s="74">
        <f>F11+'8'!G11</f>
        <v>213.64000000000004</v>
      </c>
      <c r="H11" s="74">
        <f>F11+'8'!H11</f>
        <v>283.34000000000003</v>
      </c>
      <c r="I11" s="77">
        <f>Clinker!E11</f>
        <v>42</v>
      </c>
      <c r="J11" s="74">
        <f>I11+'8'!J11</f>
        <v>370</v>
      </c>
      <c r="K11" s="74">
        <f>I11+'8'!K11</f>
        <v>1807</v>
      </c>
      <c r="L11" s="77">
        <f t="shared" si="0"/>
        <v>3841.98</v>
      </c>
      <c r="M11" s="75">
        <f t="shared" si="1"/>
        <v>42</v>
      </c>
      <c r="N11" s="75">
        <f>(I11/I13)*100</f>
        <v>2.3140495867768593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(2)'!Q11</f>
        <v>58.039999999999964</v>
      </c>
      <c r="F12" s="77">
        <f>'Mines (2)'!R11</f>
        <v>0</v>
      </c>
      <c r="G12" s="74">
        <f>F12+'8'!G12</f>
        <v>0</v>
      </c>
      <c r="H12" s="74">
        <f>F12+'8'!H12</f>
        <v>137.76</v>
      </c>
      <c r="I12" s="77">
        <f>'Mines (2)'!S11</f>
        <v>36</v>
      </c>
      <c r="J12" s="74">
        <f>I12+'8'!J12</f>
        <v>169</v>
      </c>
      <c r="K12" s="74">
        <f>I12+'8'!K12</f>
        <v>716</v>
      </c>
      <c r="L12" s="77">
        <f t="shared" si="0"/>
        <v>22.039999999999964</v>
      </c>
      <c r="M12" s="75">
        <f t="shared" si="1"/>
        <v>36</v>
      </c>
      <c r="N12" s="75">
        <f>(I12/I13)*100</f>
        <v>1.9834710743801653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28789.823926821235</v>
      </c>
      <c r="F13" s="127">
        <f t="shared" si="2"/>
        <v>2860.84</v>
      </c>
      <c r="G13" s="127">
        <f t="shared" si="2"/>
        <v>30903.040000000005</v>
      </c>
      <c r="H13" s="127">
        <f t="shared" si="2"/>
        <v>97447.660000000018</v>
      </c>
      <c r="I13" s="127">
        <f t="shared" si="2"/>
        <v>1815</v>
      </c>
      <c r="J13" s="127">
        <f t="shared" si="2"/>
        <v>17236</v>
      </c>
      <c r="K13" s="127">
        <f t="shared" si="2"/>
        <v>86636</v>
      </c>
      <c r="L13" s="127">
        <f t="shared" si="0"/>
        <v>29835.663926821235</v>
      </c>
      <c r="M13" s="128">
        <f>SUM(M9:M12)</f>
        <v>1815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Clinker!EB11</f>
        <v>6167.6769999999906</v>
      </c>
      <c r="F14" s="77">
        <f>Clinker!EC11</f>
        <v>0</v>
      </c>
      <c r="G14" s="77">
        <f>F14+'8'!G14</f>
        <v>0</v>
      </c>
      <c r="H14" s="77">
        <f>F14+'8'!H14</f>
        <v>181.5</v>
      </c>
      <c r="I14" s="77">
        <f>Clinker!ED11</f>
        <v>210</v>
      </c>
      <c r="J14" s="77">
        <f>I14+'8'!J14</f>
        <v>1894.79</v>
      </c>
      <c r="K14" s="77">
        <f>I14+'8'!K14</f>
        <v>8731.09</v>
      </c>
      <c r="L14" s="77">
        <f>E14+F14-I14-Clinker!N11-Clinker!Z11-Clinker!AS11-Clinker!AX11-Clinker!BC11-Clinker!BH11-Clinker!BW11-Clinker!BR11</f>
        <v>5957.6769999999906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Clinker!EF11</f>
        <v>10272.049999999996</v>
      </c>
      <c r="F15" s="77">
        <f>Clinker!EG11</f>
        <v>0</v>
      </c>
      <c r="G15" s="77">
        <f>F15+'8'!G15</f>
        <v>849.34999999999991</v>
      </c>
      <c r="H15" s="77">
        <f>F15+'8'!H15</f>
        <v>1004.4000000000001</v>
      </c>
      <c r="I15" s="77">
        <f>Clinker!EH11</f>
        <v>130</v>
      </c>
      <c r="J15" s="77">
        <f>I15+'8'!J15</f>
        <v>1106</v>
      </c>
      <c r="K15" s="77">
        <f>I15+'8'!K15</f>
        <v>4975</v>
      </c>
      <c r="L15" s="77">
        <f>E15+F15-Clinker!AE11-Clinker!AJ11-Clinker!CL11-Clinker!CQ11-Clinker!CG11</f>
        <v>10142.049999999996</v>
      </c>
      <c r="M15" s="81"/>
      <c r="N15" s="81"/>
      <c r="O15" s="787"/>
      <c r="P15" s="53"/>
      <c r="Q15" s="82"/>
      <c r="R15" s="234"/>
      <c r="S15" s="83"/>
    </row>
    <row r="16" spans="2:21" x14ac:dyDescent="0.25">
      <c r="B16" s="763"/>
      <c r="C16" s="690"/>
      <c r="D16" s="124" t="s">
        <v>150</v>
      </c>
      <c r="E16" s="125">
        <f>E14+E15</f>
        <v>16439.726999999984</v>
      </c>
      <c r="F16" s="125">
        <f>F14+F15</f>
        <v>0</v>
      </c>
      <c r="G16" s="125">
        <f t="shared" ref="G16:K16" si="3">G14+G15</f>
        <v>849.34999999999991</v>
      </c>
      <c r="H16" s="125">
        <f t="shared" si="3"/>
        <v>1185.9000000000001</v>
      </c>
      <c r="I16" s="125">
        <f>I14+I15</f>
        <v>340</v>
      </c>
      <c r="J16" s="125">
        <f>J14+J15</f>
        <v>3000.79</v>
      </c>
      <c r="K16" s="125">
        <f t="shared" si="3"/>
        <v>13706.09</v>
      </c>
      <c r="L16" s="125">
        <f t="shared" si="0"/>
        <v>16099.726999999984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Clinker!EJ11</f>
        <v>28327.236086935056</v>
      </c>
      <c r="F18" s="74">
        <f>Clinker!EK11</f>
        <v>1106</v>
      </c>
      <c r="G18" s="74">
        <f>F18+'8'!G18</f>
        <v>10561</v>
      </c>
      <c r="H18" s="74">
        <f>F18+'8'!H18</f>
        <v>51061</v>
      </c>
      <c r="I18" s="74">
        <f>Clinker!EL11</f>
        <v>1912.3930001552999</v>
      </c>
      <c r="J18" s="74">
        <f>I18+'8'!J18</f>
        <v>7959.8170009607029</v>
      </c>
      <c r="K18" s="74">
        <f>I18+'8'!K18</f>
        <v>26821.697012846977</v>
      </c>
      <c r="L18" s="74">
        <f>E18+F18-I18-I20</f>
        <v>27520.843086779758</v>
      </c>
      <c r="M18" s="783">
        <f>((I18+I19)/(J40+J46))*100</f>
        <v>76.100000006179854</v>
      </c>
      <c r="N18" s="765"/>
      <c r="O18" s="767"/>
      <c r="P18" s="769"/>
      <c r="Q18" s="770"/>
      <c r="R18" s="20"/>
      <c r="S18" s="190"/>
    </row>
    <row r="19" spans="2:19" ht="45" x14ac:dyDescent="0.25">
      <c r="B19" s="763"/>
      <c r="C19" s="691"/>
      <c r="D19" s="85" t="s">
        <v>75</v>
      </c>
      <c r="E19" s="74">
        <f>Clinker!EO11</f>
        <v>5306.1090080001359</v>
      </c>
      <c r="F19" s="74">
        <f>Clinker!EP11</f>
        <v>0</v>
      </c>
      <c r="G19" s="74">
        <f>F19+'8'!G19</f>
        <v>150.78</v>
      </c>
      <c r="H19" s="74">
        <f>F19+'8'!H19</f>
        <v>13390.660000000003</v>
      </c>
      <c r="I19" s="74">
        <f>Clinker!EQ11</f>
        <v>0</v>
      </c>
      <c r="J19" s="74">
        <f>I19+'8'!J19</f>
        <v>0</v>
      </c>
      <c r="K19" s="74">
        <f>I19+'8'!K19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Clinker!EN11</f>
        <v>0</v>
      </c>
      <c r="G20" s="74">
        <f>F20+'8'!G20</f>
        <v>0</v>
      </c>
      <c r="H20" s="74">
        <f>F20+'8'!H20</f>
        <v>0</v>
      </c>
      <c r="I20" s="77">
        <f>Clinker!EN11</f>
        <v>0</v>
      </c>
      <c r="J20" s="74">
        <f>I20+'8'!J20</f>
        <v>0</v>
      </c>
      <c r="K20" s="74">
        <f>I20+'8'!K20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/>
      <c r="F21" s="77"/>
      <c r="G21" s="74"/>
      <c r="H21" s="74"/>
      <c r="I21" s="77">
        <f>Cement!S11</f>
        <v>526.83999982299997</v>
      </c>
      <c r="J21" s="74">
        <f>I21+'8'!J21</f>
        <v>2065.8477776233749</v>
      </c>
      <c r="K21" s="74">
        <f>I21+'8'!K21</f>
        <v>10697.667770185612</v>
      </c>
      <c r="L21" s="74"/>
      <c r="M21" s="78">
        <f>(I21/(J40+J46))*100</f>
        <v>20.964584155312373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Cement!C11</f>
        <v>6704.0479592041756</v>
      </c>
      <c r="F22" s="77">
        <f>Cement!D11</f>
        <v>0</v>
      </c>
      <c r="G22" s="74">
        <f>F22+'8'!G22</f>
        <v>30.12</v>
      </c>
      <c r="H22" s="74">
        <f>F22+'8'!H22</f>
        <v>2001.02</v>
      </c>
      <c r="I22" s="77">
        <f>Cement!F11</f>
        <v>133.10631579368422</v>
      </c>
      <c r="J22" s="74">
        <f>I22+'8'!J22</f>
        <v>536.25842018778951</v>
      </c>
      <c r="K22" s="74">
        <f>I22+'8'!K22</f>
        <v>2875.4584157392887</v>
      </c>
      <c r="L22" s="74">
        <f>E22+F22-I22</f>
        <v>6570.9416434104915</v>
      </c>
      <c r="M22" s="78">
        <f>(I22/(J40+J46))*100</f>
        <v>5.2967097410936814</v>
      </c>
      <c r="N22" s="78"/>
      <c r="O22" s="767"/>
      <c r="P22" s="87">
        <v>5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614" t="s">
        <v>252</v>
      </c>
      <c r="E23" s="77"/>
      <c r="F23" s="77">
        <f>Cement!I11</f>
        <v>0</v>
      </c>
      <c r="G23" s="74">
        <f>F23+'8'!G23</f>
        <v>0</v>
      </c>
      <c r="H23" s="74">
        <f>F23+'8'!H23</f>
        <v>0</v>
      </c>
      <c r="I23" s="77">
        <f>Cement!J11</f>
        <v>0</v>
      </c>
      <c r="J23" s="74">
        <f>I23+'8'!J23</f>
        <v>0</v>
      </c>
      <c r="K23" s="74">
        <f>I23+'8'!K23</f>
        <v>0</v>
      </c>
      <c r="L23" s="74"/>
      <c r="M23" s="776"/>
      <c r="N23" s="776"/>
      <c r="O23" s="767"/>
      <c r="P23" s="777"/>
      <c r="Q23" s="778"/>
      <c r="R23" s="83"/>
      <c r="S23" s="240"/>
    </row>
    <row r="24" spans="2:19" x14ac:dyDescent="0.25">
      <c r="B24" s="763"/>
      <c r="C24" s="764"/>
      <c r="D24" s="614" t="s">
        <v>253</v>
      </c>
      <c r="E24" s="77"/>
      <c r="F24" s="77">
        <f>Cement!M11</f>
        <v>0</v>
      </c>
      <c r="G24" s="74">
        <f>F24+'8'!G24</f>
        <v>0</v>
      </c>
      <c r="H24" s="74">
        <f>F24+'8'!H24</f>
        <v>0</v>
      </c>
      <c r="I24" s="77">
        <f>Cement!N11</f>
        <v>0</v>
      </c>
      <c r="J24" s="74">
        <f>I24+'8'!J24</f>
        <v>0</v>
      </c>
      <c r="K24" s="74">
        <f>I24+'8'!K24</f>
        <v>0</v>
      </c>
      <c r="L24" s="74"/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40337.393054139364</v>
      </c>
      <c r="F25" s="122">
        <f t="shared" ref="F25:K25" si="4">F18+F19+F21+F22+F23+F24</f>
        <v>1106</v>
      </c>
      <c r="G25" s="122">
        <f t="shared" si="4"/>
        <v>10741.900000000001</v>
      </c>
      <c r="H25" s="122">
        <f t="shared" si="4"/>
        <v>66452.680000000008</v>
      </c>
      <c r="I25" s="122">
        <f t="shared" si="4"/>
        <v>2572.3393157719838</v>
      </c>
      <c r="J25" s="122">
        <f t="shared" si="4"/>
        <v>10561.923198771867</v>
      </c>
      <c r="K25" s="122">
        <f t="shared" si="4"/>
        <v>57328.923198771874</v>
      </c>
      <c r="L25" s="122">
        <f>L18+L19+L21+L22+L23+L24</f>
        <v>39397.893738190389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Production2!C11</f>
        <v>18.88</v>
      </c>
      <c r="G30" s="75">
        <f>F30+'8'!G30</f>
        <v>146.32</v>
      </c>
      <c r="H30" s="75">
        <f>F30+'8'!H30</f>
        <v>578.80000000000018</v>
      </c>
      <c r="I30" s="74">
        <f>'Mines (2)'!C11+'Mines (2)'!H11+'Mines (2)'!V11+'Mines (2)'!Z11+'Mines (2)'!AD11</f>
        <v>22538.12392682123</v>
      </c>
      <c r="J30" s="74">
        <f>Production2!D11</f>
        <v>2787.6</v>
      </c>
      <c r="K30" s="74">
        <f>J30+'8'!K30</f>
        <v>28810.980000000003</v>
      </c>
      <c r="L30" s="74">
        <f>J30+'8'!L30</f>
        <v>93796.680000000022</v>
      </c>
      <c r="M30" s="74">
        <f>I9+I21</f>
        <v>2223.8399998229997</v>
      </c>
      <c r="N30" s="458">
        <f>M30+'8'!N30</f>
        <v>18280.847777623378</v>
      </c>
      <c r="O30" s="74">
        <f>M30+'8'!O30</f>
        <v>93799.667770185624</v>
      </c>
      <c r="P30" s="74">
        <f>I30+J30-M30</f>
        <v>23101.883926998227</v>
      </c>
      <c r="Q30" s="93">
        <f>J30/F30</f>
        <v>147.64830508474577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Production2!G11</f>
        <v>15.03</v>
      </c>
      <c r="G31" s="75">
        <f>F31+'8'!G31</f>
        <v>138.97</v>
      </c>
      <c r="H31" s="75">
        <f>F31+'8'!H31</f>
        <v>632.18999999999994</v>
      </c>
      <c r="I31" s="724">
        <f>Production2!H11</f>
        <v>952.05001683751971</v>
      </c>
      <c r="J31" s="78">
        <f>Production2!N11</f>
        <v>1634.76</v>
      </c>
      <c r="K31" s="74">
        <f>J31+'8'!K31</f>
        <v>15038.58</v>
      </c>
      <c r="L31" s="74">
        <f>J31+'8'!L31</f>
        <v>73895.73000000001</v>
      </c>
      <c r="M31" s="724">
        <f>Production2!K11</f>
        <v>1714.3</v>
      </c>
      <c r="N31" s="724">
        <f>M31+'8'!N31</f>
        <v>16369.55</v>
      </c>
      <c r="O31" s="724">
        <f>M31+'8'!O31</f>
        <v>79144.55</v>
      </c>
      <c r="P31" s="724">
        <f>I31+J31+J32-M31</f>
        <v>872.51001683751952</v>
      </c>
      <c r="Q31" s="96">
        <f t="shared" ref="Q31:Q46" si="5">J31/F31</f>
        <v>108.76646706586827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Production2!P11</f>
        <v>0</v>
      </c>
      <c r="G32" s="75">
        <f>F32+'8'!G32</f>
        <v>57.76</v>
      </c>
      <c r="H32" s="75">
        <f>F32+'8'!H32</f>
        <v>464.04999999999995</v>
      </c>
      <c r="I32" s="712"/>
      <c r="J32" s="78">
        <f>Production2!Q11</f>
        <v>0</v>
      </c>
      <c r="K32" s="74">
        <f>J32+'8'!K32</f>
        <v>485.36</v>
      </c>
      <c r="L32" s="74">
        <f>J32+'8'!L32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Production2!S11</f>
        <v>13.83</v>
      </c>
      <c r="G33" s="75">
        <f>F33+'8'!G33</f>
        <v>124.92999999999999</v>
      </c>
      <c r="H33" s="75">
        <f>F33+'8'!H33</f>
        <v>571.30000000000007</v>
      </c>
      <c r="I33" s="77">
        <f>Production2!T11</f>
        <v>45.509999999999906</v>
      </c>
      <c r="J33" s="77">
        <f>Production2!U11</f>
        <v>189</v>
      </c>
      <c r="K33" s="74">
        <f>J33+'8'!K33</f>
        <v>1705.3</v>
      </c>
      <c r="L33" s="74">
        <f>J33+'8'!L33</f>
        <v>7858</v>
      </c>
      <c r="M33" s="77">
        <f>Production2!V11</f>
        <v>202</v>
      </c>
      <c r="N33" s="74">
        <f>M33+'8'!N33</f>
        <v>1713</v>
      </c>
      <c r="O33" s="74">
        <f>M33+'8'!O33</f>
        <v>7841</v>
      </c>
      <c r="P33" s="74">
        <f t="shared" ref="P33" si="6">I33+J33-M33</f>
        <v>32.509999999999906</v>
      </c>
      <c r="Q33" s="96">
        <f t="shared" si="5"/>
        <v>13.66594360086768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Production2!Y11</f>
        <v>22.45</v>
      </c>
      <c r="G34" s="75">
        <f>F34+'8'!G34</f>
        <v>184.78</v>
      </c>
      <c r="H34" s="75">
        <f>F34+'8'!H34</f>
        <v>803.05000000000007</v>
      </c>
      <c r="I34" s="77">
        <f>Clinker!EJ11</f>
        <v>28327.236086935056</v>
      </c>
      <c r="J34" s="77">
        <f>Clinker!EK11</f>
        <v>1106</v>
      </c>
      <c r="K34" s="74">
        <f>J34+'8'!K34</f>
        <v>10561</v>
      </c>
      <c r="L34" s="74">
        <f>J34+'8'!L34</f>
        <v>51061</v>
      </c>
      <c r="M34" s="77">
        <f>Clinker!EL11</f>
        <v>1912.3930001552999</v>
      </c>
      <c r="N34" s="74">
        <f>M34+'8'!N34</f>
        <v>7959.8170009607029</v>
      </c>
      <c r="O34" s="74">
        <f>M34+'8'!O34</f>
        <v>26821.697012846977</v>
      </c>
      <c r="P34" s="74">
        <f>I34+J34-M34-I20</f>
        <v>27520.843086779758</v>
      </c>
      <c r="Q34" s="96">
        <f t="shared" si="5"/>
        <v>49.265033407572382</v>
      </c>
      <c r="R34" s="94"/>
      <c r="S34" s="94"/>
    </row>
    <row r="35" spans="2:19" x14ac:dyDescent="0.25">
      <c r="B35" s="687">
        <v>5</v>
      </c>
      <c r="C35" s="690" t="s">
        <v>146</v>
      </c>
      <c r="D35" s="80" t="s">
        <v>265</v>
      </c>
      <c r="E35" s="97">
        <v>90</v>
      </c>
      <c r="F35" s="78">
        <f>Production2!AE11</f>
        <v>0</v>
      </c>
      <c r="G35" s="75">
        <f>F35+'8'!G35</f>
        <v>3.6</v>
      </c>
      <c r="H35" s="75">
        <f>F35+'8'!H35</f>
        <v>12.6</v>
      </c>
      <c r="I35" s="77">
        <f>Production2!BJ11</f>
        <v>331.79999999999995</v>
      </c>
      <c r="J35" s="77">
        <f>Production2!AF11</f>
        <v>0</v>
      </c>
      <c r="K35" s="74">
        <f>J35+'8'!K35</f>
        <v>200</v>
      </c>
      <c r="L35" s="74">
        <f>J35+'8'!L35</f>
        <v>774</v>
      </c>
      <c r="M35" s="77">
        <f>Production2!BL11</f>
        <v>140.5</v>
      </c>
      <c r="N35" s="74">
        <f>M35+'8'!N35</f>
        <v>420.5</v>
      </c>
      <c r="O35" s="74">
        <f>M35+'8'!O35</f>
        <v>2815</v>
      </c>
      <c r="P35" s="74">
        <f>I35+J35+J41-M35-F59</f>
        <v>191.29999999999995</v>
      </c>
      <c r="Q35" s="96" t="e">
        <f t="shared" si="5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Production2!AB11</f>
        <v>15.93</v>
      </c>
      <c r="G36" s="654">
        <f>F36+'8'!G36</f>
        <v>56.019999999999996</v>
      </c>
      <c r="H36" s="654">
        <f>F36+'8'!H36</f>
        <v>262.35000000000002</v>
      </c>
      <c r="I36" s="77">
        <f>Production2!BF11</f>
        <v>2032.55799999998</v>
      </c>
      <c r="J36" s="77">
        <f>Production2!AC11</f>
        <v>1092</v>
      </c>
      <c r="K36" s="74">
        <f>J36+'8'!K36</f>
        <v>3417</v>
      </c>
      <c r="L36" s="74">
        <f>J36+'8'!L36</f>
        <v>15846</v>
      </c>
      <c r="M36" s="77">
        <f>Production2!BH11</f>
        <v>1447.9</v>
      </c>
      <c r="N36" s="74">
        <f>M36+'8'!N36</f>
        <v>8199.6299999999992</v>
      </c>
      <c r="O36" s="74">
        <f>M36+'8'!O36</f>
        <v>43367.9</v>
      </c>
      <c r="P36" s="74">
        <f>I36+J36+J42-M36-F57</f>
        <v>2476.6579999999799</v>
      </c>
      <c r="Q36" s="96">
        <f t="shared" si="5"/>
        <v>68.549905838041425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Production2!AH11</f>
        <v>0</v>
      </c>
      <c r="G37" s="654">
        <f>F37+'8'!G37</f>
        <v>0</v>
      </c>
      <c r="H37" s="654">
        <f>F37+'8'!H37</f>
        <v>0</v>
      </c>
      <c r="I37" s="77">
        <f>Production2!BN11</f>
        <v>2.0900000000008498</v>
      </c>
      <c r="J37" s="77">
        <f>Production2!AI11</f>
        <v>0</v>
      </c>
      <c r="K37" s="74">
        <f>J37+'8'!K37</f>
        <v>0</v>
      </c>
      <c r="L37" s="74">
        <f>J37+'8'!L37</f>
        <v>0</v>
      </c>
      <c r="M37" s="77">
        <f>Production2!BP11</f>
        <v>0</v>
      </c>
      <c r="N37" s="74">
        <f>M37+'8'!N37</f>
        <v>0</v>
      </c>
      <c r="O37" s="74">
        <f>M37+'8'!O37</f>
        <v>-0.15</v>
      </c>
      <c r="P37" s="74">
        <f>I37+J37+J43-M37-F58</f>
        <v>2.0900000000008498</v>
      </c>
      <c r="Q37" s="96" t="e">
        <f t="shared" si="5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Production2!AK11</f>
        <v>3</v>
      </c>
      <c r="G38" s="654">
        <f>F38+'8'!G38</f>
        <v>3</v>
      </c>
      <c r="H38" s="654">
        <f>F38+'8'!H38</f>
        <v>3</v>
      </c>
      <c r="I38" s="195">
        <f>Production2!BR11</f>
        <v>111.30000000000001</v>
      </c>
      <c r="J38" s="195">
        <f>Production2!AL11</f>
        <v>180</v>
      </c>
      <c r="K38" s="455">
        <f>J38+'8'!K38</f>
        <v>180</v>
      </c>
      <c r="L38" s="455">
        <f>J38+'8'!L38</f>
        <v>180</v>
      </c>
      <c r="M38" s="195">
        <f>Production2!BT11</f>
        <v>120</v>
      </c>
      <c r="N38" s="455">
        <f>M38+'8'!N38</f>
        <v>360</v>
      </c>
      <c r="O38" s="455">
        <f>M38+'8'!O38</f>
        <v>2207</v>
      </c>
      <c r="P38" s="74">
        <f>I38+J38+J44-M38-F60</f>
        <v>171.3</v>
      </c>
      <c r="Q38" s="96">
        <f t="shared" si="5"/>
        <v>60</v>
      </c>
      <c r="R38" s="94"/>
      <c r="S38" s="94"/>
    </row>
    <row r="39" spans="2:19" x14ac:dyDescent="0.25">
      <c r="B39" s="688"/>
      <c r="C39" s="691"/>
      <c r="D39" s="450" t="s">
        <v>304</v>
      </c>
      <c r="E39" s="457">
        <v>78</v>
      </c>
      <c r="F39" s="452">
        <f>Production2!AN11</f>
        <v>0</v>
      </c>
      <c r="G39" s="654">
        <f>F39+'8'!G39</f>
        <v>10.8</v>
      </c>
      <c r="H39" s="654">
        <f>F39+'8'!H39</f>
        <v>51.45</v>
      </c>
      <c r="I39" s="454">
        <f>Production2!BV11</f>
        <v>972.5300000000002</v>
      </c>
      <c r="J39" s="454">
        <f>Production2!AO11</f>
        <v>0</v>
      </c>
      <c r="K39" s="455">
        <f>J39+'8'!K39</f>
        <v>615</v>
      </c>
      <c r="L39" s="455">
        <f>J39+'8'!L39</f>
        <v>3147</v>
      </c>
      <c r="M39" s="77">
        <f>Production2!BX11</f>
        <v>700.42</v>
      </c>
      <c r="N39" s="455">
        <f>M39+'8'!N39</f>
        <v>1946.7199999999998</v>
      </c>
      <c r="O39" s="455">
        <f>M39+'8'!O39</f>
        <v>7368.6</v>
      </c>
      <c r="P39" s="455">
        <f>I39+J39+J45-M39</f>
        <v>713.11000000000024</v>
      </c>
      <c r="Q39" s="96" t="e">
        <f t="shared" si="5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18.93</v>
      </c>
      <c r="G40" s="132">
        <f t="shared" ref="G40:H40" si="7">G35+G36+G37+G38+G39</f>
        <v>73.42</v>
      </c>
      <c r="H40" s="132">
        <f t="shared" si="7"/>
        <v>329.40000000000003</v>
      </c>
      <c r="I40" s="122">
        <f>I35+I36+I37+I38+I39</f>
        <v>3450.2779999999816</v>
      </c>
      <c r="J40" s="451">
        <f t="shared" ref="J40:P40" si="8">J35+J36+J37+J38+J39</f>
        <v>1272</v>
      </c>
      <c r="K40" s="451">
        <f t="shared" si="8"/>
        <v>4412</v>
      </c>
      <c r="L40" s="451">
        <f t="shared" si="8"/>
        <v>19947</v>
      </c>
      <c r="M40" s="451">
        <f t="shared" si="8"/>
        <v>2408.8200000000002</v>
      </c>
      <c r="N40" s="451">
        <f t="shared" si="8"/>
        <v>10926.849999999999</v>
      </c>
      <c r="O40" s="451">
        <f t="shared" si="8"/>
        <v>55758.35</v>
      </c>
      <c r="P40" s="451">
        <f t="shared" si="8"/>
        <v>3554.457999999981</v>
      </c>
      <c r="Q40" s="123">
        <f t="shared" si="5"/>
        <v>67.19492868462757</v>
      </c>
      <c r="R40" s="94"/>
      <c r="S40" s="94"/>
    </row>
    <row r="41" spans="2:19" x14ac:dyDescent="0.25">
      <c r="B41" s="687">
        <v>5</v>
      </c>
      <c r="C41" s="690" t="s">
        <v>268</v>
      </c>
      <c r="D41" s="80" t="s">
        <v>265</v>
      </c>
      <c r="E41" s="97">
        <v>75</v>
      </c>
      <c r="F41" s="78">
        <f>Production2!AT11</f>
        <v>0</v>
      </c>
      <c r="G41" s="75">
        <f>F41+'8'!G41</f>
        <v>0</v>
      </c>
      <c r="H41" s="75">
        <f>F41+'8'!H41</f>
        <v>33.099999999999994</v>
      </c>
      <c r="I41" s="710"/>
      <c r="J41" s="77">
        <f>Production2!AU11</f>
        <v>0</v>
      </c>
      <c r="K41" s="74">
        <f>J41+'8'!K41</f>
        <v>0</v>
      </c>
      <c r="L41" s="74">
        <f>J41+'8'!L41</f>
        <v>2000</v>
      </c>
      <c r="M41" s="713"/>
      <c r="N41" s="714"/>
      <c r="O41" s="714"/>
      <c r="P41" s="715"/>
      <c r="Q41" s="96" t="e">
        <f t="shared" si="5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Production2!AQ11</f>
        <v>14.4</v>
      </c>
      <c r="G42" s="75">
        <f>F42+'8'!G42</f>
        <v>77.56</v>
      </c>
      <c r="H42" s="75">
        <f>F42+'8'!H42</f>
        <v>493.55999999999995</v>
      </c>
      <c r="I42" s="711"/>
      <c r="J42" s="77">
        <f>Production2!AR11</f>
        <v>800</v>
      </c>
      <c r="K42" s="74">
        <f>J42+'8'!K42</f>
        <v>4580</v>
      </c>
      <c r="L42" s="74">
        <f>J42+'8'!L42</f>
        <v>28720</v>
      </c>
      <c r="M42" s="716"/>
      <c r="N42" s="867"/>
      <c r="O42" s="867"/>
      <c r="P42" s="718"/>
      <c r="Q42" s="96">
        <f t="shared" si="5"/>
        <v>55.555555555555557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Production2!AW11</f>
        <v>0</v>
      </c>
      <c r="G43" s="75">
        <f>F43+'8'!G43</f>
        <v>0</v>
      </c>
      <c r="H43" s="75">
        <f>F43+'8'!H43</f>
        <v>0</v>
      </c>
      <c r="I43" s="711"/>
      <c r="J43" s="77">
        <f>Production2!AX11</f>
        <v>0</v>
      </c>
      <c r="K43" s="74">
        <f>J43+'8'!K43</f>
        <v>0</v>
      </c>
      <c r="L43" s="74">
        <f>J43+'8'!L43</f>
        <v>0</v>
      </c>
      <c r="M43" s="716"/>
      <c r="N43" s="867"/>
      <c r="O43" s="867"/>
      <c r="P43" s="718"/>
      <c r="Q43" s="96" t="e">
        <f t="shared" si="5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Production2!AZ11</f>
        <v>0</v>
      </c>
      <c r="G44" s="453">
        <f>F44+'8'!G44</f>
        <v>3</v>
      </c>
      <c r="H44" s="453">
        <f>F44+'8'!H44</f>
        <v>35.880000000000003</v>
      </c>
      <c r="I44" s="712"/>
      <c r="J44" s="195">
        <f>Production2!BA11</f>
        <v>0</v>
      </c>
      <c r="K44" s="455">
        <f>J44+'8'!K44</f>
        <v>165</v>
      </c>
      <c r="L44" s="455">
        <f>J44+'8'!L44</f>
        <v>1985</v>
      </c>
      <c r="M44" s="716"/>
      <c r="N44" s="867"/>
      <c r="O44" s="867"/>
      <c r="P44" s="718"/>
      <c r="Q44" s="96" t="e">
        <f t="shared" si="5"/>
        <v>#DIV/0!</v>
      </c>
      <c r="R44" s="94"/>
      <c r="S44" s="94"/>
    </row>
    <row r="45" spans="2:19" x14ac:dyDescent="0.25">
      <c r="B45" s="688"/>
      <c r="C45" s="691"/>
      <c r="D45" s="450" t="s">
        <v>304</v>
      </c>
      <c r="E45" s="457">
        <v>70</v>
      </c>
      <c r="F45" s="452">
        <f>Production2!BC11</f>
        <v>7.47</v>
      </c>
      <c r="G45" s="453">
        <f>F45+'8'!G45</f>
        <v>21.45</v>
      </c>
      <c r="H45" s="453">
        <f>F45+'8'!H45</f>
        <v>76.42</v>
      </c>
      <c r="I45" s="456"/>
      <c r="J45" s="454">
        <f>Production2!BD11</f>
        <v>441</v>
      </c>
      <c r="K45" s="455">
        <f>J45+'8'!K45</f>
        <v>1289</v>
      </c>
      <c r="L45" s="455">
        <f>J45+'8'!L45</f>
        <v>4561</v>
      </c>
      <c r="M45" s="719"/>
      <c r="N45" s="720"/>
      <c r="O45" s="720"/>
      <c r="P45" s="721"/>
      <c r="Q45" s="96">
        <f t="shared" si="5"/>
        <v>59.036144578313255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21.87</v>
      </c>
      <c r="G46" s="132">
        <f t="shared" ref="G46:H46" si="9">G41+G42+G43+G44+G45</f>
        <v>102.01</v>
      </c>
      <c r="H46" s="132">
        <f t="shared" si="9"/>
        <v>638.95999999999992</v>
      </c>
      <c r="I46" s="132"/>
      <c r="J46" s="122">
        <f>J41+J42+J43+J44+J45</f>
        <v>1241</v>
      </c>
      <c r="K46" s="451">
        <f t="shared" ref="K46:L46" si="10">K41+K42+K43+K44+K45</f>
        <v>6034</v>
      </c>
      <c r="L46" s="451">
        <f t="shared" si="10"/>
        <v>37266</v>
      </c>
      <c r="M46" s="451"/>
      <c r="N46" s="451"/>
      <c r="O46" s="451"/>
      <c r="P46" s="451"/>
      <c r="Q46" s="123">
        <f t="shared" si="5"/>
        <v>56.744398719707362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0.96104175634954803</v>
      </c>
      <c r="F50" s="99">
        <f>F53/(J31+J32)</f>
        <v>24.593824169908732</v>
      </c>
      <c r="G50" s="99">
        <v>0</v>
      </c>
      <c r="H50" s="99">
        <f>H53/J34</f>
        <v>40.109403254972875</v>
      </c>
      <c r="I50" s="99">
        <f>I53/J33</f>
        <v>63.402116402116405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18.264014466546115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1.4745821523735831</v>
      </c>
      <c r="F51" s="102">
        <f>F50*1.55</f>
        <v>38.120427463358538</v>
      </c>
      <c r="G51" s="102">
        <f>G50*1.55</f>
        <v>0</v>
      </c>
      <c r="H51" s="102">
        <f>H50</f>
        <v>40.109403254972875</v>
      </c>
      <c r="I51" s="102">
        <f>I50*(Q50/100)</f>
        <v>11.579771711778948</v>
      </c>
      <c r="J51" s="102"/>
      <c r="K51" s="102"/>
      <c r="L51" s="102"/>
      <c r="M51" s="96"/>
      <c r="N51" s="307">
        <f>SUM(E51:I51)</f>
        <v>91.284184582483945</v>
      </c>
      <c r="O51" s="728" t="s">
        <v>277</v>
      </c>
      <c r="P51" s="728"/>
      <c r="Q51" s="104">
        <v>4583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1.1221570180474238</v>
      </c>
      <c r="F52" s="102">
        <f>F51*M18/100</f>
        <v>29.009645301971638</v>
      </c>
      <c r="G52" s="102">
        <f>G51*M18/100</f>
        <v>0</v>
      </c>
      <c r="H52" s="102">
        <f>H51*M18/100</f>
        <v>30.523255879513062</v>
      </c>
      <c r="I52" s="102">
        <f>I51*M18/100</f>
        <v>8.8122062733793936</v>
      </c>
      <c r="J52" s="99">
        <f>J53/(J40+J46)</f>
        <v>42.010744130521289</v>
      </c>
      <c r="K52" s="99">
        <f>K53/(J46+J40)</f>
        <v>0.7286112216474333</v>
      </c>
      <c r="L52" s="99">
        <f>L53/(M40)</f>
        <v>2.7112860238623058</v>
      </c>
      <c r="M52" s="96">
        <f>M53/(J46+J40)</f>
        <v>1.9160366096299244</v>
      </c>
      <c r="N52" s="307">
        <f>SUM(E52:M52)</f>
        <v>116.83394245857245</v>
      </c>
      <c r="O52" s="728" t="s">
        <v>279</v>
      </c>
      <c r="P52" s="728"/>
      <c r="Q52" s="104">
        <f>Q51*Q50/100</f>
        <v>837.03978300180836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unit'!B11</f>
        <v>2679</v>
      </c>
      <c r="F53" s="118">
        <f>'Daily unit'!C11</f>
        <v>40205</v>
      </c>
      <c r="G53" s="118">
        <f>'Daily unit'!D11</f>
        <v>0</v>
      </c>
      <c r="H53" s="118">
        <f>'Daily unit'!E11</f>
        <v>44361</v>
      </c>
      <c r="I53" s="118">
        <f>'Daily unit'!F11</f>
        <v>11983</v>
      </c>
      <c r="J53" s="118">
        <f>'Daily unit'!G11</f>
        <v>105573</v>
      </c>
      <c r="K53" s="118">
        <f>'Daily unit'!H11</f>
        <v>1831</v>
      </c>
      <c r="L53" s="118">
        <f>'Daily unit'!I11</f>
        <v>6531</v>
      </c>
      <c r="M53" s="119">
        <f>'Daily unit'!J11</f>
        <v>4815</v>
      </c>
      <c r="N53" s="318">
        <f>SUM(E53:M53)</f>
        <v>217978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58">
        <v>1</v>
      </c>
      <c r="C57" s="863" t="s">
        <v>285</v>
      </c>
      <c r="D57" s="813"/>
      <c r="E57" s="80">
        <v>42.5</v>
      </c>
      <c r="F57" s="53">
        <f>'Internal use cement'!F11</f>
        <v>0</v>
      </c>
      <c r="G57" s="53">
        <f>F57+'8'!G57</f>
        <v>0</v>
      </c>
      <c r="H57" s="104">
        <f>F57+'8'!H57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39"/>
      <c r="C58" s="840"/>
      <c r="D58" s="815"/>
      <c r="E58" s="80" t="s">
        <v>195</v>
      </c>
      <c r="F58" s="53">
        <f>'Internal use cement'!Q11</f>
        <v>0</v>
      </c>
      <c r="G58" s="53">
        <f>F58+'8'!G58</f>
        <v>0</v>
      </c>
      <c r="H58" s="104">
        <f>F58+'8'!H58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39"/>
      <c r="C59" s="840"/>
      <c r="D59" s="815"/>
      <c r="E59" s="80">
        <v>32.5</v>
      </c>
      <c r="F59" s="53">
        <f>'Internal use cement'!AB11</f>
        <v>0</v>
      </c>
      <c r="G59" s="53">
        <f>F59+'8'!G59</f>
        <v>0</v>
      </c>
      <c r="H59" s="104">
        <f>F59+'8'!H59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93"/>
      <c r="C60" s="694"/>
      <c r="D60" s="817"/>
      <c r="E60" s="112" t="s">
        <v>175</v>
      </c>
      <c r="F60" s="113">
        <f>'Internal use cement'!AJ11</f>
        <v>0</v>
      </c>
      <c r="G60" s="220">
        <f>F60+'8'!G60</f>
        <v>0</v>
      </c>
      <c r="H60" s="114">
        <f>F60+'8'!H60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B14:B16"/>
    <mergeCell ref="C14:C16"/>
    <mergeCell ref="M25:N25"/>
    <mergeCell ref="C21:D21"/>
    <mergeCell ref="M18:M19"/>
    <mergeCell ref="C17:Q17"/>
    <mergeCell ref="B18:B20"/>
    <mergeCell ref="C18:C20"/>
    <mergeCell ref="N18:N20"/>
    <mergeCell ref="C22:D22"/>
    <mergeCell ref="B23:B24"/>
    <mergeCell ref="C23:C24"/>
    <mergeCell ref="M23:N24"/>
    <mergeCell ref="P23:Q25"/>
    <mergeCell ref="C25:D25"/>
    <mergeCell ref="C8:Q8"/>
    <mergeCell ref="C11:D11"/>
    <mergeCell ref="C12:D12"/>
    <mergeCell ref="O18:O25"/>
    <mergeCell ref="C13:D13"/>
    <mergeCell ref="P13:Q13"/>
    <mergeCell ref="O9:O16"/>
    <mergeCell ref="C10:D10"/>
    <mergeCell ref="P18:Q20"/>
    <mergeCell ref="Q21:Q22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30:D30"/>
    <mergeCell ref="C31:D31"/>
    <mergeCell ref="M28:O28"/>
    <mergeCell ref="P28:P29"/>
    <mergeCell ref="M31:M32"/>
    <mergeCell ref="N31:N32"/>
    <mergeCell ref="I31:I32"/>
    <mergeCell ref="O31:O32"/>
    <mergeCell ref="P31:P32"/>
    <mergeCell ref="C32:D32"/>
    <mergeCell ref="B26:Q26"/>
    <mergeCell ref="B27:Q27"/>
    <mergeCell ref="B28:B29"/>
    <mergeCell ref="C28:D29"/>
    <mergeCell ref="Q28:Q29"/>
    <mergeCell ref="F28:H28"/>
    <mergeCell ref="I28:I29"/>
    <mergeCell ref="J28:L28"/>
    <mergeCell ref="C33:D33"/>
    <mergeCell ref="C34:D34"/>
    <mergeCell ref="M41:P45"/>
    <mergeCell ref="C57:D60"/>
    <mergeCell ref="I55:Q60"/>
    <mergeCell ref="C51:D51"/>
    <mergeCell ref="B55:H55"/>
    <mergeCell ref="C56:E56"/>
    <mergeCell ref="B54:Q54"/>
    <mergeCell ref="B57:B60"/>
    <mergeCell ref="O51:P51"/>
    <mergeCell ref="C53:D53"/>
    <mergeCell ref="O52:P52"/>
    <mergeCell ref="C52:D52"/>
    <mergeCell ref="O49:P49"/>
    <mergeCell ref="O50:P50"/>
    <mergeCell ref="C50:D50"/>
    <mergeCell ref="B47:Q47"/>
    <mergeCell ref="B35:B40"/>
    <mergeCell ref="O48:Q48"/>
    <mergeCell ref="C35:C40"/>
    <mergeCell ref="C49:D49"/>
    <mergeCell ref="B48:N48"/>
    <mergeCell ref="C41:C46"/>
    <mergeCell ref="I41:I44"/>
    <mergeCell ref="B41:B46"/>
  </mergeCells>
  <pageMargins left="0" right="0" top="0.75" bottom="0.75" header="0.3" footer="0.3"/>
  <pageSetup paperSize="9" scale="5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/>
  <dimension ref="B2:U154"/>
  <sheetViews>
    <sheetView zoomScale="90" zoomScaleNormal="90" workbookViewId="0">
      <pane xSplit="4" ySplit="1" topLeftCell="E31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329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 t="s">
        <v>291</v>
      </c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'9'!L9</f>
        <v>23101.883926998231</v>
      </c>
      <c r="F9" s="74">
        <f>Production2!D12</f>
        <v>2756.9199999999992</v>
      </c>
      <c r="G9" s="74">
        <f>F9+'9'!G9</f>
        <v>31567.9</v>
      </c>
      <c r="H9" s="74">
        <f>F9+'9'!H9</f>
        <v>96553.60000000002</v>
      </c>
      <c r="I9" s="74">
        <f>Production2!E12</f>
        <v>1861</v>
      </c>
      <c r="J9" s="74">
        <f>I9+'9'!J9</f>
        <v>18076</v>
      </c>
      <c r="K9" s="74">
        <f>I9+'9'!K9</f>
        <v>84963</v>
      </c>
      <c r="L9" s="74">
        <f>E9+F9-I9-I21</f>
        <v>23660.603926998232</v>
      </c>
      <c r="M9" s="75">
        <f>I9</f>
        <v>1861</v>
      </c>
      <c r="N9" s="75">
        <f>(I9/I13)*100</f>
        <v>93.658782083543031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(2)'!L12</f>
        <v>2342.92</v>
      </c>
      <c r="F10" s="77">
        <f>'Mines (2)'!M12</f>
        <v>241.34</v>
      </c>
      <c r="G10" s="74">
        <f>F10+'9'!G10</f>
        <v>2119.7600000000007</v>
      </c>
      <c r="H10" s="74">
        <f>F10+'9'!H10</f>
        <v>3471.2200000000003</v>
      </c>
      <c r="I10" s="77">
        <f>'Mines (2)'!N12</f>
        <v>73</v>
      </c>
      <c r="J10" s="74">
        <f>I10+'9'!J10</f>
        <v>555</v>
      </c>
      <c r="K10" s="74">
        <f>I10+'9'!K10</f>
        <v>1084</v>
      </c>
      <c r="L10" s="77">
        <f t="shared" ref="L10:L16" si="0">E10+F10-I10</f>
        <v>2511.2600000000002</v>
      </c>
      <c r="M10" s="75">
        <f t="shared" ref="M10:M12" si="1">I10</f>
        <v>73</v>
      </c>
      <c r="N10" s="75">
        <f>(I10/I13)*100</f>
        <v>3.6738802214393558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Clinker!C12</f>
        <v>3841.98</v>
      </c>
      <c r="F11" s="77">
        <f>Clinker!D12</f>
        <v>0</v>
      </c>
      <c r="G11" s="621">
        <f>F11+'9'!G11</f>
        <v>213.64000000000004</v>
      </c>
      <c r="H11" s="74">
        <f>F11+'9'!H11</f>
        <v>283.34000000000003</v>
      </c>
      <c r="I11" s="77">
        <f>Clinker!E12</f>
        <v>50</v>
      </c>
      <c r="J11" s="74">
        <f>I11+'9'!J11</f>
        <v>420</v>
      </c>
      <c r="K11" s="74">
        <f>I11+'9'!K11</f>
        <v>1857</v>
      </c>
      <c r="L11" s="77">
        <f t="shared" si="0"/>
        <v>3791.98</v>
      </c>
      <c r="M11" s="75">
        <f t="shared" si="1"/>
        <v>50</v>
      </c>
      <c r="N11" s="75">
        <f>(I11/I13)*100</f>
        <v>2.5163563160543534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(2)'!Q12</f>
        <v>22.039999999999964</v>
      </c>
      <c r="F12" s="77">
        <f>'Mines (2)'!R12</f>
        <v>0</v>
      </c>
      <c r="G12" s="74">
        <f>F12+'9'!G12</f>
        <v>0</v>
      </c>
      <c r="H12" s="74">
        <f>F12+'9'!H12</f>
        <v>137.76</v>
      </c>
      <c r="I12" s="77">
        <f>'Mines (2)'!S12</f>
        <v>3</v>
      </c>
      <c r="J12" s="74">
        <f>I12+'9'!J12</f>
        <v>172</v>
      </c>
      <c r="K12" s="74">
        <f>I12+'9'!K12</f>
        <v>719</v>
      </c>
      <c r="L12" s="77">
        <f t="shared" si="0"/>
        <v>19.039999999999964</v>
      </c>
      <c r="M12" s="75">
        <f t="shared" si="1"/>
        <v>3</v>
      </c>
      <c r="N12" s="75">
        <f>(I12/I13)*100</f>
        <v>0.15098137896326119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29308.823926998233</v>
      </c>
      <c r="F13" s="127">
        <f t="shared" si="2"/>
        <v>2998.2599999999993</v>
      </c>
      <c r="G13" s="127">
        <f t="shared" si="2"/>
        <v>33901.300000000003</v>
      </c>
      <c r="H13" s="127">
        <f t="shared" si="2"/>
        <v>100445.92000000001</v>
      </c>
      <c r="I13" s="127">
        <f t="shared" si="2"/>
        <v>1987</v>
      </c>
      <c r="J13" s="127">
        <f t="shared" si="2"/>
        <v>19223</v>
      </c>
      <c r="K13" s="127">
        <f t="shared" si="2"/>
        <v>88623</v>
      </c>
      <c r="L13" s="127">
        <f t="shared" si="0"/>
        <v>30320.083926998232</v>
      </c>
      <c r="M13" s="128">
        <f>SUM(M9:M12)</f>
        <v>1987</v>
      </c>
      <c r="N13" s="128">
        <f>SUM(N9:N12)</f>
        <v>100.00000000000001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Clinker!EB12</f>
        <v>5957.6769999999906</v>
      </c>
      <c r="F14" s="77">
        <f>Clinker!EC12</f>
        <v>0</v>
      </c>
      <c r="G14" s="77">
        <f>F14+'9'!G14</f>
        <v>0</v>
      </c>
      <c r="H14" s="77">
        <f>F14+'9'!H14</f>
        <v>181.5</v>
      </c>
      <c r="I14" s="77">
        <f>Clinker!ED12</f>
        <v>230</v>
      </c>
      <c r="J14" s="77">
        <f>I14+'9'!J14</f>
        <v>2124.79</v>
      </c>
      <c r="K14" s="77">
        <f>I14+'9'!K14</f>
        <v>8961.09</v>
      </c>
      <c r="L14" s="77">
        <f>E14+F14-I14-Clinker!N12-Clinker!Z12-Clinker!AS12-Clinker!AX12-Clinker!BC12-Clinker!BH12-Clinker!BW12-Clinker!BR12</f>
        <v>5727.6769999999906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Clinker!EF12</f>
        <v>10142.049999999996</v>
      </c>
      <c r="F15" s="77">
        <f>Clinker!EG12</f>
        <v>0</v>
      </c>
      <c r="G15" s="77">
        <f>F15+'9'!G15</f>
        <v>849.34999999999991</v>
      </c>
      <c r="H15" s="77">
        <f>F15+'9'!H15</f>
        <v>1004.4000000000001</v>
      </c>
      <c r="I15" s="77">
        <f>Clinker!EH12</f>
        <v>140</v>
      </c>
      <c r="J15" s="77">
        <f>I15+'9'!J15</f>
        <v>1246</v>
      </c>
      <c r="K15" s="77">
        <f>I15+'9'!K15</f>
        <v>5115</v>
      </c>
      <c r="L15" s="77">
        <f>E15+F15-Clinker!AE12-Clinker!AJ12-Clinker!CL12-Clinker!CQ12-Clinker!CG12</f>
        <v>10002.049999999996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16099.726999999986</v>
      </c>
      <c r="F16" s="125">
        <f>F14+F15</f>
        <v>0</v>
      </c>
      <c r="G16" s="125">
        <f t="shared" ref="G16:K16" si="3">G14+G15</f>
        <v>849.34999999999991</v>
      </c>
      <c r="H16" s="125">
        <f t="shared" si="3"/>
        <v>1185.9000000000001</v>
      </c>
      <c r="I16" s="125">
        <f>I14+I15</f>
        <v>370</v>
      </c>
      <c r="J16" s="125">
        <f>J14+J15</f>
        <v>3370.79</v>
      </c>
      <c r="K16" s="125">
        <f t="shared" si="3"/>
        <v>14076.09</v>
      </c>
      <c r="L16" s="125">
        <f t="shared" si="0"/>
        <v>15729.726999999986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Clinker!EJ12</f>
        <v>27520.843086779758</v>
      </c>
      <c r="F18" s="74">
        <f>Clinker!EK12</f>
        <v>1210</v>
      </c>
      <c r="G18" s="74">
        <f>F18+'9'!G18</f>
        <v>11771</v>
      </c>
      <c r="H18" s="74">
        <f>F18+'9'!H18</f>
        <v>52271</v>
      </c>
      <c r="I18" s="74">
        <f>Clinker!EL12</f>
        <v>1325.7700000000011</v>
      </c>
      <c r="J18" s="74">
        <f>I18+'9'!J18</f>
        <v>9285.5870009607042</v>
      </c>
      <c r="K18" s="74">
        <f>I18+'9'!K18</f>
        <v>28147.467012846977</v>
      </c>
      <c r="L18" s="74">
        <f>E18+F18-I18-I20</f>
        <v>27405.073086779757</v>
      </c>
      <c r="M18" s="783">
        <f>((I18+I19)/(J40+J46))*100</f>
        <v>77.304373177842635</v>
      </c>
      <c r="N18" s="765"/>
      <c r="O18" s="767"/>
      <c r="P18" s="769"/>
      <c r="Q18" s="770"/>
      <c r="R18" s="20"/>
      <c r="S18" s="20"/>
    </row>
    <row r="19" spans="2:19" ht="45" x14ac:dyDescent="0.25">
      <c r="B19" s="763"/>
      <c r="C19" s="691"/>
      <c r="D19" s="85" t="s">
        <v>75</v>
      </c>
      <c r="E19" s="74">
        <f>Clinker!EO12</f>
        <v>5306.1090080001359</v>
      </c>
      <c r="F19" s="74">
        <f>Clinker!EP12</f>
        <v>0</v>
      </c>
      <c r="G19" s="621">
        <f>F19+'9'!G19</f>
        <v>150.78</v>
      </c>
      <c r="H19" s="74">
        <f>F19+'9'!H19</f>
        <v>13390.660000000003</v>
      </c>
      <c r="I19" s="74">
        <f>Clinker!EQ12</f>
        <v>0</v>
      </c>
      <c r="J19" s="74">
        <f>I19+'9'!J19</f>
        <v>0</v>
      </c>
      <c r="K19" s="74">
        <f>I19+'9'!K19</f>
        <v>16934.099999999999</v>
      </c>
      <c r="L19" s="75">
        <f>E19+F19-I19</f>
        <v>5306.1090080001359</v>
      </c>
      <c r="M19" s="784"/>
      <c r="N19" s="765"/>
      <c r="O19" s="767"/>
      <c r="P19" s="769"/>
      <c r="Q19" s="770"/>
      <c r="R19" s="19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Clinker!EN12</f>
        <v>0</v>
      </c>
      <c r="G20" s="74">
        <f>F20+'9'!G20</f>
        <v>0</v>
      </c>
      <c r="H20" s="74">
        <f>F20+'9'!H20</f>
        <v>0</v>
      </c>
      <c r="I20" s="77">
        <f>Clinker!EN12</f>
        <v>0</v>
      </c>
      <c r="J20" s="74">
        <f>I20+'9'!J20</f>
        <v>0</v>
      </c>
      <c r="K20" s="74">
        <f>I20+'9'!K20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/>
      <c r="F21" s="77"/>
      <c r="G21" s="74"/>
      <c r="H21" s="74"/>
      <c r="I21" s="77">
        <f>Cement!S12</f>
        <v>337.19999999999874</v>
      </c>
      <c r="J21" s="74">
        <f>I21+'9'!J21</f>
        <v>2403.0477776233738</v>
      </c>
      <c r="K21" s="74">
        <f>I21+'9'!K21</f>
        <v>11034.86777018561</v>
      </c>
      <c r="L21" s="74"/>
      <c r="M21" s="78">
        <f>(I21/(J40+J46))*100</f>
        <v>19.661807580174852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Cement!C12</f>
        <v>6570.9416434104915</v>
      </c>
      <c r="F22" s="77">
        <f>Cement!D12</f>
        <v>0</v>
      </c>
      <c r="G22" s="621">
        <f>F22+'9'!G22</f>
        <v>30.12</v>
      </c>
      <c r="H22" s="74">
        <f>F22+'9'!H22</f>
        <v>2001.02</v>
      </c>
      <c r="I22" s="77">
        <f>Cement!F12</f>
        <v>90.26315789473685</v>
      </c>
      <c r="J22" s="74">
        <f>I22+'9'!J22</f>
        <v>626.52157808252639</v>
      </c>
      <c r="K22" s="74">
        <f>I22+'9'!K22</f>
        <v>2965.7215736340254</v>
      </c>
      <c r="L22" s="74">
        <f>E22+F22-I22</f>
        <v>6480.6784855157548</v>
      </c>
      <c r="M22" s="78">
        <f>(I22/(J40+J46))*100</f>
        <v>5.2631578947368425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Cement!H12</f>
        <v>0.23999999999796273</v>
      </c>
      <c r="F23" s="77">
        <f>Cement!I12</f>
        <v>0</v>
      </c>
      <c r="G23" s="74">
        <f>F23+'9'!G23</f>
        <v>0</v>
      </c>
      <c r="H23" s="74">
        <f>F23+'9'!H23</f>
        <v>0</v>
      </c>
      <c r="I23" s="77">
        <f>Cement!J12</f>
        <v>0</v>
      </c>
      <c r="J23" s="74">
        <f>I23+'9'!J23</f>
        <v>0</v>
      </c>
      <c r="K23" s="74">
        <f>I23+'9'!K23</f>
        <v>0</v>
      </c>
      <c r="L23" s="74">
        <f t="shared" ref="L23:L24" si="4">E23+F23-I23</f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Cement!L12</f>
        <v>0</v>
      </c>
      <c r="F24" s="77">
        <f>Cement!M12</f>
        <v>0</v>
      </c>
      <c r="G24" s="74">
        <f>F24+'9'!G24</f>
        <v>0</v>
      </c>
      <c r="H24" s="74">
        <f>F24+'9'!H24</f>
        <v>0</v>
      </c>
      <c r="I24" s="77">
        <f>Cement!N12</f>
        <v>0</v>
      </c>
      <c r="J24" s="74">
        <f>I24+'9'!J24</f>
        <v>0</v>
      </c>
      <c r="K24" s="74">
        <f>I24+'9'!K24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39398.133738190387</v>
      </c>
      <c r="F25" s="122">
        <f t="shared" ref="F25:L25" si="5">F18+F19+F21+F22+F23+F24</f>
        <v>1210</v>
      </c>
      <c r="G25" s="122">
        <f t="shared" si="5"/>
        <v>11951.900000000001</v>
      </c>
      <c r="H25" s="122">
        <f t="shared" si="5"/>
        <v>67662.680000000008</v>
      </c>
      <c r="I25" s="122">
        <f t="shared" si="5"/>
        <v>1753.2331578947367</v>
      </c>
      <c r="J25" s="122">
        <f t="shared" si="5"/>
        <v>12315.156356666603</v>
      </c>
      <c r="K25" s="122">
        <f t="shared" si="5"/>
        <v>59082.156356666608</v>
      </c>
      <c r="L25" s="122">
        <f t="shared" si="5"/>
        <v>39192.100580295642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Production2!C12</f>
        <v>18.8</v>
      </c>
      <c r="G30" s="75">
        <f>F30+'9'!G30</f>
        <v>165.12</v>
      </c>
      <c r="H30" s="75">
        <f>F30+'9'!H30</f>
        <v>597.60000000000014</v>
      </c>
      <c r="I30" s="74">
        <f>'Mines (2)'!C12+'Mines (2)'!H12+'Mines (2)'!V12+'Mines (2)'!Z12+'Mines (2)'!AD12</f>
        <v>23101.883926998227</v>
      </c>
      <c r="J30" s="74">
        <f>Production2!D12</f>
        <v>2756.9199999999992</v>
      </c>
      <c r="K30" s="74">
        <f>J30+'9'!K30</f>
        <v>31567.9</v>
      </c>
      <c r="L30" s="74">
        <f>J30+'9'!L30</f>
        <v>96553.60000000002</v>
      </c>
      <c r="M30" s="74">
        <f>I9+I21</f>
        <v>2198.1999999999989</v>
      </c>
      <c r="N30" s="74">
        <f>M30+'9'!N30</f>
        <v>20479.047777623375</v>
      </c>
      <c r="O30" s="74">
        <f>M30+'9'!O30</f>
        <v>95997.867770185621</v>
      </c>
      <c r="P30" s="74">
        <f>I30+J30-M30</f>
        <v>23660.603926998228</v>
      </c>
      <c r="Q30" s="93">
        <f>J30/F30</f>
        <v>146.64468085106378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Production2!G12</f>
        <v>16.3</v>
      </c>
      <c r="G31" s="75">
        <f>F31+'9'!G31</f>
        <v>155.27000000000001</v>
      </c>
      <c r="H31" s="75">
        <f>F31+'9'!H31</f>
        <v>648.4899999999999</v>
      </c>
      <c r="I31" s="724">
        <f>Production2!H12</f>
        <v>872.51001683751952</v>
      </c>
      <c r="J31" s="78">
        <f>Production2!N12</f>
        <v>1789.8</v>
      </c>
      <c r="K31" s="74">
        <f>J31+'9'!K31</f>
        <v>16828.38</v>
      </c>
      <c r="L31" s="74">
        <f>J31+'9'!L31</f>
        <v>75685.530000000013</v>
      </c>
      <c r="M31" s="724">
        <f>Production2!K12</f>
        <v>1875.5</v>
      </c>
      <c r="N31" s="724">
        <f>M31+'9'!N31</f>
        <v>18245.05</v>
      </c>
      <c r="O31" s="724">
        <f>M31+'9'!O31</f>
        <v>81020.05</v>
      </c>
      <c r="P31" s="724">
        <f>I31+J31+J32-M31</f>
        <v>786.81001683751947</v>
      </c>
      <c r="Q31" s="96">
        <f t="shared" ref="Q31:Q46" si="6">J31/F31</f>
        <v>109.80368098159508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Production2!P12</f>
        <v>0</v>
      </c>
      <c r="G32" s="75">
        <f>F32+'9'!G32</f>
        <v>57.76</v>
      </c>
      <c r="H32" s="75">
        <f>F32+'9'!H32</f>
        <v>464.04999999999995</v>
      </c>
      <c r="I32" s="712"/>
      <c r="J32" s="78">
        <f>Production2!Q12</f>
        <v>0</v>
      </c>
      <c r="K32" s="74">
        <f>J32+'9'!K32</f>
        <v>485.36</v>
      </c>
      <c r="L32" s="74">
        <f>J32+'9'!L32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Production2!S12</f>
        <v>16.100000000000001</v>
      </c>
      <c r="G33" s="75">
        <f>F33+'9'!G33</f>
        <v>141.03</v>
      </c>
      <c r="H33" s="75">
        <f>F33+'9'!H33</f>
        <v>587.40000000000009</v>
      </c>
      <c r="I33" s="77">
        <f>Production2!T12</f>
        <v>32.509999999999906</v>
      </c>
      <c r="J33" s="77">
        <f>Production2!U12</f>
        <v>207</v>
      </c>
      <c r="K33" s="74">
        <f>J33+'9'!K33</f>
        <v>1912.3</v>
      </c>
      <c r="L33" s="74">
        <f>J33+'9'!L33</f>
        <v>8065</v>
      </c>
      <c r="M33" s="77">
        <f>Production2!V12</f>
        <v>195</v>
      </c>
      <c r="N33" s="74">
        <f>M33+'9'!N33</f>
        <v>1908</v>
      </c>
      <c r="O33" s="74">
        <f>M33+'9'!O33</f>
        <v>8036</v>
      </c>
      <c r="P33" s="74">
        <f t="shared" ref="P33" si="7">I33+J33-M33</f>
        <v>44.509999999999906</v>
      </c>
      <c r="Q33" s="96">
        <f t="shared" si="6"/>
        <v>12.857142857142856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Production2!Y12</f>
        <v>24</v>
      </c>
      <c r="G34" s="75">
        <f>F34+'9'!G34</f>
        <v>208.78</v>
      </c>
      <c r="H34" s="75">
        <f>F34+'9'!H34</f>
        <v>827.05000000000007</v>
      </c>
      <c r="I34" s="77">
        <f>Clinker!EJ12</f>
        <v>27520.843086779758</v>
      </c>
      <c r="J34" s="77">
        <f>Clinker!EK12</f>
        <v>1210</v>
      </c>
      <c r="K34" s="74">
        <f>J34+'9'!K34</f>
        <v>11771</v>
      </c>
      <c r="L34" s="74">
        <f>J34+'9'!L34</f>
        <v>52271</v>
      </c>
      <c r="M34" s="77">
        <f>Clinker!EL12</f>
        <v>1325.7700000000011</v>
      </c>
      <c r="N34" s="74">
        <f>M34+'9'!N34</f>
        <v>9285.5870009607042</v>
      </c>
      <c r="O34" s="74">
        <f>M34+'9'!O34</f>
        <v>28147.467012846977</v>
      </c>
      <c r="P34" s="74">
        <f>I34+J34-M34-I20</f>
        <v>27405.073086779757</v>
      </c>
      <c r="Q34" s="96">
        <f t="shared" si="6"/>
        <v>50.416666666666664</v>
      </c>
      <c r="R34" s="94"/>
      <c r="S34" s="94"/>
    </row>
    <row r="35" spans="2:19" x14ac:dyDescent="0.25">
      <c r="B35" s="687">
        <v>5</v>
      </c>
      <c r="C35" s="690" t="s">
        <v>146</v>
      </c>
      <c r="D35" s="80" t="s">
        <v>265</v>
      </c>
      <c r="E35" s="97">
        <v>90</v>
      </c>
      <c r="F35" s="78">
        <f>Production2!AE12</f>
        <v>3.2</v>
      </c>
      <c r="G35" s="75">
        <f>F35+'9'!G35</f>
        <v>6.8000000000000007</v>
      </c>
      <c r="H35" s="75">
        <f>F35+'9'!H35</f>
        <v>15.8</v>
      </c>
      <c r="I35" s="77">
        <f>Production2!BJ12</f>
        <v>191.29999999999995</v>
      </c>
      <c r="J35" s="77">
        <f>Production2!AF12</f>
        <v>200</v>
      </c>
      <c r="K35" s="74">
        <f>J35+'9'!K35</f>
        <v>400</v>
      </c>
      <c r="L35" s="74">
        <f>J35+'9'!L35</f>
        <v>974</v>
      </c>
      <c r="M35" s="77">
        <f>Production2!BL12</f>
        <v>40</v>
      </c>
      <c r="N35" s="74">
        <f>M35+'9'!N35</f>
        <v>460.5</v>
      </c>
      <c r="O35" s="74">
        <f>M35+'9'!O35</f>
        <v>2855</v>
      </c>
      <c r="P35" s="74">
        <f>I35+J35+J41-M35-F59</f>
        <v>351.29999999999995</v>
      </c>
      <c r="Q35" s="96">
        <f t="shared" si="6"/>
        <v>62.5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Production2!AB12</f>
        <v>4.63</v>
      </c>
      <c r="G36" s="654">
        <f>F36+'9'!G36</f>
        <v>60.65</v>
      </c>
      <c r="H36" s="654">
        <f>F36+'9'!H36</f>
        <v>266.98</v>
      </c>
      <c r="I36" s="77">
        <f>Production2!BF12</f>
        <v>2476.6579999999799</v>
      </c>
      <c r="J36" s="77">
        <f>Production2!AC12</f>
        <v>285</v>
      </c>
      <c r="K36" s="74">
        <f>J36+'9'!K36</f>
        <v>3702</v>
      </c>
      <c r="L36" s="74">
        <f>J36+'9'!L36</f>
        <v>16131</v>
      </c>
      <c r="M36" s="77">
        <f>Production2!BH12</f>
        <v>1196.74</v>
      </c>
      <c r="N36" s="74">
        <f>M36+'9'!N36</f>
        <v>9396.369999999999</v>
      </c>
      <c r="O36" s="74">
        <f>M36+'9'!O36</f>
        <v>44564.639999999999</v>
      </c>
      <c r="P36" s="74">
        <f>I36+J36+J42-M36-F57</f>
        <v>2382.9179999999797</v>
      </c>
      <c r="Q36" s="96">
        <f t="shared" si="6"/>
        <v>61.555075593952488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Production2!AH12</f>
        <v>0</v>
      </c>
      <c r="G37" s="654">
        <f>F37+'9'!G37</f>
        <v>0</v>
      </c>
      <c r="H37" s="654">
        <f>F37+'9'!H37</f>
        <v>0</v>
      </c>
      <c r="I37" s="77">
        <f>Production2!BN12</f>
        <v>2.0900000000008498</v>
      </c>
      <c r="J37" s="77">
        <f>Production2!AI12</f>
        <v>0</v>
      </c>
      <c r="K37" s="74">
        <f>J37+'9'!K37</f>
        <v>0</v>
      </c>
      <c r="L37" s="74">
        <f>J37+'9'!L37</f>
        <v>0</v>
      </c>
      <c r="M37" s="77">
        <f>Production2!BP12</f>
        <v>0</v>
      </c>
      <c r="N37" s="74">
        <f>M37+'9'!N37</f>
        <v>0</v>
      </c>
      <c r="O37" s="74">
        <f>M37+'9'!O37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Production2!AK12</f>
        <v>0</v>
      </c>
      <c r="G38" s="654">
        <f>F38+'9'!G38</f>
        <v>3</v>
      </c>
      <c r="H38" s="654">
        <f>F38+'9'!H38</f>
        <v>3</v>
      </c>
      <c r="I38" s="195">
        <f>Production2!BR12</f>
        <v>171.3</v>
      </c>
      <c r="J38" s="195">
        <f>Production2!AL12</f>
        <v>0</v>
      </c>
      <c r="K38" s="74">
        <f>J38+'9'!K38</f>
        <v>180</v>
      </c>
      <c r="L38" s="74">
        <f>J38+'9'!L38</f>
        <v>180</v>
      </c>
      <c r="M38" s="195">
        <f>Production2!BT12</f>
        <v>64</v>
      </c>
      <c r="N38" s="74">
        <f>M38+'9'!N38</f>
        <v>424</v>
      </c>
      <c r="O38" s="74">
        <f>M38+'9'!O38</f>
        <v>2271</v>
      </c>
      <c r="P38" s="74">
        <f>I38+J38+J44-M38-F60</f>
        <v>219.3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459" t="s">
        <v>304</v>
      </c>
      <c r="E39" s="466">
        <v>78</v>
      </c>
      <c r="F39" s="461">
        <f>Production2!AN12</f>
        <v>4.8</v>
      </c>
      <c r="G39" s="654">
        <f>F39+'9'!G39</f>
        <v>15.600000000000001</v>
      </c>
      <c r="H39" s="654">
        <f>F39+'9'!H39</f>
        <v>56.25</v>
      </c>
      <c r="I39" s="463">
        <f>Production2!BV12</f>
        <v>713.11000000000024</v>
      </c>
      <c r="J39" s="463">
        <f>Production2!AO12</f>
        <v>300</v>
      </c>
      <c r="K39" s="464">
        <f>J39+'9'!K39</f>
        <v>915</v>
      </c>
      <c r="L39" s="464">
        <f>J39+'9'!L39</f>
        <v>3447</v>
      </c>
      <c r="M39" s="77">
        <f>Production2!BX12</f>
        <v>276.52</v>
      </c>
      <c r="N39" s="464">
        <f>M39+'9'!N39</f>
        <v>2223.2399999999998</v>
      </c>
      <c r="O39" s="464">
        <f>M39+'9'!O39</f>
        <v>7645.1200000000008</v>
      </c>
      <c r="P39" s="464">
        <f>I39+J39+J45-M39</f>
        <v>736.59000000000026</v>
      </c>
      <c r="Q39" s="96">
        <f t="shared" si="6"/>
        <v>62.5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12.629999999999999</v>
      </c>
      <c r="G40" s="132">
        <f t="shared" ref="G40:H40" si="8">G35+G36+G37+G38+G39</f>
        <v>86.050000000000011</v>
      </c>
      <c r="H40" s="132">
        <f t="shared" si="8"/>
        <v>342.03000000000003</v>
      </c>
      <c r="I40" s="122">
        <f>I35+I36+I37+I38+I39</f>
        <v>3554.457999999981</v>
      </c>
      <c r="J40" s="460">
        <f t="shared" ref="J40:P40" si="9">J35+J36+J37+J38+J39</f>
        <v>785</v>
      </c>
      <c r="K40" s="460">
        <f t="shared" si="9"/>
        <v>5197</v>
      </c>
      <c r="L40" s="460">
        <f t="shared" si="9"/>
        <v>20732</v>
      </c>
      <c r="M40" s="460">
        <f t="shared" si="9"/>
        <v>1577.26</v>
      </c>
      <c r="N40" s="460">
        <f t="shared" si="9"/>
        <v>12504.109999999999</v>
      </c>
      <c r="O40" s="460">
        <f t="shared" si="9"/>
        <v>57335.61</v>
      </c>
      <c r="P40" s="467">
        <f t="shared" si="9"/>
        <v>3692.1979999999812</v>
      </c>
      <c r="Q40" s="123">
        <f t="shared" si="6"/>
        <v>62.153602533650044</v>
      </c>
      <c r="R40" s="94"/>
      <c r="S40" s="94"/>
    </row>
    <row r="41" spans="2:19" x14ac:dyDescent="0.25">
      <c r="B41" s="687">
        <v>5</v>
      </c>
      <c r="C41" s="690" t="s">
        <v>268</v>
      </c>
      <c r="D41" s="80" t="s">
        <v>265</v>
      </c>
      <c r="E41" s="97">
        <v>75</v>
      </c>
      <c r="F41" s="78">
        <f>Production2!AT12</f>
        <v>0</v>
      </c>
      <c r="G41" s="75">
        <f>F41+'9'!G41</f>
        <v>0</v>
      </c>
      <c r="H41" s="75">
        <f>F41+'9'!H41</f>
        <v>33.099999999999994</v>
      </c>
      <c r="I41" s="710"/>
      <c r="J41" s="77">
        <f>Production2!AU12</f>
        <v>0</v>
      </c>
      <c r="K41" s="74">
        <f>J41+'9'!K41</f>
        <v>0</v>
      </c>
      <c r="L41" s="74">
        <f>J41+'9'!L41</f>
        <v>2000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Production2!AQ12</f>
        <v>13.98</v>
      </c>
      <c r="G42" s="75">
        <f>F42+'9'!G42</f>
        <v>91.54</v>
      </c>
      <c r="H42" s="75">
        <f>F42+'9'!H42</f>
        <v>507.53999999999996</v>
      </c>
      <c r="I42" s="711"/>
      <c r="J42" s="77">
        <f>Production2!AR12</f>
        <v>818</v>
      </c>
      <c r="K42" s="74">
        <f>J42+'9'!K42</f>
        <v>5398</v>
      </c>
      <c r="L42" s="74">
        <f>J42+'9'!L42</f>
        <v>29538</v>
      </c>
      <c r="M42" s="716"/>
      <c r="N42" s="867"/>
      <c r="O42" s="867"/>
      <c r="P42" s="718"/>
      <c r="Q42" s="96">
        <f t="shared" si="6"/>
        <v>58.512160228898423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Production2!AW12</f>
        <v>0</v>
      </c>
      <c r="G43" s="75">
        <f>F43+'9'!G43</f>
        <v>0</v>
      </c>
      <c r="H43" s="75">
        <f>F43+'9'!H43</f>
        <v>0</v>
      </c>
      <c r="I43" s="711"/>
      <c r="J43" s="77">
        <f>Production2!AX12</f>
        <v>0</v>
      </c>
      <c r="K43" s="74">
        <f>J43+'9'!K43</f>
        <v>0</v>
      </c>
      <c r="L43" s="74">
        <f>J43+'9'!L43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Production2!AZ12</f>
        <v>2</v>
      </c>
      <c r="G44" s="75">
        <f>F44+'9'!G44</f>
        <v>5</v>
      </c>
      <c r="H44" s="75">
        <f>F44+'9'!H44</f>
        <v>37.880000000000003</v>
      </c>
      <c r="I44" s="712"/>
      <c r="J44" s="195">
        <f>Production2!BA12</f>
        <v>112</v>
      </c>
      <c r="K44" s="464">
        <f>J44+'9'!K44</f>
        <v>277</v>
      </c>
      <c r="L44" s="464">
        <f>J44+'9'!L44</f>
        <v>2097</v>
      </c>
      <c r="M44" s="716"/>
      <c r="N44" s="867"/>
      <c r="O44" s="867"/>
      <c r="P44" s="718"/>
      <c r="Q44" s="96">
        <f t="shared" si="6"/>
        <v>56</v>
      </c>
      <c r="R44" s="94"/>
      <c r="S44" s="94"/>
    </row>
    <row r="45" spans="2:19" x14ac:dyDescent="0.25">
      <c r="B45" s="688"/>
      <c r="C45" s="691"/>
      <c r="D45" s="459" t="s">
        <v>304</v>
      </c>
      <c r="E45" s="466">
        <v>70</v>
      </c>
      <c r="F45" s="461">
        <f>Production2!BC12</f>
        <v>0</v>
      </c>
      <c r="G45" s="462">
        <f>F45+'9'!G45</f>
        <v>21.45</v>
      </c>
      <c r="H45" s="462">
        <f>F45+'9'!H45</f>
        <v>76.42</v>
      </c>
      <c r="I45" s="465"/>
      <c r="J45" s="463">
        <f>Production2!BD12</f>
        <v>0</v>
      </c>
      <c r="K45" s="464">
        <f>J45+'9'!K45</f>
        <v>1289</v>
      </c>
      <c r="L45" s="464">
        <f>J45+'9'!L45</f>
        <v>4561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15.98</v>
      </c>
      <c r="G46" s="132">
        <f t="shared" ref="G46:H46" si="10">G41+G42+G43+G44+G45</f>
        <v>117.99000000000001</v>
      </c>
      <c r="H46" s="132">
        <f t="shared" si="10"/>
        <v>654.93999999999994</v>
      </c>
      <c r="I46" s="132"/>
      <c r="J46" s="460">
        <f t="shared" ref="J46:L46" si="11">J41+J42+J43+J44+J45</f>
        <v>930</v>
      </c>
      <c r="K46" s="460">
        <f t="shared" si="11"/>
        <v>6964</v>
      </c>
      <c r="L46" s="460">
        <f t="shared" si="11"/>
        <v>38196</v>
      </c>
      <c r="M46" s="132"/>
      <c r="N46" s="132"/>
      <c r="O46" s="132"/>
      <c r="P46" s="132"/>
      <c r="Q46" s="123">
        <f t="shared" si="6"/>
        <v>58.19774718397997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0.78094395194637523</v>
      </c>
      <c r="F50" s="99">
        <f>F53/(J31+J32)</f>
        <v>25.270421276120238</v>
      </c>
      <c r="G50" s="99">
        <v>0</v>
      </c>
      <c r="H50" s="99">
        <f>H53/J34</f>
        <v>39.035537190082643</v>
      </c>
      <c r="I50" s="99">
        <f>I53/J33</f>
        <v>60.608695652173914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16.115702479338843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1.20110470625802</v>
      </c>
      <c r="F51" s="102">
        <f>F50*1.55</f>
        <v>39.169152977986371</v>
      </c>
      <c r="G51" s="102">
        <f>G50*1.55</f>
        <v>0</v>
      </c>
      <c r="H51" s="102">
        <f>H50</f>
        <v>39.035537190082643</v>
      </c>
      <c r="I51" s="102">
        <f>I50*(Q50/100)</f>
        <v>9.7675170679123244</v>
      </c>
      <c r="J51" s="102"/>
      <c r="K51" s="102"/>
      <c r="L51" s="102"/>
      <c r="M51" s="96"/>
      <c r="N51" s="307">
        <f>SUM(E51:I51)</f>
        <v>89.173311942239351</v>
      </c>
      <c r="O51" s="728" t="s">
        <v>277</v>
      </c>
      <c r="P51" s="728"/>
      <c r="Q51" s="104">
        <v>5150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0.92850646438233042</v>
      </c>
      <c r="F52" s="102">
        <f>F51*M18/100</f>
        <v>30.279468188702644</v>
      </c>
      <c r="G52" s="102">
        <f>G51*M18/100</f>
        <v>0</v>
      </c>
      <c r="H52" s="102">
        <f>H51*M18/100</f>
        <v>30.176177341397032</v>
      </c>
      <c r="I52" s="102">
        <f>I51*M18/100</f>
        <v>7.5507178443884166</v>
      </c>
      <c r="J52" s="99">
        <f>J53/(J40+J46)</f>
        <v>39.507871720116619</v>
      </c>
      <c r="K52" s="99">
        <f>K53/(J46+J40)</f>
        <v>0.90145772594752183</v>
      </c>
      <c r="L52" s="99">
        <f>L53/(M40)</f>
        <v>3.5764553719741832</v>
      </c>
      <c r="M52" s="96">
        <f>M53/(J46+J40)</f>
        <v>2.7481049562682216</v>
      </c>
      <c r="N52" s="307">
        <f>SUM(E52:M52)</f>
        <v>115.66875961317697</v>
      </c>
      <c r="O52" s="728" t="s">
        <v>279</v>
      </c>
      <c r="P52" s="728"/>
      <c r="Q52" s="104">
        <f>Q51*Q50/100</f>
        <v>829.95867768595042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unit'!B12</f>
        <v>2153</v>
      </c>
      <c r="F53" s="118">
        <f>'Daily unit'!C12</f>
        <v>45229</v>
      </c>
      <c r="G53" s="118">
        <f>'Daily unit'!D12</f>
        <v>0</v>
      </c>
      <c r="H53" s="118">
        <f>'Daily unit'!E12</f>
        <v>47233</v>
      </c>
      <c r="I53" s="118">
        <f>'Daily unit'!F12</f>
        <v>12546</v>
      </c>
      <c r="J53" s="118">
        <f>'Daily unit'!G12</f>
        <v>67756</v>
      </c>
      <c r="K53" s="118">
        <f>'Daily unit'!H12</f>
        <v>1546</v>
      </c>
      <c r="L53" s="118">
        <f>'Daily unit'!I12</f>
        <v>5641</v>
      </c>
      <c r="M53" s="119">
        <f>'Daily unit'!J12</f>
        <v>4713</v>
      </c>
      <c r="N53" s="318">
        <f>SUM(E53:M53)</f>
        <v>186817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thickBot="1" x14ac:dyDescent="0.3">
      <c r="B56" s="214" t="s">
        <v>229</v>
      </c>
      <c r="C56" s="856" t="s">
        <v>283</v>
      </c>
      <c r="D56" s="856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704">
        <v>1</v>
      </c>
      <c r="C57" s="859" t="s">
        <v>285</v>
      </c>
      <c r="D57" s="868"/>
      <c r="E57" s="211">
        <v>42.5</v>
      </c>
      <c r="F57" s="53">
        <f>'Internal use cement'!F12</f>
        <v>0</v>
      </c>
      <c r="G57" s="53">
        <f>F57+'9'!G57</f>
        <v>0</v>
      </c>
      <c r="H57" s="104">
        <f>F57+'9'!H57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704"/>
      <c r="C58" s="702"/>
      <c r="D58" s="869"/>
      <c r="E58" s="211" t="s">
        <v>195</v>
      </c>
      <c r="F58" s="53">
        <f>'Internal use cement'!Q12</f>
        <v>0</v>
      </c>
      <c r="G58" s="53">
        <f>F58+'9'!G58</f>
        <v>0</v>
      </c>
      <c r="H58" s="104">
        <f>F58+'9'!H58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704"/>
      <c r="C59" s="702"/>
      <c r="D59" s="869"/>
      <c r="E59" s="211">
        <v>32.5</v>
      </c>
      <c r="F59" s="53">
        <f>'Internal use cement'!AB12</f>
        <v>0</v>
      </c>
      <c r="G59" s="53">
        <f>F59+'9'!G59</f>
        <v>0</v>
      </c>
      <c r="H59" s="104">
        <f>F59+'9'!H59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704"/>
      <c r="C60" s="703"/>
      <c r="D60" s="870"/>
      <c r="E60" s="213" t="s">
        <v>175</v>
      </c>
      <c r="F60" s="113">
        <f>'Internal use cement'!AJ12</f>
        <v>0</v>
      </c>
      <c r="G60" s="220">
        <f>F60+'9'!G60</f>
        <v>0</v>
      </c>
      <c r="H60" s="114">
        <f>F60+'9'!H60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5">
    <mergeCell ref="P31:P32"/>
    <mergeCell ref="B48:N48"/>
    <mergeCell ref="O48:Q48"/>
    <mergeCell ref="C32:D32"/>
    <mergeCell ref="I31:I32"/>
    <mergeCell ref="M31:M32"/>
    <mergeCell ref="N31:N32"/>
    <mergeCell ref="O31:O32"/>
    <mergeCell ref="B41:B46"/>
    <mergeCell ref="C41:C46"/>
    <mergeCell ref="I41:I44"/>
    <mergeCell ref="B35:B40"/>
    <mergeCell ref="C35:C40"/>
    <mergeCell ref="M41:P45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8:Q8"/>
    <mergeCell ref="C11:D11"/>
    <mergeCell ref="C12:D12"/>
    <mergeCell ref="C13:D13"/>
    <mergeCell ref="P13:Q13"/>
    <mergeCell ref="O9:O16"/>
    <mergeCell ref="C10:D10"/>
    <mergeCell ref="C9:D9"/>
    <mergeCell ref="C21:D21"/>
    <mergeCell ref="M18:M1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Q28:Q29"/>
    <mergeCell ref="C52:D52"/>
    <mergeCell ref="O52:P52"/>
    <mergeCell ref="C53:D53"/>
    <mergeCell ref="C30:D30"/>
    <mergeCell ref="C31:D31"/>
    <mergeCell ref="C33:D33"/>
    <mergeCell ref="C34:D34"/>
    <mergeCell ref="B47:Q47"/>
    <mergeCell ref="C49:D49"/>
    <mergeCell ref="O49:P49"/>
    <mergeCell ref="C50:D50"/>
    <mergeCell ref="O50:P50"/>
    <mergeCell ref="C51:D51"/>
    <mergeCell ref="O51:P51"/>
    <mergeCell ref="C57:D60"/>
    <mergeCell ref="B57:B60"/>
    <mergeCell ref="B55:H55"/>
    <mergeCell ref="C56:E56"/>
    <mergeCell ref="B54:Q54"/>
    <mergeCell ref="I55:Q60"/>
  </mergeCells>
  <pageMargins left="0" right="0" top="0.75" bottom="0.75" header="0.3" footer="0.3"/>
  <pageSetup paperSize="9" scale="5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/>
  <dimension ref="B2:U155"/>
  <sheetViews>
    <sheetView zoomScale="90" zoomScaleNormal="90" workbookViewId="0">
      <pane xSplit="4" ySplit="1" topLeftCell="E25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42578125" style="68" bestFit="1" customWidth="1"/>
    <col min="11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52" t="s">
        <v>227</v>
      </c>
      <c r="Q4" s="153" t="s">
        <v>330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73" t="s">
        <v>242</v>
      </c>
      <c r="D9" s="73" t="s">
        <v>29</v>
      </c>
      <c r="E9" s="74">
        <f>'10'!L9</f>
        <v>23660.603926998232</v>
      </c>
      <c r="F9" s="74">
        <f>Production2!D13</f>
        <v>1717.4800000000005</v>
      </c>
      <c r="G9" s="74">
        <f>F9+'10'!G9</f>
        <v>33285.380000000005</v>
      </c>
      <c r="H9" s="74">
        <f>F9+'10'!H9</f>
        <v>98271.080000000016</v>
      </c>
      <c r="I9" s="74">
        <f>Production2!E13</f>
        <v>1875</v>
      </c>
      <c r="J9" s="74">
        <f>I9+'10'!J9</f>
        <v>19951</v>
      </c>
      <c r="K9" s="74">
        <f>I9+'10'!K9</f>
        <v>86838</v>
      </c>
      <c r="L9" s="74">
        <f>E9+F9-I9-I21</f>
        <v>23166.395038109345</v>
      </c>
      <c r="M9" s="75">
        <f>I9</f>
        <v>1875</v>
      </c>
      <c r="N9" s="75">
        <f>(I9/I13)*100</f>
        <v>93.28358208955224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(2)'!L13</f>
        <v>2511.2600000000002</v>
      </c>
      <c r="F10" s="77">
        <f>'Mines (2)'!M13</f>
        <v>60.3</v>
      </c>
      <c r="G10" s="74">
        <f>F10+'10'!G10</f>
        <v>2180.0600000000009</v>
      </c>
      <c r="H10" s="74">
        <f>F10+'10'!H10</f>
        <v>3531.5200000000004</v>
      </c>
      <c r="I10" s="77">
        <f>'Mines (2)'!N13</f>
        <v>83</v>
      </c>
      <c r="J10" s="74">
        <f>I10+'10'!J10</f>
        <v>638</v>
      </c>
      <c r="K10" s="74">
        <f>I10+'10'!K10</f>
        <v>1167</v>
      </c>
      <c r="L10" s="77">
        <f t="shared" ref="L10:L13" si="0">E10+F10-I10</f>
        <v>2488.5600000000004</v>
      </c>
      <c r="M10" s="75">
        <f t="shared" ref="M10:M12" si="1">I10</f>
        <v>83</v>
      </c>
      <c r="N10" s="75">
        <f>(I10/I13)*100</f>
        <v>4.1293532338308463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Clinker!C13</f>
        <v>3791.98</v>
      </c>
      <c r="F11" s="77">
        <f>Clinker!D13</f>
        <v>74.319999999999993</v>
      </c>
      <c r="G11" s="74">
        <f>F11+'10'!G11</f>
        <v>287.96000000000004</v>
      </c>
      <c r="H11" s="74">
        <f>F11+'10'!H11</f>
        <v>357.66</v>
      </c>
      <c r="I11" s="77">
        <f>Clinker!E13</f>
        <v>48</v>
      </c>
      <c r="J11" s="74">
        <f>I11+'10'!J11</f>
        <v>468</v>
      </c>
      <c r="K11" s="74">
        <f>I11+'10'!K11</f>
        <v>1905</v>
      </c>
      <c r="L11" s="77">
        <f t="shared" si="0"/>
        <v>3818.3</v>
      </c>
      <c r="M11" s="75">
        <f t="shared" si="1"/>
        <v>48</v>
      </c>
      <c r="N11" s="75">
        <f>(I11/I13)*100</f>
        <v>2.3880597014925375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(2)'!Q13</f>
        <v>19.039999999999964</v>
      </c>
      <c r="F12" s="77">
        <f>'Mines (2)'!R13</f>
        <v>0</v>
      </c>
      <c r="G12" s="74">
        <f>F12+'10'!G12</f>
        <v>0</v>
      </c>
      <c r="H12" s="74">
        <f>F12+'10'!H12</f>
        <v>137.76</v>
      </c>
      <c r="I12" s="77">
        <f>'Mines (2)'!S13</f>
        <v>4</v>
      </c>
      <c r="J12" s="74">
        <f>I12+'10'!J12</f>
        <v>176</v>
      </c>
      <c r="K12" s="74">
        <f>I12+'10'!K12</f>
        <v>723</v>
      </c>
      <c r="L12" s="77">
        <f t="shared" si="0"/>
        <v>15.039999999999964</v>
      </c>
      <c r="M12" s="75">
        <f t="shared" si="1"/>
        <v>4</v>
      </c>
      <c r="N12" s="75">
        <f>(I12/I13)*100</f>
        <v>0.19900497512437809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29982.883926998231</v>
      </c>
      <c r="F13" s="127">
        <f t="shared" si="2"/>
        <v>1852.1000000000004</v>
      </c>
      <c r="G13" s="127">
        <f t="shared" si="2"/>
        <v>35753.4</v>
      </c>
      <c r="H13" s="127">
        <f t="shared" si="2"/>
        <v>102298.02000000002</v>
      </c>
      <c r="I13" s="127">
        <f t="shared" si="2"/>
        <v>2010</v>
      </c>
      <c r="J13" s="127">
        <f t="shared" si="2"/>
        <v>21233</v>
      </c>
      <c r="K13" s="127">
        <f t="shared" si="2"/>
        <v>90633</v>
      </c>
      <c r="L13" s="127">
        <f t="shared" si="0"/>
        <v>29824.983926998233</v>
      </c>
      <c r="M13" s="128">
        <f>SUM(M9:M12)</f>
        <v>2010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Clinker!EB13</f>
        <v>5727.6769999999906</v>
      </c>
      <c r="F14" s="77">
        <f>Clinker!EC13</f>
        <v>0</v>
      </c>
      <c r="G14" s="77">
        <f>F14+'10'!G14</f>
        <v>0</v>
      </c>
      <c r="H14" s="77">
        <f>F14+'10'!H14</f>
        <v>181.5</v>
      </c>
      <c r="I14" s="77">
        <f>Clinker!ED13</f>
        <v>225</v>
      </c>
      <c r="J14" s="77">
        <f>I14+'10'!J14</f>
        <v>2349.79</v>
      </c>
      <c r="K14" s="77">
        <f>I14+'10'!K14</f>
        <v>9186.09</v>
      </c>
      <c r="L14" s="77">
        <f>E14+F14-I14-Clinker!N13-Clinker!Z13-Clinker!AS13-Clinker!AX13-Clinker!BC13-Clinker!BW13-Clinker!BR13</f>
        <v>5502.6769999999906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Clinker!EF13</f>
        <v>10002.049999999996</v>
      </c>
      <c r="F15" s="77">
        <f>Clinker!EG13</f>
        <v>154.15</v>
      </c>
      <c r="G15" s="77">
        <f>F15+'10'!G15</f>
        <v>1003.4999999999999</v>
      </c>
      <c r="H15" s="77">
        <f>F15+'10'!H15</f>
        <v>1158.5500000000002</v>
      </c>
      <c r="I15" s="77">
        <f>Clinker!EH13</f>
        <v>138</v>
      </c>
      <c r="J15" s="77">
        <f>I15+'10'!J15</f>
        <v>1384</v>
      </c>
      <c r="K15" s="77">
        <f>I15+'10'!K15</f>
        <v>5253</v>
      </c>
      <c r="L15" s="77">
        <f>E15+F15-Clinker!AE13-Clinker!AJ13-Clinker!CL13-Clinker!CQ13-Clinker!CG13</f>
        <v>10018.199999999995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15729.726999999986</v>
      </c>
      <c r="F16" s="125">
        <f>F14+F15</f>
        <v>154.15</v>
      </c>
      <c r="G16" s="125">
        <f t="shared" ref="G16:K16" si="3">G14+G15</f>
        <v>1003.4999999999999</v>
      </c>
      <c r="H16" s="125">
        <f>H14+H15</f>
        <v>1340.0500000000002</v>
      </c>
      <c r="I16" s="125">
        <f>I14+I15</f>
        <v>363</v>
      </c>
      <c r="J16" s="125">
        <f>J14+J15</f>
        <v>3733.79</v>
      </c>
      <c r="K16" s="125">
        <f t="shared" si="3"/>
        <v>14439.09</v>
      </c>
      <c r="L16" s="125">
        <f>E16+F16-I16</f>
        <v>15520.876999999986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Clinker!EJ13</f>
        <v>27405.073086779757</v>
      </c>
      <c r="F18" s="74">
        <f>Clinker!EK13</f>
        <v>1110</v>
      </c>
      <c r="G18" s="74">
        <f>F18+'10'!G18</f>
        <v>12881</v>
      </c>
      <c r="H18" s="74">
        <f>F18+'10'!H18</f>
        <v>53381</v>
      </c>
      <c r="I18" s="74">
        <f>Clinker!EL13</f>
        <v>1237.880000000001</v>
      </c>
      <c r="J18" s="74">
        <f>I18+'10'!J18</f>
        <v>10523.467000960705</v>
      </c>
      <c r="K18" s="74">
        <f>I18+'10'!K18</f>
        <v>29385.347012846978</v>
      </c>
      <c r="L18" s="74">
        <f>E18+F18-I18-I20</f>
        <v>27277.193086779756</v>
      </c>
      <c r="M18" s="783">
        <f>((I18+I19)/(J40+J46))*100</f>
        <v>76.31812577065358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Clinker!EO13</f>
        <v>5306.1090080001359</v>
      </c>
      <c r="F19" s="74">
        <f>Clinker!EP13</f>
        <v>0</v>
      </c>
      <c r="G19" s="74">
        <f>F19+'10'!G19</f>
        <v>150.78</v>
      </c>
      <c r="H19" s="74">
        <f>F19+'10'!H19</f>
        <v>13390.660000000003</v>
      </c>
      <c r="I19" s="74">
        <f>Clinker!EQ13</f>
        <v>0</v>
      </c>
      <c r="J19" s="74">
        <f>I19+'10'!J19</f>
        <v>0</v>
      </c>
      <c r="K19" s="74">
        <f>I19+'10'!K19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19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Clinker!EN13</f>
        <v>0</v>
      </c>
      <c r="G20" s="74">
        <f>F20+'10'!G20</f>
        <v>0</v>
      </c>
      <c r="H20" s="74">
        <f>F20+'10'!H20</f>
        <v>0</v>
      </c>
      <c r="I20" s="77">
        <f>Clinker!EN13</f>
        <v>0</v>
      </c>
      <c r="J20" s="74">
        <f>I20+'10'!J20</f>
        <v>0</v>
      </c>
      <c r="K20" s="74">
        <f>I20+'10'!K20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222" t="s">
        <v>242</v>
      </c>
      <c r="D21" s="223"/>
      <c r="E21" s="77"/>
      <c r="F21" s="77"/>
      <c r="G21" s="74"/>
      <c r="H21" s="74"/>
      <c r="I21" s="77">
        <f>Cement!S13</f>
        <v>336.68888888888773</v>
      </c>
      <c r="J21" s="74">
        <f>I21+'10'!J21</f>
        <v>2739.7366665122618</v>
      </c>
      <c r="K21" s="74">
        <f>I21+'10'!K21</f>
        <v>11371.556659074498</v>
      </c>
      <c r="L21" s="74"/>
      <c r="M21" s="78">
        <f>(I21/(J40+J46))*100</f>
        <v>20.757638032607133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Cement!C13</f>
        <v>6480.6784855157548</v>
      </c>
      <c r="F22" s="77">
        <f>Cement!D13</f>
        <v>0</v>
      </c>
      <c r="G22" s="74">
        <f>F22+'10'!G22</f>
        <v>30.12</v>
      </c>
      <c r="H22" s="74">
        <f>F22+'10'!H22</f>
        <v>2001.02</v>
      </c>
      <c r="I22" s="77">
        <f>Cement!F13</f>
        <v>85.368421052631575</v>
      </c>
      <c r="J22" s="74">
        <f>I22+'10'!J22</f>
        <v>711.88999913515795</v>
      </c>
      <c r="K22" s="74">
        <f>I22+'10'!K22</f>
        <v>3051.0899946866571</v>
      </c>
      <c r="L22" s="74">
        <f t="shared" ref="L22:L24" si="4">E22+F22-I22</f>
        <v>6395.3100644631231</v>
      </c>
      <c r="M22" s="78">
        <f>(I22/(J40+J46))*100</f>
        <v>5.2631578947368416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Cement!H13</f>
        <v>0.23999999999796273</v>
      </c>
      <c r="F23" s="77">
        <f>Cement!I13</f>
        <v>0</v>
      </c>
      <c r="G23" s="74">
        <f>F23+'10'!G23</f>
        <v>0</v>
      </c>
      <c r="H23" s="74">
        <f>F23+'10'!H23</f>
        <v>0</v>
      </c>
      <c r="I23" s="77">
        <f>Cement!J13</f>
        <v>0</v>
      </c>
      <c r="J23" s="74">
        <f>I23+'10'!J23</f>
        <v>0</v>
      </c>
      <c r="K23" s="74">
        <f>I23+'10'!K23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Cement!L13</f>
        <v>0</v>
      </c>
      <c r="F24" s="77">
        <f>Cement!M13</f>
        <v>0</v>
      </c>
      <c r="G24" s="74">
        <f>F24+'10'!G24</f>
        <v>0</v>
      </c>
      <c r="H24" s="74">
        <f>F24+'10'!H24</f>
        <v>0</v>
      </c>
      <c r="I24" s="77">
        <f>Cement!N13</f>
        <v>0</v>
      </c>
      <c r="J24" s="74">
        <f>I24+'10'!J24</f>
        <v>0</v>
      </c>
      <c r="K24" s="74">
        <f>I24+'10'!K24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39192.100580295642</v>
      </c>
      <c r="F25" s="122">
        <f t="shared" ref="F25:L25" si="5">F18+F19+F21+F22+F23+F24</f>
        <v>1110</v>
      </c>
      <c r="G25" s="122">
        <f t="shared" si="5"/>
        <v>13061.900000000001</v>
      </c>
      <c r="H25" s="122">
        <f t="shared" si="5"/>
        <v>68772.680000000008</v>
      </c>
      <c r="I25" s="122">
        <f>I18+I19+I21+I22+I23+I24</f>
        <v>1659.9373099415204</v>
      </c>
      <c r="J25" s="122">
        <f t="shared" si="5"/>
        <v>13975.093666608125</v>
      </c>
      <c r="K25" s="122">
        <f t="shared" si="5"/>
        <v>60742.093666608132</v>
      </c>
      <c r="L25" s="122">
        <f t="shared" si="5"/>
        <v>38978.852159243012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Production2!C13</f>
        <v>11.82</v>
      </c>
      <c r="G30" s="75">
        <f>F30+'10'!G30</f>
        <v>176.94</v>
      </c>
      <c r="H30" s="75">
        <f>F30+'10'!H30</f>
        <v>609.42000000000019</v>
      </c>
      <c r="I30" s="74">
        <f>'Mines (2)'!C13+'Mines (2)'!H13+'Mines (2)'!V13+'Mines (2)'!Z13+'Mines (2)'!AD13</f>
        <v>23660.603926998228</v>
      </c>
      <c r="J30" s="74">
        <f>Production2!D13</f>
        <v>1717.4800000000005</v>
      </c>
      <c r="K30" s="74">
        <f>J30+'10'!K30</f>
        <v>33285.380000000005</v>
      </c>
      <c r="L30" s="74">
        <f>J30+'10'!L30</f>
        <v>98271.080000000016</v>
      </c>
      <c r="M30" s="74">
        <f>I9+I21</f>
        <v>2211.688888888888</v>
      </c>
      <c r="N30" s="74">
        <f>M30+'10'!N30</f>
        <v>22690.736666512261</v>
      </c>
      <c r="O30" s="74">
        <f>M30+'10'!O30</f>
        <v>98209.556659074515</v>
      </c>
      <c r="P30" s="74">
        <f>I30+J30-M30</f>
        <v>23166.395038109338</v>
      </c>
      <c r="Q30" s="93">
        <f>J30/F30</f>
        <v>145.3028764805415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Production2!G13</f>
        <v>16.5</v>
      </c>
      <c r="G31" s="75">
        <f>F31+'10'!G31</f>
        <v>171.77</v>
      </c>
      <c r="H31" s="75">
        <f>F31+'10'!H31</f>
        <v>664.9899999999999</v>
      </c>
      <c r="I31" s="724">
        <f>Production2!H13</f>
        <v>786.81001683751947</v>
      </c>
      <c r="J31" s="78">
        <f>Production2!N13</f>
        <v>1810.44</v>
      </c>
      <c r="K31" s="74">
        <f>J31+'10'!K31</f>
        <v>18638.82</v>
      </c>
      <c r="L31" s="74">
        <f>J31+'10'!L31</f>
        <v>77495.970000000016</v>
      </c>
      <c r="M31" s="724">
        <f>Production2!K13</f>
        <v>1720.5</v>
      </c>
      <c r="N31" s="724">
        <f>M31+'10'!N31</f>
        <v>19965.55</v>
      </c>
      <c r="O31" s="724">
        <f>M31+'10'!O31</f>
        <v>82740.55</v>
      </c>
      <c r="P31" s="724">
        <f>I31+J31+J32-M31</f>
        <v>876.75001683751952</v>
      </c>
      <c r="Q31" s="96">
        <f t="shared" ref="Q31:Q46" si="6">J31/F31</f>
        <v>109.72363636363637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Production2!P13</f>
        <v>0</v>
      </c>
      <c r="G32" s="75">
        <f>F32+'10'!G32</f>
        <v>57.76</v>
      </c>
      <c r="H32" s="75">
        <f>F32+'10'!H32</f>
        <v>464.04999999999995</v>
      </c>
      <c r="I32" s="712"/>
      <c r="J32" s="78">
        <f>Production2!Q13</f>
        <v>0</v>
      </c>
      <c r="K32" s="74">
        <f>J32+'10'!K32</f>
        <v>485.36</v>
      </c>
      <c r="L32" s="74">
        <f>J32+'10'!L32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Production2!S13</f>
        <v>16</v>
      </c>
      <c r="G33" s="75">
        <f>F33+'10'!G33</f>
        <v>157.03</v>
      </c>
      <c r="H33" s="75">
        <f>F33+'10'!H33</f>
        <v>603.40000000000009</v>
      </c>
      <c r="I33" s="77">
        <f>Production2!T13</f>
        <v>44.509999999999906</v>
      </c>
      <c r="J33" s="77">
        <f>Production2!U13</f>
        <v>202.5</v>
      </c>
      <c r="K33" s="74">
        <f>J33+'10'!K33</f>
        <v>2114.8000000000002</v>
      </c>
      <c r="L33" s="74">
        <f>J33+'10'!L33</f>
        <v>8267.5</v>
      </c>
      <c r="M33" s="77">
        <f>Production2!V13</f>
        <v>195</v>
      </c>
      <c r="N33" s="74">
        <f>M33+'10'!N33</f>
        <v>2103</v>
      </c>
      <c r="O33" s="74">
        <f>M33+'10'!O33</f>
        <v>8231</v>
      </c>
      <c r="P33" s="74">
        <f t="shared" ref="P33" si="7">I33+J33-M33</f>
        <v>52.009999999999906</v>
      </c>
      <c r="Q33" s="96">
        <f t="shared" si="6"/>
        <v>12.65625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Production2!Y13</f>
        <v>22.23</v>
      </c>
      <c r="G34" s="75">
        <f>F34+'10'!G34</f>
        <v>231.01</v>
      </c>
      <c r="H34" s="75">
        <f>F34+'10'!H34</f>
        <v>849.28000000000009</v>
      </c>
      <c r="I34" s="77">
        <f>Clinker!EJ13</f>
        <v>27405.073086779757</v>
      </c>
      <c r="J34" s="77">
        <f>Clinker!EK13</f>
        <v>1110</v>
      </c>
      <c r="K34" s="74">
        <f>J34+'10'!K34</f>
        <v>12881</v>
      </c>
      <c r="L34" s="74">
        <f>J34+'10'!L34</f>
        <v>53381</v>
      </c>
      <c r="M34" s="77">
        <f>Clinker!EL13</f>
        <v>1237.880000000001</v>
      </c>
      <c r="N34" s="74">
        <f>M34+'10'!N34</f>
        <v>10523.467000960705</v>
      </c>
      <c r="O34" s="74">
        <f>M34+'10'!O34</f>
        <v>29385.347012846978</v>
      </c>
      <c r="P34" s="74">
        <f>I34+J34-M34-I20</f>
        <v>27277.193086779756</v>
      </c>
      <c r="Q34" s="96">
        <f t="shared" si="6"/>
        <v>49.932523616734144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Production2!AE13</f>
        <v>0</v>
      </c>
      <c r="G35" s="75">
        <f>F35+'10'!G35</f>
        <v>6.8000000000000007</v>
      </c>
      <c r="H35" s="75">
        <f>F35+'10'!H35</f>
        <v>15.8</v>
      </c>
      <c r="I35" s="77">
        <f>Production2!BJ13</f>
        <v>351.29999999999995</v>
      </c>
      <c r="J35" s="77">
        <f>Production2!AF13</f>
        <v>0</v>
      </c>
      <c r="K35" s="74">
        <f>J35+'10'!K35</f>
        <v>400</v>
      </c>
      <c r="L35" s="74">
        <f>J35+'10'!L35</f>
        <v>974</v>
      </c>
      <c r="M35" s="77">
        <f>Production2!BL13</f>
        <v>79</v>
      </c>
      <c r="N35" s="74">
        <f>M35+'10'!N35</f>
        <v>539.5</v>
      </c>
      <c r="O35" s="74">
        <f>M35+'10'!O35</f>
        <v>2934</v>
      </c>
      <c r="P35" s="74">
        <f>I35+J35+J41-M35-F59</f>
        <v>422.29999999999995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Production2!AB13</f>
        <v>10.8</v>
      </c>
      <c r="G36" s="654">
        <f>F36+'10'!G36</f>
        <v>71.45</v>
      </c>
      <c r="H36" s="654">
        <f>F36+'10'!H36</f>
        <v>277.78000000000003</v>
      </c>
      <c r="I36" s="77">
        <f>Production2!BF13</f>
        <v>2382.9179999999797</v>
      </c>
      <c r="J36" s="77">
        <f>Production2!AC13</f>
        <v>612</v>
      </c>
      <c r="K36" s="74">
        <f>J36+'10'!K36</f>
        <v>4314</v>
      </c>
      <c r="L36" s="74">
        <f>J36+'10'!L36</f>
        <v>16743</v>
      </c>
      <c r="M36" s="77">
        <f>Production2!BH13</f>
        <v>1101</v>
      </c>
      <c r="N36" s="74">
        <f>M36+'10'!N36</f>
        <v>10497.369999999999</v>
      </c>
      <c r="O36" s="74">
        <f>M36+'10'!O36</f>
        <v>45665.64</v>
      </c>
      <c r="P36" s="74">
        <f>I36+J36+J42-M36-F57</f>
        <v>2453.9179999999797</v>
      </c>
      <c r="Q36" s="96">
        <f t="shared" si="6"/>
        <v>56.666666666666664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Production2!AH13</f>
        <v>0</v>
      </c>
      <c r="G37" s="654">
        <f>F37+'10'!G37</f>
        <v>0</v>
      </c>
      <c r="H37" s="654">
        <f>F37+'10'!H37</f>
        <v>0</v>
      </c>
      <c r="I37" s="77">
        <f>Production2!BN13</f>
        <v>2.0900000000008498</v>
      </c>
      <c r="J37" s="77">
        <f>Production2!AI13</f>
        <v>0</v>
      </c>
      <c r="K37" s="74">
        <f>J37+'10'!K37</f>
        <v>0</v>
      </c>
      <c r="L37" s="74">
        <f>J37+'10'!L37</f>
        <v>0</v>
      </c>
      <c r="M37" s="77">
        <f>Production2!BP13</f>
        <v>0</v>
      </c>
      <c r="N37" s="74">
        <f>M37+'10'!N37</f>
        <v>0</v>
      </c>
      <c r="O37" s="74">
        <f>M37+'10'!O37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Production2!AK13</f>
        <v>0</v>
      </c>
      <c r="G38" s="654">
        <f>F38+'10'!G38</f>
        <v>3</v>
      </c>
      <c r="H38" s="654">
        <f>F38+'10'!H38</f>
        <v>3</v>
      </c>
      <c r="I38" s="195">
        <f>Production2!BR13</f>
        <v>219.3</v>
      </c>
      <c r="J38" s="195">
        <v>0</v>
      </c>
      <c r="K38" s="74">
        <f>J38+'10'!K38</f>
        <v>180</v>
      </c>
      <c r="L38" s="74">
        <f>J38+'10'!L38</f>
        <v>180</v>
      </c>
      <c r="M38" s="195">
        <f>Production2!BT13</f>
        <v>0</v>
      </c>
      <c r="N38" s="74">
        <f>M38+'10'!N38</f>
        <v>424</v>
      </c>
      <c r="O38" s="74">
        <f>M38+'10'!O38</f>
        <v>2271</v>
      </c>
      <c r="P38" s="74">
        <f>I38+J38+J44-M38-F60</f>
        <v>219.3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459" t="s">
        <v>304</v>
      </c>
      <c r="E39" s="466">
        <v>78</v>
      </c>
      <c r="F39" s="461">
        <f>Production2!AN13</f>
        <v>5.2</v>
      </c>
      <c r="G39" s="654">
        <f>F39+'10'!G39</f>
        <v>20.8</v>
      </c>
      <c r="H39" s="654">
        <f>F39+'10'!H39</f>
        <v>61.45</v>
      </c>
      <c r="I39" s="463">
        <f>Production2!BV13</f>
        <v>736.59000000000026</v>
      </c>
      <c r="J39" s="463">
        <f>Production2!AO13</f>
        <v>300</v>
      </c>
      <c r="K39" s="464">
        <f>J39+'10'!K39</f>
        <v>1215</v>
      </c>
      <c r="L39" s="464">
        <f>J39+'10'!L39</f>
        <v>3747</v>
      </c>
      <c r="M39" s="77">
        <f>Production2!BX13</f>
        <v>211.68</v>
      </c>
      <c r="N39" s="464">
        <f>M39+'10'!N39</f>
        <v>2434.9199999999996</v>
      </c>
      <c r="O39" s="464">
        <f>M39+'10'!O39</f>
        <v>7856.8000000000011</v>
      </c>
      <c r="P39" s="464">
        <f>I39+J39+J45-M39</f>
        <v>824.91000000000008</v>
      </c>
      <c r="Q39" s="96">
        <f t="shared" si="6"/>
        <v>57.692307692307693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16</v>
      </c>
      <c r="G40" s="132">
        <f>G35+G36+G37+G38+G39</f>
        <v>102.05</v>
      </c>
      <c r="H40" s="132">
        <f t="shared" ref="H40" si="8">H35+H36+H37+H38+H39</f>
        <v>358.03000000000003</v>
      </c>
      <c r="I40" s="122">
        <f>I35+I36+I37+I38+I39</f>
        <v>3692.1979999999812</v>
      </c>
      <c r="J40" s="460">
        <f t="shared" ref="J40:O40" si="9">J35+J36+J37+J38+J39</f>
        <v>912</v>
      </c>
      <c r="K40" s="460">
        <f t="shared" si="9"/>
        <v>6109</v>
      </c>
      <c r="L40" s="460">
        <f t="shared" si="9"/>
        <v>21644</v>
      </c>
      <c r="M40" s="460">
        <f t="shared" si="9"/>
        <v>1391.68</v>
      </c>
      <c r="N40" s="460">
        <f t="shared" si="9"/>
        <v>13895.789999999999</v>
      </c>
      <c r="O40" s="460">
        <f t="shared" si="9"/>
        <v>58727.29</v>
      </c>
      <c r="P40" s="460">
        <f>P35+P36+P37+P38+P39</f>
        <v>3922.5179999999809</v>
      </c>
      <c r="Q40" s="123">
        <f t="shared" si="6"/>
        <v>57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Production2!AT13</f>
        <v>2.5</v>
      </c>
      <c r="G41" s="75">
        <f>F41+'10'!G41</f>
        <v>2.5</v>
      </c>
      <c r="H41" s="75">
        <f>F41+'10'!H41</f>
        <v>35.599999999999994</v>
      </c>
      <c r="I41" s="710"/>
      <c r="J41" s="77">
        <f>Production2!AU13</f>
        <v>150</v>
      </c>
      <c r="K41" s="74">
        <f>J41+'10'!K41</f>
        <v>150</v>
      </c>
      <c r="L41" s="74">
        <f>J41+'10'!L41</f>
        <v>2150</v>
      </c>
      <c r="M41" s="713"/>
      <c r="N41" s="714"/>
      <c r="O41" s="714"/>
      <c r="P41" s="715"/>
      <c r="Q41" s="96">
        <f t="shared" si="6"/>
        <v>60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Production2!AQ13</f>
        <v>10.08</v>
      </c>
      <c r="G42" s="75">
        <f>F42+'10'!G42</f>
        <v>101.62</v>
      </c>
      <c r="H42" s="75">
        <f>F42+'10'!H42</f>
        <v>517.62</v>
      </c>
      <c r="I42" s="711"/>
      <c r="J42" s="77">
        <f>Production2!AR13</f>
        <v>560</v>
      </c>
      <c r="K42" s="74">
        <f>J42+'10'!K42</f>
        <v>5958</v>
      </c>
      <c r="L42" s="74">
        <f>J42+'10'!L42</f>
        <v>30098</v>
      </c>
      <c r="M42" s="716"/>
      <c r="N42" s="867"/>
      <c r="O42" s="867"/>
      <c r="P42" s="718"/>
      <c r="Q42" s="96">
        <f t="shared" si="6"/>
        <v>55.555555555555557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Production2!AW13</f>
        <v>0</v>
      </c>
      <c r="G43" s="75">
        <f>F43+'10'!G43</f>
        <v>0</v>
      </c>
      <c r="H43" s="75">
        <f>F43+'10'!H43</f>
        <v>0</v>
      </c>
      <c r="I43" s="711"/>
      <c r="J43" s="77">
        <f>Production2!AX13</f>
        <v>0</v>
      </c>
      <c r="K43" s="74">
        <f>J43+'10'!K43</f>
        <v>0</v>
      </c>
      <c r="L43" s="74">
        <f>J43+'10'!L43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Production2!AZ13</f>
        <v>0</v>
      </c>
      <c r="G44" s="75">
        <f>F44+'10'!G44</f>
        <v>5</v>
      </c>
      <c r="H44" s="75">
        <f>F44+'10'!H44</f>
        <v>37.880000000000003</v>
      </c>
      <c r="I44" s="712"/>
      <c r="J44" s="195">
        <f>Production2!BA13</f>
        <v>0</v>
      </c>
      <c r="K44" s="74">
        <f>J44+'10'!K44</f>
        <v>277</v>
      </c>
      <c r="L44" s="74">
        <f>J44+'10'!L44</f>
        <v>2097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459" t="s">
        <v>304</v>
      </c>
      <c r="E45" s="466">
        <v>70</v>
      </c>
      <c r="F45" s="461">
        <f>Production2!BC13</f>
        <v>0</v>
      </c>
      <c r="G45" s="462">
        <f>F45+'10'!G45</f>
        <v>21.45</v>
      </c>
      <c r="H45" s="462">
        <f>F45+'10'!H45</f>
        <v>76.42</v>
      </c>
      <c r="I45" s="465"/>
      <c r="J45" s="463">
        <f>Production2!BD13</f>
        <v>0</v>
      </c>
      <c r="K45" s="464">
        <f>J45+'10'!K45</f>
        <v>1289</v>
      </c>
      <c r="L45" s="464">
        <f>J45+'10'!L45</f>
        <v>4561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12.58</v>
      </c>
      <c r="G46" s="132">
        <f t="shared" ref="G46:H46" si="10">G41+G42+G43+G44+G45</f>
        <v>130.57</v>
      </c>
      <c r="H46" s="132">
        <f t="shared" si="10"/>
        <v>667.52</v>
      </c>
      <c r="I46" s="132"/>
      <c r="J46" s="122">
        <f>J41+J42+J43+J44+J45</f>
        <v>710</v>
      </c>
      <c r="K46" s="460">
        <f t="shared" ref="K46:L46" si="11">K41+K42+K43+K44+K45</f>
        <v>7674</v>
      </c>
      <c r="L46" s="460">
        <f t="shared" si="11"/>
        <v>38906</v>
      </c>
      <c r="M46" s="132"/>
      <c r="N46" s="132"/>
      <c r="O46" s="132"/>
      <c r="P46" s="132"/>
      <c r="Q46" s="123">
        <f t="shared" si="6"/>
        <v>56.43879173290938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0.89375131005892328</v>
      </c>
      <c r="F50" s="99">
        <f>F53/(J31+J32)</f>
        <v>24.430525176200259</v>
      </c>
      <c r="G50" s="99">
        <v>0</v>
      </c>
      <c r="H50" s="99">
        <f>H53/J34</f>
        <v>39.48918918918919</v>
      </c>
      <c r="I50" s="99">
        <f>I53/J33</f>
        <v>63.733333333333334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17.567567567567568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1.5097150507752084</v>
      </c>
      <c r="F51" s="102">
        <f>F50*1.55</f>
        <v>37.867314023110403</v>
      </c>
      <c r="G51" s="102">
        <f>G50*1.55</f>
        <v>0</v>
      </c>
      <c r="H51" s="102">
        <f>H50</f>
        <v>39.48918918918919</v>
      </c>
      <c r="I51" s="102">
        <f>I50*(Q50/100)</f>
        <v>11.196396396396397</v>
      </c>
      <c r="J51" s="102"/>
      <c r="K51" s="102"/>
      <c r="L51" s="102"/>
      <c r="M51" s="96"/>
      <c r="N51" s="307">
        <f>SUM(E51:I51)</f>
        <v>90.062614659471194</v>
      </c>
      <c r="O51" s="728" t="s">
        <v>277</v>
      </c>
      <c r="P51" s="728"/>
      <c r="Q51" s="104">
        <v>5363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1.15218623122911</v>
      </c>
      <c r="F52" s="102">
        <f>F51*M18/100</f>
        <v>28.89962434212574</v>
      </c>
      <c r="G52" s="102">
        <f>G51*M18/100</f>
        <v>0</v>
      </c>
      <c r="H52" s="102">
        <f>H51*M18/100</f>
        <v>30.137409071216744</v>
      </c>
      <c r="I52" s="102">
        <f>I51*M18/100</f>
        <v>8.5448798835827269</v>
      </c>
      <c r="J52" s="99">
        <f>J53/(J40+J46)</f>
        <v>46.842170160295929</v>
      </c>
      <c r="K52" s="99">
        <f>K53/(J46+J40)</f>
        <v>0.99445129469790383</v>
      </c>
      <c r="L52" s="99">
        <f>L53/(M40)</f>
        <v>4.0267877673028281</v>
      </c>
      <c r="M52" s="96">
        <f>M53/(J46+J40)</f>
        <v>3.0819975339087544</v>
      </c>
      <c r="N52" s="307">
        <f>SUM(E52:M52)</f>
        <v>123.67950628435975</v>
      </c>
      <c r="O52" s="728" t="s">
        <v>279</v>
      </c>
      <c r="P52" s="728"/>
      <c r="Q52" s="104">
        <f>Q51*Q50/100</f>
        <v>942.14864864864865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unit'!B13</f>
        <v>1535</v>
      </c>
      <c r="F53" s="118">
        <f>'Daily unit'!C13</f>
        <v>44230</v>
      </c>
      <c r="G53" s="118">
        <f>'Daily unit'!D13</f>
        <v>0</v>
      </c>
      <c r="H53" s="118">
        <f>'Daily unit'!E13</f>
        <v>43833</v>
      </c>
      <c r="I53" s="118">
        <f>'Daily unit'!F13</f>
        <v>12906</v>
      </c>
      <c r="J53" s="118">
        <f>'Daily unit'!G13</f>
        <v>75978</v>
      </c>
      <c r="K53" s="118">
        <f>'Daily unit'!H13</f>
        <v>1613</v>
      </c>
      <c r="L53" s="118">
        <f>'Daily unit'!I13</f>
        <v>5604</v>
      </c>
      <c r="M53" s="119">
        <f>'Daily unit'!J13</f>
        <v>4999</v>
      </c>
      <c r="N53" s="318">
        <f>SUM(E53:M53)</f>
        <v>190698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45">
        <v>1</v>
      </c>
      <c r="C57" s="812" t="s">
        <v>285</v>
      </c>
      <c r="D57" s="813"/>
      <c r="E57" s="80">
        <v>42.5</v>
      </c>
      <c r="F57" s="53">
        <f>'Internal use cement'!F13</f>
        <v>0</v>
      </c>
      <c r="G57" s="53">
        <f>F57+'10'!G57</f>
        <v>0</v>
      </c>
      <c r="H57" s="104">
        <f>F57+'10'!H57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46"/>
      <c r="C58" s="814"/>
      <c r="D58" s="815"/>
      <c r="E58" s="80" t="s">
        <v>195</v>
      </c>
      <c r="F58" s="53">
        <f>'Internal use cement'!Q13</f>
        <v>0</v>
      </c>
      <c r="G58" s="53">
        <f>F58+'10'!G58</f>
        <v>0</v>
      </c>
      <c r="H58" s="104">
        <f>F58+'10'!H58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46"/>
      <c r="C59" s="814"/>
      <c r="D59" s="815"/>
      <c r="E59" s="80">
        <v>32.5</v>
      </c>
      <c r="F59" s="53">
        <f>'Internal use cement'!AB13</f>
        <v>0</v>
      </c>
      <c r="G59" s="53">
        <f>F59+'10'!G59</f>
        <v>0</v>
      </c>
      <c r="H59" s="104">
        <f>F59+'10'!H59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47"/>
      <c r="C60" s="816"/>
      <c r="D60" s="817"/>
      <c r="E60" s="213" t="s">
        <v>175</v>
      </c>
      <c r="F60" s="113">
        <f>'Internal use cement'!AJ13</f>
        <v>0</v>
      </c>
      <c r="G60" s="220">
        <f>F60+'10'!G60</f>
        <v>0</v>
      </c>
      <c r="H60" s="114">
        <f>F60+'10'!H60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3">
    <mergeCell ref="M41:P45"/>
    <mergeCell ref="I31:I32"/>
    <mergeCell ref="M31:M32"/>
    <mergeCell ref="N31:N32"/>
    <mergeCell ref="O31:O32"/>
    <mergeCell ref="P31:P32"/>
    <mergeCell ref="B41:B46"/>
    <mergeCell ref="C41:C46"/>
    <mergeCell ref="I41:I44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C10:D10"/>
    <mergeCell ref="B14:B16"/>
    <mergeCell ref="C14:C16"/>
    <mergeCell ref="C8:Q8"/>
    <mergeCell ref="C11:D11"/>
    <mergeCell ref="C12:D12"/>
    <mergeCell ref="C13:D13"/>
    <mergeCell ref="P13:Q13"/>
    <mergeCell ref="N6:N7"/>
    <mergeCell ref="O6:O7"/>
    <mergeCell ref="P6:P7"/>
    <mergeCell ref="Q6:Q7"/>
    <mergeCell ref="O9:O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C31:D31"/>
    <mergeCell ref="C33:D33"/>
    <mergeCell ref="C34:D34"/>
    <mergeCell ref="B35:B40"/>
    <mergeCell ref="C35:C40"/>
    <mergeCell ref="C32:D32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C57:D60"/>
    <mergeCell ref="B57:B60"/>
    <mergeCell ref="B55:H55"/>
    <mergeCell ref="C56:E56"/>
    <mergeCell ref="I55:Q60"/>
  </mergeCells>
  <pageMargins left="0" right="0" top="0.75" bottom="0.75" header="0.3" footer="0.3"/>
  <pageSetup paperSize="9" scale="5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/>
  <dimension ref="B2:U156"/>
  <sheetViews>
    <sheetView zoomScale="90" zoomScaleNormal="90" workbookViewId="0">
      <pane xSplit="4" ySplit="1" topLeftCell="E23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42578125" style="68" bestFit="1" customWidth="1"/>
    <col min="11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331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 t="s">
        <v>293</v>
      </c>
      <c r="N5" s="140" t="s">
        <v>294</v>
      </c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73" t="s">
        <v>242</v>
      </c>
      <c r="D9" s="73" t="s">
        <v>29</v>
      </c>
      <c r="E9" s="74">
        <f>'11'!L9</f>
        <v>23166.395038109345</v>
      </c>
      <c r="F9" s="74">
        <f>Production2!D14</f>
        <v>2817.34</v>
      </c>
      <c r="G9" s="74">
        <f>F9+'11'!G9</f>
        <v>36102.720000000001</v>
      </c>
      <c r="H9" s="74">
        <f>F9+'11'!H9</f>
        <v>101088.42000000001</v>
      </c>
      <c r="I9" s="74">
        <f>Production2!E14</f>
        <v>1841</v>
      </c>
      <c r="J9" s="74">
        <f>I9+'11'!J9</f>
        <v>21792</v>
      </c>
      <c r="K9" s="74">
        <f>I9+'11'!K9</f>
        <v>88679</v>
      </c>
      <c r="L9" s="74">
        <f>E9+F9-I9-I21</f>
        <v>23816.957260331568</v>
      </c>
      <c r="M9" s="75">
        <f>I9</f>
        <v>1841</v>
      </c>
      <c r="N9" s="75">
        <f>(I9/I13)*100</f>
        <v>93.168016194331983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(2)'!L14</f>
        <v>2488.5600000000004</v>
      </c>
      <c r="F10" s="77">
        <f>'Mines (2)'!M14</f>
        <v>83</v>
      </c>
      <c r="G10" s="74">
        <f>F10+'11'!G10</f>
        <v>2263.0600000000009</v>
      </c>
      <c r="H10" s="74">
        <f>F10+'11'!H10</f>
        <v>3614.5200000000004</v>
      </c>
      <c r="I10" s="77">
        <f>'Mines (2)'!N14</f>
        <v>68</v>
      </c>
      <c r="J10" s="74">
        <f>I10+'11'!J10</f>
        <v>706</v>
      </c>
      <c r="K10" s="74">
        <f>I10+'11'!K10</f>
        <v>1235</v>
      </c>
      <c r="L10" s="77">
        <f t="shared" ref="L10:L13" si="0">E10+F10-I10</f>
        <v>2503.5600000000004</v>
      </c>
      <c r="M10" s="75">
        <f t="shared" ref="M10:M12" si="1">I10</f>
        <v>68</v>
      </c>
      <c r="N10" s="75">
        <f>(I10/I13)*100</f>
        <v>3.4412955465587043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Clinker!C14</f>
        <v>3818.3</v>
      </c>
      <c r="F11" s="77">
        <f>Clinker!D14</f>
        <v>0</v>
      </c>
      <c r="G11" s="74">
        <f>F11+'11'!G11</f>
        <v>287.96000000000004</v>
      </c>
      <c r="H11" s="74">
        <f>F11+'11'!H11</f>
        <v>357.66</v>
      </c>
      <c r="I11" s="77">
        <f>Clinker!E14</f>
        <v>53</v>
      </c>
      <c r="J11" s="74">
        <f>I11+'11'!J11</f>
        <v>521</v>
      </c>
      <c r="K11" s="74">
        <f>I11+'11'!K11</f>
        <v>1958</v>
      </c>
      <c r="L11" s="77">
        <f t="shared" si="0"/>
        <v>3765.3</v>
      </c>
      <c r="M11" s="75">
        <f t="shared" si="1"/>
        <v>53</v>
      </c>
      <c r="N11" s="75">
        <f>(I11/I13)*100</f>
        <v>2.6821862348178138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(2)'!Q14</f>
        <v>15.039999999999964</v>
      </c>
      <c r="F12" s="77">
        <f>'Mines (2)'!R14</f>
        <v>0</v>
      </c>
      <c r="G12" s="74">
        <f>F12+'11'!G12</f>
        <v>0</v>
      </c>
      <c r="H12" s="74">
        <f>F12+'11'!H12</f>
        <v>137.76</v>
      </c>
      <c r="I12" s="77">
        <f>'Mines (2)'!S14</f>
        <v>14</v>
      </c>
      <c r="J12" s="74">
        <f>I12+'11'!J12</f>
        <v>190</v>
      </c>
      <c r="K12" s="74">
        <f>I12+'11'!K12</f>
        <v>737</v>
      </c>
      <c r="L12" s="77">
        <f t="shared" si="0"/>
        <v>1.0399999999999636</v>
      </c>
      <c r="M12" s="75">
        <f t="shared" si="1"/>
        <v>14</v>
      </c>
      <c r="N12" s="75">
        <f>(I12/I13)*100</f>
        <v>0.708502024291498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29488.295038109347</v>
      </c>
      <c r="F13" s="127">
        <f t="shared" si="2"/>
        <v>2900.34</v>
      </c>
      <c r="G13" s="127">
        <f t="shared" si="2"/>
        <v>38653.74</v>
      </c>
      <c r="H13" s="127">
        <f t="shared" si="2"/>
        <v>105198.36000000002</v>
      </c>
      <c r="I13" s="127">
        <f t="shared" si="2"/>
        <v>1976</v>
      </c>
      <c r="J13" s="127">
        <f t="shared" si="2"/>
        <v>23209</v>
      </c>
      <c r="K13" s="127">
        <f t="shared" si="2"/>
        <v>92609</v>
      </c>
      <c r="L13" s="127">
        <f t="shared" si="0"/>
        <v>30412.635038109347</v>
      </c>
      <c r="M13" s="128">
        <f>SUM(M9:M12)</f>
        <v>1976</v>
      </c>
      <c r="N13" s="128">
        <f>SUM(N9:N12)</f>
        <v>100.00000000000001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Clinker!EB14</f>
        <v>5502.6769999999906</v>
      </c>
      <c r="F14" s="77">
        <f>Clinker!EC14</f>
        <v>0</v>
      </c>
      <c r="G14" s="77">
        <f>F14+'11'!G14</f>
        <v>0</v>
      </c>
      <c r="H14" s="77">
        <f>F14+'11'!H14</f>
        <v>181.5</v>
      </c>
      <c r="I14" s="77">
        <f>Clinker!ED14</f>
        <v>235</v>
      </c>
      <c r="J14" s="77">
        <f>I14+'11'!J14</f>
        <v>2584.79</v>
      </c>
      <c r="K14" s="77">
        <f>I14+'11'!K14</f>
        <v>9421.09</v>
      </c>
      <c r="L14" s="77">
        <f>E14+F14-I14-Clinker!N14-Clinker!Z14-Clinker!AS14-Clinker!AX14-Clinker!BC14-Clinker!BW14-Clinker!BR14-Clinker!DA14-Clinker!DP14-Clinker!DU14</f>
        <v>5267.6769999999906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234"/>
    </row>
    <row r="15" spans="2:21" x14ac:dyDescent="0.25">
      <c r="B15" s="763"/>
      <c r="C15" s="775"/>
      <c r="D15" s="80" t="s">
        <v>68</v>
      </c>
      <c r="E15" s="77">
        <f>Clinker!EF14</f>
        <v>10018.199999999993</v>
      </c>
      <c r="F15" s="77">
        <f>Clinker!EG14</f>
        <v>59.3</v>
      </c>
      <c r="G15" s="77">
        <f>F15+'11'!G15</f>
        <v>1062.8</v>
      </c>
      <c r="H15" s="77">
        <f>F15+'11'!H15</f>
        <v>1217.8500000000001</v>
      </c>
      <c r="I15" s="77">
        <f>Clinker!EH14</f>
        <v>138</v>
      </c>
      <c r="J15" s="77">
        <f>I15+'11'!J15</f>
        <v>1522</v>
      </c>
      <c r="K15" s="77">
        <f>I15+'11'!K15</f>
        <v>5391</v>
      </c>
      <c r="L15" s="77">
        <f>E15+F15-Clinker!AE14-Clinker!AJ14-Clinker!CL14-Clinker!CQ14-Clinker!CG14</f>
        <v>9939.4999999999927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SUM(E14:E15)</f>
        <v>15520.876999999984</v>
      </c>
      <c r="F16" s="125">
        <f t="shared" ref="F16:L16" si="3">SUM(F14:F15)</f>
        <v>59.3</v>
      </c>
      <c r="G16" s="125">
        <f t="shared" si="3"/>
        <v>1062.8</v>
      </c>
      <c r="H16" s="125">
        <f t="shared" si="3"/>
        <v>1399.3500000000001</v>
      </c>
      <c r="I16" s="125">
        <f t="shared" si="3"/>
        <v>373</v>
      </c>
      <c r="J16" s="125">
        <f t="shared" si="3"/>
        <v>4106.79</v>
      </c>
      <c r="K16" s="125">
        <f t="shared" si="3"/>
        <v>14812.09</v>
      </c>
      <c r="L16" s="125">
        <f t="shared" si="3"/>
        <v>15207.176999999983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Clinker!EJ14</f>
        <v>27277.193086779756</v>
      </c>
      <c r="F18" s="74">
        <f>Clinker!EK14</f>
        <v>1215</v>
      </c>
      <c r="G18" s="74">
        <f>F18+'11'!G18</f>
        <v>14096</v>
      </c>
      <c r="H18" s="74">
        <f>F18+'11'!H18</f>
        <v>54596</v>
      </c>
      <c r="I18" s="74">
        <f>Clinker!EL14</f>
        <v>1092.3400000000001</v>
      </c>
      <c r="J18" s="74">
        <f>I18+'11'!J18</f>
        <v>11615.807000960705</v>
      </c>
      <c r="K18" s="74">
        <f>I18+'11'!K18</f>
        <v>30477.687012846978</v>
      </c>
      <c r="L18" s="74">
        <f>E18+F18-I18-I20</f>
        <v>27399.853086779756</v>
      </c>
      <c r="M18" s="783">
        <f>((I18+I19)/(J40+J46))*100</f>
        <v>74.81780821917809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Clinker!EO14</f>
        <v>5306.1090080001359</v>
      </c>
      <c r="F19" s="74">
        <f>Clinker!EP14</f>
        <v>0</v>
      </c>
      <c r="G19" s="74">
        <f>F19+'11'!G19</f>
        <v>150.78</v>
      </c>
      <c r="H19" s="74">
        <f>F19+'11'!H19</f>
        <v>13390.660000000003</v>
      </c>
      <c r="I19" s="74">
        <f>Clinker!EQ14</f>
        <v>0</v>
      </c>
      <c r="J19" s="74">
        <f>I19+'11'!J19</f>
        <v>0</v>
      </c>
      <c r="K19" s="74">
        <f>I19+'11'!K19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190"/>
      <c r="S19" s="20"/>
    </row>
    <row r="20" spans="2:19" ht="30" x14ac:dyDescent="0.25">
      <c r="B20" s="763"/>
      <c r="C20" s="764"/>
      <c r="D20" s="86" t="s">
        <v>249</v>
      </c>
      <c r="E20" s="77"/>
      <c r="F20" s="77">
        <f>Clinker!EN14</f>
        <v>0</v>
      </c>
      <c r="G20" s="74">
        <f>F20+'11'!G20</f>
        <v>0</v>
      </c>
      <c r="H20" s="74">
        <f>F20+'11'!H20</f>
        <v>0</v>
      </c>
      <c r="I20" s="77">
        <f>Clinker!EN14</f>
        <v>0</v>
      </c>
      <c r="J20" s="74">
        <f>I20+'11'!J20</f>
        <v>0</v>
      </c>
      <c r="K20" s="74">
        <f>I20+'11'!K20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/>
      <c r="F21" s="77"/>
      <c r="G21" s="74"/>
      <c r="H21" s="74"/>
      <c r="I21" s="77">
        <f>Cement!S14</f>
        <v>325.77777777777771</v>
      </c>
      <c r="J21" s="74">
        <f>I21+'11'!J21</f>
        <v>3065.5144442900396</v>
      </c>
      <c r="K21" s="74">
        <f>I21+'11'!K21</f>
        <v>11697.334436852276</v>
      </c>
      <c r="L21" s="74"/>
      <c r="M21" s="78">
        <f>(I21/(J40+J46))*100</f>
        <v>22.31354642313546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Cement!C14</f>
        <v>6395.3100644631231</v>
      </c>
      <c r="F22" s="77">
        <f>Cement!D14</f>
        <v>0</v>
      </c>
      <c r="G22" s="74">
        <f>F22+'11'!G22</f>
        <v>30.12</v>
      </c>
      <c r="H22" s="74">
        <f>F22+'11'!H22</f>
        <v>2001.02</v>
      </c>
      <c r="I22" s="77">
        <f>Cement!F14</f>
        <v>78.378947368421052</v>
      </c>
      <c r="J22" s="74">
        <f>I22+'11'!J22</f>
        <v>790.26894650357895</v>
      </c>
      <c r="K22" s="74">
        <f>I22+'11'!K22</f>
        <v>3129.4689420550781</v>
      </c>
      <c r="L22" s="74">
        <f t="shared" ref="L22:L24" si="4">E22+F22-I22</f>
        <v>6316.9311170947021</v>
      </c>
      <c r="M22" s="78">
        <f>(I22/(J40+J46))*100</f>
        <v>5.3684210526315788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Cement!H14</f>
        <v>0.23999999999796273</v>
      </c>
      <c r="F23" s="77">
        <f>Cement!I14</f>
        <v>0</v>
      </c>
      <c r="G23" s="74">
        <f>F23+'11'!G23</f>
        <v>0</v>
      </c>
      <c r="H23" s="74">
        <f>F23+'11'!H23</f>
        <v>0</v>
      </c>
      <c r="I23" s="77">
        <f>Cement!J14</f>
        <v>0</v>
      </c>
      <c r="J23" s="74">
        <f>I23+'11'!J23</f>
        <v>0</v>
      </c>
      <c r="K23" s="74">
        <f>I23+'11'!K23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Cement!L14</f>
        <v>0</v>
      </c>
      <c r="F24" s="77">
        <f>Cement!M14</f>
        <v>0</v>
      </c>
      <c r="G24" s="74">
        <f>F24+'11'!G24</f>
        <v>0</v>
      </c>
      <c r="H24" s="74">
        <f>F24+'11'!H24</f>
        <v>0</v>
      </c>
      <c r="I24" s="77">
        <f>Cement!N14</f>
        <v>0</v>
      </c>
      <c r="J24" s="74">
        <f>I24+'11'!J24</f>
        <v>0</v>
      </c>
      <c r="K24" s="74">
        <f>I24+'11'!K24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38978.852159243012</v>
      </c>
      <c r="F25" s="122">
        <f t="shared" ref="F25:L25" si="5">F18+F19+F21+F22+F23+F24</f>
        <v>1215</v>
      </c>
      <c r="G25" s="122">
        <f t="shared" si="5"/>
        <v>14276.900000000001</v>
      </c>
      <c r="H25" s="122">
        <f t="shared" si="5"/>
        <v>69987.680000000008</v>
      </c>
      <c r="I25" s="122">
        <f t="shared" si="5"/>
        <v>1496.496725146199</v>
      </c>
      <c r="J25" s="122">
        <f t="shared" si="5"/>
        <v>15471.590391754324</v>
      </c>
      <c r="K25" s="122">
        <f t="shared" si="5"/>
        <v>62238.590391754333</v>
      </c>
      <c r="L25" s="122">
        <f t="shared" si="5"/>
        <v>39023.133211874592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Production2!C14</f>
        <v>20.05</v>
      </c>
      <c r="G30" s="75">
        <f>F30+'11'!G30</f>
        <v>196.99</v>
      </c>
      <c r="H30" s="75">
        <f>F30+'11'!H30</f>
        <v>629.47000000000014</v>
      </c>
      <c r="I30" s="74">
        <f>'Mines (2)'!C14+'Mines (2)'!H14+'Mines (2)'!V14+'Mines (2)'!Z14+'Mines (2)'!AD14</f>
        <v>23166.395038109338</v>
      </c>
      <c r="J30" s="74">
        <f>Production2!D14</f>
        <v>2817.34</v>
      </c>
      <c r="K30" s="74">
        <f>J30+'11'!K30</f>
        <v>36102.720000000001</v>
      </c>
      <c r="L30" s="74">
        <f>J30+'11'!L30</f>
        <v>101088.42000000001</v>
      </c>
      <c r="M30" s="74">
        <f>I9+I21</f>
        <v>2166.7777777777778</v>
      </c>
      <c r="N30" s="74">
        <f>M30+'11'!N30</f>
        <v>24857.514444290038</v>
      </c>
      <c r="O30" s="74">
        <f>M30+'11'!O30</f>
        <v>100376.3344368523</v>
      </c>
      <c r="P30" s="74">
        <f>I30+J30-M30</f>
        <v>23816.957260331561</v>
      </c>
      <c r="Q30" s="93">
        <f>J30/F30</f>
        <v>140.51571072319203</v>
      </c>
      <c r="R30" s="94"/>
      <c r="S30" s="94"/>
    </row>
    <row r="31" spans="2:19" x14ac:dyDescent="0.25">
      <c r="B31" s="79">
        <v>2</v>
      </c>
      <c r="C31" s="725" t="s">
        <v>295</v>
      </c>
      <c r="D31" s="726"/>
      <c r="E31" s="95">
        <v>120</v>
      </c>
      <c r="F31" s="78">
        <f>Production2!G14</f>
        <v>16.07</v>
      </c>
      <c r="G31" s="75">
        <f>F31+'11'!G31</f>
        <v>187.84</v>
      </c>
      <c r="H31" s="75">
        <f>F31+'11'!H31</f>
        <v>681.06</v>
      </c>
      <c r="I31" s="724">
        <f>Production2!H14</f>
        <v>876.75001683751952</v>
      </c>
      <c r="J31" s="78">
        <f>Production2!N14</f>
        <v>1779.99</v>
      </c>
      <c r="K31" s="74">
        <f>J31+'11'!K31</f>
        <v>20418.810000000001</v>
      </c>
      <c r="L31" s="74">
        <f>J31+'11'!L31</f>
        <v>79275.960000000021</v>
      </c>
      <c r="M31" s="724">
        <f>Production2!K14</f>
        <v>1883.25</v>
      </c>
      <c r="N31" s="724">
        <f>M31+'11'!N31</f>
        <v>21848.799999999999</v>
      </c>
      <c r="O31" s="724">
        <f>M31+'11'!O31</f>
        <v>84623.8</v>
      </c>
      <c r="P31" s="724">
        <f>I31+J31+J32-M31</f>
        <v>773.49001683751976</v>
      </c>
      <c r="Q31" s="96">
        <f t="shared" ref="Q31:Q46" si="6">J31/F31</f>
        <v>110.76477909147479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Production2!P14</f>
        <v>0</v>
      </c>
      <c r="G32" s="75">
        <f>F32+'11'!G32</f>
        <v>57.76</v>
      </c>
      <c r="H32" s="75">
        <f>F32+'11'!H32</f>
        <v>464.04999999999995</v>
      </c>
      <c r="I32" s="712"/>
      <c r="J32" s="78">
        <f>Production2!Q14</f>
        <v>0</v>
      </c>
      <c r="K32" s="74">
        <f>J32+'11'!K32</f>
        <v>485.36</v>
      </c>
      <c r="L32" s="74">
        <f>J32+'11'!L32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Production2!S14</f>
        <v>16</v>
      </c>
      <c r="G33" s="75">
        <f>F33+'11'!G33</f>
        <v>173.03</v>
      </c>
      <c r="H33" s="75">
        <f>F33+'11'!H33</f>
        <v>619.40000000000009</v>
      </c>
      <c r="I33" s="77">
        <f>Production2!T14</f>
        <v>52.009999999999906</v>
      </c>
      <c r="J33" s="77">
        <f>Production2!U14</f>
        <v>211.5</v>
      </c>
      <c r="K33" s="74">
        <f>J33+'11'!K33</f>
        <v>2326.3000000000002</v>
      </c>
      <c r="L33" s="74">
        <f>J33+'11'!L33</f>
        <v>8479</v>
      </c>
      <c r="M33" s="77">
        <f>Production2!V14</f>
        <v>210</v>
      </c>
      <c r="N33" s="74">
        <f>M33+'11'!N33</f>
        <v>2313</v>
      </c>
      <c r="O33" s="74">
        <f>M33+'11'!O33</f>
        <v>8441</v>
      </c>
      <c r="P33" s="74">
        <f t="shared" ref="P33" si="7">I33+J33-M33</f>
        <v>53.509999999999877</v>
      </c>
      <c r="Q33" s="96">
        <f t="shared" si="6"/>
        <v>13.21875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Production2!Y14</f>
        <v>24</v>
      </c>
      <c r="G34" s="75">
        <f>F34+'11'!G34</f>
        <v>255.01</v>
      </c>
      <c r="H34" s="75">
        <f>F34+'11'!H34</f>
        <v>873.28000000000009</v>
      </c>
      <c r="I34" s="77">
        <f>Clinker!EJ14</f>
        <v>27277.193086779756</v>
      </c>
      <c r="J34" s="77">
        <f>Clinker!EK14</f>
        <v>1215</v>
      </c>
      <c r="K34" s="74">
        <f>J34+'11'!K34</f>
        <v>14096</v>
      </c>
      <c r="L34" s="74">
        <f>J34+'11'!L34</f>
        <v>54596</v>
      </c>
      <c r="M34" s="77">
        <f>Clinker!EL14</f>
        <v>1092.3400000000001</v>
      </c>
      <c r="N34" s="74">
        <f>M34+'11'!N34</f>
        <v>11615.807000960705</v>
      </c>
      <c r="O34" s="74">
        <f>M34+'11'!O34</f>
        <v>30477.687012846978</v>
      </c>
      <c r="P34" s="74">
        <f>I34+J34-M34-I20</f>
        <v>27399.853086779756</v>
      </c>
      <c r="Q34" s="96">
        <f t="shared" si="6"/>
        <v>50.625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Production2!AE14</f>
        <v>0</v>
      </c>
      <c r="G35" s="75">
        <f>F35+'11'!G35</f>
        <v>6.8000000000000007</v>
      </c>
      <c r="H35" s="75">
        <f>F35+'11'!H35</f>
        <v>15.8</v>
      </c>
      <c r="I35" s="77">
        <f>Production2!BJ14</f>
        <v>422.29999999999995</v>
      </c>
      <c r="J35" s="77">
        <f>Production2!AF14</f>
        <v>0</v>
      </c>
      <c r="K35" s="74">
        <f>J35+'11'!K35</f>
        <v>400</v>
      </c>
      <c r="L35" s="74">
        <f>J35+'11'!L35</f>
        <v>974</v>
      </c>
      <c r="M35" s="77">
        <f>Production2!BL14</f>
        <v>0</v>
      </c>
      <c r="N35" s="74">
        <f>M35+'11'!N35</f>
        <v>539.5</v>
      </c>
      <c r="O35" s="74">
        <f>M35+'11'!O35</f>
        <v>2934</v>
      </c>
      <c r="P35" s="74">
        <f>I35+J41+J35-M35-F59</f>
        <v>422.29999999999995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Production2!AB14</f>
        <v>2.0299999999999998</v>
      </c>
      <c r="G36" s="654">
        <f>F36+'11'!G36</f>
        <v>73.48</v>
      </c>
      <c r="H36" s="654">
        <f>F36+'11'!H36</f>
        <v>279.81</v>
      </c>
      <c r="I36" s="77">
        <f>Production2!BF14</f>
        <v>2453.9179999999797</v>
      </c>
      <c r="J36" s="77">
        <f>Production2!AC14</f>
        <v>110</v>
      </c>
      <c r="K36" s="74">
        <f>J36+'11'!K36</f>
        <v>4424</v>
      </c>
      <c r="L36" s="74">
        <f>J36+'11'!L36</f>
        <v>16853</v>
      </c>
      <c r="M36" s="77">
        <f>Production2!BH14</f>
        <v>1479.5</v>
      </c>
      <c r="N36" s="74">
        <f>M36+'11'!N36</f>
        <v>11976.869999999999</v>
      </c>
      <c r="O36" s="74">
        <f>M36+'11'!O36</f>
        <v>47145.14</v>
      </c>
      <c r="P36" s="74">
        <f>I36+J42+J36-M36-F57</f>
        <v>2084.4179999999797</v>
      </c>
      <c r="Q36" s="96">
        <f t="shared" si="6"/>
        <v>54.187192118226605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Production2!AH14</f>
        <v>0</v>
      </c>
      <c r="G37" s="654">
        <f>F37+'11'!G37</f>
        <v>0</v>
      </c>
      <c r="H37" s="654">
        <f>F37+'11'!H37</f>
        <v>0</v>
      </c>
      <c r="I37" s="77">
        <f>Production2!BN14</f>
        <v>2.0900000000008498</v>
      </c>
      <c r="J37" s="77">
        <f>Production2!AI14</f>
        <v>0</v>
      </c>
      <c r="K37" s="74">
        <f>J37+'11'!K37</f>
        <v>0</v>
      </c>
      <c r="L37" s="74">
        <f>J37+'11'!L37</f>
        <v>0</v>
      </c>
      <c r="M37" s="77">
        <f>Production2!BP14</f>
        <v>0</v>
      </c>
      <c r="N37" s="74">
        <f>M37+'11'!N37</f>
        <v>0</v>
      </c>
      <c r="O37" s="74">
        <f>M37+'11'!O37</f>
        <v>-0.15</v>
      </c>
      <c r="P37" s="74">
        <f>I37+J43+J37-M37-F58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Production2!AK14</f>
        <v>0</v>
      </c>
      <c r="G38" s="654">
        <f>F38+'11'!G38</f>
        <v>3</v>
      </c>
      <c r="H38" s="654">
        <f>F38+'11'!H38</f>
        <v>3</v>
      </c>
      <c r="I38" s="195">
        <f>Production2!BR14</f>
        <v>219.3</v>
      </c>
      <c r="J38" s="195">
        <v>0</v>
      </c>
      <c r="K38" s="74">
        <f>J38+'11'!K38</f>
        <v>180</v>
      </c>
      <c r="L38" s="74">
        <f>J38+'11'!L38</f>
        <v>180</v>
      </c>
      <c r="M38" s="195">
        <f>Production2!BT14</f>
        <v>16</v>
      </c>
      <c r="N38" s="74">
        <f>M38+'11'!N38</f>
        <v>440</v>
      </c>
      <c r="O38" s="74">
        <f>M38+'11'!O38</f>
        <v>2287</v>
      </c>
      <c r="P38" s="74">
        <f>I38+J44+J38-M38-F62</f>
        <v>203.3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459" t="s">
        <v>304</v>
      </c>
      <c r="E39" s="466">
        <v>78</v>
      </c>
      <c r="F39" s="461">
        <f>Production2!AN14</f>
        <v>0</v>
      </c>
      <c r="G39" s="654">
        <f>F39+'11'!G39</f>
        <v>20.8</v>
      </c>
      <c r="H39" s="654">
        <f>F39+'11'!H39</f>
        <v>61.45</v>
      </c>
      <c r="I39" s="463">
        <f>Production2!BV14</f>
        <v>824.91000000000008</v>
      </c>
      <c r="J39" s="463">
        <f>Production2!AO14</f>
        <v>0</v>
      </c>
      <c r="K39" s="464">
        <f>J39+'11'!K39</f>
        <v>1215</v>
      </c>
      <c r="L39" s="464">
        <f>J39+'11'!L39</f>
        <v>3747</v>
      </c>
      <c r="M39" s="77">
        <f>Production2!BX14</f>
        <v>322.42</v>
      </c>
      <c r="N39" s="464">
        <f>M39+'11'!N39</f>
        <v>2757.3399999999997</v>
      </c>
      <c r="O39" s="464">
        <f>M39+'11'!O39</f>
        <v>8179.2200000000012</v>
      </c>
      <c r="P39" s="464">
        <f>I39+J39+J45-M39</f>
        <v>852.49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2.0299999999999998</v>
      </c>
      <c r="G40" s="132">
        <f t="shared" ref="G40:H40" si="8">G35+G36+G37+G38+G39</f>
        <v>104.08</v>
      </c>
      <c r="H40" s="132">
        <f t="shared" si="8"/>
        <v>360.06</v>
      </c>
      <c r="I40" s="122">
        <f>I35+I36+I37+I38+I39</f>
        <v>3922.5179999999809</v>
      </c>
      <c r="J40" s="460">
        <f t="shared" ref="J40:P40" si="9">J35+J36+J37+J38+J39</f>
        <v>110</v>
      </c>
      <c r="K40" s="460">
        <f t="shared" si="9"/>
        <v>6219</v>
      </c>
      <c r="L40" s="460">
        <f t="shared" si="9"/>
        <v>21754</v>
      </c>
      <c r="M40" s="460">
        <f t="shared" si="9"/>
        <v>1817.92</v>
      </c>
      <c r="N40" s="460">
        <f t="shared" si="9"/>
        <v>15713.71</v>
      </c>
      <c r="O40" s="460">
        <f t="shared" si="9"/>
        <v>60545.21</v>
      </c>
      <c r="P40" s="460">
        <f t="shared" si="9"/>
        <v>3564.5979999999809</v>
      </c>
      <c r="Q40" s="123">
        <f t="shared" si="6"/>
        <v>54.187192118226605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Production2!AT14</f>
        <v>0</v>
      </c>
      <c r="G41" s="75">
        <f>F41+'11'!G41</f>
        <v>2.5</v>
      </c>
      <c r="H41" s="75">
        <f>F41+'11'!H41</f>
        <v>35.599999999999994</v>
      </c>
      <c r="I41" s="710"/>
      <c r="J41" s="77">
        <f>Production2!AU14</f>
        <v>0</v>
      </c>
      <c r="K41" s="74">
        <f>J41+'11'!K41</f>
        <v>150</v>
      </c>
      <c r="L41" s="74">
        <f>J41+'11'!L41</f>
        <v>2150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Production2!AQ14</f>
        <v>17.5</v>
      </c>
      <c r="G42" s="75">
        <f>F42+'11'!G42</f>
        <v>119.12</v>
      </c>
      <c r="H42" s="75">
        <f>F42+'11'!H42</f>
        <v>535.12</v>
      </c>
      <c r="I42" s="711"/>
      <c r="J42" s="77">
        <f>Production2!AR14</f>
        <v>1000</v>
      </c>
      <c r="K42" s="74">
        <f>J42+'11'!K42</f>
        <v>6958</v>
      </c>
      <c r="L42" s="74">
        <f>J42+'11'!L42</f>
        <v>31098</v>
      </c>
      <c r="M42" s="716"/>
      <c r="N42" s="867"/>
      <c r="O42" s="867"/>
      <c r="P42" s="718"/>
      <c r="Q42" s="96">
        <f t="shared" si="6"/>
        <v>57.142857142857146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Production2!AW14</f>
        <v>0</v>
      </c>
      <c r="G43" s="75">
        <f>F43+'11'!G43</f>
        <v>0</v>
      </c>
      <c r="H43" s="75">
        <f>F43+'11'!H43</f>
        <v>0</v>
      </c>
      <c r="I43" s="711"/>
      <c r="J43" s="77">
        <f>Production2!AX14</f>
        <v>0</v>
      </c>
      <c r="K43" s="74">
        <f>J43+'11'!K43</f>
        <v>0</v>
      </c>
      <c r="L43" s="74">
        <f>J43+'11'!L43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Production2!AZ14</f>
        <v>0</v>
      </c>
      <c r="G44" s="75">
        <f>F44+'11'!G44</f>
        <v>5</v>
      </c>
      <c r="H44" s="75">
        <f>F44+'11'!H44</f>
        <v>37.880000000000003</v>
      </c>
      <c r="I44" s="712"/>
      <c r="J44" s="195">
        <f>Production2!BA14</f>
        <v>0</v>
      </c>
      <c r="K44" s="74">
        <f>J44+'11'!K44</f>
        <v>277</v>
      </c>
      <c r="L44" s="74">
        <f>J44+'11'!L44</f>
        <v>2097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459" t="s">
        <v>304</v>
      </c>
      <c r="E45" s="466">
        <v>70</v>
      </c>
      <c r="F45" s="461">
        <f>Production2!BC14</f>
        <v>5.67</v>
      </c>
      <c r="G45" s="462">
        <f>F45+'11'!G45</f>
        <v>27.119999999999997</v>
      </c>
      <c r="H45" s="462">
        <f>F45+'11'!H45</f>
        <v>82.09</v>
      </c>
      <c r="I45" s="465"/>
      <c r="J45" s="463">
        <f>Production2!BD14</f>
        <v>350</v>
      </c>
      <c r="K45" s="464">
        <f>J45+'11'!K45</f>
        <v>1639</v>
      </c>
      <c r="L45" s="464">
        <f>J45+'11'!L45</f>
        <v>4911</v>
      </c>
      <c r="M45" s="719"/>
      <c r="N45" s="720"/>
      <c r="O45" s="720"/>
      <c r="P45" s="721"/>
      <c r="Q45" s="96">
        <f t="shared" si="6"/>
        <v>61.728395061728399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23.17</v>
      </c>
      <c r="G46" s="132">
        <f t="shared" ref="G46:H46" si="10">G41+G42+G43+G44+G45</f>
        <v>153.74</v>
      </c>
      <c r="H46" s="132">
        <f t="shared" si="10"/>
        <v>690.69</v>
      </c>
      <c r="I46" s="122">
        <f t="shared" ref="I46" si="11">I41+I42+I43+I44</f>
        <v>0</v>
      </c>
      <c r="J46" s="122">
        <f>J41+J42+J43+J44+J45</f>
        <v>1350</v>
      </c>
      <c r="K46" s="460">
        <f t="shared" ref="K46:L46" si="12">K41+K42+K43+K44+K45</f>
        <v>9024</v>
      </c>
      <c r="L46" s="460">
        <f t="shared" si="12"/>
        <v>40256</v>
      </c>
      <c r="M46" s="873"/>
      <c r="N46" s="874"/>
      <c r="O46" s="874"/>
      <c r="P46" s="875"/>
      <c r="Q46" s="123">
        <f t="shared" si="6"/>
        <v>58.264997842037111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0.55229400782298188</v>
      </c>
      <c r="F50" s="99">
        <f>F53/(J31+J32)</f>
        <v>26.704644408114653</v>
      </c>
      <c r="G50" s="99" t="e">
        <f>G53/J32</f>
        <v>#DIV/0!</v>
      </c>
      <c r="H50" s="99">
        <f>H53/J34</f>
        <v>38.611522633744855</v>
      </c>
      <c r="I50" s="99">
        <f>I53/J33</f>
        <v>61.333333333333336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17.283950617283949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0.83685042666840304</v>
      </c>
      <c r="F51" s="102">
        <f>F50*1.55</f>
        <v>41.392198832577712</v>
      </c>
      <c r="G51" s="102" t="e">
        <f>G50*1.55</f>
        <v>#DIV/0!</v>
      </c>
      <c r="H51" s="102">
        <f>H50</f>
        <v>38.611522633744855</v>
      </c>
      <c r="I51" s="102">
        <f>I50*(Q50/100)</f>
        <v>10.600823045267489</v>
      </c>
      <c r="J51" s="102"/>
      <c r="K51" s="102"/>
      <c r="L51" s="102"/>
      <c r="M51" s="96"/>
      <c r="N51" s="307" t="e">
        <f>SUM(E51:I51)</f>
        <v>#DIV/0!</v>
      </c>
      <c r="O51" s="728" t="s">
        <v>277</v>
      </c>
      <c r="P51" s="728"/>
      <c r="Q51" s="104">
        <v>4700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0.62611314730613932</v>
      </c>
      <c r="F52" s="102">
        <f>F51*M18/100</f>
        <v>30.968735940258867</v>
      </c>
      <c r="G52" s="102" t="e">
        <f>G51*M18/100</f>
        <v>#DIV/0!</v>
      </c>
      <c r="H52" s="102">
        <f>H51*M18/100</f>
        <v>28.88829495461977</v>
      </c>
      <c r="I52" s="102">
        <f>I51*M18/100</f>
        <v>7.9313034556626647</v>
      </c>
      <c r="J52" s="99">
        <f>J53/(J40+J46)</f>
        <v>43.814383561643837</v>
      </c>
      <c r="K52" s="99">
        <f>K53/(J46+J40)</f>
        <v>1.0979452054794521</v>
      </c>
      <c r="L52" s="99">
        <f>L53/(M40)</f>
        <v>3.1343513465939092</v>
      </c>
      <c r="M52" s="96">
        <f>M53/(J46+J40)</f>
        <v>3.6267123287671232</v>
      </c>
      <c r="N52" s="307" t="e">
        <f>SUM(E52:M52)</f>
        <v>#DIV/0!</v>
      </c>
      <c r="O52" s="728" t="s">
        <v>279</v>
      </c>
      <c r="P52" s="728"/>
      <c r="Q52" s="104">
        <f>Q51*Q50/100</f>
        <v>812.34567901234561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unit'!B14</f>
        <v>1556</v>
      </c>
      <c r="F53" s="118">
        <f>'Daily unit'!C14</f>
        <v>47534</v>
      </c>
      <c r="G53" s="118">
        <f>'Daily unit'!D14</f>
        <v>0</v>
      </c>
      <c r="H53" s="118">
        <f>'Daily unit'!E14</f>
        <v>46913</v>
      </c>
      <c r="I53" s="118">
        <f>'Daily unit'!F14</f>
        <v>12972</v>
      </c>
      <c r="J53" s="118">
        <f>'Daily unit'!G14</f>
        <v>63969</v>
      </c>
      <c r="K53" s="118">
        <f>'Daily unit'!H14</f>
        <v>1603</v>
      </c>
      <c r="L53" s="118">
        <f>'Daily unit'!I14</f>
        <v>5698</v>
      </c>
      <c r="M53" s="119">
        <f>'Daily unit'!J14</f>
        <v>5295</v>
      </c>
      <c r="N53" s="318">
        <f>SUM(E53:M53)</f>
        <v>185540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14" t="s">
        <v>229</v>
      </c>
      <c r="C56" s="856" t="s">
        <v>283</v>
      </c>
      <c r="D56" s="856"/>
      <c r="E56" s="856"/>
      <c r="F56" s="215" t="s">
        <v>284</v>
      </c>
      <c r="G56" s="215" t="s">
        <v>26</v>
      </c>
      <c r="H56" s="216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763">
        <v>1</v>
      </c>
      <c r="C57" s="704" t="s">
        <v>285</v>
      </c>
      <c r="D57" s="704"/>
      <c r="E57" s="80">
        <v>42.5</v>
      </c>
      <c r="F57" s="53">
        <f>'Internal use cement'!F14</f>
        <v>0</v>
      </c>
      <c r="G57" s="53">
        <f>F57+'11'!G57</f>
        <v>0</v>
      </c>
      <c r="H57" s="104">
        <f>F57+'11'!H57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763"/>
      <c r="C58" s="704"/>
      <c r="D58" s="704"/>
      <c r="E58" s="80" t="s">
        <v>195</v>
      </c>
      <c r="F58" s="53">
        <f>'Internal use cement'!Q14</f>
        <v>0</v>
      </c>
      <c r="G58" s="53">
        <f>F58+'11'!G58</f>
        <v>0</v>
      </c>
      <c r="H58" s="104">
        <f>F58+'11'!H58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763"/>
      <c r="C59" s="704"/>
      <c r="D59" s="704"/>
      <c r="E59" s="80">
        <v>32.5</v>
      </c>
      <c r="F59" s="53">
        <f>'Internal use cement'!AB14</f>
        <v>0</v>
      </c>
      <c r="G59" s="53">
        <f>F59+'11'!G59</f>
        <v>0</v>
      </c>
      <c r="H59" s="104">
        <f>F59+'11'!H59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72"/>
      <c r="C60" s="871"/>
      <c r="D60" s="871"/>
      <c r="E60" s="112" t="s">
        <v>175</v>
      </c>
      <c r="F60" s="113">
        <f>'Internal use cement'!AJ14</f>
        <v>0</v>
      </c>
      <c r="G60" s="113">
        <f>F60+'11'!G60</f>
        <v>0</v>
      </c>
      <c r="H60" s="114">
        <f>F60+'11'!H60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5">
    <mergeCell ref="B48:N48"/>
    <mergeCell ref="O48:Q48"/>
    <mergeCell ref="I31:I32"/>
    <mergeCell ref="M31:M32"/>
    <mergeCell ref="N31:N32"/>
    <mergeCell ref="O31:O32"/>
    <mergeCell ref="P31:P32"/>
    <mergeCell ref="M46:P46"/>
    <mergeCell ref="C31:D31"/>
    <mergeCell ref="C33:D33"/>
    <mergeCell ref="C34:D34"/>
    <mergeCell ref="B35:B40"/>
    <mergeCell ref="C35:C40"/>
    <mergeCell ref="C32:D32"/>
    <mergeCell ref="B41:B46"/>
    <mergeCell ref="C41:C46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I41:I44"/>
    <mergeCell ref="M41:P45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O9:O16"/>
    <mergeCell ref="C10:D10"/>
    <mergeCell ref="B14:B16"/>
    <mergeCell ref="C14:C16"/>
    <mergeCell ref="C8:Q8"/>
    <mergeCell ref="C11:D11"/>
    <mergeCell ref="C12:D12"/>
    <mergeCell ref="C13:D13"/>
    <mergeCell ref="P13:Q13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M18:M19"/>
    <mergeCell ref="I55:Q60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C57:D60"/>
    <mergeCell ref="B57:B60"/>
  </mergeCells>
  <pageMargins left="0.25" right="0.25" top="0.75" bottom="0.75" header="0.3" footer="0.3"/>
  <pageSetup paperSize="9" scale="5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B2:U157"/>
  <sheetViews>
    <sheetView zoomScale="90" zoomScaleNormal="90" workbookViewId="0">
      <pane xSplit="4" ySplit="1" topLeftCell="E32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332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 t="s">
        <v>286</v>
      </c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822" t="s">
        <v>242</v>
      </c>
      <c r="D9" s="823"/>
      <c r="E9" s="74">
        <f>'12'!L9</f>
        <v>23816.957260331568</v>
      </c>
      <c r="F9" s="74">
        <f>Production2!D15</f>
        <v>2932.28</v>
      </c>
      <c r="G9" s="74">
        <f>F9+'12'!G9</f>
        <v>39035</v>
      </c>
      <c r="H9" s="74">
        <f>F9+'12'!H9</f>
        <v>104020.70000000001</v>
      </c>
      <c r="I9" s="74">
        <f>Production2!E15</f>
        <v>2200</v>
      </c>
      <c r="J9" s="74">
        <f>I9+'12'!J9</f>
        <v>23992</v>
      </c>
      <c r="K9" s="74">
        <f>I9+'12'!K9</f>
        <v>90879</v>
      </c>
      <c r="L9" s="74">
        <f>E9+F9-I9-I21</f>
        <v>24144.137260331569</v>
      </c>
      <c r="M9" s="75">
        <f>I9</f>
        <v>2200</v>
      </c>
      <c r="N9" s="75">
        <f>(I9/I13)*100</f>
        <v>93.896713615023472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(2)'!L15</f>
        <v>2503.5600000000004</v>
      </c>
      <c r="F10" s="77">
        <f>'Mines (2)'!M15</f>
        <v>179.16</v>
      </c>
      <c r="G10" s="74">
        <f>F10+'12'!G10</f>
        <v>2442.2200000000007</v>
      </c>
      <c r="H10" s="74">
        <f>F10+'12'!H10</f>
        <v>3793.6800000000003</v>
      </c>
      <c r="I10" s="77">
        <f>'Mines (2)'!N15</f>
        <v>83</v>
      </c>
      <c r="J10" s="74">
        <f>I10+'12'!J10</f>
        <v>789</v>
      </c>
      <c r="K10" s="74">
        <f>I10+'12'!K10</f>
        <v>1318</v>
      </c>
      <c r="L10" s="77">
        <f t="shared" ref="L10:L16" si="0">E10+F10-I10</f>
        <v>2599.7200000000003</v>
      </c>
      <c r="M10" s="75">
        <f t="shared" ref="M10:M12" si="1">I10</f>
        <v>83</v>
      </c>
      <c r="N10" s="75">
        <f>(I10/I13)*100</f>
        <v>3.5424669227486127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Clinker!C15</f>
        <v>3765.3</v>
      </c>
      <c r="F11" s="77">
        <f>Clinker!D15</f>
        <v>0</v>
      </c>
      <c r="G11" s="74">
        <f>F11+'12'!G11</f>
        <v>287.96000000000004</v>
      </c>
      <c r="H11" s="74">
        <f>F11+'12'!H11</f>
        <v>357.66</v>
      </c>
      <c r="I11" s="77">
        <f>Clinker!E15</f>
        <v>59</v>
      </c>
      <c r="J11" s="74">
        <f>I11+'12'!J11</f>
        <v>580</v>
      </c>
      <c r="K11" s="74">
        <f>I11+'12'!K11</f>
        <v>2017</v>
      </c>
      <c r="L11" s="77">
        <f t="shared" si="0"/>
        <v>3706.3</v>
      </c>
      <c r="M11" s="75">
        <f t="shared" si="1"/>
        <v>59</v>
      </c>
      <c r="N11" s="75">
        <f>(I11/I13)*100</f>
        <v>2.5181391378574478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(2)'!Q15</f>
        <v>1.0399999999999636</v>
      </c>
      <c r="F12" s="77">
        <f>'Mines (2)'!R15</f>
        <v>0</v>
      </c>
      <c r="G12" s="74">
        <f>F12+'12'!G12</f>
        <v>0</v>
      </c>
      <c r="H12" s="74">
        <f>F12+'12'!H12</f>
        <v>137.76</v>
      </c>
      <c r="I12" s="77">
        <f>'Mines (2)'!S15</f>
        <v>1</v>
      </c>
      <c r="J12" s="74">
        <f>I12+'12'!J12</f>
        <v>191</v>
      </c>
      <c r="K12" s="74">
        <f>I12+'12'!K12</f>
        <v>738</v>
      </c>
      <c r="L12" s="77">
        <f t="shared" si="0"/>
        <v>3.999999999996362E-2</v>
      </c>
      <c r="M12" s="75">
        <f t="shared" si="1"/>
        <v>1</v>
      </c>
      <c r="N12" s="75">
        <f>(I12/I13)*100</f>
        <v>4.268032437046522E-2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30086.85726033157</v>
      </c>
      <c r="F13" s="127">
        <f t="shared" si="2"/>
        <v>3111.44</v>
      </c>
      <c r="G13" s="127">
        <f t="shared" si="2"/>
        <v>41765.18</v>
      </c>
      <c r="H13" s="127">
        <f t="shared" si="2"/>
        <v>108309.8</v>
      </c>
      <c r="I13" s="127">
        <f>SUM(I9:I12)</f>
        <v>2343</v>
      </c>
      <c r="J13" s="127">
        <f t="shared" si="2"/>
        <v>25552</v>
      </c>
      <c r="K13" s="127">
        <f t="shared" si="2"/>
        <v>94952</v>
      </c>
      <c r="L13" s="127">
        <f t="shared" si="0"/>
        <v>30855.297260331572</v>
      </c>
      <c r="M13" s="128">
        <f>SUM(M9:M12)</f>
        <v>2343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Clinker!EB15</f>
        <v>5267.6769999999906</v>
      </c>
      <c r="F14" s="77">
        <f>Clinker!EC15</f>
        <v>0</v>
      </c>
      <c r="G14" s="77">
        <f>F14+'12'!G14</f>
        <v>0</v>
      </c>
      <c r="H14" s="77">
        <f>F14+'12'!H14</f>
        <v>181.5</v>
      </c>
      <c r="I14" s="77">
        <f>Clinker!ED15</f>
        <v>238</v>
      </c>
      <c r="J14" s="77">
        <f>I14+'12'!J14</f>
        <v>2822.79</v>
      </c>
      <c r="K14" s="77">
        <f>I14+'12'!K14</f>
        <v>9659.09</v>
      </c>
      <c r="L14" s="77">
        <f>E14+F14-Clinker!N15-Clinker!Z15-Clinker!AS15-Clinker!AX15-Clinker!BC15-Clinker!BW15-Clinker!DP15</f>
        <v>5267.6769999999906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Clinker!EF15</f>
        <v>9939.4999999999927</v>
      </c>
      <c r="F15" s="77">
        <f>Clinker!EG15</f>
        <v>0</v>
      </c>
      <c r="G15" s="77">
        <f>F15+'12'!G15</f>
        <v>1062.8</v>
      </c>
      <c r="H15" s="77">
        <f>F15+'12'!H15</f>
        <v>1217.8500000000001</v>
      </c>
      <c r="I15" s="77">
        <f>Clinker!EH15</f>
        <v>142</v>
      </c>
      <c r="J15" s="77">
        <f>I15+'12'!J15</f>
        <v>1664</v>
      </c>
      <c r="K15" s="77">
        <f>I15+'12'!K15</f>
        <v>5533</v>
      </c>
      <c r="L15" s="77">
        <f>E15+F15-Clinker!AE15-Clinker!AJ15-Clinker!CL15-Clinker!CQ15-Clinker!CG15-Clinker!AI15</f>
        <v>9559.4999999999927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15207.176999999983</v>
      </c>
      <c r="F16" s="125">
        <f>F14+F15</f>
        <v>0</v>
      </c>
      <c r="G16" s="125">
        <f t="shared" ref="G16:K16" si="3">G14+G15</f>
        <v>1062.8</v>
      </c>
      <c r="H16" s="125">
        <f t="shared" si="3"/>
        <v>1399.3500000000001</v>
      </c>
      <c r="I16" s="125">
        <f>I14+I15</f>
        <v>380</v>
      </c>
      <c r="J16" s="125">
        <f>J14+J15</f>
        <v>4486.79</v>
      </c>
      <c r="K16" s="125">
        <f t="shared" si="3"/>
        <v>15192.09</v>
      </c>
      <c r="L16" s="125">
        <f t="shared" si="0"/>
        <v>14827.176999999983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Clinker!EJ15</f>
        <v>27399.853086779756</v>
      </c>
      <c r="F18" s="74">
        <f>Clinker!EK15</f>
        <v>1275</v>
      </c>
      <c r="G18" s="74">
        <f>F18+'12'!G18</f>
        <v>15371</v>
      </c>
      <c r="H18" s="74">
        <f>F18+'12'!H18</f>
        <v>55871</v>
      </c>
      <c r="I18" s="74">
        <f>Clinker!EL15</f>
        <v>1516.4100000000008</v>
      </c>
      <c r="J18" s="74">
        <f>I18+'12'!J18</f>
        <v>13132.217000960707</v>
      </c>
      <c r="K18" s="74">
        <f>I18+'12'!K18</f>
        <v>31994.097012846978</v>
      </c>
      <c r="L18" s="74">
        <f>E18+F18-I18-I20</f>
        <v>27158.443086779756</v>
      </c>
      <c r="M18" s="783">
        <f>((I18+I19)/(J40+J46))*100</f>
        <v>76.586363636363672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Clinker!EO15</f>
        <v>5306.1090080001359</v>
      </c>
      <c r="F19" s="74">
        <f>Clinker!EP15</f>
        <v>0</v>
      </c>
      <c r="G19" s="75">
        <f>F19+'12'!G19</f>
        <v>150.78</v>
      </c>
      <c r="H19" s="74">
        <f>F19+'12'!H19</f>
        <v>13390.660000000003</v>
      </c>
      <c r="I19" s="74">
        <f>Clinker!EQ15</f>
        <v>0</v>
      </c>
      <c r="J19" s="74">
        <f>I19+'12'!J19</f>
        <v>0</v>
      </c>
      <c r="K19" s="74">
        <f>I19+'12'!K19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190"/>
      <c r="S19" s="20"/>
    </row>
    <row r="20" spans="2:19" ht="30" x14ac:dyDescent="0.25">
      <c r="B20" s="763"/>
      <c r="C20" s="764"/>
      <c r="D20" s="86" t="s">
        <v>249</v>
      </c>
      <c r="E20" s="77"/>
      <c r="F20" s="77">
        <f>Clinker!EN15</f>
        <v>0</v>
      </c>
      <c r="G20" s="74">
        <f>F20+'12'!G20</f>
        <v>0</v>
      </c>
      <c r="H20" s="74">
        <f>F20+'12'!H20</f>
        <v>0</v>
      </c>
      <c r="I20" s="77">
        <f>Clinker!EN15</f>
        <v>0</v>
      </c>
      <c r="J20" s="74">
        <f>I20+'12'!J20</f>
        <v>0</v>
      </c>
      <c r="K20" s="74">
        <f>I20+'12'!K20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/>
      <c r="F21" s="77"/>
      <c r="G21" s="74"/>
      <c r="H21" s="74"/>
      <c r="I21" s="77">
        <f>Cement!S15</f>
        <v>405.09999999999894</v>
      </c>
      <c r="J21" s="74">
        <f>I21+'12'!J21</f>
        <v>3470.6144442900386</v>
      </c>
      <c r="K21" s="74">
        <f>I21+'12'!K21</f>
        <v>12102.434436852274</v>
      </c>
      <c r="L21" s="74"/>
      <c r="M21" s="78">
        <f>I21/(J40+J46)*100</f>
        <v>20.459595959595905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Cement!C15</f>
        <v>6316.9311170947021</v>
      </c>
      <c r="F22" s="77">
        <f>Cement!D15</f>
        <v>0</v>
      </c>
      <c r="G22" s="74">
        <f>F22+'12'!G22</f>
        <v>30.12</v>
      </c>
      <c r="H22" s="74">
        <f>F22+'12'!H22</f>
        <v>2001.02</v>
      </c>
      <c r="I22" s="77">
        <f>Cement!F15</f>
        <v>104.21052631578948</v>
      </c>
      <c r="J22" s="74">
        <f>I22+'12'!J22</f>
        <v>894.47947281936843</v>
      </c>
      <c r="K22" s="74">
        <f>I22+'12'!K22</f>
        <v>3233.6794683708677</v>
      </c>
      <c r="L22" s="74">
        <f t="shared" ref="L22:L24" si="4">E22+F22-I22</f>
        <v>6212.720590778913</v>
      </c>
      <c r="M22" s="78">
        <f>(I22/(J40+J46))*100</f>
        <v>5.2631578947368425</v>
      </c>
      <c r="N22" s="78"/>
      <c r="O22" s="767"/>
      <c r="P22" s="87">
        <v>5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Cement!H15</f>
        <v>0.23999999999796273</v>
      </c>
      <c r="F23" s="77">
        <f>Cement!I15</f>
        <v>0</v>
      </c>
      <c r="G23" s="74">
        <f>F23+'12'!G23</f>
        <v>0</v>
      </c>
      <c r="H23" s="74">
        <f>F23+'12'!H23</f>
        <v>0</v>
      </c>
      <c r="I23" s="77">
        <f>Cement!J15</f>
        <v>0</v>
      </c>
      <c r="J23" s="74">
        <f>I23+'12'!J23</f>
        <v>0</v>
      </c>
      <c r="K23" s="74">
        <f>I23+'12'!K23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Cement!L15</f>
        <v>0</v>
      </c>
      <c r="F24" s="77">
        <f>Cement!M15</f>
        <v>0</v>
      </c>
      <c r="G24" s="74">
        <f>F24+'12'!G24</f>
        <v>0</v>
      </c>
      <c r="H24" s="74">
        <f>F24+'12'!H24</f>
        <v>0</v>
      </c>
      <c r="I24" s="77">
        <f>Cement!N15</f>
        <v>0</v>
      </c>
      <c r="J24" s="74">
        <f>I24+'12'!J24</f>
        <v>0</v>
      </c>
      <c r="K24" s="74">
        <f>I24+'12'!K24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39023.133211874592</v>
      </c>
      <c r="F25" s="122">
        <f t="shared" ref="F25:L25" si="5">F18+F19+F21+F22+F23+F24</f>
        <v>1275</v>
      </c>
      <c r="G25" s="122">
        <f t="shared" si="5"/>
        <v>15551.900000000001</v>
      </c>
      <c r="H25" s="122">
        <f t="shared" si="5"/>
        <v>71262.680000000008</v>
      </c>
      <c r="I25" s="122">
        <f t="shared" si="5"/>
        <v>2025.7205263157894</v>
      </c>
      <c r="J25" s="122">
        <f>J18+J19+J21+J22+J23+J24</f>
        <v>17497.310918070118</v>
      </c>
      <c r="K25" s="122">
        <f t="shared" si="5"/>
        <v>64264.310918070114</v>
      </c>
      <c r="L25" s="122">
        <f t="shared" si="5"/>
        <v>38677.512685558802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Production2!C15</f>
        <v>18.829999999999998</v>
      </c>
      <c r="G30" s="75">
        <f>F30+'12'!G30</f>
        <v>215.82</v>
      </c>
      <c r="H30" s="75">
        <f>F30+'12'!H30</f>
        <v>648.30000000000018</v>
      </c>
      <c r="I30" s="74">
        <f>'Mines (2)'!C15+'Mines (2)'!H15+'Mines (2)'!V15+'Mines (2)'!Z15+'Mines (2)'!AD15</f>
        <v>23816.957260331561</v>
      </c>
      <c r="J30" s="74">
        <f>Production2!D15</f>
        <v>2932.28</v>
      </c>
      <c r="K30" s="74">
        <f>J30+'12'!K30</f>
        <v>39035</v>
      </c>
      <c r="L30" s="74">
        <f>J30+'12'!L30</f>
        <v>104020.70000000001</v>
      </c>
      <c r="M30" s="74">
        <f>I9+I21</f>
        <v>2605.099999999999</v>
      </c>
      <c r="N30" s="74">
        <f>M30+'12'!N30</f>
        <v>27462.614444290037</v>
      </c>
      <c r="O30" s="74">
        <f>M30+'12'!O30</f>
        <v>102981.4344368523</v>
      </c>
      <c r="P30" s="74">
        <f>I30+J30-M30</f>
        <v>24144.137260331561</v>
      </c>
      <c r="Q30" s="93">
        <f>J30/F30</f>
        <v>155.72384492830591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Production2!G15</f>
        <v>18.43</v>
      </c>
      <c r="G31" s="75">
        <f>F31+'12'!G31</f>
        <v>206.27</v>
      </c>
      <c r="H31" s="75">
        <f>F31+'12'!H31</f>
        <v>699.4899999999999</v>
      </c>
      <c r="I31" s="724">
        <f>Production2!H15</f>
        <v>773.49001683751976</v>
      </c>
      <c r="J31" s="78">
        <f>Production2!N15</f>
        <v>2110.4699999999998</v>
      </c>
      <c r="K31" s="74">
        <f>J31+'12'!K31</f>
        <v>22529.280000000002</v>
      </c>
      <c r="L31" s="74">
        <f>J31+'12'!L31</f>
        <v>81386.430000000022</v>
      </c>
      <c r="M31" s="724">
        <f>Production2!K15</f>
        <v>1976.25</v>
      </c>
      <c r="N31" s="724">
        <f>M31+'12'!N31</f>
        <v>23825.05</v>
      </c>
      <c r="O31" s="724">
        <f>M31+'12'!O31</f>
        <v>86600.05</v>
      </c>
      <c r="P31" s="724">
        <f>I31+J31+J32-M31</f>
        <v>907.71001683751956</v>
      </c>
      <c r="Q31" s="96">
        <f t="shared" ref="Q31:Q46" si="6">J31/F31</f>
        <v>114.51275094953878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Production2!P15</f>
        <v>0</v>
      </c>
      <c r="G32" s="75">
        <f>F32+'12'!G32</f>
        <v>57.76</v>
      </c>
      <c r="H32" s="75">
        <f>F32+'12'!H32</f>
        <v>464.04999999999995</v>
      </c>
      <c r="I32" s="712"/>
      <c r="J32" s="78">
        <f>Production2!Q15</f>
        <v>0</v>
      </c>
      <c r="K32" s="74">
        <f>J32+'12'!K32</f>
        <v>485.36</v>
      </c>
      <c r="L32" s="74">
        <f>J32+'12'!L32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Production2!S15</f>
        <v>16</v>
      </c>
      <c r="G33" s="75">
        <f>F33+'12'!G33</f>
        <v>189.03</v>
      </c>
      <c r="H33" s="75">
        <f>F33+'12'!H33</f>
        <v>635.40000000000009</v>
      </c>
      <c r="I33" s="77">
        <f>Production2!T15</f>
        <v>53.509999999999877</v>
      </c>
      <c r="J33" s="77">
        <f>Production2!U15</f>
        <v>214.2</v>
      </c>
      <c r="K33" s="74">
        <f>J33+'12'!K33</f>
        <v>2540.5</v>
      </c>
      <c r="L33" s="74">
        <f>J33+'12'!L33</f>
        <v>8693.2000000000007</v>
      </c>
      <c r="M33" s="77">
        <f>Production2!V15</f>
        <v>215</v>
      </c>
      <c r="N33" s="74">
        <f>M33+'12'!N33</f>
        <v>2528</v>
      </c>
      <c r="O33" s="74">
        <f>M33+'12'!O33</f>
        <v>8656</v>
      </c>
      <c r="P33" s="74">
        <f t="shared" ref="P33" si="7">I33+J33-M33</f>
        <v>52.709999999999866</v>
      </c>
      <c r="Q33" s="96">
        <f t="shared" si="6"/>
        <v>13.387499999999999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Production2!Y15</f>
        <v>24</v>
      </c>
      <c r="G34" s="75">
        <f>F34+'12'!G34</f>
        <v>279.01</v>
      </c>
      <c r="H34" s="75">
        <f>F34+'12'!H34</f>
        <v>897.28000000000009</v>
      </c>
      <c r="I34" s="77">
        <f>Clinker!EJ15</f>
        <v>27399.853086779756</v>
      </c>
      <c r="J34" s="77">
        <f>Clinker!EK15</f>
        <v>1275</v>
      </c>
      <c r="K34" s="74">
        <f>J34+'12'!K34</f>
        <v>15371</v>
      </c>
      <c r="L34" s="74">
        <f>J34+'12'!L34</f>
        <v>55871</v>
      </c>
      <c r="M34" s="77">
        <f>Clinker!EL15</f>
        <v>1516.4100000000008</v>
      </c>
      <c r="N34" s="74">
        <f>M34+'12'!N34</f>
        <v>13132.217000960707</v>
      </c>
      <c r="O34" s="74">
        <f>M34+'12'!O34</f>
        <v>31994.097012846978</v>
      </c>
      <c r="P34" s="74">
        <f>I34+J34-M34-I20</f>
        <v>27158.443086779756</v>
      </c>
      <c r="Q34" s="96">
        <f t="shared" si="6"/>
        <v>53.125</v>
      </c>
      <c r="R34" s="94"/>
      <c r="S34" s="94"/>
    </row>
    <row r="35" spans="2:19" x14ac:dyDescent="0.25">
      <c r="B35" s="687">
        <v>5</v>
      </c>
      <c r="C35" s="690" t="s">
        <v>146</v>
      </c>
      <c r="D35" s="80" t="s">
        <v>265</v>
      </c>
      <c r="E35" s="97">
        <v>90</v>
      </c>
      <c r="F35" s="78">
        <f>Production2!AE15</f>
        <v>0</v>
      </c>
      <c r="G35" s="75">
        <f>F35+'12'!G35</f>
        <v>6.8000000000000007</v>
      </c>
      <c r="H35" s="75">
        <f>F35+'12'!H35</f>
        <v>15.8</v>
      </c>
      <c r="I35" s="77">
        <f>Production2!BJ15</f>
        <v>422.29999999999995</v>
      </c>
      <c r="J35" s="77">
        <f>Production2!AF15</f>
        <v>0</v>
      </c>
      <c r="K35" s="74">
        <f>J35+'12'!K35</f>
        <v>400</v>
      </c>
      <c r="L35" s="74">
        <f>J35+'12'!L35</f>
        <v>974</v>
      </c>
      <c r="M35" s="77">
        <f>Production2!BL15</f>
        <v>238</v>
      </c>
      <c r="N35" s="74">
        <f>M35+'12'!N35</f>
        <v>777.5</v>
      </c>
      <c r="O35" s="74">
        <f>M35+'12'!O35</f>
        <v>3172</v>
      </c>
      <c r="P35" s="74">
        <f>I35+J35+J41-M35-F59</f>
        <v>334.29999999999995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Production2!AB15</f>
        <v>11.68</v>
      </c>
      <c r="G36" s="654">
        <f>F36+'12'!G36</f>
        <v>85.16</v>
      </c>
      <c r="H36" s="654">
        <f>F36+'12'!H36</f>
        <v>291.49</v>
      </c>
      <c r="I36" s="77">
        <f>Production2!BF15</f>
        <v>2084.4179999999797</v>
      </c>
      <c r="J36" s="77">
        <f>Production2!AC15</f>
        <v>675</v>
      </c>
      <c r="K36" s="74">
        <f>J36+'12'!K36</f>
        <v>5099</v>
      </c>
      <c r="L36" s="74">
        <f>J36+'12'!L36</f>
        <v>17528</v>
      </c>
      <c r="M36" s="77">
        <f>Production2!BH15</f>
        <v>1566.61</v>
      </c>
      <c r="N36" s="74">
        <f>M36+'12'!N36</f>
        <v>13543.48</v>
      </c>
      <c r="O36" s="74">
        <f>M36+'12'!O36</f>
        <v>48711.75</v>
      </c>
      <c r="P36" s="74">
        <f>I36+J36+J42-M36-F57</f>
        <v>2347.80799999998</v>
      </c>
      <c r="Q36" s="96">
        <f t="shared" si="6"/>
        <v>57.791095890410958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Production2!AH15</f>
        <v>0</v>
      </c>
      <c r="G37" s="654">
        <f>F37+'12'!G37</f>
        <v>0</v>
      </c>
      <c r="H37" s="654">
        <f>F37+'12'!H37</f>
        <v>0</v>
      </c>
      <c r="I37" s="77">
        <f>Production2!BN15</f>
        <v>2.0900000000008498</v>
      </c>
      <c r="J37" s="77">
        <f>Production2!AI15</f>
        <v>0</v>
      </c>
      <c r="K37" s="74">
        <f>J37+'12'!K37</f>
        <v>0</v>
      </c>
      <c r="L37" s="74">
        <f>J37+'12'!L37</f>
        <v>0</v>
      </c>
      <c r="M37" s="77">
        <f>Production2!BP15</f>
        <v>0</v>
      </c>
      <c r="N37" s="74">
        <f>M37+'12'!N37</f>
        <v>0</v>
      </c>
      <c r="O37" s="74">
        <f>M37+'12'!O37</f>
        <v>-0.15</v>
      </c>
      <c r="P37" s="74">
        <f>I37+J37+J43-M37-F58</f>
        <v>2.0900000000008498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Production2!AK15</f>
        <v>0</v>
      </c>
      <c r="G38" s="654">
        <f>F38+'12'!G38</f>
        <v>3</v>
      </c>
      <c r="H38" s="654">
        <f>F38+'12'!H38</f>
        <v>3</v>
      </c>
      <c r="I38" s="195">
        <f>Production2!BR15</f>
        <v>203.3</v>
      </c>
      <c r="J38" s="195">
        <v>0</v>
      </c>
      <c r="K38" s="473">
        <f>J38+'12'!K38</f>
        <v>180</v>
      </c>
      <c r="L38" s="473">
        <f>J38+'12'!L38</f>
        <v>180</v>
      </c>
      <c r="M38" s="195">
        <f>Production2!BT15</f>
        <v>0</v>
      </c>
      <c r="N38" s="473">
        <f>M38+'12'!N38</f>
        <v>440</v>
      </c>
      <c r="O38" s="473">
        <f>M38+'12'!O38</f>
        <v>2287</v>
      </c>
      <c r="P38" s="74">
        <f>I38+J38+J44-M38-F59</f>
        <v>203.3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468" t="s">
        <v>304</v>
      </c>
      <c r="E39" s="477">
        <v>78</v>
      </c>
      <c r="F39" s="470">
        <f>Production2!AN15</f>
        <v>0</v>
      </c>
      <c r="G39" s="654">
        <f>F39+'12'!G39</f>
        <v>20.8</v>
      </c>
      <c r="H39" s="654">
        <f>F39+'12'!H39</f>
        <v>61.45</v>
      </c>
      <c r="I39" s="472">
        <f>Production2!BV15</f>
        <v>852.49</v>
      </c>
      <c r="J39" s="472">
        <f>Production2!AO15</f>
        <v>0</v>
      </c>
      <c r="K39" s="473">
        <f>J39+'12'!K39</f>
        <v>1215</v>
      </c>
      <c r="L39" s="473">
        <f>J39+'12'!L39</f>
        <v>3747</v>
      </c>
      <c r="M39" s="77">
        <f>Production2!BX15</f>
        <v>149.5</v>
      </c>
      <c r="N39" s="473">
        <f>M39+'12'!N39</f>
        <v>2906.8399999999997</v>
      </c>
      <c r="O39" s="473">
        <f>M39+'12'!O39</f>
        <v>8328.7200000000012</v>
      </c>
      <c r="P39" s="473">
        <f>I39+J39+J45-M39</f>
        <v>702.99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11.68</v>
      </c>
      <c r="G40" s="132">
        <f t="shared" ref="G40:H40" si="8">G35+G36+G37+G38+G39</f>
        <v>115.75999999999999</v>
      </c>
      <c r="H40" s="132">
        <f t="shared" si="8"/>
        <v>371.74</v>
      </c>
      <c r="I40" s="122">
        <f>I35+I36+I37+I38+I39</f>
        <v>3564.5979999999809</v>
      </c>
      <c r="J40" s="469">
        <f t="shared" ref="J40:P40" si="9">J35+J36+J37+J38+J39</f>
        <v>675</v>
      </c>
      <c r="K40" s="469">
        <f t="shared" si="9"/>
        <v>6894</v>
      </c>
      <c r="L40" s="469">
        <f t="shared" si="9"/>
        <v>22429</v>
      </c>
      <c r="M40" s="469">
        <f t="shared" si="9"/>
        <v>1954.11</v>
      </c>
      <c r="N40" s="469">
        <f t="shared" si="9"/>
        <v>17667.82</v>
      </c>
      <c r="O40" s="469">
        <f t="shared" si="9"/>
        <v>62499.32</v>
      </c>
      <c r="P40" s="469">
        <f t="shared" si="9"/>
        <v>3590.4879999999812</v>
      </c>
      <c r="Q40" s="123">
        <f t="shared" si="6"/>
        <v>57.791095890410958</v>
      </c>
      <c r="R40" s="94"/>
      <c r="S40" s="94"/>
    </row>
    <row r="41" spans="2:19" x14ac:dyDescent="0.25">
      <c r="B41" s="687">
        <v>5</v>
      </c>
      <c r="C41" s="690" t="s">
        <v>268</v>
      </c>
      <c r="D41" s="80" t="s">
        <v>265</v>
      </c>
      <c r="E41" s="97">
        <v>75</v>
      </c>
      <c r="F41" s="78">
        <f>Production2!AT15</f>
        <v>2.63</v>
      </c>
      <c r="G41" s="75">
        <f>F41+'12'!G41</f>
        <v>5.13</v>
      </c>
      <c r="H41" s="75">
        <f>F41+'12'!H41</f>
        <v>38.229999999999997</v>
      </c>
      <c r="I41" s="710"/>
      <c r="J41" s="77">
        <f>Production2!AU15</f>
        <v>150</v>
      </c>
      <c r="K41" s="74">
        <f>J41+'12'!K41</f>
        <v>300</v>
      </c>
      <c r="L41" s="74">
        <f>J41+'12'!L41</f>
        <v>2300</v>
      </c>
      <c r="M41" s="713"/>
      <c r="N41" s="714"/>
      <c r="O41" s="714"/>
      <c r="P41" s="715"/>
      <c r="Q41" s="96">
        <f t="shared" si="6"/>
        <v>57.034220532319395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Production2!AQ15</f>
        <v>21</v>
      </c>
      <c r="G42" s="75">
        <f>F42+'12'!G42</f>
        <v>140.12</v>
      </c>
      <c r="H42" s="75">
        <f>F42+'12'!H42</f>
        <v>556.12</v>
      </c>
      <c r="I42" s="711"/>
      <c r="J42" s="77">
        <f>Production2!AR15</f>
        <v>1155</v>
      </c>
      <c r="K42" s="74">
        <f>J42+'12'!K42</f>
        <v>8113</v>
      </c>
      <c r="L42" s="74">
        <f>J42+'12'!L42</f>
        <v>32253</v>
      </c>
      <c r="M42" s="716"/>
      <c r="N42" s="717"/>
      <c r="O42" s="717"/>
      <c r="P42" s="718"/>
      <c r="Q42" s="96">
        <f t="shared" si="6"/>
        <v>55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Production2!AW15</f>
        <v>0</v>
      </c>
      <c r="G43" s="75">
        <f>F43+'12'!G43</f>
        <v>0</v>
      </c>
      <c r="H43" s="75">
        <f>F43+'12'!H43</f>
        <v>0</v>
      </c>
      <c r="I43" s="711"/>
      <c r="J43" s="77">
        <f>Production2!AX15</f>
        <v>0</v>
      </c>
      <c r="K43" s="74">
        <f>J43+'12'!K43</f>
        <v>0</v>
      </c>
      <c r="L43" s="74">
        <f>J43+'12'!L43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Production2!AZ15</f>
        <v>0</v>
      </c>
      <c r="G44" s="75">
        <f>F44+'12'!G44</f>
        <v>5</v>
      </c>
      <c r="H44" s="75">
        <f>F44+'12'!H44</f>
        <v>37.880000000000003</v>
      </c>
      <c r="I44" s="712"/>
      <c r="J44" s="195">
        <f>Production2!BA15</f>
        <v>0</v>
      </c>
      <c r="K44" s="473">
        <f>J44+'12'!K44</f>
        <v>277</v>
      </c>
      <c r="L44" s="473">
        <f>J44+'12'!L44</f>
        <v>2097</v>
      </c>
      <c r="M44" s="719"/>
      <c r="N44" s="720"/>
      <c r="O44" s="720"/>
      <c r="P44" s="721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468" t="s">
        <v>304</v>
      </c>
      <c r="E45" s="477">
        <v>70</v>
      </c>
      <c r="F45" s="470">
        <f>Production2!BC15</f>
        <v>0</v>
      </c>
      <c r="G45" s="471">
        <f>F45+'12'!G45</f>
        <v>27.119999999999997</v>
      </c>
      <c r="H45" s="471">
        <f>F45+'12'!H45</f>
        <v>82.09</v>
      </c>
      <c r="I45" s="474"/>
      <c r="J45" s="472">
        <f>Production2!BD15</f>
        <v>0</v>
      </c>
      <c r="K45" s="473">
        <f>J45+'12'!K45</f>
        <v>1639</v>
      </c>
      <c r="L45" s="473">
        <f>J45+'12'!L45</f>
        <v>4911</v>
      </c>
      <c r="M45" s="475"/>
      <c r="N45" s="478"/>
      <c r="O45" s="478"/>
      <c r="P45" s="476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23.63</v>
      </c>
      <c r="G46" s="132">
        <f t="shared" ref="G46:H46" si="10">G41+G42+G43+G44+G45</f>
        <v>177.37</v>
      </c>
      <c r="H46" s="132">
        <f t="shared" si="10"/>
        <v>714.32</v>
      </c>
      <c r="I46" s="122">
        <f t="shared" ref="I46" si="11">I41+I42+I43+I44</f>
        <v>0</v>
      </c>
      <c r="J46" s="122">
        <f>J41+J42+J43+J44+J45</f>
        <v>1305</v>
      </c>
      <c r="K46" s="469">
        <f t="shared" ref="K46:L46" si="12">K41+K42+K43+K44+K45</f>
        <v>10329</v>
      </c>
      <c r="L46" s="469">
        <f t="shared" si="12"/>
        <v>41561</v>
      </c>
      <c r="M46" s="873"/>
      <c r="N46" s="874"/>
      <c r="O46" s="874"/>
      <c r="P46" s="875"/>
      <c r="Q46" s="123">
        <f t="shared" si="6"/>
        <v>55.226407109606434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0.88020243632940909</v>
      </c>
      <c r="F50" s="99">
        <f>F53/(J31+J32)</f>
        <v>22.458978331840775</v>
      </c>
      <c r="G50" s="99">
        <v>0</v>
      </c>
      <c r="H50" s="99">
        <f>H53/J34</f>
        <v>39.352941176470587</v>
      </c>
      <c r="I50" s="99">
        <f>I53/J33</f>
        <v>60.224089635854348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16.862745098039216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1.5187806744507453</v>
      </c>
      <c r="F51" s="102">
        <f>F50*1.55</f>
        <v>34.811416414353204</v>
      </c>
      <c r="G51" s="102">
        <v>0</v>
      </c>
      <c r="H51" s="102">
        <f>H50</f>
        <v>39.352941176470587</v>
      </c>
      <c r="I51" s="102">
        <f>I50*(Q50/100)</f>
        <v>10.155434722908772</v>
      </c>
      <c r="J51" s="102"/>
      <c r="K51" s="102"/>
      <c r="L51" s="102"/>
      <c r="M51" s="96"/>
      <c r="N51" s="103">
        <v>85.8</v>
      </c>
      <c r="O51" s="728" t="s">
        <v>277</v>
      </c>
      <c r="P51" s="728"/>
      <c r="Q51" s="104">
        <v>4800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1.1631788901736646</v>
      </c>
      <c r="F52" s="102">
        <f>F51*M18/100</f>
        <v>26.660797962065335</v>
      </c>
      <c r="G52" s="102">
        <f>G51*M18/100</f>
        <v>0</v>
      </c>
      <c r="H52" s="102">
        <f>H51*M18/100</f>
        <v>30.138986631016056</v>
      </c>
      <c r="I52" s="102">
        <f>I51*M18/100</f>
        <v>7.7776781657404532</v>
      </c>
      <c r="J52" s="99">
        <f>J53/(J40+J46)</f>
        <v>43.055050505050502</v>
      </c>
      <c r="K52" s="99">
        <f>K53/(J46+J40)</f>
        <v>0.90656565656565657</v>
      </c>
      <c r="L52" s="99">
        <f>L53/(M40)</f>
        <v>3.1298135724191578</v>
      </c>
      <c r="M52" s="96">
        <f>M53/(J46+J40)</f>
        <v>2.654040404040404</v>
      </c>
      <c r="N52" s="307">
        <f>SUM(E52:M52)</f>
        <v>115.48611178707122</v>
      </c>
      <c r="O52" s="728" t="s">
        <v>279</v>
      </c>
      <c r="P52" s="728"/>
      <c r="Q52" s="104">
        <f>Q51*Q50/100</f>
        <v>809.41176470588243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unit'!B15</f>
        <v>2581</v>
      </c>
      <c r="F53" s="118">
        <f>'Daily unit'!C15</f>
        <v>47399</v>
      </c>
      <c r="G53" s="118">
        <f>'Daily unit'!D15</f>
        <v>0</v>
      </c>
      <c r="H53" s="118">
        <f>'Daily unit'!E15</f>
        <v>50175</v>
      </c>
      <c r="I53" s="118">
        <f>'Daily unit'!F15</f>
        <v>12900</v>
      </c>
      <c r="J53" s="118">
        <f>'Daily unit'!G15</f>
        <v>85249</v>
      </c>
      <c r="K53" s="118">
        <f>'Daily unit'!H15</f>
        <v>1795</v>
      </c>
      <c r="L53" s="118">
        <f>'Daily unit'!I15</f>
        <v>6116</v>
      </c>
      <c r="M53" s="119">
        <f>'Daily unit'!J15</f>
        <v>5255</v>
      </c>
      <c r="N53" s="318">
        <f>SUM(E53:M53)</f>
        <v>211470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756" t="s">
        <v>281</v>
      </c>
      <c r="C55" s="722"/>
      <c r="D55" s="722"/>
      <c r="E55" s="722"/>
      <c r="F55" s="722"/>
      <c r="G55" s="722"/>
      <c r="H55" s="757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224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687">
        <v>1</v>
      </c>
      <c r="C57" s="824" t="s">
        <v>285</v>
      </c>
      <c r="D57" s="825"/>
      <c r="E57" s="80">
        <v>42.5</v>
      </c>
      <c r="F57" s="53">
        <f>'Internal use cement'!F15</f>
        <v>0</v>
      </c>
      <c r="G57" s="53">
        <f>F57+'12'!G57</f>
        <v>0</v>
      </c>
      <c r="H57" s="104">
        <f>F57+'12'!H57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688"/>
      <c r="C58" s="826"/>
      <c r="D58" s="827"/>
      <c r="E58" s="80" t="s">
        <v>195</v>
      </c>
      <c r="F58" s="53">
        <f>'Internal use cement'!Q15</f>
        <v>0</v>
      </c>
      <c r="G58" s="53">
        <f>F58+'12'!G58</f>
        <v>0</v>
      </c>
      <c r="H58" s="104">
        <f>F58+'12'!H58</f>
        <v>0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688"/>
      <c r="C59" s="826"/>
      <c r="D59" s="827"/>
      <c r="E59" s="80">
        <v>32.5</v>
      </c>
      <c r="F59" s="53">
        <f>'Internal use cement'!AB15</f>
        <v>0</v>
      </c>
      <c r="G59" s="53">
        <f>F59+'12'!G59</f>
        <v>0</v>
      </c>
      <c r="H59" s="104">
        <f>F59+'12'!H59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89"/>
      <c r="C60" s="828"/>
      <c r="D60" s="829"/>
      <c r="E60" s="112" t="s">
        <v>175</v>
      </c>
      <c r="F60" s="113">
        <f>'Internal use cement'!AJ15</f>
        <v>0</v>
      </c>
      <c r="G60" s="113">
        <f>F60+'12'!G60</f>
        <v>0</v>
      </c>
      <c r="H60" s="114">
        <f>F60+'12'!H60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6">
    <mergeCell ref="C35:C40"/>
    <mergeCell ref="Q28:Q29"/>
    <mergeCell ref="B48:N48"/>
    <mergeCell ref="O48:Q48"/>
    <mergeCell ref="I31:I32"/>
    <mergeCell ref="M31:M32"/>
    <mergeCell ref="N31:N32"/>
    <mergeCell ref="O31:O32"/>
    <mergeCell ref="P31:P32"/>
    <mergeCell ref="M46:P46"/>
    <mergeCell ref="M41:P44"/>
    <mergeCell ref="B41:B46"/>
    <mergeCell ref="C41:C46"/>
    <mergeCell ref="C31:D31"/>
    <mergeCell ref="C33:D33"/>
    <mergeCell ref="C34:D34"/>
    <mergeCell ref="B35:B40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C9:D9"/>
    <mergeCell ref="C17:Q17"/>
    <mergeCell ref="C8:Q8"/>
    <mergeCell ref="C11:D11"/>
    <mergeCell ref="C12:D12"/>
    <mergeCell ref="C13:D13"/>
    <mergeCell ref="P13:Q13"/>
    <mergeCell ref="O9:O16"/>
    <mergeCell ref="C10:D10"/>
    <mergeCell ref="P18:Q20"/>
    <mergeCell ref="Q21:Q22"/>
    <mergeCell ref="C22:D22"/>
    <mergeCell ref="B23:B24"/>
    <mergeCell ref="C23:C24"/>
    <mergeCell ref="P23:Q25"/>
    <mergeCell ref="C25:D25"/>
    <mergeCell ref="M25:N25"/>
    <mergeCell ref="C21:D21"/>
    <mergeCell ref="M18:M19"/>
    <mergeCell ref="M23:N24"/>
    <mergeCell ref="C57:D60"/>
    <mergeCell ref="B18:B20"/>
    <mergeCell ref="C18:C20"/>
    <mergeCell ref="N18:N20"/>
    <mergeCell ref="O18:O25"/>
    <mergeCell ref="C30:D30"/>
    <mergeCell ref="I41:I44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B57:B60"/>
    <mergeCell ref="C32:D32"/>
    <mergeCell ref="I55:Q60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</mergeCells>
  <pageMargins left="0.25" right="0.25" top="0.75" bottom="0.75" header="0.3" footer="0.3"/>
  <pageSetup paperSize="9" scale="5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/>
  <dimension ref="B2:U157"/>
  <sheetViews>
    <sheetView zoomScale="90" zoomScaleNormal="90" workbookViewId="0">
      <pane xSplit="4" ySplit="1" topLeftCell="E22" activePane="bottomRight" state="frozen"/>
      <selection pane="topRight" activeCell="E1" sqref="E1"/>
      <selection pane="bottomLeft" activeCell="A6" sqref="A6"/>
      <selection pane="bottomRight" activeCell="J36" sqref="J36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85546875" style="68" bestFit="1" customWidth="1"/>
    <col min="10" max="11" width="9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334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822" t="s">
        <v>242</v>
      </c>
      <c r="D9" s="823"/>
      <c r="E9" s="74">
        <f>'13'!L9</f>
        <v>24144.137260331569</v>
      </c>
      <c r="F9" s="74">
        <f>Production2!D16</f>
        <v>2547.62</v>
      </c>
      <c r="G9" s="74">
        <f>F9+'13'!G9</f>
        <v>41582.620000000003</v>
      </c>
      <c r="H9" s="74">
        <f>F9+'13'!H9</f>
        <v>106568.32000000001</v>
      </c>
      <c r="I9" s="74">
        <f>Production2!E16</f>
        <v>2117</v>
      </c>
      <c r="J9" s="74">
        <f>I9+'13'!J9</f>
        <v>26109</v>
      </c>
      <c r="K9" s="74">
        <f>I9+'13'!K9</f>
        <v>92996</v>
      </c>
      <c r="L9" s="74">
        <f>E9+F9-I9-I21</f>
        <v>24153.957260331568</v>
      </c>
      <c r="M9" s="75">
        <f>I9</f>
        <v>2117</v>
      </c>
      <c r="N9" s="75">
        <f>(I9/I13)*100</f>
        <v>93.424536628420114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(2)'!L16</f>
        <v>2599.7200000000003</v>
      </c>
      <c r="F10" s="77">
        <f>'Mines (2)'!M16</f>
        <v>0</v>
      </c>
      <c r="G10" s="74">
        <f>F10+'13'!G10</f>
        <v>2442.2200000000007</v>
      </c>
      <c r="H10" s="74">
        <f>F10+'13'!H10</f>
        <v>3793.6800000000003</v>
      </c>
      <c r="I10" s="77">
        <f>'Mines (2)'!N16</f>
        <v>92</v>
      </c>
      <c r="J10" s="74">
        <f>I10+'13'!J10</f>
        <v>881</v>
      </c>
      <c r="K10" s="74">
        <f>I10+'13'!K10</f>
        <v>1410</v>
      </c>
      <c r="L10" s="77">
        <f t="shared" ref="L10:L16" si="0">E10+F10-I10</f>
        <v>2507.7200000000003</v>
      </c>
      <c r="M10" s="75">
        <f t="shared" ref="M10:M12" si="1">I10</f>
        <v>92</v>
      </c>
      <c r="N10" s="75">
        <f>(I10/I13)*100</f>
        <v>4.0600176522506626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Clinker!C16</f>
        <v>3706.3</v>
      </c>
      <c r="F11" s="77">
        <f>Clinker!D16</f>
        <v>0</v>
      </c>
      <c r="G11" s="74">
        <f>F11+'13'!G11</f>
        <v>287.96000000000004</v>
      </c>
      <c r="H11" s="74">
        <f>F11+'13'!H11</f>
        <v>357.66</v>
      </c>
      <c r="I11" s="77">
        <f>Clinker!E16</f>
        <v>57</v>
      </c>
      <c r="J11" s="74">
        <f>I11+'13'!J11</f>
        <v>637</v>
      </c>
      <c r="K11" s="74">
        <f>I11+'13'!K11</f>
        <v>2074</v>
      </c>
      <c r="L11" s="77">
        <f t="shared" si="0"/>
        <v>3649.3</v>
      </c>
      <c r="M11" s="75">
        <f t="shared" si="1"/>
        <v>57</v>
      </c>
      <c r="N11" s="75">
        <f>(I11/I13)*100</f>
        <v>2.5154457193292146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(2)'!Q16</f>
        <v>3.999999999996362E-2</v>
      </c>
      <c r="F12" s="77">
        <f>'Mines (2)'!R16</f>
        <v>0</v>
      </c>
      <c r="G12" s="74">
        <f>F12+'13'!G12</f>
        <v>0</v>
      </c>
      <c r="H12" s="74">
        <f>F12+'13'!H12</f>
        <v>137.76</v>
      </c>
      <c r="I12" s="77">
        <f>'Mines (2)'!S16</f>
        <v>0</v>
      </c>
      <c r="J12" s="74">
        <f>I12+'13'!J12</f>
        <v>191</v>
      </c>
      <c r="K12" s="74">
        <f>I12+'13'!K12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30450.19726033157</v>
      </c>
      <c r="F13" s="127">
        <f t="shared" si="2"/>
        <v>2547.62</v>
      </c>
      <c r="G13" s="127">
        <f t="shared" si="2"/>
        <v>44312.800000000003</v>
      </c>
      <c r="H13" s="127">
        <f t="shared" si="2"/>
        <v>110857.42</v>
      </c>
      <c r="I13" s="127">
        <f t="shared" si="2"/>
        <v>2266</v>
      </c>
      <c r="J13" s="127">
        <f t="shared" si="2"/>
        <v>27818</v>
      </c>
      <c r="K13" s="127">
        <f t="shared" si="2"/>
        <v>97218</v>
      </c>
      <c r="L13" s="127">
        <f t="shared" si="0"/>
        <v>30731.817260331569</v>
      </c>
      <c r="M13" s="128">
        <f>SUM(M9:M12)</f>
        <v>2266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Clinker!EB16</f>
        <v>5267.6769999999906</v>
      </c>
      <c r="F14" s="77">
        <f>Clinker!EC16</f>
        <v>0</v>
      </c>
      <c r="G14" s="77">
        <f>F14+'13'!G14</f>
        <v>0</v>
      </c>
      <c r="H14" s="77">
        <f>F14+'13'!H14</f>
        <v>181.5</v>
      </c>
      <c r="I14" s="77">
        <f>Clinker!ED16</f>
        <v>240</v>
      </c>
      <c r="J14" s="77">
        <f>I14+'13'!J14</f>
        <v>3062.79</v>
      </c>
      <c r="K14" s="77">
        <f>I14+'13'!K14</f>
        <v>9899.09</v>
      </c>
      <c r="L14" s="77">
        <f>E14+F14-Clinker!N16-Clinker!Z16-Clinker!AS16-Clinker!AX16-Clinker!BC16-Clinker!BW16-Clinker!DP16</f>
        <v>5267.6769999999906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Clinker!EF16</f>
        <v>9559.4999999999927</v>
      </c>
      <c r="F15" s="77">
        <f>Clinker!EG16</f>
        <v>0</v>
      </c>
      <c r="G15" s="77">
        <f>F15+'13'!G15</f>
        <v>1062.8</v>
      </c>
      <c r="H15" s="77">
        <f>F15+'13'!H15</f>
        <v>1217.8500000000001</v>
      </c>
      <c r="I15" s="77">
        <f>Clinker!EH16</f>
        <v>136</v>
      </c>
      <c r="J15" s="77">
        <f>I15+'13'!J15</f>
        <v>1800</v>
      </c>
      <c r="K15" s="77">
        <f>I15+'13'!K15</f>
        <v>5669</v>
      </c>
      <c r="L15" s="77">
        <f>E15+F15-Clinker!AE16-Clinker!AJ16-Clinker!CL16-Clinker!CQ16-Clinker!CG16-Clinker!AI16</f>
        <v>9183.4999999999927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14827.176999999983</v>
      </c>
      <c r="F16" s="125">
        <f>F14+F15</f>
        <v>0</v>
      </c>
      <c r="G16" s="125">
        <f t="shared" ref="G16:K16" si="3">G14+G15</f>
        <v>1062.8</v>
      </c>
      <c r="H16" s="125">
        <f t="shared" si="3"/>
        <v>1399.3500000000001</v>
      </c>
      <c r="I16" s="125">
        <f>I14+I15</f>
        <v>376</v>
      </c>
      <c r="J16" s="125">
        <f>J14+J15</f>
        <v>4862.79</v>
      </c>
      <c r="K16" s="125">
        <f t="shared" si="3"/>
        <v>15568.09</v>
      </c>
      <c r="L16" s="125">
        <f t="shared" si="0"/>
        <v>14451.176999999983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Clinker!EJ16</f>
        <v>27158.443086779756</v>
      </c>
      <c r="F18" s="74">
        <f>Clinker!EK16</f>
        <v>1250</v>
      </c>
      <c r="G18" s="74">
        <f>F18+'13'!G18</f>
        <v>16621</v>
      </c>
      <c r="H18" s="74">
        <f>F18+'13'!H18</f>
        <v>57121</v>
      </c>
      <c r="I18" s="74">
        <f>Clinker!EL16</f>
        <v>1477.58</v>
      </c>
      <c r="J18" s="74">
        <f>I18+'13'!J18</f>
        <v>14609.797000960707</v>
      </c>
      <c r="K18" s="74">
        <f>I18+'13'!K18</f>
        <v>33471.67701284698</v>
      </c>
      <c r="L18" s="74">
        <f>E18+F18-I18-I20</f>
        <v>26930.863086779755</v>
      </c>
      <c r="M18" s="75">
        <f>((I18+I19)/(J40+J46))*100</f>
        <v>75.618219037871029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Clinker!EO16</f>
        <v>5306.1090080001359</v>
      </c>
      <c r="F19" s="74">
        <f>Clinker!EP16</f>
        <v>0</v>
      </c>
      <c r="G19" s="74">
        <f>F19+'13'!G19</f>
        <v>150.78</v>
      </c>
      <c r="H19" s="74">
        <f>F19+'13'!H19</f>
        <v>13390.660000000003</v>
      </c>
      <c r="I19" s="74">
        <f>Clinker!EQ16</f>
        <v>0</v>
      </c>
      <c r="J19" s="74">
        <f>I19+'13'!J19</f>
        <v>0</v>
      </c>
      <c r="K19" s="74">
        <f>I19+'13'!K19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20"/>
    </row>
    <row r="20" spans="2:19" ht="30" x14ac:dyDescent="0.25">
      <c r="B20" s="763"/>
      <c r="C20" s="764"/>
      <c r="D20" s="86" t="s">
        <v>249</v>
      </c>
      <c r="E20" s="77"/>
      <c r="F20" s="77">
        <f>Clinker!EN16</f>
        <v>0</v>
      </c>
      <c r="G20" s="74">
        <f>F20+'13'!G20</f>
        <v>0</v>
      </c>
      <c r="H20" s="74">
        <f>F20+'13'!H20</f>
        <v>0</v>
      </c>
      <c r="I20" s="77">
        <f>Clinker!EN16</f>
        <v>0</v>
      </c>
      <c r="J20" s="74">
        <f>I20+'13'!J20</f>
        <v>0</v>
      </c>
      <c r="K20" s="74">
        <f>I20+'13'!K20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/>
      <c r="F21" s="77"/>
      <c r="G21" s="74"/>
      <c r="H21" s="74"/>
      <c r="I21" s="77">
        <f>Cement!S16</f>
        <v>420.8</v>
      </c>
      <c r="J21" s="74">
        <f>I21+'13'!J21</f>
        <v>3891.4144442900388</v>
      </c>
      <c r="K21" s="74">
        <f>I21+'13'!K21</f>
        <v>12523.234436852274</v>
      </c>
      <c r="L21" s="74"/>
      <c r="M21" s="78">
        <f>(I21/(J40+J46))*100</f>
        <v>21.535312180143297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Cement!C16</f>
        <v>6212.720590778913</v>
      </c>
      <c r="F22" s="77">
        <f>Cement!D16</f>
        <v>0</v>
      </c>
      <c r="G22" s="74">
        <f>F22+'13'!G22</f>
        <v>30.12</v>
      </c>
      <c r="H22" s="74">
        <f>F22+'13'!H22</f>
        <v>2001.02</v>
      </c>
      <c r="I22" s="77">
        <f>Cement!F16</f>
        <v>102.84210526315789</v>
      </c>
      <c r="J22" s="74">
        <f>I22+'13'!J22</f>
        <v>997.32157808252634</v>
      </c>
      <c r="K22" s="74">
        <f>I22+'13'!K22</f>
        <v>3336.5215736340256</v>
      </c>
      <c r="L22" s="74">
        <f>E22+F22-I22</f>
        <v>6109.8784855157555</v>
      </c>
      <c r="M22" s="78">
        <f>(I22/(J40+J46))*100</f>
        <v>5.2631578947368416</v>
      </c>
      <c r="N22" s="78"/>
      <c r="O22" s="767"/>
      <c r="P22" s="87">
        <v>5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Cement!H16</f>
        <v>0.23999999999796273</v>
      </c>
      <c r="F23" s="77">
        <f>Cement!I16</f>
        <v>0</v>
      </c>
      <c r="G23" s="74">
        <f>F23+'13'!G23</f>
        <v>0</v>
      </c>
      <c r="H23" s="74">
        <f>F23+'13'!H23</f>
        <v>0</v>
      </c>
      <c r="I23" s="77">
        <f>Cement!J16</f>
        <v>0</v>
      </c>
      <c r="J23" s="74">
        <f>I23+'13'!J23</f>
        <v>0</v>
      </c>
      <c r="K23" s="74">
        <f>I23+'13'!K23</f>
        <v>0</v>
      </c>
      <c r="L23" s="74">
        <f t="shared" ref="L23:L24" si="4">E23+F23-I23</f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Cement!L16</f>
        <v>0</v>
      </c>
      <c r="F24" s="77">
        <f>Cement!M16</f>
        <v>0</v>
      </c>
      <c r="G24" s="74">
        <f>F24+'13'!G24</f>
        <v>0</v>
      </c>
      <c r="H24" s="74">
        <f>F24+'13'!H24</f>
        <v>0</v>
      </c>
      <c r="I24" s="77">
        <f>Cement!N16</f>
        <v>0</v>
      </c>
      <c r="J24" s="74">
        <f>I24+'13'!J24</f>
        <v>0</v>
      </c>
      <c r="K24" s="74">
        <f>I24+'13'!K24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38677.512685558802</v>
      </c>
      <c r="F25" s="122">
        <f t="shared" ref="F25:L25" si="5">F18+F19+F21+F22+F23+F24</f>
        <v>1250</v>
      </c>
      <c r="G25" s="122">
        <f t="shared" si="5"/>
        <v>16801.899999999998</v>
      </c>
      <c r="H25" s="122">
        <f t="shared" si="5"/>
        <v>72512.680000000008</v>
      </c>
      <c r="I25" s="122">
        <f t="shared" si="5"/>
        <v>2001.2221052631578</v>
      </c>
      <c r="J25" s="122">
        <f t="shared" si="5"/>
        <v>19498.533023333272</v>
      </c>
      <c r="K25" s="122">
        <f t="shared" si="5"/>
        <v>66265.533023333279</v>
      </c>
      <c r="L25" s="122">
        <f t="shared" si="5"/>
        <v>38347.090580295648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Production2!C16</f>
        <v>18.63</v>
      </c>
      <c r="G30" s="75">
        <f>F30+'13'!G30</f>
        <v>234.45</v>
      </c>
      <c r="H30" s="75">
        <f>F30+'13'!H30</f>
        <v>666.93000000000018</v>
      </c>
      <c r="I30" s="74">
        <f>'Mines (2)'!C16+'Mines (2)'!H16+'Mines (2)'!V16+'Mines (2)'!Z16+'Mines (2)'!AD16</f>
        <v>24144.137260331565</v>
      </c>
      <c r="J30" s="74">
        <f>Production2!D16</f>
        <v>2547.62</v>
      </c>
      <c r="K30" s="74">
        <f>J30+'13'!K30</f>
        <v>41582.620000000003</v>
      </c>
      <c r="L30" s="74">
        <f>J30+'13'!L30</f>
        <v>106568.32000000001</v>
      </c>
      <c r="M30" s="74">
        <f>I9+I21</f>
        <v>2537.8000000000002</v>
      </c>
      <c r="N30" s="74">
        <f>M30+'13'!N30</f>
        <v>30000.414444290036</v>
      </c>
      <c r="O30" s="498">
        <f>M30+'13'!O30</f>
        <v>105519.2344368523</v>
      </c>
      <c r="P30" s="74">
        <f>I30+J30-M30</f>
        <v>24153.957260331565</v>
      </c>
      <c r="Q30" s="93">
        <f>J30/F30</f>
        <v>136.7482555018787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Production2!G16</f>
        <v>17.45</v>
      </c>
      <c r="G31" s="75">
        <f>F31+'13'!G31</f>
        <v>223.72</v>
      </c>
      <c r="H31" s="75">
        <f>F31+'13'!H31</f>
        <v>716.93999999999994</v>
      </c>
      <c r="I31" s="724">
        <f>Production2!H16</f>
        <v>907.71001683751956</v>
      </c>
      <c r="J31" s="78">
        <f>Production2!N16</f>
        <v>2041.11</v>
      </c>
      <c r="K31" s="486">
        <f>J31+'13'!K31</f>
        <v>24570.390000000003</v>
      </c>
      <c r="L31" s="74">
        <f>J31+'13'!L31</f>
        <v>83427.540000000023</v>
      </c>
      <c r="M31" s="724">
        <f>Production2!K16</f>
        <v>1937.5</v>
      </c>
      <c r="N31" s="724">
        <f>M31+'13'!N31</f>
        <v>25762.55</v>
      </c>
      <c r="O31" s="724">
        <f>M31+'13'!O31</f>
        <v>88537.55</v>
      </c>
      <c r="P31" s="724">
        <f>I31+J31+J32-M31</f>
        <v>1011.3200168375197</v>
      </c>
      <c r="Q31" s="96">
        <f t="shared" ref="Q31:Q46" si="6">J31/F31</f>
        <v>116.96905444126074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Production2!P16</f>
        <v>0</v>
      </c>
      <c r="G32" s="75">
        <f>F32+'13'!G32</f>
        <v>57.76</v>
      </c>
      <c r="H32" s="75">
        <f>F32+'13'!H32</f>
        <v>464.04999999999995</v>
      </c>
      <c r="I32" s="712"/>
      <c r="J32" s="78">
        <f>Production2!Q16</f>
        <v>0</v>
      </c>
      <c r="K32" s="486">
        <f>J32+'13'!K32</f>
        <v>485.36</v>
      </c>
      <c r="L32" s="74">
        <f>J32+'13'!L32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21" x14ac:dyDescent="0.25">
      <c r="B33" s="79">
        <v>4</v>
      </c>
      <c r="C33" s="725" t="s">
        <v>145</v>
      </c>
      <c r="D33" s="726"/>
      <c r="E33" s="95">
        <v>10</v>
      </c>
      <c r="F33" s="78">
        <f>Production2!S16</f>
        <v>17</v>
      </c>
      <c r="G33" s="75">
        <f>F33+'13'!G33</f>
        <v>206.03</v>
      </c>
      <c r="H33" s="75">
        <f>F33+'13'!H33</f>
        <v>652.40000000000009</v>
      </c>
      <c r="I33" s="77">
        <f>Production2!T16</f>
        <v>52.709999999999866</v>
      </c>
      <c r="J33" s="77">
        <f>Production2!U16</f>
        <v>216</v>
      </c>
      <c r="K33" s="74">
        <f>J33+'13'!K33</f>
        <v>2756.5</v>
      </c>
      <c r="L33" s="74">
        <f>J33+'13'!L33</f>
        <v>8909.2000000000007</v>
      </c>
      <c r="M33" s="77">
        <f>Production2!V16</f>
        <v>218</v>
      </c>
      <c r="N33" s="74">
        <f>M33+'13'!N33</f>
        <v>2746</v>
      </c>
      <c r="O33" s="74">
        <f>M33+'13'!O33</f>
        <v>8874</v>
      </c>
      <c r="P33" s="74">
        <f t="shared" ref="P33" si="7">I33+J33-M33</f>
        <v>50.709999999999866</v>
      </c>
      <c r="Q33" s="96">
        <f t="shared" si="6"/>
        <v>12.705882352941176</v>
      </c>
      <c r="R33" s="94"/>
      <c r="S33" s="94"/>
    </row>
    <row r="34" spans="2:21" x14ac:dyDescent="0.25">
      <c r="B34" s="91">
        <v>5</v>
      </c>
      <c r="C34" s="725" t="s">
        <v>69</v>
      </c>
      <c r="D34" s="726"/>
      <c r="E34" s="95">
        <v>50</v>
      </c>
      <c r="F34" s="78">
        <f>Production2!Y16</f>
        <v>24</v>
      </c>
      <c r="G34" s="75">
        <f>F34+'13'!G34</f>
        <v>303.01</v>
      </c>
      <c r="H34" s="75">
        <f>F34+'13'!H34</f>
        <v>921.28000000000009</v>
      </c>
      <c r="I34" s="77">
        <f>Clinker!EJ16</f>
        <v>27158.443086779756</v>
      </c>
      <c r="J34" s="77">
        <f>Clinker!EK16</f>
        <v>1250</v>
      </c>
      <c r="K34" s="74">
        <f>J34+'13'!K34</f>
        <v>16621</v>
      </c>
      <c r="L34" s="74">
        <f>J34+'13'!L34</f>
        <v>57121</v>
      </c>
      <c r="M34" s="77">
        <f>Clinker!EL16</f>
        <v>1477.58</v>
      </c>
      <c r="N34" s="74">
        <f>M34+'13'!N34</f>
        <v>14609.797000960707</v>
      </c>
      <c r="O34" s="74">
        <f>M34+'13'!O34</f>
        <v>33471.67701284698</v>
      </c>
      <c r="P34" s="74">
        <f>I34+J34-M34-I20</f>
        <v>26930.863086779755</v>
      </c>
      <c r="Q34" s="96">
        <f t="shared" si="6"/>
        <v>52.083333333333336</v>
      </c>
      <c r="R34" s="94"/>
      <c r="S34" s="94"/>
    </row>
    <row r="35" spans="2:21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Production2!AE16</f>
        <v>0</v>
      </c>
      <c r="G35" s="75">
        <f>F35+'13'!G35</f>
        <v>6.8000000000000007</v>
      </c>
      <c r="H35" s="75">
        <f>F35+'13'!H35</f>
        <v>15.8</v>
      </c>
      <c r="I35" s="77">
        <f>Production2!BJ16</f>
        <v>334.29999999999995</v>
      </c>
      <c r="J35" s="77">
        <f>Production2!AF16</f>
        <v>0</v>
      </c>
      <c r="K35" s="74">
        <f>J35+'13'!K35</f>
        <v>400</v>
      </c>
      <c r="L35" s="74">
        <f>J35+'13'!L35</f>
        <v>974</v>
      </c>
      <c r="M35" s="77">
        <f>Production2!BL16</f>
        <v>218</v>
      </c>
      <c r="N35" s="74">
        <f>M35+'13'!N35</f>
        <v>995.5</v>
      </c>
      <c r="O35" s="75">
        <f>M35+'13'!O35</f>
        <v>3390</v>
      </c>
      <c r="P35" s="74">
        <f>I35+J35+J41-M35-F59</f>
        <v>416.29999999999995</v>
      </c>
      <c r="Q35" s="96" t="e">
        <f t="shared" si="6"/>
        <v>#DIV/0!</v>
      </c>
      <c r="R35" s="94"/>
      <c r="S35" s="94"/>
    </row>
    <row r="36" spans="2:21" x14ac:dyDescent="0.25">
      <c r="B36" s="688"/>
      <c r="C36" s="691"/>
      <c r="D36" s="80" t="s">
        <v>266</v>
      </c>
      <c r="E36" s="97">
        <v>78</v>
      </c>
      <c r="F36" s="78">
        <f>Production2!AB16</f>
        <v>9.8800000000000008</v>
      </c>
      <c r="G36" s="654">
        <f>F36+'13'!G36</f>
        <v>95.039999999999992</v>
      </c>
      <c r="H36" s="654">
        <f>F36+'13'!H36</f>
        <v>301.37</v>
      </c>
      <c r="I36" s="77">
        <f>Production2!BF16</f>
        <v>2347.80799999998</v>
      </c>
      <c r="J36" s="77">
        <f>Production2!AC16</f>
        <v>632</v>
      </c>
      <c r="K36" s="74">
        <f>J36+'13'!K36</f>
        <v>5731</v>
      </c>
      <c r="L36" s="74">
        <f>J36+'13'!L36</f>
        <v>18160</v>
      </c>
      <c r="M36" s="77">
        <f>Production2!BH16</f>
        <v>1632.4</v>
      </c>
      <c r="N36" s="484">
        <f>M36+'13'!N36</f>
        <v>15175.88</v>
      </c>
      <c r="O36" s="482">
        <f>M36+'13'!O36</f>
        <v>50344.15</v>
      </c>
      <c r="P36" s="74">
        <f>I36+J36+J42-M36-F57</f>
        <v>2369.4079999999799</v>
      </c>
      <c r="Q36" s="96">
        <f t="shared" si="6"/>
        <v>63.967611336032384</v>
      </c>
      <c r="R36" s="94"/>
      <c r="S36" s="94"/>
    </row>
    <row r="37" spans="2:21" x14ac:dyDescent="0.25">
      <c r="B37" s="688"/>
      <c r="C37" s="691"/>
      <c r="D37" s="80" t="s">
        <v>267</v>
      </c>
      <c r="E37" s="97">
        <v>78</v>
      </c>
      <c r="F37" s="78">
        <f>Production2!AH16</f>
        <v>0</v>
      </c>
      <c r="G37" s="654">
        <f>F37+'13'!G37</f>
        <v>0</v>
      </c>
      <c r="H37" s="654">
        <f>F37+'13'!H37</f>
        <v>0</v>
      </c>
      <c r="I37" s="77">
        <f>Production2!BN16</f>
        <v>2.0900000000008498</v>
      </c>
      <c r="J37" s="77">
        <f>Production2!AI16</f>
        <v>0</v>
      </c>
      <c r="K37" s="484">
        <f>J37+'13'!K37</f>
        <v>0</v>
      </c>
      <c r="L37" s="484">
        <f>J37+'13'!L37</f>
        <v>0</v>
      </c>
      <c r="M37" s="77">
        <f>Production2!BP16</f>
        <v>0</v>
      </c>
      <c r="N37" s="484">
        <f>M37+'13'!N37</f>
        <v>0</v>
      </c>
      <c r="O37" s="622">
        <f>M37+'13'!O37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21" x14ac:dyDescent="0.25">
      <c r="B38" s="688"/>
      <c r="C38" s="691"/>
      <c r="D38" s="194" t="s">
        <v>175</v>
      </c>
      <c r="E38" s="97">
        <v>65</v>
      </c>
      <c r="F38" s="84">
        <f>Production2!AK16</f>
        <v>0</v>
      </c>
      <c r="G38" s="654">
        <f>F38+'13'!G38</f>
        <v>3</v>
      </c>
      <c r="H38" s="654">
        <f>F38+'13'!H38</f>
        <v>3</v>
      </c>
      <c r="I38" s="195">
        <f>Production2!BR16</f>
        <v>203.3</v>
      </c>
      <c r="J38" s="195">
        <v>0</v>
      </c>
      <c r="K38" s="484">
        <f>J38+'13'!K38</f>
        <v>180</v>
      </c>
      <c r="L38" s="484">
        <f>J38+'13'!L38</f>
        <v>180</v>
      </c>
      <c r="M38" s="195">
        <f>Production2!BT16</f>
        <v>0</v>
      </c>
      <c r="N38" s="484">
        <f>M38+'13'!N38</f>
        <v>440</v>
      </c>
      <c r="O38" s="482">
        <f>M38+'13'!O38</f>
        <v>2287</v>
      </c>
      <c r="P38" s="74">
        <f>I38+J38+J44-M38-F61</f>
        <v>203.3</v>
      </c>
      <c r="Q38" s="96" t="e">
        <f t="shared" si="6"/>
        <v>#DIV/0!</v>
      </c>
      <c r="R38" s="94"/>
      <c r="S38" s="94"/>
    </row>
    <row r="39" spans="2:21" x14ac:dyDescent="0.25">
      <c r="B39" s="688"/>
      <c r="C39" s="691"/>
      <c r="D39" s="479" t="s">
        <v>304</v>
      </c>
      <c r="E39" s="485">
        <v>78</v>
      </c>
      <c r="F39" s="481">
        <f>Production2!AN16</f>
        <v>0</v>
      </c>
      <c r="G39" s="654">
        <f>F39+'13'!G39</f>
        <v>20.8</v>
      </c>
      <c r="H39" s="654">
        <f>F39+'13'!H39</f>
        <v>61.45</v>
      </c>
      <c r="I39" s="483">
        <f>Production2!BV16</f>
        <v>702.99</v>
      </c>
      <c r="J39" s="483">
        <f>Production2!AO16</f>
        <v>0</v>
      </c>
      <c r="K39" s="484">
        <f>J39+'13'!K39</f>
        <v>1215</v>
      </c>
      <c r="L39" s="484">
        <f>J39+'13'!L39</f>
        <v>3747</v>
      </c>
      <c r="M39" s="77">
        <f>Production2!BX16</f>
        <v>276.45999999999998</v>
      </c>
      <c r="N39" s="484">
        <f>M39+'13'!N39</f>
        <v>3183.2999999999997</v>
      </c>
      <c r="O39" s="482">
        <f>M39+'13'!O39</f>
        <v>8605.18</v>
      </c>
      <c r="P39" s="484">
        <f>I39+J39+J45-M39</f>
        <v>426.53000000000003</v>
      </c>
      <c r="Q39" s="96" t="e">
        <f t="shared" si="6"/>
        <v>#DIV/0!</v>
      </c>
      <c r="R39" s="94"/>
      <c r="S39" s="94"/>
    </row>
    <row r="40" spans="2:21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9.8800000000000008</v>
      </c>
      <c r="G40" s="132">
        <f t="shared" ref="G40:H40" si="8">G35+G36+G37+G38+G39</f>
        <v>125.63999999999999</v>
      </c>
      <c r="H40" s="132">
        <f t="shared" si="8"/>
        <v>381.62</v>
      </c>
      <c r="I40" s="122">
        <f>I35+I36+I37+I38+I39</f>
        <v>3590.4879999999812</v>
      </c>
      <c r="J40" s="480">
        <f t="shared" ref="J40:P40" si="9">J35+J36+J37+J38+J39</f>
        <v>632</v>
      </c>
      <c r="K40" s="480">
        <f t="shared" si="9"/>
        <v>7526</v>
      </c>
      <c r="L40" s="480">
        <f t="shared" si="9"/>
        <v>23061</v>
      </c>
      <c r="M40" s="480">
        <f t="shared" si="9"/>
        <v>2126.86</v>
      </c>
      <c r="N40" s="480">
        <f t="shared" si="9"/>
        <v>19794.679999999997</v>
      </c>
      <c r="O40" s="480">
        <f t="shared" si="9"/>
        <v>64626.18</v>
      </c>
      <c r="P40" s="480">
        <f t="shared" si="9"/>
        <v>3415.6279999999811</v>
      </c>
      <c r="Q40" s="123">
        <f t="shared" si="6"/>
        <v>63.967611336032384</v>
      </c>
      <c r="R40" s="94"/>
      <c r="S40" s="94">
        <f>J40+J46</f>
        <v>1954</v>
      </c>
      <c r="T40" s="176">
        <f>K40+K46</f>
        <v>19177</v>
      </c>
      <c r="U40" s="176">
        <f>L40+L46</f>
        <v>65944</v>
      </c>
    </row>
    <row r="41" spans="2:21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Production2!AT16</f>
        <v>5</v>
      </c>
      <c r="G41" s="75">
        <f>F41+'13'!G41</f>
        <v>10.129999999999999</v>
      </c>
      <c r="H41" s="75">
        <f>F41+'13'!H41</f>
        <v>43.23</v>
      </c>
      <c r="I41" s="710"/>
      <c r="J41" s="77">
        <f>Production2!AU16</f>
        <v>300</v>
      </c>
      <c r="K41" s="74">
        <f>J41+'13'!K41</f>
        <v>600</v>
      </c>
      <c r="L41" s="74">
        <f>J41+'13'!L41</f>
        <v>2600</v>
      </c>
      <c r="M41" s="713"/>
      <c r="N41" s="714"/>
      <c r="O41" s="714"/>
      <c r="P41" s="715"/>
      <c r="Q41" s="96">
        <f t="shared" si="6"/>
        <v>60</v>
      </c>
      <c r="R41" s="94"/>
      <c r="S41" s="94"/>
    </row>
    <row r="42" spans="2:21" x14ac:dyDescent="0.25">
      <c r="B42" s="688"/>
      <c r="C42" s="691"/>
      <c r="D42" s="80" t="s">
        <v>266</v>
      </c>
      <c r="E42" s="97">
        <v>70</v>
      </c>
      <c r="F42" s="78">
        <f>Production2!AQ16</f>
        <v>18.239999999999998</v>
      </c>
      <c r="G42" s="75">
        <f>F42+'13'!G42</f>
        <v>158.36000000000001</v>
      </c>
      <c r="H42" s="75">
        <f>F42+'13'!H42</f>
        <v>574.36</v>
      </c>
      <c r="I42" s="711"/>
      <c r="J42" s="77">
        <f>Production2!AR16</f>
        <v>1022</v>
      </c>
      <c r="K42" s="74">
        <f>J42+'13'!K42</f>
        <v>9135</v>
      </c>
      <c r="L42" s="74">
        <f>J42+'13'!L42</f>
        <v>33275</v>
      </c>
      <c r="M42" s="716"/>
      <c r="N42" s="867"/>
      <c r="O42" s="867"/>
      <c r="P42" s="718"/>
      <c r="Q42" s="96">
        <f t="shared" si="6"/>
        <v>56.030701754385973</v>
      </c>
      <c r="R42" s="94"/>
      <c r="S42" s="94"/>
    </row>
    <row r="43" spans="2:21" x14ac:dyDescent="0.25">
      <c r="B43" s="688"/>
      <c r="C43" s="691"/>
      <c r="D43" s="80" t="s">
        <v>267</v>
      </c>
      <c r="E43" s="97">
        <v>70</v>
      </c>
      <c r="F43" s="78">
        <f>Production2!AW16</f>
        <v>0</v>
      </c>
      <c r="G43" s="75">
        <f>F43+'13'!G43</f>
        <v>0</v>
      </c>
      <c r="H43" s="75">
        <f>F43+'13'!H43</f>
        <v>0</v>
      </c>
      <c r="I43" s="711"/>
      <c r="J43" s="77">
        <f>Production2!AX16</f>
        <v>0</v>
      </c>
      <c r="K43" s="74">
        <f>J43+'13'!K43</f>
        <v>0</v>
      </c>
      <c r="L43" s="74">
        <f>J43+'13'!L43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21" x14ac:dyDescent="0.25">
      <c r="B44" s="688"/>
      <c r="C44" s="691"/>
      <c r="D44" s="194" t="s">
        <v>175</v>
      </c>
      <c r="E44" s="97">
        <v>60</v>
      </c>
      <c r="F44" s="84">
        <f>Production2!AZ16</f>
        <v>0</v>
      </c>
      <c r="G44" s="482">
        <f>F44+'13'!G44</f>
        <v>5</v>
      </c>
      <c r="H44" s="482">
        <f>F44+'13'!H44</f>
        <v>37.880000000000003</v>
      </c>
      <c r="I44" s="711"/>
      <c r="J44" s="195">
        <f>Production2!BA16</f>
        <v>0</v>
      </c>
      <c r="K44" s="74">
        <f>J44+'13'!K44</f>
        <v>277</v>
      </c>
      <c r="L44" s="74">
        <f>J44+'13'!L44</f>
        <v>2097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21" x14ac:dyDescent="0.25">
      <c r="B45" s="688"/>
      <c r="C45" s="691"/>
      <c r="D45" s="479" t="s">
        <v>304</v>
      </c>
      <c r="E45" s="485">
        <v>70</v>
      </c>
      <c r="F45" s="481">
        <f>Production2!BC16</f>
        <v>0</v>
      </c>
      <c r="G45" s="482">
        <f>F45+'13'!G45</f>
        <v>27.119999999999997</v>
      </c>
      <c r="H45" s="482">
        <f>F45+'13'!H45</f>
        <v>82.09</v>
      </c>
      <c r="I45" s="712"/>
      <c r="J45" s="483">
        <f>Production2!BD16</f>
        <v>0</v>
      </c>
      <c r="K45" s="484">
        <f>J45+'13'!K45</f>
        <v>1639</v>
      </c>
      <c r="L45" s="484">
        <f>J45+'13'!L45</f>
        <v>4911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21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23.24</v>
      </c>
      <c r="G46" s="132">
        <f t="shared" ref="G46:H46" si="10">G41+G42+G43+G44+G45</f>
        <v>200.61</v>
      </c>
      <c r="H46" s="132">
        <f t="shared" si="10"/>
        <v>737.56000000000006</v>
      </c>
      <c r="I46" s="122"/>
      <c r="J46" s="122">
        <f>J41+J42+J43+J44+J45</f>
        <v>1322</v>
      </c>
      <c r="K46" s="480">
        <f t="shared" ref="K46:L46" si="11">K41+K42+K43+K44+K45</f>
        <v>11651</v>
      </c>
      <c r="L46" s="480">
        <f t="shared" si="11"/>
        <v>42883</v>
      </c>
      <c r="M46" s="873"/>
      <c r="N46" s="874"/>
      <c r="O46" s="874"/>
      <c r="P46" s="875"/>
      <c r="Q46" s="123">
        <f t="shared" si="6"/>
        <v>56.88468158347677</v>
      </c>
      <c r="R46" s="94"/>
      <c r="S46" s="94"/>
    </row>
    <row r="47" spans="2:21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21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1.0284108305006241</v>
      </c>
      <c r="F50" s="99">
        <f>F53/(J31+J32)</f>
        <v>21.607850630294301</v>
      </c>
      <c r="G50" s="99">
        <v>0</v>
      </c>
      <c r="H50" s="99">
        <f>H53/J34</f>
        <v>41.014400000000002</v>
      </c>
      <c r="I50" s="99">
        <f>I53/J33</f>
        <v>61.583333333333336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17.440000000000001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1.7417165825358569</v>
      </c>
      <c r="F51" s="102">
        <f>F50*1.55</f>
        <v>33.492168476956167</v>
      </c>
      <c r="G51" s="102">
        <f>G50*1.55</f>
        <v>0</v>
      </c>
      <c r="H51" s="102">
        <f>H50</f>
        <v>41.014400000000002</v>
      </c>
      <c r="I51" s="102">
        <f>I50*(Q50/100)</f>
        <v>10.740133333333334</v>
      </c>
      <c r="J51" s="102"/>
      <c r="K51" s="102"/>
      <c r="L51" s="102"/>
      <c r="M51" s="96"/>
      <c r="N51" s="103"/>
      <c r="O51" s="728" t="s">
        <v>277</v>
      </c>
      <c r="P51" s="728"/>
      <c r="Q51" s="104">
        <v>4800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1.3170550604008862</v>
      </c>
      <c r="F52" s="102">
        <f>F51*M18/100</f>
        <v>25.326181319437506</v>
      </c>
      <c r="G52" s="102">
        <f>G51*M18/100</f>
        <v>0</v>
      </c>
      <c r="H52" s="102">
        <f>H51*M18/100</f>
        <v>31.014358829068577</v>
      </c>
      <c r="I52" s="102">
        <f>I51*M18/100</f>
        <v>8.1214975489594003</v>
      </c>
      <c r="J52" s="99">
        <f>J53/(J40+J46)</f>
        <v>41.437052200614126</v>
      </c>
      <c r="K52" s="99">
        <f>K53/(J46+J40)</f>
        <v>0.89508700102354144</v>
      </c>
      <c r="L52" s="99">
        <f>L53/(M40)</f>
        <v>2.771221425011519</v>
      </c>
      <c r="M52" s="96">
        <f>M53/(J46+J40)</f>
        <v>2.7722620266120779</v>
      </c>
      <c r="N52" s="307">
        <f>SUM(E52:M52)</f>
        <v>113.65471541112764</v>
      </c>
      <c r="O52" s="728" t="s">
        <v>279</v>
      </c>
      <c r="P52" s="728"/>
      <c r="Q52" s="104">
        <f>Q51*Q50/100</f>
        <v>837.12</v>
      </c>
    </row>
    <row r="53" spans="2:19" ht="15" customHeight="1" thickBot="1" x14ac:dyDescent="0.3">
      <c r="B53" s="199" t="s">
        <v>241</v>
      </c>
      <c r="C53" s="821" t="s">
        <v>280</v>
      </c>
      <c r="D53" s="821"/>
      <c r="E53" s="118">
        <f>'Daily unit'!B16</f>
        <v>2620</v>
      </c>
      <c r="F53" s="118">
        <f>'Daily unit'!C16</f>
        <v>44104</v>
      </c>
      <c r="G53" s="118">
        <f>'Daily unit'!D16</f>
        <v>0</v>
      </c>
      <c r="H53" s="118">
        <f>'Daily unit'!E16</f>
        <v>51268</v>
      </c>
      <c r="I53" s="118">
        <f>'Daily unit'!F16</f>
        <v>13302</v>
      </c>
      <c r="J53" s="118">
        <f>'Daily unit'!G16</f>
        <v>80968</v>
      </c>
      <c r="K53" s="118">
        <f>'Daily unit'!H16</f>
        <v>1749</v>
      </c>
      <c r="L53" s="118">
        <f>'Daily unit'!I16</f>
        <v>5894</v>
      </c>
      <c r="M53" s="119">
        <f>'Daily unit'!J16</f>
        <v>5417</v>
      </c>
      <c r="N53" s="318">
        <f>SUM(E53:M53)</f>
        <v>205322</v>
      </c>
      <c r="O53" s="206"/>
      <c r="P53" s="84"/>
      <c r="Q53" s="207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844" t="s">
        <v>281</v>
      </c>
      <c r="C55" s="811"/>
      <c r="D55" s="811"/>
      <c r="E55" s="811"/>
      <c r="F55" s="811"/>
      <c r="G55" s="811"/>
      <c r="H55" s="81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187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687">
        <v>1</v>
      </c>
      <c r="C57" s="824" t="s">
        <v>285</v>
      </c>
      <c r="D57" s="825"/>
      <c r="E57" s="80">
        <v>42.5</v>
      </c>
      <c r="F57" s="53">
        <f>'Internal use cement'!F16</f>
        <v>0</v>
      </c>
      <c r="G57" s="53">
        <f>F57+'13'!G57</f>
        <v>0</v>
      </c>
      <c r="H57" s="77">
        <f>F57+'13'!H57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688"/>
      <c r="C58" s="826"/>
      <c r="D58" s="827"/>
      <c r="E58" s="80" t="s">
        <v>195</v>
      </c>
      <c r="F58" s="53">
        <f>'Internal use cement'!Q16</f>
        <v>2</v>
      </c>
      <c r="G58" s="53">
        <f>F58+'13'!G58</f>
        <v>2</v>
      </c>
      <c r="H58" s="77">
        <f>F58+'13'!H58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688"/>
      <c r="C59" s="826"/>
      <c r="D59" s="827"/>
      <c r="E59" s="80">
        <v>32.5</v>
      </c>
      <c r="F59" s="53">
        <f>'Internal use cement'!AB16</f>
        <v>0</v>
      </c>
      <c r="G59" s="53">
        <f>F59+'13'!G59</f>
        <v>0</v>
      </c>
      <c r="H59" s="78">
        <f>F59+'13'!H59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89"/>
      <c r="C60" s="828"/>
      <c r="D60" s="829"/>
      <c r="E60" s="112" t="s">
        <v>175</v>
      </c>
      <c r="F60" s="113">
        <f>'Internal use cement'!AJ16</f>
        <v>0</v>
      </c>
      <c r="G60" s="113">
        <f>F60+'13'!G60</f>
        <v>0</v>
      </c>
      <c r="H60" s="212">
        <f>F60+'13'!H60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5">
    <mergeCell ref="P31:P32"/>
    <mergeCell ref="B48:N48"/>
    <mergeCell ref="O48:Q48"/>
    <mergeCell ref="C32:D32"/>
    <mergeCell ref="I31:I32"/>
    <mergeCell ref="M31:M32"/>
    <mergeCell ref="N31:N32"/>
    <mergeCell ref="O31:O32"/>
    <mergeCell ref="C33:D33"/>
    <mergeCell ref="C34:D34"/>
    <mergeCell ref="I41:I45"/>
    <mergeCell ref="M41:P45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35:B40"/>
    <mergeCell ref="C35:C40"/>
    <mergeCell ref="B26:Q26"/>
    <mergeCell ref="C30:D30"/>
    <mergeCell ref="C31:D31"/>
    <mergeCell ref="B18:B20"/>
    <mergeCell ref="C18:C20"/>
    <mergeCell ref="B23:B24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N18:N20"/>
    <mergeCell ref="O18:O25"/>
    <mergeCell ref="P18:Q20"/>
    <mergeCell ref="Q21:Q22"/>
    <mergeCell ref="C22:D22"/>
    <mergeCell ref="C23:C24"/>
    <mergeCell ref="M23:N24"/>
    <mergeCell ref="P23:Q25"/>
    <mergeCell ref="C25:D25"/>
    <mergeCell ref="M25:N25"/>
    <mergeCell ref="C21:D21"/>
    <mergeCell ref="P13:Q13"/>
    <mergeCell ref="O9:O16"/>
    <mergeCell ref="C10:D10"/>
    <mergeCell ref="C9:D9"/>
    <mergeCell ref="C17:Q17"/>
    <mergeCell ref="P6:P7"/>
    <mergeCell ref="Q6:Q7"/>
    <mergeCell ref="C8:Q8"/>
    <mergeCell ref="C11:D11"/>
    <mergeCell ref="C12:D12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3:D13"/>
    <mergeCell ref="I55:Q60"/>
    <mergeCell ref="B41:B46"/>
    <mergeCell ref="C41:C46"/>
    <mergeCell ref="M46:P46"/>
    <mergeCell ref="O51:P51"/>
    <mergeCell ref="C52:D52"/>
    <mergeCell ref="O52:P52"/>
    <mergeCell ref="C53:D53"/>
    <mergeCell ref="C57:D60"/>
    <mergeCell ref="B57:B60"/>
  </mergeCells>
  <pageMargins left="0.25" right="0.25" top="0.75" bottom="0.75" header="0.3" footer="0.3"/>
  <pageSetup paperSize="9" scale="5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/>
  <dimension ref="B2:U153"/>
  <sheetViews>
    <sheetView zoomScale="90" zoomScaleNormal="90" workbookViewId="0">
      <pane xSplit="4" ySplit="1" topLeftCell="E20" activePane="bottomRight" state="frozen"/>
      <selection pane="topRight" activeCell="E1" sqref="E1"/>
      <selection pane="bottomLeft" activeCell="A6" sqref="A6"/>
      <selection pane="bottomRight" activeCell="K37" sqref="K37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9.28515625" style="68" bestFit="1" customWidth="1"/>
    <col min="12" max="12" width="13.8554687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313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822" t="s">
        <v>242</v>
      </c>
      <c r="D9" s="823"/>
      <c r="E9" s="74">
        <f>'14'!L9</f>
        <v>24153.957260331568</v>
      </c>
      <c r="F9" s="74">
        <f>Production2!D17</f>
        <v>2468.1999999999998</v>
      </c>
      <c r="G9" s="74">
        <f>F9+'14'!G9</f>
        <v>44050.82</v>
      </c>
      <c r="H9" s="74">
        <f>F9+'14'!H9</f>
        <v>109036.52</v>
      </c>
      <c r="I9" s="74">
        <f>Production2!E17</f>
        <v>1836</v>
      </c>
      <c r="J9" s="74">
        <f>I9+'14'!J9</f>
        <v>27945</v>
      </c>
      <c r="K9" s="74">
        <f>I9+'14'!K9</f>
        <v>94832</v>
      </c>
      <c r="L9" s="74">
        <f>E9+F9-I9-I21</f>
        <v>24400.157260331569</v>
      </c>
      <c r="M9" s="75">
        <f>I9</f>
        <v>1836</v>
      </c>
      <c r="N9" s="75">
        <f>(I9/I13)*100</f>
        <v>93.435114503816791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(2)'!L17</f>
        <v>2507.7200000000003</v>
      </c>
      <c r="F10" s="77">
        <f>'Mines (2)'!M17</f>
        <v>106.6</v>
      </c>
      <c r="G10" s="74">
        <f>F10+'14'!G10</f>
        <v>2548.8200000000006</v>
      </c>
      <c r="H10" s="74">
        <f>F10+'14'!H10</f>
        <v>3900.28</v>
      </c>
      <c r="I10" s="77">
        <f>'Mines (2)'!N17</f>
        <v>80</v>
      </c>
      <c r="J10" s="74">
        <f>I10+'14'!J10</f>
        <v>961</v>
      </c>
      <c r="K10" s="74">
        <f>I10+'14'!K10</f>
        <v>1490</v>
      </c>
      <c r="L10" s="77">
        <f t="shared" ref="L10:L16" si="0">E10+F10-I10</f>
        <v>2534.3200000000002</v>
      </c>
      <c r="M10" s="75">
        <f t="shared" ref="M10:M12" si="1">I10</f>
        <v>80</v>
      </c>
      <c r="N10" s="75">
        <f>(I10/I13)*100</f>
        <v>4.0712468193384224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Clinker!C17</f>
        <v>3649.3</v>
      </c>
      <c r="F11" s="77">
        <f>Clinker!D17</f>
        <v>0</v>
      </c>
      <c r="G11" s="74">
        <f>F11+'14'!G11</f>
        <v>287.96000000000004</v>
      </c>
      <c r="H11" s="74">
        <f>F11+'14'!H11</f>
        <v>357.66</v>
      </c>
      <c r="I11" s="77">
        <f>Clinker!E17</f>
        <v>49</v>
      </c>
      <c r="J11" s="74">
        <f>I11+'14'!J11</f>
        <v>686</v>
      </c>
      <c r="K11" s="74">
        <f>I11+'14'!K11</f>
        <v>2123</v>
      </c>
      <c r="L11" s="77">
        <f t="shared" si="0"/>
        <v>3600.3</v>
      </c>
      <c r="M11" s="75">
        <f t="shared" si="1"/>
        <v>49</v>
      </c>
      <c r="N11" s="75">
        <f>(I11/I13)*100</f>
        <v>2.4936386768447836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(2)'!Q17</f>
        <v>3.999999999996362E-2</v>
      </c>
      <c r="F12" s="77">
        <f>'Mines (2)'!R17</f>
        <v>0</v>
      </c>
      <c r="G12" s="74">
        <f>F12+'14'!G12</f>
        <v>0</v>
      </c>
      <c r="H12" s="74">
        <f>F12+'14'!H12</f>
        <v>137.76</v>
      </c>
      <c r="I12" s="77">
        <f>'Mines (2)'!S17</f>
        <v>0</v>
      </c>
      <c r="J12" s="74">
        <f>I12+'14'!J12</f>
        <v>191</v>
      </c>
      <c r="K12" s="74">
        <f>I12+'14'!K12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30311.01726033157</v>
      </c>
      <c r="F13" s="127">
        <f t="shared" si="2"/>
        <v>2574.7999999999997</v>
      </c>
      <c r="G13" s="127">
        <f t="shared" si="2"/>
        <v>46887.6</v>
      </c>
      <c r="H13" s="127">
        <f t="shared" si="2"/>
        <v>113432.22</v>
      </c>
      <c r="I13" s="127">
        <f t="shared" si="2"/>
        <v>1965</v>
      </c>
      <c r="J13" s="127">
        <f t="shared" si="2"/>
        <v>29783</v>
      </c>
      <c r="K13" s="127">
        <f t="shared" si="2"/>
        <v>99183</v>
      </c>
      <c r="L13" s="127">
        <f t="shared" si="0"/>
        <v>30920.817260331569</v>
      </c>
      <c r="M13" s="128">
        <f>SUM(M9:M12)</f>
        <v>1965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Clinker!EB17</f>
        <v>5267.6769999999906</v>
      </c>
      <c r="F14" s="77">
        <f>Clinker!EC17</f>
        <v>0</v>
      </c>
      <c r="G14" s="77">
        <f>F14+'14'!G14</f>
        <v>0</v>
      </c>
      <c r="H14" s="77">
        <f>F14+'14'!H14</f>
        <v>181.5</v>
      </c>
      <c r="I14" s="77">
        <f>Clinker!ED17</f>
        <v>205.56</v>
      </c>
      <c r="J14" s="77">
        <f>I14+'14'!J14</f>
        <v>3268.35</v>
      </c>
      <c r="K14" s="77">
        <f>I14+'14'!K14</f>
        <v>10104.65</v>
      </c>
      <c r="L14" s="77">
        <f>E14+F14-Clinker!N17-Clinker!Z17-Clinker!AS17-Clinker!AX17-Clinker!BC17-Clinker!BW17-Clinker!BH17-Clinker!BM17-Clinker!BR17-Clinker!CV17-Clinker!DP17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Clinker!EF17</f>
        <v>9183.4999999999927</v>
      </c>
      <c r="F15" s="77">
        <f>Clinker!EG17</f>
        <v>0</v>
      </c>
      <c r="G15" s="77">
        <f>F15+'14'!G15</f>
        <v>1062.8</v>
      </c>
      <c r="H15" s="77">
        <f>F15+'14'!H15</f>
        <v>1217.8500000000001</v>
      </c>
      <c r="I15" s="77">
        <f>Clinker!EH17</f>
        <v>133</v>
      </c>
      <c r="J15" s="77">
        <f>I15+'14'!J15</f>
        <v>1933</v>
      </c>
      <c r="K15" s="77">
        <f>I15+'14'!K15</f>
        <v>5802</v>
      </c>
      <c r="L15" s="77">
        <f>E15+F15-Clinker!T17-Clinker!AE17-Clinker!AJ17-Clinker!CG17-Clinker!CL17-Clinker!CQ17-Clinker!CG17-Clinker!AI17</f>
        <v>8864.9399999999932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14451.176999999983</v>
      </c>
      <c r="F16" s="125">
        <f>F14+F15</f>
        <v>0</v>
      </c>
      <c r="G16" s="125">
        <f t="shared" ref="G16:K16" si="3">G14+G15</f>
        <v>1062.8</v>
      </c>
      <c r="H16" s="125">
        <f t="shared" si="3"/>
        <v>1399.3500000000001</v>
      </c>
      <c r="I16" s="125">
        <f>I14+I15</f>
        <v>338.56</v>
      </c>
      <c r="J16" s="125">
        <f>J14+J15</f>
        <v>5201.3500000000004</v>
      </c>
      <c r="K16" s="125">
        <f t="shared" si="3"/>
        <v>15906.65</v>
      </c>
      <c r="L16" s="125">
        <f t="shared" si="0"/>
        <v>14112.616999999984</v>
      </c>
      <c r="M16" s="126"/>
      <c r="N16" s="126"/>
      <c r="O16" s="787"/>
      <c r="P16" s="53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Clinker!EJ17</f>
        <v>26930.863086779755</v>
      </c>
      <c r="F18" s="74">
        <f>Clinker!EK17</f>
        <v>1025</v>
      </c>
      <c r="G18" s="74">
        <f>F18+'14'!G18</f>
        <v>17646</v>
      </c>
      <c r="H18" s="74">
        <f>F18+'14'!H18</f>
        <v>58146</v>
      </c>
      <c r="I18" s="74">
        <f>Clinker!EL17</f>
        <v>1486.0980004</v>
      </c>
      <c r="J18" s="74">
        <f>I18+'14'!J18</f>
        <v>16095.895001360706</v>
      </c>
      <c r="K18" s="74">
        <f>I18+'14'!K18</f>
        <v>34957.775013246981</v>
      </c>
      <c r="L18" s="74">
        <f>E18+F18-I18-I20</f>
        <v>26469.765086379753</v>
      </c>
      <c r="M18" s="75">
        <f>((I18+I19)/(J40+J46))*100</f>
        <v>76.999896393782379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Clinker!EO17</f>
        <v>5306.1090080001359</v>
      </c>
      <c r="F19" s="74">
        <f>Clinker!EP17</f>
        <v>0</v>
      </c>
      <c r="G19" s="74">
        <f>F19+'14'!G19</f>
        <v>150.78</v>
      </c>
      <c r="H19" s="74">
        <f>F19+'14'!H19</f>
        <v>13390.660000000003</v>
      </c>
      <c r="I19" s="74">
        <f>Clinker!EQ17</f>
        <v>0</v>
      </c>
      <c r="J19" s="75">
        <f>I19+'14'!J19</f>
        <v>0</v>
      </c>
      <c r="K19" s="74">
        <f>I19+'14'!K19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Clinker!EN17</f>
        <v>0</v>
      </c>
      <c r="G20" s="74">
        <f>F20+'14'!G20</f>
        <v>0</v>
      </c>
      <c r="H20" s="74">
        <f>F20+'14'!H20</f>
        <v>0</v>
      </c>
      <c r="I20" s="77">
        <f>Clinker!EN17</f>
        <v>0</v>
      </c>
      <c r="J20" s="74">
        <f>I20+'14'!J20</f>
        <v>0</v>
      </c>
      <c r="K20" s="74">
        <f>I20+'14'!K20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/>
      <c r="F21" s="77"/>
      <c r="G21" s="74"/>
      <c r="H21" s="74"/>
      <c r="I21" s="77">
        <f>Cement!S17</f>
        <v>386</v>
      </c>
      <c r="J21" s="75">
        <f>I21+'14'!J21</f>
        <v>4277.4144442900388</v>
      </c>
      <c r="K21" s="74">
        <f>I21+'14'!K21</f>
        <v>12909.234436852274</v>
      </c>
      <c r="L21" s="74"/>
      <c r="M21" s="78">
        <f>(I21/(J40+J46))*100</f>
        <v>20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Cement!C17</f>
        <v>6109.8784855157555</v>
      </c>
      <c r="F22" s="77">
        <f>Cement!D17</f>
        <v>32.380000000000003</v>
      </c>
      <c r="G22" s="74">
        <f>F22+'14'!G22</f>
        <v>62.5</v>
      </c>
      <c r="H22" s="74">
        <f>F22+'14'!H22</f>
        <v>2033.4</v>
      </c>
      <c r="I22" s="77">
        <f>Cement!F17</f>
        <v>101.58105221052632</v>
      </c>
      <c r="J22" s="74">
        <f>I22+'14'!J22</f>
        <v>1098.9026302930527</v>
      </c>
      <c r="K22" s="74">
        <f>I22+'14'!K22</f>
        <v>3438.1026258445518</v>
      </c>
      <c r="L22" s="74">
        <f t="shared" ref="L22:L24" si="4">E22+F22-I22</f>
        <v>6040.677433305229</v>
      </c>
      <c r="M22" s="78">
        <f>(I22/(J40+J46))*100</f>
        <v>5.2632669539132806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Cement!H17</f>
        <v>0.23999999999796273</v>
      </c>
      <c r="F23" s="77">
        <f>Cement!I17</f>
        <v>0</v>
      </c>
      <c r="G23" s="74">
        <f>F23+'14'!G23</f>
        <v>0</v>
      </c>
      <c r="H23" s="74">
        <f>F23+'14'!H23</f>
        <v>0</v>
      </c>
      <c r="I23" s="77">
        <f>Cement!J17</f>
        <v>0</v>
      </c>
      <c r="J23" s="74">
        <f>I23+'14'!J23</f>
        <v>0</v>
      </c>
      <c r="K23" s="74">
        <f>I23+'14'!K23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Cement!L17</f>
        <v>0</v>
      </c>
      <c r="F24" s="77">
        <f>Cement!M17</f>
        <v>0</v>
      </c>
      <c r="G24" s="74">
        <f>F24+'14'!G24</f>
        <v>0</v>
      </c>
      <c r="H24" s="74">
        <f>F24+'14'!H24</f>
        <v>0</v>
      </c>
      <c r="I24" s="77">
        <f>Cement!N17</f>
        <v>0</v>
      </c>
      <c r="J24" s="74">
        <f>I24+'14'!J24</f>
        <v>0</v>
      </c>
      <c r="K24" s="74">
        <f>I24+'14'!K24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38347.090580295648</v>
      </c>
      <c r="F25" s="122">
        <f t="shared" ref="F25:L25" si="5">F18+F19+F21+F22+F23+F24</f>
        <v>1057.3800000000001</v>
      </c>
      <c r="G25" s="122">
        <f t="shared" si="5"/>
        <v>17859.28</v>
      </c>
      <c r="H25" s="122">
        <f t="shared" si="5"/>
        <v>73570.06</v>
      </c>
      <c r="I25" s="122">
        <f>I18+I19+I21+I22+I23+I24</f>
        <v>1973.6790526105265</v>
      </c>
      <c r="J25" s="122">
        <f t="shared" si="5"/>
        <v>21472.2120759438</v>
      </c>
      <c r="K25" s="122">
        <f t="shared" si="5"/>
        <v>68239.212075943811</v>
      </c>
      <c r="L25" s="122">
        <f t="shared" si="5"/>
        <v>37816.79152768512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Production2!C17</f>
        <v>17.13</v>
      </c>
      <c r="G30" s="75">
        <f>F30+'14'!G30</f>
        <v>251.57999999999998</v>
      </c>
      <c r="H30" s="75">
        <f>F30+'14'!H30</f>
        <v>684.06000000000017</v>
      </c>
      <c r="I30" s="74">
        <f>'Mines (2)'!C17+'Mines (2)'!H17+'Mines (2)'!V17+'Mines (2)'!Z17+'Mines (2)'!AD17</f>
        <v>24153.957260331565</v>
      </c>
      <c r="J30" s="74">
        <f>Production2!D17</f>
        <v>2468.1999999999998</v>
      </c>
      <c r="K30" s="74">
        <f>J30+'14'!K30</f>
        <v>44050.82</v>
      </c>
      <c r="L30" s="74">
        <f>J30+'14'!L30</f>
        <v>109036.52</v>
      </c>
      <c r="M30" s="74">
        <f>I9+I21</f>
        <v>2222</v>
      </c>
      <c r="N30" s="75">
        <f>M30+'14'!N30</f>
        <v>32222.414444290036</v>
      </c>
      <c r="O30" s="74">
        <f>M30+'14'!O30</f>
        <v>107741.2344368523</v>
      </c>
      <c r="P30" s="74">
        <f>I30+J30-M30</f>
        <v>24400.157260331565</v>
      </c>
      <c r="Q30" s="93">
        <f>J30/F30</f>
        <v>144.08639813193227</v>
      </c>
      <c r="R30" s="94"/>
      <c r="S30" s="94"/>
    </row>
    <row r="31" spans="2:19" x14ac:dyDescent="0.25">
      <c r="B31" s="79">
        <v>2</v>
      </c>
      <c r="C31" s="725" t="s">
        <v>295</v>
      </c>
      <c r="D31" s="726"/>
      <c r="E31" s="95">
        <v>120</v>
      </c>
      <c r="F31" s="78">
        <f>Production2!G17</f>
        <v>15.68</v>
      </c>
      <c r="G31" s="75">
        <f>F31+'14'!G31</f>
        <v>239.4</v>
      </c>
      <c r="H31" s="75">
        <f>F31+'14'!H31</f>
        <v>732.61999999999989</v>
      </c>
      <c r="I31" s="724">
        <f>Production2!H17</f>
        <v>1011.3200168375197</v>
      </c>
      <c r="J31" s="78">
        <f>Production2!N17</f>
        <v>1769.97</v>
      </c>
      <c r="K31" s="74">
        <f>J31+'14'!K31</f>
        <v>26340.360000000004</v>
      </c>
      <c r="L31" s="74">
        <f>J31+'14'!L31</f>
        <v>85197.510000000024</v>
      </c>
      <c r="M31" s="724">
        <f>Production2!K17</f>
        <v>1588.75</v>
      </c>
      <c r="N31" s="724">
        <f>M31+'14'!N31</f>
        <v>27351.3</v>
      </c>
      <c r="O31" s="724">
        <f>M31+'14'!O31</f>
        <v>90126.3</v>
      </c>
      <c r="P31" s="724">
        <f>I31+J31+J32-M31</f>
        <v>1192.5400168375199</v>
      </c>
      <c r="Q31" s="96">
        <f t="shared" ref="Q31:Q46" si="6">J31/F31</f>
        <v>112.88073979591837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Production2!P17</f>
        <v>0</v>
      </c>
      <c r="G32" s="75">
        <f>F32+'14'!G32</f>
        <v>57.76</v>
      </c>
      <c r="H32" s="75">
        <f>F32+'14'!H32</f>
        <v>464.04999999999995</v>
      </c>
      <c r="I32" s="712"/>
      <c r="J32" s="78">
        <f>Production2!Q17</f>
        <v>0</v>
      </c>
      <c r="K32" s="74">
        <f>J32+'14'!K32</f>
        <v>485.36</v>
      </c>
      <c r="L32" s="74">
        <f>J32+'14'!L32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Production2!S17</f>
        <v>13</v>
      </c>
      <c r="G33" s="75">
        <f>F33+'14'!G33</f>
        <v>219.03</v>
      </c>
      <c r="H33" s="75">
        <f>F33+'14'!H33</f>
        <v>665.40000000000009</v>
      </c>
      <c r="I33" s="77">
        <f>'14'!P33</f>
        <v>50.709999999999866</v>
      </c>
      <c r="J33" s="77">
        <f>Production2!U17</f>
        <v>185</v>
      </c>
      <c r="K33" s="74">
        <f>J33+'14'!K33</f>
        <v>2941.5</v>
      </c>
      <c r="L33" s="74">
        <f>J33+'14'!L33</f>
        <v>9094.2000000000007</v>
      </c>
      <c r="M33" s="77">
        <f>Production2!V17</f>
        <v>190</v>
      </c>
      <c r="N33" s="74">
        <f>M33+'14'!N33</f>
        <v>2936</v>
      </c>
      <c r="O33" s="74">
        <f>M33+'14'!O33</f>
        <v>9064</v>
      </c>
      <c r="P33" s="74">
        <f>I33+J33-M33</f>
        <v>45.709999999999866</v>
      </c>
      <c r="Q33" s="96">
        <f t="shared" si="6"/>
        <v>14.23076923076923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Production2!Y17</f>
        <v>18.27</v>
      </c>
      <c r="G34" s="75">
        <f>F34+'14'!G34</f>
        <v>321.27999999999997</v>
      </c>
      <c r="H34" s="75">
        <f>F34+'14'!H34</f>
        <v>939.55000000000007</v>
      </c>
      <c r="I34" s="77">
        <f>Clinker!EJ17</f>
        <v>26930.863086779755</v>
      </c>
      <c r="J34" s="77">
        <f>Clinker!EK17</f>
        <v>1025</v>
      </c>
      <c r="K34" s="74">
        <f>J34+'14'!K34</f>
        <v>17646</v>
      </c>
      <c r="L34" s="74">
        <f>J34+'14'!L34</f>
        <v>58146</v>
      </c>
      <c r="M34" s="77">
        <f>Clinker!EL17</f>
        <v>1486.0980004</v>
      </c>
      <c r="N34" s="74">
        <f>M34+'14'!N34</f>
        <v>16095.895001360706</v>
      </c>
      <c r="O34" s="74">
        <f>M34+'14'!O34</f>
        <v>34957.775013246981</v>
      </c>
      <c r="P34" s="74">
        <f>I34+J34-M34-I20</f>
        <v>26469.765086379753</v>
      </c>
      <c r="Q34" s="96">
        <f t="shared" si="6"/>
        <v>56.102900930487138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Production2!AE17</f>
        <v>0</v>
      </c>
      <c r="G35" s="75">
        <f>F35+'14'!G35</f>
        <v>6.8000000000000007</v>
      </c>
      <c r="H35" s="75">
        <f>F35+'14'!H35</f>
        <v>15.8</v>
      </c>
      <c r="I35" s="77">
        <f>Production2!BJ17</f>
        <v>416.29999999999995</v>
      </c>
      <c r="J35" s="77">
        <f>Production2!AF17</f>
        <v>0</v>
      </c>
      <c r="K35" s="74">
        <f>J35+'14'!K35</f>
        <v>400</v>
      </c>
      <c r="L35" s="74">
        <f>J35+'14'!L35</f>
        <v>974</v>
      </c>
      <c r="M35" s="77">
        <f>Production2!BL17</f>
        <v>94</v>
      </c>
      <c r="N35" s="74">
        <f>M35+'14'!N35</f>
        <v>1089.5</v>
      </c>
      <c r="O35" s="74">
        <f>M35+'14'!O35</f>
        <v>3484</v>
      </c>
      <c r="P35" s="74">
        <f>I35+J35+J41-M35-F59</f>
        <v>322.29999999999995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Production2!AB17</f>
        <v>21.28</v>
      </c>
      <c r="G36" s="654">
        <f>F36+'14'!G36</f>
        <v>116.32</v>
      </c>
      <c r="H36" s="654">
        <f>F36+'14'!H36</f>
        <v>322.64999999999998</v>
      </c>
      <c r="I36" s="77">
        <f>Production2!BF17</f>
        <v>2369.4079999999799</v>
      </c>
      <c r="J36" s="77">
        <f>Production2!AC17</f>
        <v>1250</v>
      </c>
      <c r="K36" s="74">
        <f>J36+'14'!K36</f>
        <v>6981</v>
      </c>
      <c r="L36" s="74">
        <f>J36+'14'!L36</f>
        <v>19410</v>
      </c>
      <c r="M36" s="77">
        <f>Production2!BH17</f>
        <v>1794</v>
      </c>
      <c r="N36" s="74">
        <f>M36+'14'!N36</f>
        <v>16969.879999999997</v>
      </c>
      <c r="O36" s="74">
        <f>M36+'14'!O36</f>
        <v>52138.15</v>
      </c>
      <c r="P36" s="74">
        <f>I36+J36+J42-M36-F57</f>
        <v>2505.4079999999794</v>
      </c>
      <c r="Q36" s="96">
        <f t="shared" si="6"/>
        <v>58.740601503759393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Production2!AH17</f>
        <v>0</v>
      </c>
      <c r="G37" s="654">
        <f>F37+'14'!G37</f>
        <v>0</v>
      </c>
      <c r="H37" s="654">
        <f>F37+'14'!H37</f>
        <v>0</v>
      </c>
      <c r="I37" s="77">
        <f>Production2!BN17</f>
        <v>9.0000000000849845E-2</v>
      </c>
      <c r="J37" s="77">
        <f>Production2!AI17</f>
        <v>0</v>
      </c>
      <c r="K37" s="74">
        <f>J37+'14'!K37</f>
        <v>0</v>
      </c>
      <c r="L37" s="74">
        <f>J37+'14'!L37</f>
        <v>0</v>
      </c>
      <c r="M37" s="77">
        <f>Production2!BP17</f>
        <v>0</v>
      </c>
      <c r="N37" s="74">
        <f>M37+'14'!N37</f>
        <v>0</v>
      </c>
      <c r="O37" s="74">
        <f>M37+'14'!O37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Production2!AK17</f>
        <v>0</v>
      </c>
      <c r="G38" s="654">
        <f>F38+'14'!G38</f>
        <v>3</v>
      </c>
      <c r="H38" s="654">
        <f>F38+'14'!H38</f>
        <v>3</v>
      </c>
      <c r="I38" s="195">
        <f>Production2!BR17</f>
        <v>203.3</v>
      </c>
      <c r="J38" s="77">
        <f>Production2!AL17</f>
        <v>0</v>
      </c>
      <c r="K38" s="492">
        <f>J38+'14'!K38</f>
        <v>180</v>
      </c>
      <c r="L38" s="492">
        <f>J38+'14'!L38</f>
        <v>180</v>
      </c>
      <c r="M38" s="195">
        <f>Production2!BT17</f>
        <v>0</v>
      </c>
      <c r="N38" s="492">
        <f>M38+'14'!N38</f>
        <v>440</v>
      </c>
      <c r="O38" s="492">
        <f>M38+'14'!O38</f>
        <v>2287</v>
      </c>
      <c r="P38" s="74">
        <f>I38+J38+J44-M38-F60</f>
        <v>203.3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487" t="s">
        <v>304</v>
      </c>
      <c r="E39" s="496">
        <v>78</v>
      </c>
      <c r="F39" s="489">
        <f>Production2!AN17</f>
        <v>0</v>
      </c>
      <c r="G39" s="654">
        <f>F39+'14'!G39</f>
        <v>20.8</v>
      </c>
      <c r="H39" s="654">
        <f>F39+'14'!H39</f>
        <v>61.45</v>
      </c>
      <c r="I39" s="491">
        <f>Production2!BV17</f>
        <v>426.53000000000003</v>
      </c>
      <c r="J39" s="491">
        <f>Production2!AO17</f>
        <v>0</v>
      </c>
      <c r="K39" s="492">
        <f>J39+'14'!K39</f>
        <v>1215</v>
      </c>
      <c r="L39" s="492">
        <f>J39+'14'!L39</f>
        <v>3747</v>
      </c>
      <c r="M39" s="77">
        <f>Production2!BX17</f>
        <v>29.92</v>
      </c>
      <c r="N39" s="492">
        <f>M39+'14'!N39</f>
        <v>3213.22</v>
      </c>
      <c r="O39" s="492">
        <f>M39+'14'!O39</f>
        <v>8635.1</v>
      </c>
      <c r="P39" s="492">
        <f>I39+J39+J45-M39</f>
        <v>396.61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21.28</v>
      </c>
      <c r="G40" s="132">
        <f t="shared" ref="G40:H40" si="7">G35+G36+G37+G38+G39</f>
        <v>146.91999999999999</v>
      </c>
      <c r="H40" s="132">
        <f t="shared" si="7"/>
        <v>402.9</v>
      </c>
      <c r="I40" s="122">
        <f>I35+I36+I37+I38+I39</f>
        <v>3415.6279999999811</v>
      </c>
      <c r="J40" s="488">
        <f t="shared" ref="J40:P40" si="8">J35+J36+J37+J38+J39</f>
        <v>1250</v>
      </c>
      <c r="K40" s="488">
        <f t="shared" si="8"/>
        <v>8776</v>
      </c>
      <c r="L40" s="488">
        <f t="shared" si="8"/>
        <v>24311</v>
      </c>
      <c r="M40" s="488">
        <f t="shared" si="8"/>
        <v>1917.92</v>
      </c>
      <c r="N40" s="488">
        <f t="shared" si="8"/>
        <v>21712.6</v>
      </c>
      <c r="O40" s="488">
        <f t="shared" si="8"/>
        <v>66544.100000000006</v>
      </c>
      <c r="P40" s="488">
        <f t="shared" si="8"/>
        <v>3427.707999999981</v>
      </c>
      <c r="Q40" s="123">
        <f t="shared" si="6"/>
        <v>58.740601503759393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Production2!AT17</f>
        <v>0</v>
      </c>
      <c r="G41" s="75">
        <f>F41+'14'!G41</f>
        <v>10.129999999999999</v>
      </c>
      <c r="H41" s="75">
        <f>F41+'14'!H41</f>
        <v>43.23</v>
      </c>
      <c r="I41" s="710"/>
      <c r="J41" s="77">
        <f>Production2!AU17</f>
        <v>0</v>
      </c>
      <c r="K41" s="74">
        <f>J41+'14'!K41</f>
        <v>600</v>
      </c>
      <c r="L41" s="74">
        <f>J41+'14'!L41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Production2!AQ17</f>
        <v>12.4</v>
      </c>
      <c r="G42" s="75">
        <f>F42+'14'!G42</f>
        <v>170.76000000000002</v>
      </c>
      <c r="H42" s="75">
        <f>F42+'14'!H42</f>
        <v>586.76</v>
      </c>
      <c r="I42" s="711"/>
      <c r="J42" s="77">
        <f>Production2!AR17</f>
        <v>680</v>
      </c>
      <c r="K42" s="74">
        <f>J42+'14'!K42</f>
        <v>9815</v>
      </c>
      <c r="L42" s="74">
        <f>J42+'14'!L42</f>
        <v>33955</v>
      </c>
      <c r="M42" s="716"/>
      <c r="N42" s="717"/>
      <c r="O42" s="717"/>
      <c r="P42" s="718"/>
      <c r="Q42" s="96">
        <f t="shared" si="6"/>
        <v>54.838709677419352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Production2!AW17</f>
        <v>0</v>
      </c>
      <c r="G43" s="75">
        <f>F43+'14'!G43</f>
        <v>0</v>
      </c>
      <c r="H43" s="75">
        <f>F43+'14'!H43</f>
        <v>0</v>
      </c>
      <c r="I43" s="711"/>
      <c r="J43" s="77">
        <f>Production2!AX17</f>
        <v>0</v>
      </c>
      <c r="K43" s="74">
        <f>J43+'14'!K43</f>
        <v>0</v>
      </c>
      <c r="L43" s="74">
        <f>J43+'14'!L43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Production2!AZ17</f>
        <v>0</v>
      </c>
      <c r="G44" s="490">
        <f>F44+'14'!G44</f>
        <v>5</v>
      </c>
      <c r="H44" s="490">
        <f>F44+'14'!H44</f>
        <v>37.880000000000003</v>
      </c>
      <c r="I44" s="712"/>
      <c r="J44" s="195">
        <f>Production2!BA17</f>
        <v>0</v>
      </c>
      <c r="K44" s="492">
        <f>J44+'14'!K44</f>
        <v>277</v>
      </c>
      <c r="L44" s="492">
        <f>J44+'14'!L44</f>
        <v>2097</v>
      </c>
      <c r="M44" s="719"/>
      <c r="N44" s="720"/>
      <c r="O44" s="720"/>
      <c r="P44" s="721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487" t="s">
        <v>304</v>
      </c>
      <c r="E45" s="496">
        <v>70</v>
      </c>
      <c r="F45" s="489">
        <f>Production2!BC17</f>
        <v>0</v>
      </c>
      <c r="G45" s="490">
        <f>F45+'14'!G45</f>
        <v>27.119999999999997</v>
      </c>
      <c r="H45" s="490">
        <f>F45+'14'!H45</f>
        <v>82.09</v>
      </c>
      <c r="I45" s="493"/>
      <c r="J45" s="491">
        <f>Production2!BD17</f>
        <v>0</v>
      </c>
      <c r="K45" s="492">
        <f>J45+'14'!K45</f>
        <v>1639</v>
      </c>
      <c r="L45" s="492">
        <f>J45+'14'!L45</f>
        <v>4911</v>
      </c>
      <c r="M45" s="494"/>
      <c r="N45" s="497"/>
      <c r="O45" s="497"/>
      <c r="P45" s="495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12.4</v>
      </c>
      <c r="G46" s="132">
        <f t="shared" ref="G46:L46" si="9">G41+G42+G43+G44+G45</f>
        <v>213.01000000000002</v>
      </c>
      <c r="H46" s="132">
        <f t="shared" si="9"/>
        <v>749.96</v>
      </c>
      <c r="I46" s="132">
        <f t="shared" si="9"/>
        <v>0</v>
      </c>
      <c r="J46" s="132">
        <f>J41+J42+J43+J44+J45</f>
        <v>680</v>
      </c>
      <c r="K46" s="132">
        <f>K41+K42+K43+K44+K45</f>
        <v>12331</v>
      </c>
      <c r="L46" s="132">
        <f t="shared" si="9"/>
        <v>43563</v>
      </c>
      <c r="M46" s="873"/>
      <c r="N46" s="874"/>
      <c r="O46" s="874"/>
      <c r="P46" s="875"/>
      <c r="Q46" s="123">
        <f t="shared" si="6"/>
        <v>54.838709677419352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0.79612673203144002</v>
      </c>
      <c r="F50" s="99">
        <f>F53/J31</f>
        <v>25.468228275055509</v>
      </c>
      <c r="G50" s="99">
        <v>0</v>
      </c>
      <c r="H50" s="99">
        <f>H53/J34</f>
        <v>45.091707317073173</v>
      </c>
      <c r="I50" s="99">
        <f>I53/J33</f>
        <v>63.535135135135135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18.536585365853657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1.4260377365948527</v>
      </c>
      <c r="F51" s="102">
        <f>F50*1.55</f>
        <v>39.475753826336039</v>
      </c>
      <c r="G51" s="102">
        <f>G50*1.55</f>
        <v>0</v>
      </c>
      <c r="H51" s="102">
        <f>H50</f>
        <v>45.091707317073173</v>
      </c>
      <c r="I51" s="102">
        <f>I50*(Q50/100)</f>
        <v>11.777244561634806</v>
      </c>
      <c r="J51" s="102"/>
      <c r="K51" s="102"/>
      <c r="L51" s="102"/>
      <c r="M51" s="96"/>
      <c r="N51" s="307">
        <f>SUM(E51:I51)</f>
        <v>97.770743441638871</v>
      </c>
      <c r="O51" s="728" t="s">
        <v>277</v>
      </c>
      <c r="P51" s="728"/>
      <c r="Q51" s="104">
        <v>4750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1.0980475797142757</v>
      </c>
      <c r="F52" s="102">
        <f>F51*M18/100</f>
        <v>30.396289546943336</v>
      </c>
      <c r="G52" s="102">
        <f>G51*M18/100</f>
        <v>0</v>
      </c>
      <c r="H52" s="102">
        <f>H51*M18/100</f>
        <v>34.720567916333927</v>
      </c>
      <c r="I52" s="102">
        <f>I51*M18/100</f>
        <v>9.0684661105011699</v>
      </c>
      <c r="J52" s="99">
        <f>J53/(J40+J46)</f>
        <v>45.086528497409326</v>
      </c>
      <c r="K52" s="99">
        <f>K53/(J46+J40)</f>
        <v>0.9</v>
      </c>
      <c r="L52" s="99">
        <f>L53/(M40)</f>
        <v>2.9829189955785433</v>
      </c>
      <c r="M52" s="96">
        <f>M53/(J46+J40)</f>
        <v>2.9626943005181348</v>
      </c>
      <c r="N52" s="307">
        <f>SUM(E52:M52)</f>
        <v>127.21551294699871</v>
      </c>
      <c r="O52" s="728" t="s">
        <v>279</v>
      </c>
      <c r="P52" s="728"/>
      <c r="Q52" s="104">
        <f>Q51*Q50/100</f>
        <v>880.48780487804879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unit'!B17</f>
        <v>1965</v>
      </c>
      <c r="F53" s="118">
        <f>'Daily unit'!C17</f>
        <v>45078</v>
      </c>
      <c r="G53" s="118">
        <f>'Daily unit'!D17</f>
        <v>0</v>
      </c>
      <c r="H53" s="118">
        <f>'Daily unit'!E17</f>
        <v>46219</v>
      </c>
      <c r="I53" s="118">
        <f>'Daily unit'!F17</f>
        <v>11754</v>
      </c>
      <c r="J53" s="118">
        <f>'Daily unit'!G17</f>
        <v>87017</v>
      </c>
      <c r="K53" s="118">
        <f>'Daily unit'!H17</f>
        <v>1737</v>
      </c>
      <c r="L53" s="118">
        <f>'Daily unit'!I17</f>
        <v>5721</v>
      </c>
      <c r="M53" s="119">
        <f>'Daily unit'!J17</f>
        <v>5718</v>
      </c>
      <c r="N53" s="318">
        <f>SUM(E53:M53)</f>
        <v>205209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76">
        <v>1</v>
      </c>
      <c r="C57" s="701" t="s">
        <v>285</v>
      </c>
      <c r="D57" s="825"/>
      <c r="E57" s="80">
        <v>42.5</v>
      </c>
      <c r="F57" s="53">
        <f>'Internal use cement'!F17</f>
        <v>0</v>
      </c>
      <c r="G57" s="53">
        <f>F57+'14'!G57</f>
        <v>0</v>
      </c>
      <c r="H57" s="104">
        <f>F57+'14'!H57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61"/>
      <c r="C58" s="702"/>
      <c r="D58" s="827"/>
      <c r="E58" s="80" t="s">
        <v>195</v>
      </c>
      <c r="F58" s="53">
        <f>'Internal use cement'!Q17</f>
        <v>0</v>
      </c>
      <c r="G58" s="53">
        <f>F58+'14'!G58</f>
        <v>2</v>
      </c>
      <c r="H58" s="104">
        <f>F58+'14'!H58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.75" customHeight="1" x14ac:dyDescent="0.25">
      <c r="B59" s="861"/>
      <c r="C59" s="702"/>
      <c r="D59" s="827"/>
      <c r="E59" s="80">
        <v>32.5</v>
      </c>
      <c r="F59" s="53">
        <f>'Internal use cement'!AB17</f>
        <v>0</v>
      </c>
      <c r="G59" s="53">
        <f>F59+'14'!G59</f>
        <v>0</v>
      </c>
      <c r="H59" s="104">
        <f>F59+'14'!H59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62"/>
      <c r="C60" s="703"/>
      <c r="D60" s="829"/>
      <c r="E60" s="112" t="s">
        <v>175</v>
      </c>
      <c r="F60" s="113">
        <f>'Internal use cement'!AJ17</f>
        <v>0</v>
      </c>
      <c r="G60" s="113">
        <f>F60+'14'!G60</f>
        <v>0</v>
      </c>
      <c r="H60" s="114">
        <f>F60+'14'!H60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109"/>
      <c r="S64" s="109"/>
    </row>
    <row r="65" spans="2:19" x14ac:dyDescent="0.25">
      <c r="R65" s="94"/>
      <c r="S65" s="94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</sheetData>
  <mergeCells count="85">
    <mergeCell ref="O52:P52"/>
    <mergeCell ref="C53:D53"/>
    <mergeCell ref="C31:D31"/>
    <mergeCell ref="C33:D33"/>
    <mergeCell ref="C34:D34"/>
    <mergeCell ref="C32:D32"/>
    <mergeCell ref="I31:I32"/>
    <mergeCell ref="M31:M32"/>
    <mergeCell ref="N31:N32"/>
    <mergeCell ref="O31:O32"/>
    <mergeCell ref="P31:P32"/>
    <mergeCell ref="B48:N48"/>
    <mergeCell ref="O48:Q48"/>
    <mergeCell ref="B35:B40"/>
    <mergeCell ref="C35:C40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B14:B16"/>
    <mergeCell ref="C14:C16"/>
    <mergeCell ref="C9:D9"/>
    <mergeCell ref="C8:Q8"/>
    <mergeCell ref="C11:D11"/>
    <mergeCell ref="C12:D12"/>
    <mergeCell ref="C13:D13"/>
    <mergeCell ref="P13:Q13"/>
    <mergeCell ref="O6:O7"/>
    <mergeCell ref="P6:P7"/>
    <mergeCell ref="Q6:Q7"/>
    <mergeCell ref="O9:O16"/>
    <mergeCell ref="C10:D10"/>
    <mergeCell ref="C30:D30"/>
    <mergeCell ref="I41:I44"/>
    <mergeCell ref="M41:P44"/>
    <mergeCell ref="M46:P46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I55:Q60"/>
    <mergeCell ref="C57:D60"/>
    <mergeCell ref="B57:B60"/>
    <mergeCell ref="B41:B46"/>
    <mergeCell ref="C41:C46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</mergeCells>
  <pageMargins left="0.25" right="0.25" top="0.75" bottom="0.75" header="0.3" footer="0.3"/>
  <pageSetup paperSize="9" scale="55" fitToHeight="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/>
  <dimension ref="B2:U155"/>
  <sheetViews>
    <sheetView zoomScale="90" zoomScaleNormal="90" workbookViewId="0">
      <pane xSplit="4" ySplit="1" topLeftCell="E29" activePane="bottomRight" state="frozen"/>
      <selection pane="topRight" activeCell="E1" sqref="E1"/>
      <selection pane="bottomLeft" activeCell="A6" sqref="A6"/>
      <selection pane="bottomRight" activeCell="H38" sqref="H3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18.42578125" style="68" bestFit="1" customWidth="1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314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'15'!L9</f>
        <v>24400.157260331569</v>
      </c>
      <c r="F9" s="74">
        <f>Production2!D18</f>
        <v>3672.7400000000007</v>
      </c>
      <c r="G9" s="74">
        <f>F9+'15'!G9</f>
        <v>47723.56</v>
      </c>
      <c r="H9" s="74">
        <f>F9+'15'!H9</f>
        <v>112709.26000000001</v>
      </c>
      <c r="I9" s="74">
        <f>Production2!E18</f>
        <v>2588</v>
      </c>
      <c r="J9" s="74">
        <f>I9+'15'!J9</f>
        <v>30533</v>
      </c>
      <c r="K9" s="74">
        <f>I9+'15'!K9</f>
        <v>97420</v>
      </c>
      <c r="L9" s="74">
        <f>E9+F9-I9-I21</f>
        <v>25025.733927701571</v>
      </c>
      <c r="M9" s="75">
        <f>I9</f>
        <v>2588</v>
      </c>
      <c r="N9" s="75">
        <f>(I9/I13)*100</f>
        <v>93.463344167569517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(2)'!L18</f>
        <v>2534.3200000000002</v>
      </c>
      <c r="F10" s="77">
        <f>'Mines (2)'!M18</f>
        <v>390.8</v>
      </c>
      <c r="G10" s="74">
        <f>F10+'15'!G10</f>
        <v>2939.6200000000008</v>
      </c>
      <c r="H10" s="74">
        <f>F10+'15'!H10</f>
        <v>4291.08</v>
      </c>
      <c r="I10" s="77">
        <f>'Mines (2)'!N18</f>
        <v>112</v>
      </c>
      <c r="J10" s="74">
        <f>I10+'15'!J10</f>
        <v>1073</v>
      </c>
      <c r="K10" s="74">
        <f>I10+'15'!K10</f>
        <v>1602</v>
      </c>
      <c r="L10" s="77">
        <f t="shared" ref="L10:L16" si="0">E10+F10-I10</f>
        <v>2813.1200000000003</v>
      </c>
      <c r="M10" s="75">
        <f t="shared" ref="M10:M12" si="1">I10</f>
        <v>112</v>
      </c>
      <c r="N10" s="75">
        <f>(I10/I13)*100</f>
        <v>4.0447815095702415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Clinker!C18</f>
        <v>3600.3</v>
      </c>
      <c r="F11" s="77">
        <f>Clinker!D18</f>
        <v>0</v>
      </c>
      <c r="G11" s="74">
        <f>F11+'15'!G11</f>
        <v>287.96000000000004</v>
      </c>
      <c r="H11" s="74">
        <f>F11+'15'!H11</f>
        <v>357.66</v>
      </c>
      <c r="I11" s="77">
        <f>Clinker!E18</f>
        <v>69</v>
      </c>
      <c r="J11" s="74">
        <f>I11+'15'!J11</f>
        <v>755</v>
      </c>
      <c r="K11" s="74">
        <f>I11+'15'!K11</f>
        <v>2192</v>
      </c>
      <c r="L11" s="77">
        <f t="shared" si="0"/>
        <v>3531.3</v>
      </c>
      <c r="M11" s="75">
        <f t="shared" si="1"/>
        <v>69</v>
      </c>
      <c r="N11" s="75">
        <f>(I11/I13)*100</f>
        <v>2.4918743228602382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(2)'!Q18</f>
        <v>3.999999999996362E-2</v>
      </c>
      <c r="F12" s="77">
        <f>'Mines (2)'!R18</f>
        <v>0</v>
      </c>
      <c r="G12" s="74">
        <f>F12+'15'!G12</f>
        <v>0</v>
      </c>
      <c r="H12" s="74">
        <f>F12+'15'!H12</f>
        <v>137.76</v>
      </c>
      <c r="I12" s="77">
        <f>'Mines (2)'!S18</f>
        <v>0</v>
      </c>
      <c r="J12" s="74">
        <f>I12+'15'!J12</f>
        <v>191</v>
      </c>
      <c r="K12" s="74">
        <f>I12+'15'!K12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30534.817260331569</v>
      </c>
      <c r="F13" s="127">
        <f t="shared" si="2"/>
        <v>4063.5400000000009</v>
      </c>
      <c r="G13" s="127">
        <f t="shared" si="2"/>
        <v>50951.14</v>
      </c>
      <c r="H13" s="127">
        <f t="shared" si="2"/>
        <v>117495.76000000001</v>
      </c>
      <c r="I13" s="127">
        <f t="shared" si="2"/>
        <v>2769</v>
      </c>
      <c r="J13" s="127">
        <f t="shared" si="2"/>
        <v>32552</v>
      </c>
      <c r="K13" s="127">
        <f t="shared" si="2"/>
        <v>101952</v>
      </c>
      <c r="L13" s="127">
        <f t="shared" si="0"/>
        <v>31829.35726033157</v>
      </c>
      <c r="M13" s="128">
        <f>SUM(M9:M12)</f>
        <v>2769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Clinker!EB18</f>
        <v>5247.6769999999906</v>
      </c>
      <c r="F14" s="77">
        <f>Clinker!EC18</f>
        <v>0</v>
      </c>
      <c r="G14" s="77">
        <f>F14+'15'!G14</f>
        <v>0</v>
      </c>
      <c r="H14" s="77">
        <f>F14+'15'!H14</f>
        <v>181.5</v>
      </c>
      <c r="I14" s="77">
        <f>Clinker!ED18</f>
        <v>264.44</v>
      </c>
      <c r="J14" s="77">
        <f>I14+'15'!J14</f>
        <v>3532.79</v>
      </c>
      <c r="K14" s="77">
        <f>I14+'15'!K14</f>
        <v>10369.09</v>
      </c>
      <c r="L14" s="77">
        <f>E14+F14-Clinker!N18-Clinker!Z18-Clinker!AS18-Clinker!AX18-Clinker!BC18-Clinker!BW18-Clinker!BH18-Clinker!BM18-Clinker!BR18-Clinker!CV18-Clinker!DP18</f>
        <v>5247.6769999999906</v>
      </c>
      <c r="M14" s="81"/>
      <c r="N14" s="81"/>
      <c r="O14" s="787"/>
      <c r="P14" s="82">
        <v>10</v>
      </c>
      <c r="Q14" s="264">
        <v>0.1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Clinker!EF18</f>
        <v>8864.9399999999951</v>
      </c>
      <c r="F15" s="77">
        <f>Clinker!EG18</f>
        <v>0</v>
      </c>
      <c r="G15" s="77">
        <f>F15+'15'!G15</f>
        <v>1062.8</v>
      </c>
      <c r="H15" s="77">
        <f>F15+'15'!H15</f>
        <v>1217.8500000000001</v>
      </c>
      <c r="I15" s="77">
        <f>Clinker!EH18</f>
        <v>145</v>
      </c>
      <c r="J15" s="77">
        <f>I15+'15'!J15</f>
        <v>2078</v>
      </c>
      <c r="K15" s="77">
        <f>I15+'15'!K15</f>
        <v>5947</v>
      </c>
      <c r="L15" s="77">
        <f>E15+F15-Clinker!T18-Clinker!AE18-Clinker!AJ18-Clinker!CG18-Clinker!CG18-Clinker!DU18-Clinker!AI18</f>
        <v>8455.4999999999945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14112.616999999986</v>
      </c>
      <c r="F16" s="125">
        <f>F14+F15</f>
        <v>0</v>
      </c>
      <c r="G16" s="125">
        <f t="shared" ref="G16:K16" si="3">G14+G15</f>
        <v>1062.8</v>
      </c>
      <c r="H16" s="125">
        <f t="shared" si="3"/>
        <v>1399.3500000000001</v>
      </c>
      <c r="I16" s="125">
        <f>I14+I15</f>
        <v>409.44</v>
      </c>
      <c r="J16" s="125">
        <f>J14+J15</f>
        <v>5610.79</v>
      </c>
      <c r="K16" s="125">
        <f t="shared" si="3"/>
        <v>16316.09</v>
      </c>
      <c r="L16" s="125">
        <f t="shared" si="0"/>
        <v>13703.176999999985</v>
      </c>
      <c r="M16" s="126"/>
      <c r="N16" s="126"/>
      <c r="O16" s="787"/>
      <c r="P16" s="53"/>
      <c r="Q16" s="131"/>
      <c r="R16" s="240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19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Clinker!EJ18</f>
        <v>26469.765086379753</v>
      </c>
      <c r="F18" s="74">
        <f>Clinker!EK18</f>
        <v>1418</v>
      </c>
      <c r="G18" s="74">
        <f>F18+'15'!G18</f>
        <v>19064</v>
      </c>
      <c r="H18" s="74">
        <f>F18+'15'!H18</f>
        <v>59564</v>
      </c>
      <c r="I18" s="74">
        <f>Clinker!EL18</f>
        <v>1609.442001273</v>
      </c>
      <c r="J18" s="74">
        <f>I18+'15'!J18</f>
        <v>17705.337002633707</v>
      </c>
      <c r="K18" s="74">
        <f>I18+'15'!K18</f>
        <v>36567.217014519978</v>
      </c>
      <c r="L18" s="74">
        <f>E18+F18-I18-I20</f>
        <v>26278.323085106753</v>
      </c>
      <c r="M18" s="783">
        <f>((I18+I19)/(J40+J46))*100</f>
        <v>75.560657336760556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Clinker!EO18</f>
        <v>5306.1090080001359</v>
      </c>
      <c r="F19" s="74">
        <f>Clinker!EP18</f>
        <v>0</v>
      </c>
      <c r="G19" s="74">
        <f>F19+'15'!G19</f>
        <v>150.78</v>
      </c>
      <c r="H19" s="74">
        <f>F19+'15'!H19</f>
        <v>13390.660000000003</v>
      </c>
      <c r="I19" s="74">
        <f>Clinker!EQ18</f>
        <v>0</v>
      </c>
      <c r="J19" s="74">
        <f>I19+'15'!J19</f>
        <v>0</v>
      </c>
      <c r="K19" s="74">
        <f>I19+'15'!K19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Clinker!EN18</f>
        <v>0</v>
      </c>
      <c r="G20" s="74">
        <f>F20+'15'!G20</f>
        <v>0</v>
      </c>
      <c r="H20" s="74">
        <f>F20+'15'!H20</f>
        <v>0</v>
      </c>
      <c r="I20" s="77">
        <f>Clinker!EN18</f>
        <v>0</v>
      </c>
      <c r="J20" s="74">
        <f>I20+'15'!J20</f>
        <v>0</v>
      </c>
      <c r="K20" s="74">
        <f>I20+'15'!K20</f>
        <v>0</v>
      </c>
      <c r="L20" s="74"/>
      <c r="M20" s="78"/>
      <c r="N20" s="766"/>
      <c r="O20" s="767"/>
      <c r="P20" s="771"/>
      <c r="Q20" s="772"/>
      <c r="R20" s="241"/>
      <c r="S20" s="20"/>
    </row>
    <row r="21" spans="2:19" x14ac:dyDescent="0.25">
      <c r="B21" s="89"/>
      <c r="C21" s="822" t="s">
        <v>242</v>
      </c>
      <c r="D21" s="823"/>
      <c r="E21" s="77"/>
      <c r="F21" s="77"/>
      <c r="G21" s="74"/>
      <c r="H21" s="74"/>
      <c r="I21" s="77">
        <f>Cement!S18</f>
        <v>459.16333263000001</v>
      </c>
      <c r="J21" s="74">
        <f>I21+'15'!J21</f>
        <v>4736.5777769200386</v>
      </c>
      <c r="K21" s="74">
        <f>I21+'15'!K21</f>
        <v>13368.397769482273</v>
      </c>
      <c r="L21" s="74"/>
      <c r="M21" s="78">
        <f>(I21/(J40+J46))*100</f>
        <v>21.556963973239437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Cement!C18</f>
        <v>6040.677433305229</v>
      </c>
      <c r="F22" s="77">
        <f>Cement!D18</f>
        <v>0</v>
      </c>
      <c r="G22" s="74">
        <f>F22+'15'!G22</f>
        <v>62.5</v>
      </c>
      <c r="H22" s="74">
        <f>F22+'15'!H22</f>
        <v>2033.4</v>
      </c>
      <c r="I22" s="77">
        <f>Cement!F18</f>
        <v>112.95894669473685</v>
      </c>
      <c r="J22" s="74">
        <f>I22+'15'!J22</f>
        <v>1211.8615769877895</v>
      </c>
      <c r="K22" s="74">
        <f>I22+'15'!K22</f>
        <v>3551.0615725392886</v>
      </c>
      <c r="L22" s="74">
        <f t="shared" ref="L22:L24" si="4">E22+F22-I22</f>
        <v>5927.7184866104917</v>
      </c>
      <c r="M22" s="78">
        <f>(I22/(J40+J46))*100</f>
        <v>5.3032369340252048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Cement!H18</f>
        <v>0.23999999999796273</v>
      </c>
      <c r="F23" s="77">
        <f>Cement!I18</f>
        <v>0</v>
      </c>
      <c r="G23" s="74">
        <f>F23+'15'!G23</f>
        <v>0</v>
      </c>
      <c r="H23" s="74">
        <f>F23+'15'!H23</f>
        <v>0</v>
      </c>
      <c r="I23" s="77">
        <f>Cement!J18</f>
        <v>0</v>
      </c>
      <c r="J23" s="74">
        <f>I23+'15'!J23</f>
        <v>0</v>
      </c>
      <c r="K23" s="74">
        <f>I23+'15'!K23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Cement!L18</f>
        <v>0</v>
      </c>
      <c r="F24" s="77">
        <f>Cement!M18</f>
        <v>0</v>
      </c>
      <c r="G24" s="74">
        <f>F24+'15'!G24</f>
        <v>0</v>
      </c>
      <c r="H24" s="74">
        <f>F24+'15'!H24</f>
        <v>0</v>
      </c>
      <c r="I24" s="77">
        <f>Cement!N18</f>
        <v>0</v>
      </c>
      <c r="J24" s="74">
        <f>I24+'15'!J24</f>
        <v>0</v>
      </c>
      <c r="K24" s="74">
        <f>I24+'15'!K24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37816.79152768512</v>
      </c>
      <c r="F25" s="122">
        <f t="shared" ref="F25:L25" si="5">F18+F19+F21+F22+F23+F24</f>
        <v>1418</v>
      </c>
      <c r="G25" s="122">
        <f t="shared" si="5"/>
        <v>19277.28</v>
      </c>
      <c r="H25" s="122">
        <f t="shared" si="5"/>
        <v>74988.06</v>
      </c>
      <c r="I25" s="122">
        <f t="shared" si="5"/>
        <v>2181.5642805977368</v>
      </c>
      <c r="J25" s="122">
        <f t="shared" si="5"/>
        <v>23653.776356541537</v>
      </c>
      <c r="K25" s="122">
        <f t="shared" si="5"/>
        <v>70420.776356541537</v>
      </c>
      <c r="L25" s="122">
        <f t="shared" si="5"/>
        <v>37512.390579717379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Production2!C18</f>
        <v>20.38</v>
      </c>
      <c r="G30" s="75">
        <f>F30+'15'!G30</f>
        <v>271.95999999999998</v>
      </c>
      <c r="H30" s="75">
        <f>F30+'15'!H30</f>
        <v>704.44000000000017</v>
      </c>
      <c r="I30" s="74">
        <f>'Mines (2)'!C18+'Mines (2)'!H18+'Mines (2)'!V18+'Mines (2)'!Z18+'Mines (2)'!AD18</f>
        <v>24400.157260331565</v>
      </c>
      <c r="J30" s="74">
        <f>Production2!D18</f>
        <v>3672.7400000000007</v>
      </c>
      <c r="K30" s="74">
        <f>J30+'15'!K30</f>
        <v>47723.56</v>
      </c>
      <c r="L30" s="74">
        <f>J30+'15'!L30</f>
        <v>112709.26000000001</v>
      </c>
      <c r="M30" s="74">
        <f>I9+I21</f>
        <v>3047.1633326299998</v>
      </c>
      <c r="N30" s="74">
        <f>M30+'15'!N30</f>
        <v>35269.577776920036</v>
      </c>
      <c r="O30" s="74">
        <f>M30+'15'!O30</f>
        <v>110788.39776948231</v>
      </c>
      <c r="P30" s="74">
        <f>I30+J30-M30</f>
        <v>25025.733927701567</v>
      </c>
      <c r="Q30" s="93">
        <f>J30/F30</f>
        <v>180.21295387634942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Production2!G18</f>
        <v>21.5</v>
      </c>
      <c r="G31" s="75">
        <f>F31+'15'!G31</f>
        <v>260.89999999999998</v>
      </c>
      <c r="H31" s="75">
        <f>F31+'15'!H31</f>
        <v>754.11999999999989</v>
      </c>
      <c r="I31" s="724">
        <f>Production2!H18</f>
        <v>1192.5400168375199</v>
      </c>
      <c r="J31" s="78">
        <f>Production2!N18</f>
        <v>2494.17</v>
      </c>
      <c r="K31" s="74">
        <f>J31+'15'!K31</f>
        <v>28834.530000000006</v>
      </c>
      <c r="L31" s="74">
        <f>J31+'15'!L31</f>
        <v>87691.680000000022</v>
      </c>
      <c r="M31" s="724">
        <f>Production2!K18</f>
        <v>2197.9</v>
      </c>
      <c r="N31" s="724">
        <f>M31+'15'!N31</f>
        <v>29549.200000000001</v>
      </c>
      <c r="O31" s="724">
        <f>M31+'15'!O31</f>
        <v>92324.2</v>
      </c>
      <c r="P31" s="724">
        <f>I31+J31+J32-M31</f>
        <v>1488.8100168375199</v>
      </c>
      <c r="Q31" s="96">
        <f t="shared" ref="Q31:Q46" si="6">J31/F31</f>
        <v>116.0079069767442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Production2!P18</f>
        <v>0</v>
      </c>
      <c r="G32" s="75">
        <f>F32+'15'!G32</f>
        <v>57.76</v>
      </c>
      <c r="H32" s="75">
        <f>F32+'15'!H32</f>
        <v>464.04999999999995</v>
      </c>
      <c r="I32" s="712"/>
      <c r="J32" s="78">
        <f>Production2!Q18</f>
        <v>0</v>
      </c>
      <c r="K32" s="74">
        <f>J32+'15'!K32</f>
        <v>485.36</v>
      </c>
      <c r="L32" s="74">
        <f>J32+'15'!L32</f>
        <v>4127.5999999999995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Production2!S18</f>
        <v>16.96</v>
      </c>
      <c r="G33" s="75">
        <f>F33+'15'!G33</f>
        <v>235.99</v>
      </c>
      <c r="H33" s="75">
        <f>F33+'15'!H33</f>
        <v>682.36000000000013</v>
      </c>
      <c r="I33" s="77">
        <f>Production2!T18</f>
        <v>45.709999999999866</v>
      </c>
      <c r="J33" s="77">
        <f>Production2!U18</f>
        <v>238</v>
      </c>
      <c r="K33" s="74">
        <f>J33+'15'!K33</f>
        <v>3179.5</v>
      </c>
      <c r="L33" s="74">
        <f>J33+'15'!L33</f>
        <v>9332.2000000000007</v>
      </c>
      <c r="M33" s="77">
        <f>Production2!V18</f>
        <v>257</v>
      </c>
      <c r="N33" s="74">
        <f>M33+'15'!N33</f>
        <v>3193</v>
      </c>
      <c r="O33" s="74">
        <f>M33+'15'!O33</f>
        <v>9321</v>
      </c>
      <c r="P33" s="74">
        <f>I33+J33-M33</f>
        <v>26.709999999999866</v>
      </c>
      <c r="Q33" s="96">
        <f t="shared" si="6"/>
        <v>14.033018867924527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Production2!Y18</f>
        <v>23.69</v>
      </c>
      <c r="G34" s="75">
        <f>F34+'15'!G34</f>
        <v>344.96999999999997</v>
      </c>
      <c r="H34" s="75">
        <f>F34+'15'!H34</f>
        <v>963.24000000000012</v>
      </c>
      <c r="I34" s="77">
        <f>Clinker!EJ18</f>
        <v>26469.765086379753</v>
      </c>
      <c r="J34" s="77">
        <f>Clinker!EK18</f>
        <v>1418</v>
      </c>
      <c r="K34" s="74">
        <f>J34+'15'!K34</f>
        <v>19064</v>
      </c>
      <c r="L34" s="74">
        <f>J34+'15'!L34</f>
        <v>59564</v>
      </c>
      <c r="M34" s="77">
        <f>Clinker!EL18</f>
        <v>1609.442001273</v>
      </c>
      <c r="N34" s="74">
        <f>M34+'15'!N34</f>
        <v>17705.337002633707</v>
      </c>
      <c r="O34" s="74">
        <f>M34+'15'!O34</f>
        <v>36567.217014519978</v>
      </c>
      <c r="P34" s="74">
        <f>I34+J34-M34-I20</f>
        <v>26278.323085106753</v>
      </c>
      <c r="Q34" s="96">
        <f t="shared" si="6"/>
        <v>59.856479527226675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Production2!AE18</f>
        <v>0</v>
      </c>
      <c r="G35" s="654">
        <f>F35+'15'!G35</f>
        <v>6.8000000000000007</v>
      </c>
      <c r="H35" s="75">
        <f>F35+'15'!H35</f>
        <v>15.8</v>
      </c>
      <c r="I35" s="77">
        <f>Production2!BJ18</f>
        <v>322.29999999999995</v>
      </c>
      <c r="J35" s="77">
        <f>Production2!AF18</f>
        <v>0</v>
      </c>
      <c r="K35" s="74">
        <f>J35+'15'!K35</f>
        <v>400</v>
      </c>
      <c r="L35" s="74">
        <f>J35+'15'!L35</f>
        <v>974</v>
      </c>
      <c r="M35" s="77">
        <f>Production2!BL18</f>
        <v>59</v>
      </c>
      <c r="N35" s="74">
        <f>M35+'15'!N35</f>
        <v>1148.5</v>
      </c>
      <c r="O35" s="74">
        <f>M35+'15'!O35</f>
        <v>3543</v>
      </c>
      <c r="P35" s="74">
        <f>I35+J35+J41-M35-F59</f>
        <v>263.29999999999995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Production2!AB18</f>
        <v>18.25</v>
      </c>
      <c r="G36" s="654">
        <f>F36+'15'!G36</f>
        <v>134.57</v>
      </c>
      <c r="H36" s="75">
        <f>F36+'15'!H36</f>
        <v>340.9</v>
      </c>
      <c r="I36" s="77">
        <f>Production2!BF18</f>
        <v>2505.4079999999794</v>
      </c>
      <c r="J36" s="77">
        <f>Production2!AC18</f>
        <v>1170</v>
      </c>
      <c r="K36" s="74">
        <f>J36+'15'!K36</f>
        <v>8151</v>
      </c>
      <c r="L36" s="74">
        <f>J36+'15'!L36</f>
        <v>20580</v>
      </c>
      <c r="M36" s="77">
        <f>Production2!BH18</f>
        <v>1597.48</v>
      </c>
      <c r="N36" s="74">
        <f>M36+'15'!N36</f>
        <v>18567.359999999997</v>
      </c>
      <c r="O36" s="74">
        <f>M36+'15'!O36</f>
        <v>53735.630000000005</v>
      </c>
      <c r="P36" s="74">
        <f>I36+J36+J42-M36-F57</f>
        <v>2737.9279999999794</v>
      </c>
      <c r="Q36" s="96">
        <f t="shared" si="6"/>
        <v>64.109589041095887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Production2!AH18</f>
        <v>0</v>
      </c>
      <c r="G37" s="654">
        <f>F37+'15'!G37</f>
        <v>0</v>
      </c>
      <c r="H37" s="75">
        <f>F37+'15'!H37</f>
        <v>0</v>
      </c>
      <c r="I37" s="77">
        <f>Production2!BN18</f>
        <v>9.0000000000849845E-2</v>
      </c>
      <c r="J37" s="77">
        <f>Production2!AI18</f>
        <v>0</v>
      </c>
      <c r="K37" s="500">
        <f>J37+'15'!K37</f>
        <v>0</v>
      </c>
      <c r="L37" s="500">
        <f>J37+'15'!L37</f>
        <v>0</v>
      </c>
      <c r="M37" s="77">
        <f>Production2!BP18</f>
        <v>0</v>
      </c>
      <c r="N37" s="74">
        <f>M37+'15'!N37</f>
        <v>0</v>
      </c>
      <c r="O37" s="74">
        <f>M37+'15'!O37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Production2!AK18</f>
        <v>0</v>
      </c>
      <c r="G38" s="654">
        <f>F38+'15'!G38</f>
        <v>3</v>
      </c>
      <c r="H38" s="507">
        <f>F38+'15'!H38</f>
        <v>3</v>
      </c>
      <c r="I38" s="195">
        <f>Production2!BR18</f>
        <v>203.3</v>
      </c>
      <c r="J38" s="195">
        <v>0</v>
      </c>
      <c r="K38" s="500">
        <f>J38+'15'!K38</f>
        <v>180</v>
      </c>
      <c r="L38" s="500">
        <f>J38+'15'!L38</f>
        <v>180</v>
      </c>
      <c r="M38" s="195">
        <f>Production2!BT18</f>
        <v>30</v>
      </c>
      <c r="N38" s="500">
        <f>M38+'15'!N38</f>
        <v>470</v>
      </c>
      <c r="O38" s="500">
        <f>M38+'15'!O38</f>
        <v>2317</v>
      </c>
      <c r="P38" s="74">
        <f>I38+J38+J44-M38-F60</f>
        <v>173.3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504" t="s">
        <v>304</v>
      </c>
      <c r="E39" s="508">
        <v>78</v>
      </c>
      <c r="F39" s="506">
        <f>Production2!AN18</f>
        <v>5</v>
      </c>
      <c r="G39" s="654">
        <f>F39+'15'!G39</f>
        <v>25.8</v>
      </c>
      <c r="H39" s="507">
        <f>F39+'15'!H39</f>
        <v>66.45</v>
      </c>
      <c r="I39" s="503">
        <f>Production2!BV18</f>
        <v>396.61</v>
      </c>
      <c r="J39" s="503">
        <f>Production2!AO18</f>
        <v>300</v>
      </c>
      <c r="K39" s="500">
        <f>J39+'15'!K39</f>
        <v>1515</v>
      </c>
      <c r="L39" s="500">
        <f>J39+'15'!L39</f>
        <v>4047</v>
      </c>
      <c r="M39" s="77">
        <f>Production2!BX18</f>
        <v>451.76</v>
      </c>
      <c r="N39" s="500">
        <f>M39+'15'!N39</f>
        <v>3664.9799999999996</v>
      </c>
      <c r="O39" s="500">
        <f>M39+'15'!O39</f>
        <v>9086.86</v>
      </c>
      <c r="P39" s="500">
        <f>I39+J39+J45-M39</f>
        <v>244.85000000000002</v>
      </c>
      <c r="Q39" s="96">
        <f t="shared" si="6"/>
        <v>60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23.25</v>
      </c>
      <c r="G40" s="132">
        <f t="shared" ref="G40:H40" si="7">G35+G36+G37+G38+G39</f>
        <v>170.17000000000002</v>
      </c>
      <c r="H40" s="132">
        <f t="shared" si="7"/>
        <v>426.15</v>
      </c>
      <c r="I40" s="122">
        <f>I35+I36+I37+I38+I39</f>
        <v>3427.707999999981</v>
      </c>
      <c r="J40" s="505">
        <f t="shared" ref="J40:P40" si="8">J35+J36+J37+J38+J39</f>
        <v>1470</v>
      </c>
      <c r="K40" s="505">
        <f t="shared" si="8"/>
        <v>10246</v>
      </c>
      <c r="L40" s="505">
        <f t="shared" si="8"/>
        <v>25781</v>
      </c>
      <c r="M40" s="505">
        <f t="shared" si="8"/>
        <v>2138.2399999999998</v>
      </c>
      <c r="N40" s="505">
        <f t="shared" si="8"/>
        <v>23850.839999999997</v>
      </c>
      <c r="O40" s="505">
        <f t="shared" si="8"/>
        <v>68682.34</v>
      </c>
      <c r="P40" s="505">
        <f t="shared" si="8"/>
        <v>3419.4679999999803</v>
      </c>
      <c r="Q40" s="123">
        <f t="shared" si="6"/>
        <v>63.225806451612904</v>
      </c>
      <c r="R40" s="94"/>
      <c r="S40" s="94"/>
    </row>
    <row r="41" spans="2:19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Production2!AT18</f>
        <v>0</v>
      </c>
      <c r="G41" s="75">
        <f>F41+'15'!G41</f>
        <v>10.129999999999999</v>
      </c>
      <c r="H41" s="75">
        <f>F41+'15'!H41</f>
        <v>43.23</v>
      </c>
      <c r="I41" s="710"/>
      <c r="J41" s="77">
        <f>Production2!AU18</f>
        <v>0</v>
      </c>
      <c r="K41" s="74">
        <f>J41+'15'!K41</f>
        <v>600</v>
      </c>
      <c r="L41" s="74">
        <f>J41+'15'!L41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Production2!AQ18</f>
        <v>12.17</v>
      </c>
      <c r="G42" s="75">
        <f>F42+'15'!G42</f>
        <v>182.93</v>
      </c>
      <c r="H42" s="75">
        <f>F42+'15'!H42</f>
        <v>598.92999999999995</v>
      </c>
      <c r="I42" s="711"/>
      <c r="J42" s="77">
        <f>Production2!AR18</f>
        <v>660</v>
      </c>
      <c r="K42" s="74">
        <f>J42+'15'!K42</f>
        <v>10475</v>
      </c>
      <c r="L42" s="74">
        <f>J42+'15'!L42</f>
        <v>34615</v>
      </c>
      <c r="M42" s="716"/>
      <c r="N42" s="717"/>
      <c r="O42" s="717"/>
      <c r="P42" s="718"/>
      <c r="Q42" s="96">
        <f t="shared" si="6"/>
        <v>54.231717337715693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Production2!AW18</f>
        <v>0</v>
      </c>
      <c r="G43" s="75">
        <f>F43+'15'!G43</f>
        <v>0</v>
      </c>
      <c r="H43" s="75">
        <f>F43+'15'!H43</f>
        <v>0</v>
      </c>
      <c r="I43" s="711"/>
      <c r="J43" s="77">
        <f>Production2!AX18</f>
        <v>0</v>
      </c>
      <c r="K43" s="74">
        <f>J43+'15'!K43</f>
        <v>0</v>
      </c>
      <c r="L43" s="74">
        <f>J43+'15'!L43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Production2!AZ18</f>
        <v>0</v>
      </c>
      <c r="G44" s="75">
        <f>F44+'15'!G44</f>
        <v>5</v>
      </c>
      <c r="H44" s="75">
        <f>F44+'15'!H44</f>
        <v>37.880000000000003</v>
      </c>
      <c r="I44" s="712"/>
      <c r="J44" s="195">
        <f>Production2!BA18</f>
        <v>0</v>
      </c>
      <c r="K44" s="74">
        <f>J44+'15'!K44</f>
        <v>277</v>
      </c>
      <c r="L44" s="74">
        <f>J44+'15'!L44</f>
        <v>2097</v>
      </c>
      <c r="M44" s="719"/>
      <c r="N44" s="720"/>
      <c r="O44" s="720"/>
      <c r="P44" s="721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504" t="s">
        <v>304</v>
      </c>
      <c r="E45" s="508">
        <v>70</v>
      </c>
      <c r="F45" s="506">
        <f>Production2!BC18</f>
        <v>0</v>
      </c>
      <c r="G45" s="507">
        <f>F45+'15'!G45</f>
        <v>27.119999999999997</v>
      </c>
      <c r="H45" s="507">
        <f>F45+'15'!H45</f>
        <v>82.09</v>
      </c>
      <c r="I45" s="499"/>
      <c r="J45" s="503">
        <f>Production2!BD18</f>
        <v>0</v>
      </c>
      <c r="K45" s="500">
        <f>J45+'15'!K45</f>
        <v>1639</v>
      </c>
      <c r="L45" s="500">
        <f>J45+'15'!L45</f>
        <v>4911</v>
      </c>
      <c r="M45" s="501"/>
      <c r="N45" s="509"/>
      <c r="O45" s="509"/>
      <c r="P45" s="502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12.17</v>
      </c>
      <c r="G46" s="132">
        <f t="shared" ref="G46:H46" si="9">G41+G42+G43+G44+G45</f>
        <v>225.18</v>
      </c>
      <c r="H46" s="132">
        <f t="shared" si="9"/>
        <v>762.13</v>
      </c>
      <c r="I46" s="132">
        <f>I41+I42+I43+I44</f>
        <v>0</v>
      </c>
      <c r="J46" s="122">
        <f>J41+J42+J43+J44+J45</f>
        <v>660</v>
      </c>
      <c r="K46" s="505">
        <f t="shared" ref="K46:L46" si="10">K41+K42+K43+K44+K45</f>
        <v>12991</v>
      </c>
      <c r="L46" s="505">
        <f t="shared" si="10"/>
        <v>44223</v>
      </c>
      <c r="M46" s="873"/>
      <c r="N46" s="874"/>
      <c r="O46" s="874"/>
      <c r="P46" s="875"/>
      <c r="Q46" s="123">
        <f t="shared" si="6"/>
        <v>54.231717337715693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0.64774528009061338</v>
      </c>
      <c r="F50" s="99">
        <f>F53/(J31+J32)</f>
        <v>22.570233785187057</v>
      </c>
      <c r="G50" s="99" t="e">
        <f>G53/J32</f>
        <v>#DIV/0!</v>
      </c>
      <c r="H50" s="99">
        <f>H53/J34</f>
        <v>33.030324400564176</v>
      </c>
      <c r="I50" s="99">
        <f>I53/J33</f>
        <v>52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18.124118476727784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1.1822036564700336</v>
      </c>
      <c r="F51" s="102">
        <f>F50*1.55</f>
        <v>34.98386236703994</v>
      </c>
      <c r="G51" s="102" t="e">
        <f>G50*1.55</f>
        <v>#DIV/0!</v>
      </c>
      <c r="H51" s="102">
        <f>H50</f>
        <v>33.030324400564176</v>
      </c>
      <c r="I51" s="102">
        <f>I50*(Q50/100)</f>
        <v>9.4245416078984476</v>
      </c>
      <c r="J51" s="102"/>
      <c r="K51" s="102"/>
      <c r="L51" s="102"/>
      <c r="M51" s="96"/>
      <c r="N51" s="103"/>
      <c r="O51" s="728" t="s">
        <v>277</v>
      </c>
      <c r="P51" s="728"/>
      <c r="Q51" s="104">
        <v>4640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0.89328085388797607</v>
      </c>
      <c r="F52" s="102">
        <f>F51*M18/100</f>
        <v>26.434036366322982</v>
      </c>
      <c r="G52" s="102" t="e">
        <f>G51*M18/100</f>
        <v>#DIV/0!</v>
      </c>
      <c r="H52" s="102">
        <f>H51*M18/100</f>
        <v>24.957930237530707</v>
      </c>
      <c r="I52" s="102">
        <f>I51*M18/100</f>
        <v>7.1212455899045697</v>
      </c>
      <c r="J52" s="99">
        <f>J53/(J40+J46)</f>
        <v>45.90469483568075</v>
      </c>
      <c r="K52" s="99">
        <f>K53/(J46+J40)</f>
        <v>0.93615023474178405</v>
      </c>
      <c r="L52" s="99">
        <f>L53/(M40)</f>
        <v>2.9295121221191263</v>
      </c>
      <c r="M52" s="96">
        <f>M53/(J46+J40)</f>
        <v>2.2507042253521128</v>
      </c>
      <c r="N52" s="307" t="e">
        <f>SUM(E52:M52)</f>
        <v>#DIV/0!</v>
      </c>
      <c r="O52" s="728" t="s">
        <v>279</v>
      </c>
      <c r="P52" s="728"/>
      <c r="Q52" s="104">
        <f>Q51*Q50/100</f>
        <v>840.95909732016912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unit'!B18</f>
        <v>2379</v>
      </c>
      <c r="F53" s="118">
        <f>'Daily unit'!C18</f>
        <v>56294</v>
      </c>
      <c r="G53" s="118">
        <f>'Daily unit'!D18</f>
        <v>0</v>
      </c>
      <c r="H53" s="118">
        <f>'Daily unit'!E18</f>
        <v>46837</v>
      </c>
      <c r="I53" s="118">
        <f>'Daily unit'!F18</f>
        <v>12376</v>
      </c>
      <c r="J53" s="118">
        <f>'Daily unit'!G18</f>
        <v>97777</v>
      </c>
      <c r="K53" s="118">
        <f>'Daily unit'!H18</f>
        <v>1994</v>
      </c>
      <c r="L53" s="118">
        <f>'Daily unit'!I18</f>
        <v>6264</v>
      </c>
      <c r="M53" s="119">
        <f>'Daily unit'!J18</f>
        <v>4794</v>
      </c>
      <c r="N53" s="318">
        <f>SUM(E53:M53)</f>
        <v>228715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877">
        <v>1</v>
      </c>
      <c r="C57" s="766" t="s">
        <v>285</v>
      </c>
      <c r="D57" s="766"/>
      <c r="E57" s="80">
        <v>42.5</v>
      </c>
      <c r="F57" s="53">
        <f>'Internal use cement'!F18</f>
        <v>0</v>
      </c>
      <c r="G57" s="53">
        <f>F57+'15'!G57</f>
        <v>0</v>
      </c>
      <c r="H57" s="104">
        <f>F57+'15'!H57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77"/>
      <c r="C58" s="766"/>
      <c r="D58" s="766"/>
      <c r="E58" s="80" t="s">
        <v>195</v>
      </c>
      <c r="F58" s="53">
        <f>'Internal use cement'!Q18</f>
        <v>0</v>
      </c>
      <c r="G58" s="53">
        <f>F58+'15'!G58</f>
        <v>2</v>
      </c>
      <c r="H58" s="104">
        <f>F58+'15'!H58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77"/>
      <c r="C59" s="766"/>
      <c r="D59" s="766"/>
      <c r="E59" s="80">
        <v>32.5</v>
      </c>
      <c r="F59" s="53">
        <f>'Internal use cement'!AB18</f>
        <v>0</v>
      </c>
      <c r="G59" s="53">
        <f>F59+'15'!G59</f>
        <v>0</v>
      </c>
      <c r="H59" s="104">
        <f>F59+'15'!H59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78"/>
      <c r="C60" s="857"/>
      <c r="D60" s="857"/>
      <c r="E60" s="112" t="s">
        <v>175</v>
      </c>
      <c r="F60" s="113">
        <f>'Internal use cement'!AJ18</f>
        <v>0</v>
      </c>
      <c r="G60" s="113">
        <f>F60+'15'!G60</f>
        <v>0</v>
      </c>
      <c r="H60" s="114">
        <f>F60+'15'!H60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115"/>
      <c r="S61" s="115"/>
    </row>
    <row r="62" spans="2:19" x14ac:dyDescent="0.25">
      <c r="R62" s="116"/>
      <c r="S62" s="116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109"/>
      <c r="S66" s="109"/>
    </row>
    <row r="67" spans="2:19" x14ac:dyDescent="0.25">
      <c r="R67" s="94"/>
      <c r="S67" s="94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</sheetData>
  <mergeCells count="86"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C52:D52"/>
    <mergeCell ref="C17:Q17"/>
    <mergeCell ref="B18:B20"/>
    <mergeCell ref="C18:C20"/>
    <mergeCell ref="N18:N20"/>
    <mergeCell ref="B23:B24"/>
    <mergeCell ref="C23:C24"/>
    <mergeCell ref="M23:N24"/>
    <mergeCell ref="P23:Q25"/>
    <mergeCell ref="C25:D25"/>
    <mergeCell ref="M25:N25"/>
    <mergeCell ref="O18:O25"/>
    <mergeCell ref="P18:Q20"/>
    <mergeCell ref="Q21:Q22"/>
    <mergeCell ref="C22:D22"/>
    <mergeCell ref="M18:M19"/>
    <mergeCell ref="C21:D21"/>
    <mergeCell ref="P6:P7"/>
    <mergeCell ref="C8:Q8"/>
    <mergeCell ref="C12:D12"/>
    <mergeCell ref="C13:D13"/>
    <mergeCell ref="P13:Q13"/>
    <mergeCell ref="O9:O16"/>
    <mergeCell ref="C10:D10"/>
    <mergeCell ref="C9:D9"/>
    <mergeCell ref="Q6:Q7"/>
    <mergeCell ref="C11:D11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30:D30"/>
    <mergeCell ref="C31:D31"/>
    <mergeCell ref="C33:D33"/>
    <mergeCell ref="C34:D34"/>
    <mergeCell ref="Q28:Q29"/>
    <mergeCell ref="C32:D32"/>
    <mergeCell ref="I31:I32"/>
    <mergeCell ref="M31:M32"/>
    <mergeCell ref="N31:N32"/>
    <mergeCell ref="O31:O32"/>
    <mergeCell ref="P31:P3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O51:P51"/>
    <mergeCell ref="B35:B40"/>
    <mergeCell ref="C35:C40"/>
    <mergeCell ref="C57:D60"/>
    <mergeCell ref="B57:B60"/>
    <mergeCell ref="O52:P52"/>
    <mergeCell ref="C53:D53"/>
    <mergeCell ref="I41:I44"/>
    <mergeCell ref="M41:P44"/>
    <mergeCell ref="M46:P46"/>
    <mergeCell ref="B41:B46"/>
    <mergeCell ref="C41:C46"/>
    <mergeCell ref="I55:Q60"/>
    <mergeCell ref="B48:N48"/>
    <mergeCell ref="O48:Q48"/>
  </mergeCells>
  <pageMargins left="0" right="0" top="0.75" bottom="0.75" header="0.3" footer="0.3"/>
  <pageSetup paperSize="9" scale="55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/>
  <dimension ref="B2:U156"/>
  <sheetViews>
    <sheetView zoomScale="90" zoomScaleNormal="90" workbookViewId="0">
      <pane xSplit="4" ySplit="1" topLeftCell="F2" activePane="bottomRight" state="frozen"/>
      <selection pane="topRight" activeCell="E1" sqref="E1"/>
      <selection pane="bottomLeft" activeCell="A6" sqref="A6"/>
      <selection pane="bottomRight" activeCell="U8" sqref="U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0.7109375" style="68" customWidth="1"/>
    <col min="4" max="4" width="14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0" width="9.140625" style="68"/>
    <col min="21" max="21" width="11.5703125" style="68" bestFit="1" customWidth="1"/>
    <col min="22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337</v>
      </c>
      <c r="R4" s="67"/>
      <c r="S4" s="67"/>
    </row>
    <row r="5" spans="2:21" s="70" customFormat="1" ht="16.5" customHeigh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ht="30" x14ac:dyDescent="0.25">
      <c r="B9" s="199">
        <v>1</v>
      </c>
      <c r="C9" s="225" t="s">
        <v>242</v>
      </c>
      <c r="D9" s="226"/>
      <c r="E9" s="74">
        <f>'16'!L9</f>
        <v>25025.733927701571</v>
      </c>
      <c r="F9" s="74">
        <f>Production2!D19</f>
        <v>2788.1400000000003</v>
      </c>
      <c r="G9" s="74">
        <f>F9+'16'!G9</f>
        <v>50511.7</v>
      </c>
      <c r="H9" s="74">
        <f>F9+'16'!H9</f>
        <v>115497.40000000001</v>
      </c>
      <c r="I9" s="74">
        <f>Production2!E19</f>
        <v>2545</v>
      </c>
      <c r="J9" s="623">
        <f>I9+'16'!J9</f>
        <v>33078</v>
      </c>
      <c r="K9" s="74">
        <f>I9+'16'!K9</f>
        <v>99965</v>
      </c>
      <c r="L9" s="74">
        <f>E9+F9-I9-I21</f>
        <v>24869.651705479348</v>
      </c>
      <c r="M9" s="75">
        <f>I9</f>
        <v>2545</v>
      </c>
      <c r="N9" s="75">
        <f>(I9/I13)*100</f>
        <v>95.461365341335338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(2)'!L19</f>
        <v>2813.1200000000003</v>
      </c>
      <c r="F10" s="77">
        <f>'Mines (2)'!M19</f>
        <v>37.840000000000003</v>
      </c>
      <c r="G10" s="74">
        <f>F10+'16'!G10</f>
        <v>2977.4600000000009</v>
      </c>
      <c r="H10" s="74">
        <f>F10+'16'!H10</f>
        <v>4328.92</v>
      </c>
      <c r="I10" s="77">
        <f>'Mines (2)'!N19</f>
        <v>75</v>
      </c>
      <c r="J10" s="74">
        <f>I10+'16'!J10</f>
        <v>1148</v>
      </c>
      <c r="K10" s="74">
        <f>I10+'16'!K10</f>
        <v>1677</v>
      </c>
      <c r="L10" s="77">
        <f t="shared" ref="L10:L16" si="0">E10+F10-I10</f>
        <v>2775.9600000000005</v>
      </c>
      <c r="M10" s="75">
        <f t="shared" ref="M10:M12" si="1">I10</f>
        <v>75</v>
      </c>
      <c r="N10" s="75">
        <f>(I10/I13)*100</f>
        <v>2.8132033008252062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Clinker!C19</f>
        <v>3531.3</v>
      </c>
      <c r="F11" s="77">
        <f>Clinker!D19</f>
        <v>0</v>
      </c>
      <c r="G11" s="74">
        <f>F11+'16'!G11</f>
        <v>287.96000000000004</v>
      </c>
      <c r="H11" s="74">
        <f>F11+'16'!H11</f>
        <v>357.66</v>
      </c>
      <c r="I11" s="77">
        <f>Clinker!E19</f>
        <v>46</v>
      </c>
      <c r="J11" s="74">
        <f>I11+'16'!J11</f>
        <v>801</v>
      </c>
      <c r="K11" s="74">
        <f>I11+'16'!K11</f>
        <v>2238</v>
      </c>
      <c r="L11" s="77">
        <f t="shared" si="0"/>
        <v>3485.3</v>
      </c>
      <c r="M11" s="75">
        <f t="shared" si="1"/>
        <v>46</v>
      </c>
      <c r="N11" s="75">
        <f>(I11/I13)*100</f>
        <v>1.72543135783946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(2)'!Q19</f>
        <v>3.999999999996362E-2</v>
      </c>
      <c r="F12" s="77">
        <f>'Mines (2)'!R19</f>
        <v>0</v>
      </c>
      <c r="G12" s="74">
        <f>F12+'16'!G12</f>
        <v>0</v>
      </c>
      <c r="H12" s="74">
        <f>F12+'16'!H12</f>
        <v>137.76</v>
      </c>
      <c r="I12" s="77">
        <f>'Mines (2)'!S19</f>
        <v>0</v>
      </c>
      <c r="J12" s="74">
        <f>I12+'16'!J12</f>
        <v>191</v>
      </c>
      <c r="K12" s="74">
        <f>I12+'16'!K12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31370.19392770157</v>
      </c>
      <c r="F13" s="127">
        <f t="shared" si="2"/>
        <v>2825.9800000000005</v>
      </c>
      <c r="G13" s="127">
        <f t="shared" si="2"/>
        <v>53777.119999999995</v>
      </c>
      <c r="H13" s="127">
        <f t="shared" si="2"/>
        <v>120321.74</v>
      </c>
      <c r="I13" s="127">
        <f t="shared" si="2"/>
        <v>2666</v>
      </c>
      <c r="J13" s="127">
        <f t="shared" si="2"/>
        <v>35218</v>
      </c>
      <c r="K13" s="127">
        <f t="shared" si="2"/>
        <v>104618</v>
      </c>
      <c r="L13" s="127">
        <f t="shared" si="0"/>
        <v>31530.173927701573</v>
      </c>
      <c r="M13" s="128">
        <f>SUM(M9:M12)</f>
        <v>2666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Clinker!EB19</f>
        <v>5247.6769999999906</v>
      </c>
      <c r="F14" s="77">
        <f>Clinker!EC19</f>
        <v>0</v>
      </c>
      <c r="G14" s="77">
        <f>F14+'16'!G14</f>
        <v>0</v>
      </c>
      <c r="H14" s="77">
        <f>F14+'16'!H14</f>
        <v>181.5</v>
      </c>
      <c r="I14" s="77">
        <f>Clinker!ED19</f>
        <v>285</v>
      </c>
      <c r="J14" s="77">
        <f>I14+'16'!J14</f>
        <v>3817.79</v>
      </c>
      <c r="K14" s="77">
        <f>I14+'16'!K14</f>
        <v>10654.09</v>
      </c>
      <c r="L14" s="77">
        <f>E14+F14-Clinker!N19-Clinker!Z19-Clinker!AS19-Clinker!AX19-Clinker!BC19-Clinker!BW19-Clinker!BH19-Clinker!BM19-Clinker!BR19-Clinker!CV19-Clinker!DP19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  <c r="U14" s="83"/>
    </row>
    <row r="15" spans="2:21" x14ac:dyDescent="0.25">
      <c r="B15" s="763"/>
      <c r="C15" s="775"/>
      <c r="D15" s="80" t="s">
        <v>68</v>
      </c>
      <c r="E15" s="77">
        <f>Clinker!EF19</f>
        <v>8455.4999999999927</v>
      </c>
      <c r="F15" s="77">
        <f>Clinker!EG19</f>
        <v>0</v>
      </c>
      <c r="G15" s="77">
        <f>F15+'16'!G15</f>
        <v>1062.8</v>
      </c>
      <c r="H15" s="77">
        <f>F15+'16'!H15</f>
        <v>1217.8500000000001</v>
      </c>
      <c r="I15" s="77">
        <f>Clinker!EH19</f>
        <v>146</v>
      </c>
      <c r="J15" s="77">
        <f>I15+'16'!J15</f>
        <v>2224</v>
      </c>
      <c r="K15" s="77">
        <f>I15+'16'!K15</f>
        <v>6093</v>
      </c>
      <c r="L15" s="77">
        <f>E15+F15-Clinker!T19-Clinker!AE19-Clinker!AJ19-Clinker!CG19- Clinker!CQ19-Clinker!CG19-Clinker!DU19-Clinker!AI19</f>
        <v>8024.4999999999927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13703.176999999983</v>
      </c>
      <c r="F16" s="125">
        <f>F14+F15</f>
        <v>0</v>
      </c>
      <c r="G16" s="421">
        <f t="shared" ref="G16:K16" si="3">G14+G15</f>
        <v>1062.8</v>
      </c>
      <c r="H16" s="125">
        <f t="shared" si="3"/>
        <v>1399.3500000000001</v>
      </c>
      <c r="I16" s="125">
        <f>I14+I15</f>
        <v>431</v>
      </c>
      <c r="J16" s="125">
        <f>J14+J15</f>
        <v>6041.79</v>
      </c>
      <c r="K16" s="125">
        <f t="shared" si="3"/>
        <v>16747.09</v>
      </c>
      <c r="L16" s="125">
        <f t="shared" si="0"/>
        <v>13272.176999999983</v>
      </c>
      <c r="M16" s="126"/>
      <c r="N16" s="126"/>
      <c r="O16" s="787"/>
      <c r="P16" s="53"/>
      <c r="Q16" s="131"/>
      <c r="R16" s="83"/>
      <c r="S16" s="83"/>
    </row>
    <row r="17" spans="2:21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  <c r="U17" s="177"/>
    </row>
    <row r="18" spans="2:21" x14ac:dyDescent="0.25">
      <c r="B18" s="763">
        <v>7</v>
      </c>
      <c r="C18" s="691" t="s">
        <v>247</v>
      </c>
      <c r="D18" s="85" t="s">
        <v>248</v>
      </c>
      <c r="E18" s="74">
        <f>Clinker!EJ19</f>
        <v>26278.323085106753</v>
      </c>
      <c r="F18" s="74">
        <f>Clinker!EK19</f>
        <v>1660</v>
      </c>
      <c r="G18" s="74">
        <f>F18+'16'!G18</f>
        <v>20724</v>
      </c>
      <c r="H18" s="74">
        <f>F18+'16'!H18</f>
        <v>61224</v>
      </c>
      <c r="I18" s="74">
        <f>Clinker!EL19</f>
        <v>1122.7000000000003</v>
      </c>
      <c r="J18" s="74">
        <f>I18+'16'!J18</f>
        <v>18828.037002633708</v>
      </c>
      <c r="K18" s="74">
        <f>I18+'16'!K18</f>
        <v>37689.917014519975</v>
      </c>
      <c r="L18" s="74">
        <f>E18+F18-I18-I20</f>
        <v>26815.623085106752</v>
      </c>
      <c r="M18" s="783">
        <f>((I18+I19)/(J40+J46))*100</f>
        <v>71.967948717948744</v>
      </c>
      <c r="N18" s="765"/>
      <c r="O18" s="767"/>
      <c r="P18" s="769"/>
      <c r="Q18" s="770"/>
      <c r="R18" s="20"/>
      <c r="S18" s="20"/>
    </row>
    <row r="19" spans="2:21" ht="29.25" customHeight="1" x14ac:dyDescent="0.25">
      <c r="B19" s="763"/>
      <c r="C19" s="691"/>
      <c r="D19" s="85" t="s">
        <v>75</v>
      </c>
      <c r="E19" s="74">
        <f>Clinker!EO19</f>
        <v>5306.1090080001359</v>
      </c>
      <c r="F19" s="74">
        <f>Clinker!EP19</f>
        <v>0</v>
      </c>
      <c r="G19" s="74">
        <f>F19+'16'!G19</f>
        <v>150.78</v>
      </c>
      <c r="H19" s="74">
        <f>F19+'16'!H19</f>
        <v>13390.660000000003</v>
      </c>
      <c r="I19" s="74">
        <f>Clinker!EQ19</f>
        <v>0</v>
      </c>
      <c r="J19" s="74">
        <f>I19+'16'!J19</f>
        <v>0</v>
      </c>
      <c r="K19" s="74">
        <f>I19+'16'!K19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20"/>
      <c r="S19" s="20"/>
    </row>
    <row r="20" spans="2:21" ht="30" customHeight="1" x14ac:dyDescent="0.25">
      <c r="B20" s="763"/>
      <c r="C20" s="764"/>
      <c r="D20" s="86" t="s">
        <v>249</v>
      </c>
      <c r="E20" s="77"/>
      <c r="F20" s="77">
        <f>Clinker!EN19</f>
        <v>0</v>
      </c>
      <c r="G20" s="74">
        <f>F20+'16'!G20</f>
        <v>0</v>
      </c>
      <c r="H20" s="74">
        <f>F20+'16'!H20</f>
        <v>0</v>
      </c>
      <c r="I20" s="77">
        <f>Clinker!EN19</f>
        <v>0</v>
      </c>
      <c r="J20" s="74">
        <f>I20+'16'!J20</f>
        <v>0</v>
      </c>
      <c r="K20" s="74">
        <f>I20+'16'!K20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21" ht="30" x14ac:dyDescent="0.25">
      <c r="B21" s="89"/>
      <c r="C21" s="423" t="s">
        <v>242</v>
      </c>
      <c r="D21" s="423"/>
      <c r="E21" s="77"/>
      <c r="F21" s="77"/>
      <c r="G21" s="74"/>
      <c r="H21" s="74"/>
      <c r="I21" s="77">
        <f>Cement!S19</f>
        <v>399.22222222222206</v>
      </c>
      <c r="J21" s="74">
        <f>I21+'16'!J21</f>
        <v>5135.7999991422603</v>
      </c>
      <c r="K21" s="74">
        <f>I21+'16'!K21</f>
        <v>13767.619991704496</v>
      </c>
      <c r="L21" s="74"/>
      <c r="M21" s="78">
        <f>(I21/(J40+J46))*100</f>
        <v>25.591168091168083</v>
      </c>
      <c r="N21" s="78"/>
      <c r="O21" s="767"/>
      <c r="P21" s="87">
        <v>10</v>
      </c>
      <c r="Q21" s="773"/>
      <c r="R21" s="20"/>
      <c r="S21" s="20"/>
    </row>
    <row r="22" spans="2:21" x14ac:dyDescent="0.25">
      <c r="B22" s="89">
        <v>9</v>
      </c>
      <c r="C22" s="775" t="s">
        <v>250</v>
      </c>
      <c r="D22" s="775"/>
      <c r="E22" s="77">
        <f>Cement!C19</f>
        <v>5927.7184866104917</v>
      </c>
      <c r="F22" s="77">
        <f>Cement!D19</f>
        <v>0</v>
      </c>
      <c r="G22" s="74">
        <f>F22+'16'!G22</f>
        <v>62.5</v>
      </c>
      <c r="H22" s="74">
        <f>F22+'16'!H22</f>
        <v>2033.4</v>
      </c>
      <c r="I22" s="77">
        <f>Cement!F19</f>
        <v>82.10526315789474</v>
      </c>
      <c r="J22" s="74">
        <f>I22+'16'!J22</f>
        <v>1293.9668401456843</v>
      </c>
      <c r="K22" s="74">
        <f>I22+'16'!K22</f>
        <v>3633.1668356971832</v>
      </c>
      <c r="L22" s="74">
        <f t="shared" ref="L22:L24" si="4">E22+F22-I22</f>
        <v>5845.6132234525967</v>
      </c>
      <c r="M22" s="78">
        <f>(I22/(J40+J46))*100</f>
        <v>5.2631578947368425</v>
      </c>
      <c r="N22" s="78"/>
      <c r="O22" s="767"/>
      <c r="P22" s="87">
        <v>5</v>
      </c>
      <c r="Q22" s="774"/>
      <c r="R22" s="20"/>
      <c r="S22" s="20"/>
    </row>
    <row r="23" spans="2:21" x14ac:dyDescent="0.25">
      <c r="B23" s="763">
        <v>10</v>
      </c>
      <c r="C23" s="690" t="s">
        <v>251</v>
      </c>
      <c r="D23" s="76" t="s">
        <v>252</v>
      </c>
      <c r="E23" s="77">
        <f>Cement!H19</f>
        <v>0.23999999999796273</v>
      </c>
      <c r="F23" s="77">
        <f>Cement!I19</f>
        <v>0</v>
      </c>
      <c r="G23" s="74">
        <f>F23+'16'!G23</f>
        <v>0</v>
      </c>
      <c r="H23" s="74">
        <f>F23+'16'!H23</f>
        <v>0</v>
      </c>
      <c r="I23" s="77">
        <f>Cement!J19</f>
        <v>0</v>
      </c>
      <c r="J23" s="74">
        <f>I23+'16'!J23</f>
        <v>0</v>
      </c>
      <c r="K23" s="74">
        <f>I23+'16'!K23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21" x14ac:dyDescent="0.25">
      <c r="B24" s="763"/>
      <c r="C24" s="764"/>
      <c r="D24" s="76" t="s">
        <v>253</v>
      </c>
      <c r="E24" s="77">
        <f>Cement!L19</f>
        <v>0</v>
      </c>
      <c r="F24" s="77">
        <f>Cement!M19</f>
        <v>0</v>
      </c>
      <c r="G24" s="74">
        <f>F24+'16'!G24</f>
        <v>0</v>
      </c>
      <c r="H24" s="74">
        <f>F24+'16'!H24</f>
        <v>0</v>
      </c>
      <c r="I24" s="77">
        <f>Cement!N19</f>
        <v>0</v>
      </c>
      <c r="J24" s="74">
        <f>I24+'16'!J24</f>
        <v>0</v>
      </c>
      <c r="K24" s="74">
        <f>I24+'16'!K24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21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37512.390579717379</v>
      </c>
      <c r="F25" s="122">
        <f t="shared" ref="F25:L25" si="5">F18+F19+F21+F22+F23+F24</f>
        <v>1660</v>
      </c>
      <c r="G25" s="122">
        <f t="shared" si="5"/>
        <v>20937.28</v>
      </c>
      <c r="H25" s="122">
        <f t="shared" si="5"/>
        <v>76648.06</v>
      </c>
      <c r="I25" s="122">
        <f t="shared" si="5"/>
        <v>1604.0274853801172</v>
      </c>
      <c r="J25" s="122">
        <f t="shared" si="5"/>
        <v>25257.80384192165</v>
      </c>
      <c r="K25" s="122">
        <f t="shared" si="5"/>
        <v>72024.803841921646</v>
      </c>
      <c r="L25" s="122">
        <f t="shared" si="5"/>
        <v>37967.585316559482</v>
      </c>
      <c r="M25" s="782"/>
      <c r="N25" s="782"/>
      <c r="O25" s="768"/>
      <c r="P25" s="779"/>
      <c r="Q25" s="780"/>
      <c r="R25" s="83"/>
      <c r="S25" s="83"/>
    </row>
    <row r="26" spans="2:21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21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21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21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21" x14ac:dyDescent="0.25">
      <c r="B30" s="91">
        <v>1</v>
      </c>
      <c r="C30" s="699" t="s">
        <v>261</v>
      </c>
      <c r="D30" s="700"/>
      <c r="E30" s="92">
        <v>250</v>
      </c>
      <c r="F30" s="75">
        <f>Production2!C19</f>
        <v>17.53</v>
      </c>
      <c r="G30" s="75">
        <f>F30+'16'!G30</f>
        <v>289.49</v>
      </c>
      <c r="H30" s="75">
        <f>F30+'16'!H30</f>
        <v>721.97000000000014</v>
      </c>
      <c r="I30" s="74">
        <f>'Mines (2)'!C19+'Mines (2)'!H19+'Mines (2)'!V19+'Mines (2)'!Z19+'Mines (2)'!AD19</f>
        <v>25025.733927701567</v>
      </c>
      <c r="J30" s="74">
        <f>Production2!D19</f>
        <v>2788.1400000000003</v>
      </c>
      <c r="K30" s="74">
        <f>J30+'16'!K30</f>
        <v>50511.7</v>
      </c>
      <c r="L30" s="74">
        <f>J30+'16'!L30</f>
        <v>115497.40000000001</v>
      </c>
      <c r="M30" s="74">
        <f>I9+I21</f>
        <v>2944.2222222222222</v>
      </c>
      <c r="N30" s="75">
        <f>M30+'16'!N30</f>
        <v>38213.799999142255</v>
      </c>
      <c r="O30" s="74">
        <f>M30+'16'!O30</f>
        <v>113732.61999170453</v>
      </c>
      <c r="P30" s="74">
        <f>I30+J30-M30</f>
        <v>24869.651705479344</v>
      </c>
      <c r="Q30" s="93">
        <f>J30/F30</f>
        <v>159.04962920707359</v>
      </c>
      <c r="R30" s="94"/>
      <c r="S30" s="94"/>
    </row>
    <row r="31" spans="2:21" x14ac:dyDescent="0.25">
      <c r="B31" s="79">
        <v>2</v>
      </c>
      <c r="C31" s="725" t="s">
        <v>290</v>
      </c>
      <c r="D31" s="726"/>
      <c r="E31" s="95">
        <v>120</v>
      </c>
      <c r="F31" s="78">
        <f>Production2!G19</f>
        <v>18.600000000000001</v>
      </c>
      <c r="G31" s="75">
        <f>F31+'16'!G31</f>
        <v>279.5</v>
      </c>
      <c r="H31" s="75">
        <f>F31+'16'!H31</f>
        <v>772.71999999999991</v>
      </c>
      <c r="I31" s="724">
        <f>Production2!H19</f>
        <v>1488.8100168375199</v>
      </c>
      <c r="J31" s="78">
        <f>Production2!N19</f>
        <v>2306</v>
      </c>
      <c r="K31" s="74">
        <f>J31+'16'!K31</f>
        <v>31140.530000000006</v>
      </c>
      <c r="L31" s="74">
        <f>J31+'16'!L31</f>
        <v>89997.680000000022</v>
      </c>
      <c r="M31" s="724">
        <f>Production2!K19</f>
        <v>2573</v>
      </c>
      <c r="N31" s="724">
        <f>M31+'16'!N31</f>
        <v>32122.2</v>
      </c>
      <c r="O31" s="724">
        <f>M31+'16'!O31</f>
        <v>94897.2</v>
      </c>
      <c r="P31" s="724">
        <f>I31+J31+J32-M31</f>
        <v>1316.5900168375201</v>
      </c>
      <c r="Q31" s="96">
        <f t="shared" ref="Q31:Q46" si="6">J31/F31</f>
        <v>123.97849462365591</v>
      </c>
      <c r="R31" s="94"/>
      <c r="S31" s="94"/>
    </row>
    <row r="32" spans="2:21" x14ac:dyDescent="0.25">
      <c r="B32" s="91">
        <v>3</v>
      </c>
      <c r="C32" s="725" t="s">
        <v>263</v>
      </c>
      <c r="D32" s="726"/>
      <c r="E32" s="95">
        <v>20</v>
      </c>
      <c r="F32" s="78">
        <f>Production2!P19</f>
        <v>11.88</v>
      </c>
      <c r="G32" s="75">
        <f>F32+'16'!G32</f>
        <v>69.64</v>
      </c>
      <c r="H32" s="75">
        <f>F32+'16'!H32</f>
        <v>475.92999999999995</v>
      </c>
      <c r="I32" s="712"/>
      <c r="J32" s="78">
        <f>Production2!Q19</f>
        <v>94.78</v>
      </c>
      <c r="K32" s="74">
        <f>J32+'16'!K32</f>
        <v>580.14</v>
      </c>
      <c r="L32" s="74">
        <f>J32+'16'!L32</f>
        <v>4222.3799999999992</v>
      </c>
      <c r="M32" s="712"/>
      <c r="N32" s="712"/>
      <c r="O32" s="712"/>
      <c r="P32" s="712"/>
      <c r="Q32" s="96">
        <f>J32/F32</f>
        <v>7.9781144781144775</v>
      </c>
      <c r="R32" s="94"/>
      <c r="S32" s="94"/>
    </row>
    <row r="33" spans="2:21" x14ac:dyDescent="0.25">
      <c r="B33" s="91">
        <v>4</v>
      </c>
      <c r="C33" s="725" t="s">
        <v>145</v>
      </c>
      <c r="D33" s="726"/>
      <c r="E33" s="95">
        <v>10</v>
      </c>
      <c r="F33" s="78">
        <f>Production2!S19</f>
        <v>19</v>
      </c>
      <c r="G33" s="75">
        <f>F33+'16'!G33</f>
        <v>254.99</v>
      </c>
      <c r="H33" s="75">
        <f>F33+'16'!H33</f>
        <v>701.36000000000013</v>
      </c>
      <c r="I33" s="77">
        <f>Production2!T19</f>
        <v>26.709999999999866</v>
      </c>
      <c r="J33" s="77">
        <f>Production2!U19</f>
        <v>256.5</v>
      </c>
      <c r="K33" s="74">
        <f>J33+'16'!K33</f>
        <v>3436</v>
      </c>
      <c r="L33" s="74">
        <f>J33+'16'!L33</f>
        <v>9588.7000000000007</v>
      </c>
      <c r="M33" s="77">
        <f>Production2!V19</f>
        <v>254</v>
      </c>
      <c r="N33" s="74">
        <f>M33+'16'!N33</f>
        <v>3447</v>
      </c>
      <c r="O33" s="74">
        <f>M33+'16'!O33</f>
        <v>9575</v>
      </c>
      <c r="P33" s="74">
        <f>I33+J33-M33</f>
        <v>29.209999999999866</v>
      </c>
      <c r="Q33" s="96">
        <f t="shared" si="6"/>
        <v>13.5</v>
      </c>
      <c r="R33" s="94"/>
      <c r="S33" s="94"/>
    </row>
    <row r="34" spans="2:21" x14ac:dyDescent="0.25">
      <c r="B34" s="79">
        <v>5</v>
      </c>
      <c r="C34" s="725" t="s">
        <v>69</v>
      </c>
      <c r="D34" s="726"/>
      <c r="E34" s="95">
        <v>50</v>
      </c>
      <c r="F34" s="78">
        <f>Production2!Y19</f>
        <v>24</v>
      </c>
      <c r="G34" s="75">
        <f>F34+'16'!G34</f>
        <v>368.96999999999997</v>
      </c>
      <c r="H34" s="75">
        <f>F34+'16'!H34</f>
        <v>987.24000000000012</v>
      </c>
      <c r="I34" s="77">
        <f>Clinker!EJ19</f>
        <v>26278.323085106753</v>
      </c>
      <c r="J34" s="77">
        <f>Clinker!EK19</f>
        <v>1660</v>
      </c>
      <c r="K34" s="74">
        <f>J34+'16'!K34</f>
        <v>20724</v>
      </c>
      <c r="L34" s="74">
        <f>J34+'16'!L34</f>
        <v>61224</v>
      </c>
      <c r="M34" s="77">
        <f>Clinker!EL19</f>
        <v>1122.7000000000003</v>
      </c>
      <c r="N34" s="74">
        <f>M34+'16'!N34</f>
        <v>18828.037002633708</v>
      </c>
      <c r="O34" s="74">
        <f>M34+'16'!O34</f>
        <v>37689.917014519975</v>
      </c>
      <c r="P34" s="74">
        <f>I34+J34-M34-I20</f>
        <v>26815.623085106752</v>
      </c>
      <c r="Q34" s="96">
        <f t="shared" si="6"/>
        <v>69.166666666666671</v>
      </c>
      <c r="R34" s="94"/>
      <c r="S34" s="94"/>
    </row>
    <row r="35" spans="2:21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Production2!AE19</f>
        <v>6.7</v>
      </c>
      <c r="G35" s="75">
        <f>F35+'16'!G35</f>
        <v>13.5</v>
      </c>
      <c r="H35" s="75">
        <f>F35+'16'!H35</f>
        <v>22.5</v>
      </c>
      <c r="I35" s="77">
        <f>Production2!BJ19</f>
        <v>263.29999999999995</v>
      </c>
      <c r="J35" s="77">
        <f>Production2!AF19</f>
        <v>450</v>
      </c>
      <c r="K35" s="74">
        <f>J35+'16'!K35</f>
        <v>850</v>
      </c>
      <c r="L35" s="74">
        <f>J35+'16'!L35</f>
        <v>1424</v>
      </c>
      <c r="M35" s="77">
        <f>Production2!BL19</f>
        <v>372</v>
      </c>
      <c r="N35" s="74">
        <f>M35+'16'!N35</f>
        <v>1520.5</v>
      </c>
      <c r="O35" s="74">
        <f>M35+'16'!O35</f>
        <v>3915</v>
      </c>
      <c r="P35" s="74">
        <f>I35+J35+J41-M35-F59</f>
        <v>341.29999999999995</v>
      </c>
      <c r="Q35" s="96">
        <f t="shared" si="6"/>
        <v>67.164179104477611</v>
      </c>
      <c r="R35" s="94"/>
      <c r="S35" s="94"/>
    </row>
    <row r="36" spans="2:21" x14ac:dyDescent="0.25">
      <c r="B36" s="688"/>
      <c r="C36" s="691"/>
      <c r="D36" s="80" t="s">
        <v>266</v>
      </c>
      <c r="E36" s="97">
        <v>78</v>
      </c>
      <c r="F36" s="78">
        <f>Production2!AB19</f>
        <v>11.1</v>
      </c>
      <c r="G36" s="75">
        <f>F36+'16'!G36</f>
        <v>145.66999999999999</v>
      </c>
      <c r="H36" s="75">
        <f>F36+'16'!H36</f>
        <v>352</v>
      </c>
      <c r="I36" s="77">
        <f>Production2!BF19</f>
        <v>2737.9279999999794</v>
      </c>
      <c r="J36" s="77">
        <f>Production2!AC19</f>
        <v>710</v>
      </c>
      <c r="K36" s="74">
        <f>J36+'16'!K36</f>
        <v>8861</v>
      </c>
      <c r="L36" s="74">
        <f>J36+'16'!L36</f>
        <v>21290</v>
      </c>
      <c r="M36" s="77">
        <f>Production2!BH19</f>
        <v>829.23</v>
      </c>
      <c r="N36" s="74">
        <f>M36+'16'!N36</f>
        <v>19396.589999999997</v>
      </c>
      <c r="O36" s="74">
        <f>M36+'16'!O36</f>
        <v>54564.860000000008</v>
      </c>
      <c r="P36" s="74">
        <f>I36+J36+J42-M36-F57</f>
        <v>2618.6979999999794</v>
      </c>
      <c r="Q36" s="96">
        <f t="shared" si="6"/>
        <v>63.963963963963963</v>
      </c>
      <c r="R36" s="94"/>
      <c r="S36" s="94"/>
    </row>
    <row r="37" spans="2:21" x14ac:dyDescent="0.25">
      <c r="B37" s="688"/>
      <c r="C37" s="691"/>
      <c r="D37" s="80" t="s">
        <v>267</v>
      </c>
      <c r="E37" s="97">
        <v>78</v>
      </c>
      <c r="F37" s="78">
        <f>Production2!AH19</f>
        <v>0</v>
      </c>
      <c r="G37" s="75">
        <f>F37+'16'!G37</f>
        <v>0</v>
      </c>
      <c r="H37" s="75">
        <f>F37+'16'!H37</f>
        <v>0</v>
      </c>
      <c r="I37" s="77">
        <f>Production2!BN19</f>
        <v>9.0000000000849845E-2</v>
      </c>
      <c r="J37" s="77">
        <f>Production2!AI19</f>
        <v>0</v>
      </c>
      <c r="K37" s="74">
        <f>J37+'16'!K37</f>
        <v>0</v>
      </c>
      <c r="L37" s="74">
        <f>J37+'16'!L37</f>
        <v>0</v>
      </c>
      <c r="M37" s="77">
        <f>Production2!BP19</f>
        <v>0</v>
      </c>
      <c r="N37" s="74">
        <f>M37+'16'!N37</f>
        <v>0</v>
      </c>
      <c r="O37" s="74">
        <f>M37+'16'!O37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21" x14ac:dyDescent="0.25">
      <c r="B38" s="688"/>
      <c r="C38" s="691"/>
      <c r="D38" s="194" t="s">
        <v>175</v>
      </c>
      <c r="E38" s="97">
        <v>65</v>
      </c>
      <c r="F38" s="84">
        <f>Production2!AK19</f>
        <v>0</v>
      </c>
      <c r="G38" s="75">
        <f>F38+'16'!G38</f>
        <v>3</v>
      </c>
      <c r="H38" s="75">
        <f>F38+'16'!H38</f>
        <v>3</v>
      </c>
      <c r="I38" s="195">
        <f>Production2!BR19</f>
        <v>173.3</v>
      </c>
      <c r="J38" s="195">
        <f>Production2!AL19</f>
        <v>0</v>
      </c>
      <c r="K38" s="74">
        <f>J38+'16'!K38</f>
        <v>180</v>
      </c>
      <c r="L38" s="74">
        <f>J38+'16'!L38</f>
        <v>180</v>
      </c>
      <c r="M38" s="195">
        <f>Production2!BT19</f>
        <v>30</v>
      </c>
      <c r="N38" s="74">
        <f>M38+'16'!N38</f>
        <v>500</v>
      </c>
      <c r="O38" s="74">
        <f>M38+'16'!O38</f>
        <v>2347</v>
      </c>
      <c r="P38" s="74">
        <f>I38+J38+J44-M38-F60</f>
        <v>143.30000000000001</v>
      </c>
      <c r="Q38" s="96" t="e">
        <f t="shared" si="6"/>
        <v>#DIV/0!</v>
      </c>
      <c r="R38" s="94"/>
      <c r="S38" s="94"/>
    </row>
    <row r="39" spans="2:21" x14ac:dyDescent="0.25">
      <c r="B39" s="688"/>
      <c r="C39" s="691"/>
      <c r="D39" s="517" t="s">
        <v>304</v>
      </c>
      <c r="E39" s="521">
        <v>78</v>
      </c>
      <c r="F39" s="519">
        <f>Production2!AN19</f>
        <v>6.2</v>
      </c>
      <c r="G39" s="520">
        <f>F39+'16'!G39</f>
        <v>32</v>
      </c>
      <c r="H39" s="520">
        <f>F39+'16'!H39</f>
        <v>72.650000000000006</v>
      </c>
      <c r="I39" s="516">
        <f>Production2!BV19</f>
        <v>244.85000000000002</v>
      </c>
      <c r="J39" s="516">
        <f>Production2!AO19</f>
        <v>400</v>
      </c>
      <c r="K39" s="513">
        <f>J39+'16'!K39</f>
        <v>1915</v>
      </c>
      <c r="L39" s="513">
        <f>J39+'16'!L39</f>
        <v>4447</v>
      </c>
      <c r="M39" s="77">
        <f>Production2!BX19</f>
        <v>269.68</v>
      </c>
      <c r="N39" s="513">
        <f>M39+'16'!N39</f>
        <v>3934.6599999999994</v>
      </c>
      <c r="O39" s="513">
        <f>M39+'16'!O39</f>
        <v>9356.5400000000009</v>
      </c>
      <c r="P39" s="513">
        <f>I39+J39+J45-M39</f>
        <v>375.17</v>
      </c>
      <c r="Q39" s="96">
        <f t="shared" si="6"/>
        <v>64.516129032258064</v>
      </c>
      <c r="R39" s="94"/>
      <c r="S39" s="94"/>
      <c r="T39" s="176"/>
      <c r="U39" s="176"/>
    </row>
    <row r="40" spans="2:21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24</v>
      </c>
      <c r="G40" s="132">
        <f t="shared" ref="G40:H40" si="7">G35+G36+G37+G38+G39</f>
        <v>194.17</v>
      </c>
      <c r="H40" s="132">
        <f t="shared" si="7"/>
        <v>450.15</v>
      </c>
      <c r="I40" s="122">
        <f>SUM(I35:I38)+I39</f>
        <v>3419.4679999999803</v>
      </c>
      <c r="J40" s="518">
        <f t="shared" ref="J40:P40" si="8">SUM(J35:J38)+J39</f>
        <v>1560</v>
      </c>
      <c r="K40" s="518">
        <f t="shared" si="8"/>
        <v>11806</v>
      </c>
      <c r="L40" s="518">
        <f t="shared" si="8"/>
        <v>27341</v>
      </c>
      <c r="M40" s="518">
        <f t="shared" si="8"/>
        <v>1500.91</v>
      </c>
      <c r="N40" s="518">
        <f t="shared" si="8"/>
        <v>25351.749999999996</v>
      </c>
      <c r="O40" s="518">
        <f t="shared" si="8"/>
        <v>70183.25</v>
      </c>
      <c r="P40" s="518">
        <f t="shared" si="8"/>
        <v>3478.5579999999809</v>
      </c>
      <c r="Q40" s="123">
        <f t="shared" si="6"/>
        <v>65</v>
      </c>
      <c r="R40" s="94"/>
      <c r="S40" s="94"/>
    </row>
    <row r="41" spans="2:21" x14ac:dyDescent="0.25">
      <c r="B41" s="687">
        <v>7</v>
      </c>
      <c r="C41" s="690" t="s">
        <v>268</v>
      </c>
      <c r="D41" s="80" t="s">
        <v>265</v>
      </c>
      <c r="E41" s="97">
        <v>75</v>
      </c>
      <c r="F41" s="78">
        <f>Production2!AT19</f>
        <v>0</v>
      </c>
      <c r="G41" s="75">
        <f>F41+'16'!G41</f>
        <v>10.129999999999999</v>
      </c>
      <c r="H41" s="75">
        <f>F41+'16'!H41</f>
        <v>43.23</v>
      </c>
      <c r="I41" s="710"/>
      <c r="J41" s="77">
        <f>Production2!AU19</f>
        <v>0</v>
      </c>
      <c r="K41" s="74">
        <f>J41+'16'!K41</f>
        <v>600</v>
      </c>
      <c r="L41" s="74">
        <f>J41+'16'!L41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21" x14ac:dyDescent="0.25">
      <c r="B42" s="688"/>
      <c r="C42" s="691"/>
      <c r="D42" s="80" t="s">
        <v>266</v>
      </c>
      <c r="E42" s="97">
        <v>70</v>
      </c>
      <c r="F42" s="78">
        <f>Production2!AQ19</f>
        <v>0</v>
      </c>
      <c r="G42" s="75">
        <f>F42+'16'!G42</f>
        <v>182.93</v>
      </c>
      <c r="H42" s="75">
        <f>F42+'16'!H42</f>
        <v>598.92999999999995</v>
      </c>
      <c r="I42" s="711"/>
      <c r="J42" s="77">
        <f>Production2!AR19</f>
        <v>0</v>
      </c>
      <c r="K42" s="74">
        <f>J42+'16'!K42</f>
        <v>10475</v>
      </c>
      <c r="L42" s="74">
        <f>J42+'16'!L42</f>
        <v>34615</v>
      </c>
      <c r="M42" s="716"/>
      <c r="N42" s="867"/>
      <c r="O42" s="867"/>
      <c r="P42" s="718"/>
      <c r="Q42" s="96" t="e">
        <f t="shared" si="6"/>
        <v>#DIV/0!</v>
      </c>
      <c r="R42" s="94"/>
      <c r="S42" s="94"/>
    </row>
    <row r="43" spans="2:21" x14ac:dyDescent="0.25">
      <c r="B43" s="688"/>
      <c r="C43" s="691"/>
      <c r="D43" s="80" t="s">
        <v>267</v>
      </c>
      <c r="E43" s="97">
        <v>70</v>
      </c>
      <c r="F43" s="78">
        <f>Production2!AW19</f>
        <v>0</v>
      </c>
      <c r="G43" s="75">
        <f>F43+'16'!G43</f>
        <v>0</v>
      </c>
      <c r="H43" s="75">
        <f>F43+'16'!H43</f>
        <v>0</v>
      </c>
      <c r="I43" s="711"/>
      <c r="J43" s="77">
        <f>Production2!AX19</f>
        <v>0</v>
      </c>
      <c r="K43" s="74">
        <f>J43+'16'!K43</f>
        <v>0</v>
      </c>
      <c r="L43" s="74">
        <f>J43+'16'!L43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21" x14ac:dyDescent="0.25">
      <c r="B44" s="688"/>
      <c r="C44" s="691"/>
      <c r="D44" s="194" t="s">
        <v>175</v>
      </c>
      <c r="E44" s="97">
        <v>60</v>
      </c>
      <c r="F44" s="84">
        <f>Production2!AZ19</f>
        <v>0</v>
      </c>
      <c r="G44" s="520">
        <f>F44+'16'!G44</f>
        <v>5</v>
      </c>
      <c r="H44" s="520">
        <f>F44+'16'!H44</f>
        <v>37.880000000000003</v>
      </c>
      <c r="I44" s="711"/>
      <c r="J44" s="195">
        <f>Production2!BA19</f>
        <v>0</v>
      </c>
      <c r="K44" s="74">
        <f>J44+'16'!K44</f>
        <v>277</v>
      </c>
      <c r="L44" s="74">
        <f>J44+'16'!L44</f>
        <v>2097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21" x14ac:dyDescent="0.25">
      <c r="B45" s="688"/>
      <c r="C45" s="691"/>
      <c r="D45" s="517" t="s">
        <v>304</v>
      </c>
      <c r="E45" s="521">
        <v>70</v>
      </c>
      <c r="F45" s="519">
        <f>Production2!BC19</f>
        <v>0</v>
      </c>
      <c r="G45" s="520">
        <f>F45+'16'!G45</f>
        <v>27.119999999999997</v>
      </c>
      <c r="H45" s="520">
        <f>F45+'16'!H45</f>
        <v>82.09</v>
      </c>
      <c r="I45" s="712"/>
      <c r="J45" s="516">
        <f>Production2!BD19</f>
        <v>0</v>
      </c>
      <c r="K45" s="513">
        <f>J45+'16'!K45</f>
        <v>1639</v>
      </c>
      <c r="L45" s="513">
        <f>J45+'16'!L45</f>
        <v>4911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21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0</v>
      </c>
      <c r="G46" s="132">
        <f t="shared" ref="G46:H46" si="9">G41+G42+G43+G44+G45</f>
        <v>225.18</v>
      </c>
      <c r="H46" s="132">
        <f t="shared" si="9"/>
        <v>762.13</v>
      </c>
      <c r="I46" s="122">
        <f t="shared" ref="I46" si="10">I41+I42+I43+I44</f>
        <v>0</v>
      </c>
      <c r="J46" s="122">
        <f>J41+J42+J43+J44+J45</f>
        <v>0</v>
      </c>
      <c r="K46" s="518">
        <f t="shared" ref="K46:L46" si="11">K41+K42+K43+K44+K45</f>
        <v>12991</v>
      </c>
      <c r="L46" s="518">
        <f t="shared" si="11"/>
        <v>44223</v>
      </c>
      <c r="M46" s="873"/>
      <c r="N46" s="874"/>
      <c r="O46" s="874"/>
      <c r="P46" s="875"/>
      <c r="Q46" s="123" t="e">
        <f t="shared" si="6"/>
        <v>#DIV/0!</v>
      </c>
      <c r="R46" s="94"/>
      <c r="S46" s="94"/>
    </row>
    <row r="47" spans="2:21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21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0.96838752716864995</v>
      </c>
      <c r="F50" s="99">
        <f>F53/(J31+J32)</f>
        <v>22.6176492639892</v>
      </c>
      <c r="G50" s="99">
        <f>G53/J32</f>
        <v>0</v>
      </c>
      <c r="H50" s="99">
        <f>H53/J34</f>
        <v>32.943373493975905</v>
      </c>
      <c r="I50" s="99">
        <f>I53/J33</f>
        <v>54.541910331384017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15.301204819277109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1.4846664196651893</v>
      </c>
      <c r="F51" s="102">
        <f>F50*1.55</f>
        <v>35.05735635918326</v>
      </c>
      <c r="G51" s="102">
        <f>G50*1.55</f>
        <v>0</v>
      </c>
      <c r="H51" s="102">
        <f>H50</f>
        <v>32.943373493975905</v>
      </c>
      <c r="I51" s="102">
        <f>I50*(Q50/100)</f>
        <v>8.34556941215153</v>
      </c>
      <c r="J51" s="102"/>
      <c r="K51" s="102"/>
      <c r="L51" s="102"/>
      <c r="M51" s="96"/>
      <c r="N51" s="307">
        <f>SUM(E51:I51)</f>
        <v>77.83096568497588</v>
      </c>
      <c r="O51" s="728" t="s">
        <v>277</v>
      </c>
      <c r="P51" s="728"/>
      <c r="Q51" s="104">
        <v>5350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1.0684839675372491</v>
      </c>
      <c r="F52" s="102">
        <f>F51*M18/100</f>
        <v>25.23006024644555</v>
      </c>
      <c r="G52" s="102">
        <f>G51*M18/100</f>
        <v>0</v>
      </c>
      <c r="H52" s="102">
        <f>H51*M18/100</f>
        <v>23.708670142106897</v>
      </c>
      <c r="I52" s="102">
        <f>I51*M18/100</f>
        <v>6.0061351147580293</v>
      </c>
      <c r="J52" s="99">
        <f>J53/(J40+J46)</f>
        <v>43.414743589743587</v>
      </c>
      <c r="K52" s="99">
        <f>K53/(J46+J40)</f>
        <v>1.1487179487179486</v>
      </c>
      <c r="L52" s="99">
        <f>L53/(M40)</f>
        <v>3.9915784424116034</v>
      </c>
      <c r="M52" s="96">
        <f>M53/(J46+J40)</f>
        <v>2.8403846153846155</v>
      </c>
      <c r="N52" s="307">
        <f>SUM(E52:M52)</f>
        <v>107.4087740671055</v>
      </c>
      <c r="O52" s="728" t="s">
        <v>279</v>
      </c>
      <c r="P52" s="728"/>
      <c r="Q52" s="104">
        <f>Q51*Q50/100</f>
        <v>818.61445783132524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unit'!B19</f>
        <v>2700</v>
      </c>
      <c r="F53" s="118">
        <f>'Daily unit'!C19</f>
        <v>54300</v>
      </c>
      <c r="G53" s="118">
        <f>'Daily unit'!D19</f>
        <v>0</v>
      </c>
      <c r="H53" s="118">
        <f>'Daily unit'!E19</f>
        <v>54686</v>
      </c>
      <c r="I53" s="118">
        <f>'Daily unit'!F19</f>
        <v>13990</v>
      </c>
      <c r="J53" s="118">
        <f>'Daily unit'!G19</f>
        <v>67727</v>
      </c>
      <c r="K53" s="118">
        <f>'Daily unit'!H19</f>
        <v>1792</v>
      </c>
      <c r="L53" s="118">
        <f>'Daily unit'!I19</f>
        <v>5991</v>
      </c>
      <c r="M53" s="119">
        <f>'Daily unit'!J19</f>
        <v>4431</v>
      </c>
      <c r="N53" s="318">
        <f>SUM(E53:M53)</f>
        <v>205617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7"/>
      <c r="D55" s="707"/>
      <c r="E55" s="707"/>
      <c r="F55" s="707"/>
      <c r="G55" s="707"/>
      <c r="H55" s="879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thickBot="1" x14ac:dyDescent="0.3">
      <c r="B56" s="227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224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753">
        <v>1</v>
      </c>
      <c r="C57" s="766" t="s">
        <v>285</v>
      </c>
      <c r="D57" s="766"/>
      <c r="E57" s="80">
        <v>42.5</v>
      </c>
      <c r="F57" s="53">
        <f>'Internal use cement'!F19</f>
        <v>0</v>
      </c>
      <c r="G57" s="53">
        <f>F57+'16'!G57</f>
        <v>0</v>
      </c>
      <c r="H57" s="104">
        <f>F57+'16'!H57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839"/>
      <c r="C58" s="766"/>
      <c r="D58" s="766"/>
      <c r="E58" s="80" t="s">
        <v>195</v>
      </c>
      <c r="F58" s="53">
        <f>'Internal use cement'!Q19</f>
        <v>0</v>
      </c>
      <c r="G58" s="53">
        <f>F58+'16'!G58</f>
        <v>2</v>
      </c>
      <c r="H58" s="104">
        <f>F58+'16'!H58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839"/>
      <c r="C59" s="766"/>
      <c r="D59" s="766"/>
      <c r="E59" s="80">
        <v>32.5</v>
      </c>
      <c r="F59" s="53">
        <f>'Internal use cement'!AB19</f>
        <v>0</v>
      </c>
      <c r="G59" s="53">
        <f>F59+'16'!G59</f>
        <v>0</v>
      </c>
      <c r="H59" s="104">
        <f>F59+'16'!H59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93"/>
      <c r="C60" s="857"/>
      <c r="D60" s="857"/>
      <c r="E60" s="112" t="s">
        <v>175</v>
      </c>
      <c r="F60" s="113">
        <f>'Internal use cement'!AJ19</f>
        <v>0</v>
      </c>
      <c r="G60" s="53">
        <f>F60+'16'!G60</f>
        <v>0</v>
      </c>
      <c r="H60" s="104">
        <f>F60+'16'!H60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I31:I32"/>
    <mergeCell ref="M31:M32"/>
    <mergeCell ref="N31:N32"/>
    <mergeCell ref="O31:O32"/>
    <mergeCell ref="P31:P32"/>
    <mergeCell ref="B41:B46"/>
    <mergeCell ref="C41:C46"/>
    <mergeCell ref="M46:P46"/>
    <mergeCell ref="M41:P45"/>
    <mergeCell ref="I41:I45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C31:D31"/>
    <mergeCell ref="C33:D33"/>
    <mergeCell ref="C34:D34"/>
    <mergeCell ref="B35:B40"/>
    <mergeCell ref="C35:C40"/>
    <mergeCell ref="C32:D32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B55:H55"/>
    <mergeCell ref="C56:E56"/>
    <mergeCell ref="C57:D60"/>
    <mergeCell ref="B57:B60"/>
    <mergeCell ref="I55:Q60"/>
  </mergeCells>
  <pageMargins left="0" right="0" top="0.75" bottom="0.75" header="0.3" footer="0.3"/>
  <pageSetup paperSize="9" scale="53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/>
  <dimension ref="B2:U154"/>
  <sheetViews>
    <sheetView zoomScale="90" zoomScaleNormal="90" workbookViewId="0">
      <pane xSplit="4" ySplit="1" topLeftCell="E33" activePane="bottomRight" state="frozen"/>
      <selection pane="topRight" activeCell="E1" sqref="E1"/>
      <selection pane="bottomLeft" activeCell="A6" sqref="A6"/>
      <selection pane="bottomRight" activeCell="O9" sqref="O9:O16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8.4257812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>
        <v>46160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623">
        <f>'17'!L9</f>
        <v>24869.651705479348</v>
      </c>
      <c r="F9" s="74">
        <f>Production2!D20</f>
        <v>2578.3599999999997</v>
      </c>
      <c r="G9" s="623">
        <f>F9+'17'!G9</f>
        <v>53090.06</v>
      </c>
      <c r="H9" s="74">
        <f>F9+'17'!H9</f>
        <v>118075.76000000001</v>
      </c>
      <c r="I9" s="74">
        <f>Production2!E20</f>
        <v>2664</v>
      </c>
      <c r="J9" s="74">
        <f>I9+'17'!J9</f>
        <v>35742</v>
      </c>
      <c r="K9" s="74">
        <f>I9+'17'!K9</f>
        <v>102629</v>
      </c>
      <c r="L9" s="74">
        <f>E9+F9-I9-I21</f>
        <v>24488.989483257126</v>
      </c>
      <c r="M9" s="75">
        <f>I9</f>
        <v>2664</v>
      </c>
      <c r="N9" s="75">
        <f>(I9/I13)*100</f>
        <v>95.210864903502497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(2)'!L20</f>
        <v>2775.9600000000005</v>
      </c>
      <c r="F10" s="77">
        <f>'Mines (2)'!M20</f>
        <v>0</v>
      </c>
      <c r="G10" s="74">
        <f>F10+'17'!G10</f>
        <v>2977.4600000000009</v>
      </c>
      <c r="H10" s="74">
        <f>F10+'17'!H10</f>
        <v>4328.92</v>
      </c>
      <c r="I10" s="77">
        <f>'Mines (2)'!N20</f>
        <v>84</v>
      </c>
      <c r="J10" s="74">
        <f>I10+'17'!J10</f>
        <v>1232</v>
      </c>
      <c r="K10" s="74">
        <f>I10+'17'!K10</f>
        <v>1761</v>
      </c>
      <c r="L10" s="77">
        <f t="shared" ref="L10:L16" si="0">E10+F10-I10</f>
        <v>2691.9600000000005</v>
      </c>
      <c r="M10" s="75">
        <f t="shared" ref="M10:M12" si="1">I10</f>
        <v>84</v>
      </c>
      <c r="N10" s="75">
        <f>(I10/I13)*100</f>
        <v>3.0021443888491777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Clinker!C20</f>
        <v>3485.3</v>
      </c>
      <c r="F11" s="77">
        <f>Clinker!D20</f>
        <v>0</v>
      </c>
      <c r="G11" s="74">
        <f>F11+'17'!G11</f>
        <v>287.96000000000004</v>
      </c>
      <c r="H11" s="74">
        <f>F11+'17'!H11</f>
        <v>357.66</v>
      </c>
      <c r="I11" s="77">
        <f>Clinker!E20</f>
        <v>50</v>
      </c>
      <c r="J11" s="74">
        <f>I11+'17'!J11</f>
        <v>851</v>
      </c>
      <c r="K11" s="74">
        <f>I11+'17'!K11</f>
        <v>2288</v>
      </c>
      <c r="L11" s="77">
        <f t="shared" si="0"/>
        <v>3435.3</v>
      </c>
      <c r="M11" s="75">
        <f t="shared" si="1"/>
        <v>50</v>
      </c>
      <c r="N11" s="75">
        <f>(I11/I13)*100</f>
        <v>1.7869907076483202</v>
      </c>
      <c r="O11" s="787"/>
      <c r="P11" s="53">
        <v>7</v>
      </c>
      <c r="Q11" s="262">
        <f>'Raw mill moisture content'!N35</f>
        <v>7.0000000000000076E-2</v>
      </c>
      <c r="S11" s="236"/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(2)'!Q20</f>
        <v>3.999999999996362E-2</v>
      </c>
      <c r="F12" s="77">
        <f>'Mines (2)'!R20</f>
        <v>0</v>
      </c>
      <c r="G12" s="74">
        <f>F12+'17'!G12</f>
        <v>0</v>
      </c>
      <c r="H12" s="74">
        <f>F12+'17'!H12</f>
        <v>137.76</v>
      </c>
      <c r="I12" s="77">
        <f>'Mines (2)'!S20</f>
        <v>0</v>
      </c>
      <c r="J12" s="74">
        <f>I12+'17'!J12</f>
        <v>191</v>
      </c>
      <c r="K12" s="74">
        <f>I12+'17'!K12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31130.951705479347</v>
      </c>
      <c r="F13" s="127">
        <f t="shared" si="2"/>
        <v>2578.3599999999997</v>
      </c>
      <c r="G13" s="127">
        <f t="shared" si="2"/>
        <v>56355.479999999996</v>
      </c>
      <c r="H13" s="127">
        <f t="shared" si="2"/>
        <v>122900.1</v>
      </c>
      <c r="I13" s="127">
        <f>SUM(I9:I12)</f>
        <v>2798</v>
      </c>
      <c r="J13" s="127">
        <f t="shared" si="2"/>
        <v>38016</v>
      </c>
      <c r="K13" s="127">
        <f t="shared" si="2"/>
        <v>107416</v>
      </c>
      <c r="L13" s="127">
        <f t="shared" si="0"/>
        <v>30911.311705479347</v>
      </c>
      <c r="M13" s="128">
        <f>SUM(M9:M12)</f>
        <v>2798</v>
      </c>
      <c r="N13" s="128">
        <f>SUM(N9:N12)</f>
        <v>99.999999999999986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Clinker!EB20</f>
        <v>5247.6769999999906</v>
      </c>
      <c r="F14" s="77">
        <f>Clinker!EC20</f>
        <v>0</v>
      </c>
      <c r="G14" s="77">
        <f>F14+'17'!G14</f>
        <v>0</v>
      </c>
      <c r="H14" s="77">
        <f>F14+'17'!H14</f>
        <v>181.5</v>
      </c>
      <c r="I14" s="77">
        <f>Clinker!ED20</f>
        <v>258.89</v>
      </c>
      <c r="J14" s="77">
        <f>I14+'17'!J14</f>
        <v>4076.68</v>
      </c>
      <c r="K14" s="77">
        <f>I14+'17'!K14</f>
        <v>10912.98</v>
      </c>
      <c r="L14" s="77">
        <f>E14+F14-Clinker!N20-Clinker!Z20-Clinker!AS20-Clinker!AX20-Clinker!BC20-Clinker!BW20-Clinker!BH20-Clinker!BM20-Clinker!BR20-Clinker!CV20-Clinker!DP20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Clinker!EF20</f>
        <v>8024.4999999999936</v>
      </c>
      <c r="F15" s="77">
        <f>Clinker!EG20</f>
        <v>97.5</v>
      </c>
      <c r="G15" s="77">
        <f>F15+'17'!G15</f>
        <v>1160.3</v>
      </c>
      <c r="H15" s="77">
        <f>F15+'17'!H15</f>
        <v>1315.3500000000001</v>
      </c>
      <c r="I15" s="77">
        <f>Clinker!EH20</f>
        <v>143</v>
      </c>
      <c r="J15" s="77">
        <f>I15+'17'!J15</f>
        <v>2367</v>
      </c>
      <c r="K15" s="77">
        <f>I15+'17'!K15</f>
        <v>6236</v>
      </c>
      <c r="L15" s="77">
        <f>E15+F15-I14-Clinker!AE20-Clinker!AJ20-Clinker!CG20-Clinker!CQ20-Clinker!CG20</f>
        <v>7720.1099999999933</v>
      </c>
      <c r="M15" s="81"/>
      <c r="N15" s="81"/>
      <c r="O15" s="787"/>
      <c r="P15" s="53"/>
      <c r="Q15" s="82"/>
      <c r="R15" s="83"/>
      <c r="S15" s="234"/>
    </row>
    <row r="16" spans="2:21" x14ac:dyDescent="0.25">
      <c r="B16" s="763"/>
      <c r="C16" s="690"/>
      <c r="D16" s="124" t="s">
        <v>150</v>
      </c>
      <c r="E16" s="125">
        <f>E14+E15</f>
        <v>13272.176999999985</v>
      </c>
      <c r="F16" s="125">
        <f>F14+F15</f>
        <v>97.5</v>
      </c>
      <c r="G16" s="125">
        <f t="shared" ref="G16:K16" si="3">G14+G15</f>
        <v>1160.3</v>
      </c>
      <c r="H16" s="125">
        <f t="shared" si="3"/>
        <v>1496.8500000000001</v>
      </c>
      <c r="I16" s="125">
        <f>I14+I15</f>
        <v>401.89</v>
      </c>
      <c r="J16" s="125">
        <f>J14+J15</f>
        <v>6443.68</v>
      </c>
      <c r="K16" s="125">
        <f t="shared" si="3"/>
        <v>17148.98</v>
      </c>
      <c r="L16" s="125">
        <f t="shared" si="0"/>
        <v>12967.786999999986</v>
      </c>
      <c r="M16" s="126"/>
      <c r="N16" s="126"/>
      <c r="O16" s="787"/>
      <c r="P16" s="53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19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Clinker!EJ20</f>
        <v>26815.623085106752</v>
      </c>
      <c r="F18" s="74">
        <f>Clinker!EK20</f>
        <v>1510</v>
      </c>
      <c r="G18" s="74">
        <f>F18+'17'!G18</f>
        <v>22234</v>
      </c>
      <c r="H18" s="74">
        <f>F18+'17'!H18</f>
        <v>62734</v>
      </c>
      <c r="I18" s="74">
        <f>Clinker!EL20</f>
        <v>919.13000000000079</v>
      </c>
      <c r="J18" s="74">
        <f>I18+'17'!J18</f>
        <v>19747.167002633709</v>
      </c>
      <c r="K18" s="74">
        <f>I18+'17'!K18</f>
        <v>38609.047014519972</v>
      </c>
      <c r="L18" s="74">
        <f>E18+F18-I18-I20</f>
        <v>27406.493085106751</v>
      </c>
      <c r="M18" s="783">
        <f>((I18+I19)/(J40+J46))*100</f>
        <v>73.707297514033741</v>
      </c>
      <c r="N18" s="765"/>
      <c r="O18" s="767"/>
      <c r="P18" s="769"/>
      <c r="Q18" s="770"/>
      <c r="R18" s="190"/>
      <c r="S18" s="235"/>
    </row>
    <row r="19" spans="2:19" ht="45" x14ac:dyDescent="0.25">
      <c r="B19" s="763"/>
      <c r="C19" s="691"/>
      <c r="D19" s="85" t="s">
        <v>75</v>
      </c>
      <c r="E19" s="74">
        <f>Clinker!EO20</f>
        <v>5306.1090080001359</v>
      </c>
      <c r="F19" s="74">
        <f>Clinker!EP20</f>
        <v>0</v>
      </c>
      <c r="G19" s="74">
        <f>F19+'17'!G19</f>
        <v>150.78</v>
      </c>
      <c r="H19" s="74">
        <f>F19+'17'!H19</f>
        <v>13390.660000000003</v>
      </c>
      <c r="I19" s="74">
        <f>Clinker!EQ20</f>
        <v>0</v>
      </c>
      <c r="J19" s="74">
        <f>I19+'17'!J19</f>
        <v>0</v>
      </c>
      <c r="K19" s="74">
        <f>I19+'17'!K19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Clinker!EN20</f>
        <v>0</v>
      </c>
      <c r="G20" s="74">
        <f>F20+'17'!G20</f>
        <v>0</v>
      </c>
      <c r="H20" s="74">
        <f>F20+'17'!H20</f>
        <v>0</v>
      </c>
      <c r="I20" s="77">
        <f>Clinker!EN20</f>
        <v>0</v>
      </c>
      <c r="J20" s="74">
        <f>I20+'17'!J20</f>
        <v>0</v>
      </c>
      <c r="K20" s="74">
        <f>I20+'17'!K20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>
        <f>Cement!P20</f>
        <v>0</v>
      </c>
      <c r="F21" s="77">
        <f>Cement!Q20</f>
        <v>0</v>
      </c>
      <c r="G21" s="74">
        <f>F21+'17'!G21</f>
        <v>0</v>
      </c>
      <c r="H21" s="74">
        <f>F21+'17'!H21</f>
        <v>0</v>
      </c>
      <c r="I21" s="77">
        <f>Cement!S20</f>
        <v>295.02222222222116</v>
      </c>
      <c r="J21" s="74">
        <f>I21+'17'!J21</f>
        <v>5430.8222213644813</v>
      </c>
      <c r="K21" s="74">
        <f>I21+'17'!K21</f>
        <v>14062.642213926718</v>
      </c>
      <c r="L21" s="74"/>
      <c r="M21" s="78">
        <f>(I21/(J40+J46))*100</f>
        <v>23.658558317740269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Cement!C20</f>
        <v>5845.6132234525967</v>
      </c>
      <c r="F22" s="77">
        <f>Cement!D20</f>
        <v>0</v>
      </c>
      <c r="G22" s="74">
        <f>F22+'17'!G22</f>
        <v>62.5</v>
      </c>
      <c r="H22" s="74">
        <f>F22+'17'!H22</f>
        <v>2033.4</v>
      </c>
      <c r="I22" s="77">
        <f>Cement!F20</f>
        <v>65.631578947368425</v>
      </c>
      <c r="J22" s="74">
        <f>I22+'17'!J22</f>
        <v>1359.5984190930526</v>
      </c>
      <c r="K22" s="74">
        <f>I22+'17'!K22</f>
        <v>3698.7984146445515</v>
      </c>
      <c r="L22" s="74">
        <f t="shared" ref="L22:L24" si="4">E22+F22-I22</f>
        <v>5779.9816445052284</v>
      </c>
      <c r="M22" s="78">
        <f>(I22/(J40+J46))*100</f>
        <v>5.2631578947368425</v>
      </c>
      <c r="N22" s="78"/>
      <c r="O22" s="767"/>
      <c r="P22" s="87"/>
      <c r="Q22" s="774"/>
      <c r="R22" s="20"/>
      <c r="S22" s="237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Cement!H20</f>
        <v>0.23999999999796273</v>
      </c>
      <c r="F23" s="77">
        <f>Cement!I20</f>
        <v>0</v>
      </c>
      <c r="G23" s="74">
        <f>F23+'17'!G23</f>
        <v>0</v>
      </c>
      <c r="H23" s="74">
        <f>F23+'17'!H23</f>
        <v>0</v>
      </c>
      <c r="I23" s="77">
        <f>Cement!J20</f>
        <v>0</v>
      </c>
      <c r="J23" s="74">
        <f>I23+'17'!J23</f>
        <v>0</v>
      </c>
      <c r="K23" s="74">
        <f>I23+'17'!K23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Cement!L20</f>
        <v>0</v>
      </c>
      <c r="F24" s="77">
        <f>Cement!M20</f>
        <v>0</v>
      </c>
      <c r="G24" s="74">
        <f>F24+'17'!G24</f>
        <v>0</v>
      </c>
      <c r="H24" s="74">
        <f>F24+'17'!H24</f>
        <v>0</v>
      </c>
      <c r="I24" s="77">
        <f>Cement!N20</f>
        <v>0</v>
      </c>
      <c r="J24" s="74">
        <f>I24+'17'!J24</f>
        <v>0</v>
      </c>
      <c r="K24" s="74">
        <f>I24+'17'!K24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37967.585316559482</v>
      </c>
      <c r="F25" s="122">
        <f t="shared" ref="F25:L25" si="5">F18+F19+F21+F22+F23+F24</f>
        <v>1510</v>
      </c>
      <c r="G25" s="122">
        <f t="shared" si="5"/>
        <v>22447.279999999999</v>
      </c>
      <c r="H25" s="122">
        <f t="shared" si="5"/>
        <v>78158.06</v>
      </c>
      <c r="I25" s="122">
        <f t="shared" si="5"/>
        <v>1279.7838011695903</v>
      </c>
      <c r="J25" s="122">
        <f t="shared" si="5"/>
        <v>26537.587643091243</v>
      </c>
      <c r="K25" s="122">
        <f t="shared" si="5"/>
        <v>73304.587643091247</v>
      </c>
      <c r="L25" s="122">
        <f t="shared" si="5"/>
        <v>38492.823737612111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Production2!C20</f>
        <v>15.22</v>
      </c>
      <c r="G30" s="75">
        <f>F30+'17'!G30</f>
        <v>304.71000000000004</v>
      </c>
      <c r="H30" s="75">
        <f>F30+'17'!H30</f>
        <v>737.19000000000017</v>
      </c>
      <c r="I30" s="74">
        <f>'Mines (2)'!C20+'Mines (2)'!H20+'Mines (2)'!V20+'Mines (2)'!Z20+'Mines (2)'!AD20</f>
        <v>24869.651705479344</v>
      </c>
      <c r="J30" s="74">
        <f>Production2!D20</f>
        <v>2578.3599999999997</v>
      </c>
      <c r="K30" s="74">
        <f>J30+'17'!K30</f>
        <v>53090.06</v>
      </c>
      <c r="L30" s="74">
        <f>J30+'17'!L30</f>
        <v>118075.76000000001</v>
      </c>
      <c r="M30" s="74">
        <f>I9+I21</f>
        <v>2959.022222222221</v>
      </c>
      <c r="N30" s="75">
        <f>M30+'17'!N30</f>
        <v>41172.822221364477</v>
      </c>
      <c r="O30" s="74">
        <f>M30+'17'!O30</f>
        <v>116691.64221392675</v>
      </c>
      <c r="P30" s="74">
        <f>I30+J30-M30</f>
        <v>24488.989483257123</v>
      </c>
      <c r="Q30" s="93">
        <f>J30/F30</f>
        <v>169.40604467805517</v>
      </c>
      <c r="R30" s="94"/>
      <c r="S30" s="94"/>
    </row>
    <row r="31" spans="2:19" x14ac:dyDescent="0.25">
      <c r="B31" s="79">
        <v>2</v>
      </c>
      <c r="C31" s="725" t="s">
        <v>290</v>
      </c>
      <c r="D31" s="726"/>
      <c r="E31" s="95">
        <v>120</v>
      </c>
      <c r="F31" s="78">
        <f>Production2!G20</f>
        <v>19.579999999999998</v>
      </c>
      <c r="G31" s="75">
        <f>F31+'17'!G31</f>
        <v>299.08</v>
      </c>
      <c r="H31" s="75">
        <f>F31+'17'!H31</f>
        <v>792.3</v>
      </c>
      <c r="I31" s="724">
        <f>Production2!H20</f>
        <v>1316.5900168375201</v>
      </c>
      <c r="J31" s="78">
        <f>Production2!N20</f>
        <v>2320</v>
      </c>
      <c r="K31" s="74">
        <f>J31+'17'!K31</f>
        <v>33460.530000000006</v>
      </c>
      <c r="L31" s="74">
        <f>J31+'17'!L31</f>
        <v>92317.680000000022</v>
      </c>
      <c r="M31" s="724">
        <f>Production2!K20</f>
        <v>2340.5</v>
      </c>
      <c r="N31" s="724">
        <f>M31+'17'!N31</f>
        <v>34462.699999999997</v>
      </c>
      <c r="O31" s="724">
        <f>M31+'17'!O31</f>
        <v>97237.7</v>
      </c>
      <c r="P31" s="724">
        <f>I31+J31+J32-M31</f>
        <v>1495.7900168375199</v>
      </c>
      <c r="Q31" s="96">
        <f t="shared" ref="Q31:Q46" si="6">J31/F31</f>
        <v>118.488253319714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Production2!P20</f>
        <v>20</v>
      </c>
      <c r="G32" s="75">
        <f>F32+'17'!G32</f>
        <v>89.64</v>
      </c>
      <c r="H32" s="75">
        <f>F32+'17'!H32</f>
        <v>495.92999999999995</v>
      </c>
      <c r="I32" s="712"/>
      <c r="J32" s="77">
        <f>Production2!Q20</f>
        <v>199.7</v>
      </c>
      <c r="K32" s="74">
        <f>J32+'17'!K32</f>
        <v>779.83999999999992</v>
      </c>
      <c r="L32" s="74">
        <f>J32+'17'!L32</f>
        <v>4422.079999999999</v>
      </c>
      <c r="M32" s="712"/>
      <c r="N32" s="712"/>
      <c r="O32" s="712"/>
      <c r="P32" s="712"/>
      <c r="Q32" s="96">
        <f>J32/F32</f>
        <v>9.9849999999999994</v>
      </c>
      <c r="R32" s="94"/>
      <c r="S32" s="94"/>
    </row>
    <row r="33" spans="2:21" x14ac:dyDescent="0.25">
      <c r="B33" s="79">
        <v>4</v>
      </c>
      <c r="C33" s="725" t="s">
        <v>145</v>
      </c>
      <c r="D33" s="726"/>
      <c r="E33" s="95">
        <v>10</v>
      </c>
      <c r="F33" s="78">
        <f>Production2!S20</f>
        <v>16.059999999999999</v>
      </c>
      <c r="G33" s="75">
        <f>F33+'17'!G33</f>
        <v>271.05</v>
      </c>
      <c r="H33" s="75">
        <f>F33+'17'!H33</f>
        <v>717.42000000000007</v>
      </c>
      <c r="I33" s="77">
        <f>Production2!T20</f>
        <v>29.209999999999866</v>
      </c>
      <c r="J33" s="77">
        <f>Production2!U20</f>
        <v>233</v>
      </c>
      <c r="K33" s="74">
        <f>J33+'17'!K33</f>
        <v>3669</v>
      </c>
      <c r="L33" s="74">
        <f>J33+'17'!L33</f>
        <v>9821.7000000000007</v>
      </c>
      <c r="M33" s="77">
        <f>Production2!V20</f>
        <v>227</v>
      </c>
      <c r="N33" s="74">
        <f>M33+'17'!N33</f>
        <v>3674</v>
      </c>
      <c r="O33" s="74">
        <f>M33+'17'!O33</f>
        <v>9802</v>
      </c>
      <c r="P33" s="74">
        <f>I33+J33-M33</f>
        <v>35.209999999999866</v>
      </c>
      <c r="Q33" s="96">
        <f t="shared" si="6"/>
        <v>14.508094645080948</v>
      </c>
      <c r="R33" s="94"/>
      <c r="S33" s="94"/>
    </row>
    <row r="34" spans="2:21" x14ac:dyDescent="0.25">
      <c r="B34" s="91">
        <v>5</v>
      </c>
      <c r="C34" s="725" t="s">
        <v>69</v>
      </c>
      <c r="D34" s="726"/>
      <c r="E34" s="95">
        <v>50</v>
      </c>
      <c r="F34" s="78">
        <f>Production2!Y20</f>
        <v>22.2</v>
      </c>
      <c r="G34" s="75">
        <f>F34+'17'!G34</f>
        <v>391.16999999999996</v>
      </c>
      <c r="H34" s="75">
        <f>F34+'17'!H34</f>
        <v>1009.4400000000002</v>
      </c>
      <c r="I34" s="77">
        <f>Clinker!EJ20</f>
        <v>26815.623085106752</v>
      </c>
      <c r="J34" s="77">
        <f>Clinker!EK20</f>
        <v>1510</v>
      </c>
      <c r="K34" s="74">
        <f>J34+'17'!K34</f>
        <v>22234</v>
      </c>
      <c r="L34" s="74">
        <f>J34+'17'!L34</f>
        <v>62734</v>
      </c>
      <c r="M34" s="77">
        <f>Clinker!EL20</f>
        <v>919.13000000000079</v>
      </c>
      <c r="N34" s="74">
        <f>M34+'17'!N34</f>
        <v>19747.167002633709</v>
      </c>
      <c r="O34" s="74">
        <f>M34+'17'!O34</f>
        <v>38609.047014519972</v>
      </c>
      <c r="P34" s="74">
        <f>I34+J34-M34-I20</f>
        <v>27406.493085106751</v>
      </c>
      <c r="Q34" s="96">
        <f t="shared" si="6"/>
        <v>68.018018018018026</v>
      </c>
      <c r="R34" s="94"/>
      <c r="S34" s="94"/>
    </row>
    <row r="35" spans="2:21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Production2!AE20</f>
        <v>4.4000000000000004</v>
      </c>
      <c r="G35" s="75">
        <f>F35+'17'!G35</f>
        <v>17.899999999999999</v>
      </c>
      <c r="H35" s="75">
        <f>F35+'17'!H35</f>
        <v>26.9</v>
      </c>
      <c r="I35" s="77">
        <f>Production2!BJ20</f>
        <v>341.29999999999995</v>
      </c>
      <c r="J35" s="77">
        <f>Production2!AF20</f>
        <v>300</v>
      </c>
      <c r="K35" s="74">
        <f>J35+'17'!K35</f>
        <v>1150</v>
      </c>
      <c r="L35" s="74">
        <f>J35+'17'!L35</f>
        <v>1724</v>
      </c>
      <c r="M35" s="77">
        <f>Production2!BL20</f>
        <v>151</v>
      </c>
      <c r="N35" s="74">
        <f>M35+'17'!N35</f>
        <v>1671.5</v>
      </c>
      <c r="O35" s="74">
        <f>M35+'17'!O35</f>
        <v>4066</v>
      </c>
      <c r="P35" s="74">
        <f>I35+J35+J41-M35-F59</f>
        <v>490.29999999999995</v>
      </c>
      <c r="Q35" s="96">
        <f t="shared" si="6"/>
        <v>68.181818181818173</v>
      </c>
      <c r="R35" s="94"/>
      <c r="S35" s="94"/>
    </row>
    <row r="36" spans="2:21" x14ac:dyDescent="0.25">
      <c r="B36" s="688"/>
      <c r="C36" s="691"/>
      <c r="D36" s="80" t="s">
        <v>266</v>
      </c>
      <c r="E36" s="97">
        <v>78</v>
      </c>
      <c r="F36" s="78">
        <f>Production2!AB20</f>
        <v>8.3800000000000008</v>
      </c>
      <c r="G36" s="75">
        <f>F36+'17'!G36</f>
        <v>154.04999999999998</v>
      </c>
      <c r="H36" s="75">
        <f>F36+'17'!H36</f>
        <v>360.38</v>
      </c>
      <c r="I36" s="77">
        <f>Production2!BF20</f>
        <v>2618.6979999999794</v>
      </c>
      <c r="J36" s="77">
        <f>Production2!AC20</f>
        <v>547</v>
      </c>
      <c r="K36" s="74">
        <f>J36+'17'!K36</f>
        <v>9408</v>
      </c>
      <c r="L36" s="74">
        <f>J36+'17'!L36</f>
        <v>21837</v>
      </c>
      <c r="M36" s="77">
        <f>Production2!BH20</f>
        <v>1237.5</v>
      </c>
      <c r="N36" s="74">
        <f>M36+'17'!N36</f>
        <v>20634.089999999997</v>
      </c>
      <c r="O36" s="74">
        <f>M36+'17'!O36</f>
        <v>55802.360000000008</v>
      </c>
      <c r="P36" s="74">
        <f>I36+J36+J42-M36-F57</f>
        <v>1928.1979999999794</v>
      </c>
      <c r="Q36" s="96">
        <f t="shared" si="6"/>
        <v>65.274463007159895</v>
      </c>
      <c r="R36" s="94"/>
      <c r="S36" s="94"/>
    </row>
    <row r="37" spans="2:21" x14ac:dyDescent="0.25">
      <c r="B37" s="688"/>
      <c r="C37" s="691"/>
      <c r="D37" s="80" t="s">
        <v>267</v>
      </c>
      <c r="E37" s="97">
        <v>78</v>
      </c>
      <c r="F37" s="78">
        <f>Production2!AH20</f>
        <v>0</v>
      </c>
      <c r="G37" s="75">
        <f>F37+'17'!G37</f>
        <v>0</v>
      </c>
      <c r="H37" s="75">
        <f>F37+'17'!H37</f>
        <v>0</v>
      </c>
      <c r="I37" s="77">
        <f>Production2!BN20</f>
        <v>9.0000000000849845E-2</v>
      </c>
      <c r="J37" s="77">
        <f>Production2!AI20</f>
        <v>0</v>
      </c>
      <c r="K37" s="74">
        <f>J37+'17'!K37</f>
        <v>0</v>
      </c>
      <c r="L37" s="74">
        <f>J37+'17'!L37</f>
        <v>0</v>
      </c>
      <c r="M37" s="77">
        <f>Production2!BP20</f>
        <v>0</v>
      </c>
      <c r="N37" s="74">
        <f>M37+'17'!N37</f>
        <v>0</v>
      </c>
      <c r="O37" s="513">
        <f>M37+'17'!O37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21" x14ac:dyDescent="0.25">
      <c r="B38" s="688"/>
      <c r="C38" s="691"/>
      <c r="D38" s="194" t="s">
        <v>175</v>
      </c>
      <c r="E38" s="97">
        <v>65</v>
      </c>
      <c r="F38" s="84">
        <f>Production2!AK20</f>
        <v>0</v>
      </c>
      <c r="G38" s="520">
        <f>F38+'17'!G38</f>
        <v>3</v>
      </c>
      <c r="H38" s="520">
        <f>F38+'17'!H38</f>
        <v>3</v>
      </c>
      <c r="I38" s="195">
        <f>Production2!BR20</f>
        <v>143.30000000000001</v>
      </c>
      <c r="J38" s="195">
        <f>Production2!AL20</f>
        <v>0</v>
      </c>
      <c r="K38" s="513">
        <f>J38+'17'!K38</f>
        <v>180</v>
      </c>
      <c r="L38" s="513">
        <f>J38+'17'!L38</f>
        <v>180</v>
      </c>
      <c r="M38" s="195">
        <f>Production2!BT20</f>
        <v>0</v>
      </c>
      <c r="N38" s="513">
        <f>M38+'17'!N38</f>
        <v>500</v>
      </c>
      <c r="O38" s="513">
        <f>M38+'17'!O38</f>
        <v>2347</v>
      </c>
      <c r="P38" s="74">
        <f>I38+J38+J44-M38-F60</f>
        <v>143.30000000000001</v>
      </c>
      <c r="Q38" s="96" t="e">
        <f t="shared" si="6"/>
        <v>#DIV/0!</v>
      </c>
      <c r="R38" s="94"/>
      <c r="S38" s="94"/>
    </row>
    <row r="39" spans="2:21" x14ac:dyDescent="0.25">
      <c r="B39" s="688"/>
      <c r="C39" s="691"/>
      <c r="D39" s="517" t="s">
        <v>304</v>
      </c>
      <c r="E39" s="521">
        <v>78</v>
      </c>
      <c r="F39" s="519">
        <f>Production2!AN20</f>
        <v>5.9</v>
      </c>
      <c r="G39" s="520">
        <f>F39+'17'!G39</f>
        <v>37.9</v>
      </c>
      <c r="H39" s="520">
        <f>F39+'17'!H39</f>
        <v>78.550000000000011</v>
      </c>
      <c r="I39" s="516">
        <f>Production2!BV20</f>
        <v>375.17</v>
      </c>
      <c r="J39" s="516">
        <f>Production2!AO20</f>
        <v>400</v>
      </c>
      <c r="K39" s="513">
        <f>J39+'17'!K39</f>
        <v>2315</v>
      </c>
      <c r="L39" s="513">
        <f>J39+'17'!L39</f>
        <v>4847</v>
      </c>
      <c r="M39" s="77">
        <f>Production2!BX20</f>
        <v>208</v>
      </c>
      <c r="N39" s="513">
        <f>M39+'17'!N39</f>
        <v>4142.66</v>
      </c>
      <c r="O39" s="513">
        <f>M39+'17'!O39</f>
        <v>9564.5400000000009</v>
      </c>
      <c r="P39" s="513">
        <f>I39+J39+J45-M39</f>
        <v>567.17000000000007</v>
      </c>
      <c r="Q39" s="96">
        <f t="shared" si="6"/>
        <v>67.796610169491515</v>
      </c>
      <c r="R39" s="94"/>
      <c r="S39" s="94">
        <f>J40+J46</f>
        <v>1247</v>
      </c>
      <c r="T39" s="176">
        <f>K40+K46</f>
        <v>26044</v>
      </c>
      <c r="U39" s="176">
        <f>L40+L46</f>
        <v>72811</v>
      </c>
    </row>
    <row r="40" spans="2:21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18.68</v>
      </c>
      <c r="G40" s="132">
        <f t="shared" ref="G40:H40" si="7">G35+G36+G37+G38+G39</f>
        <v>212.85</v>
      </c>
      <c r="H40" s="132">
        <f t="shared" si="7"/>
        <v>468.83</v>
      </c>
      <c r="I40" s="122">
        <f>I35+I36+I37+I38+I39</f>
        <v>3478.5579999999809</v>
      </c>
      <c r="J40" s="518">
        <f t="shared" ref="J40:P40" si="8">J35+J36+J37+J38+J39</f>
        <v>1247</v>
      </c>
      <c r="K40" s="518">
        <f t="shared" si="8"/>
        <v>13053</v>
      </c>
      <c r="L40" s="518">
        <f t="shared" si="8"/>
        <v>28588</v>
      </c>
      <c r="M40" s="518">
        <f t="shared" si="8"/>
        <v>1596.5</v>
      </c>
      <c r="N40" s="518">
        <f t="shared" si="8"/>
        <v>26948.249999999996</v>
      </c>
      <c r="O40" s="518">
        <f t="shared" si="8"/>
        <v>71779.75</v>
      </c>
      <c r="P40" s="518">
        <f t="shared" si="8"/>
        <v>3129.0579999999809</v>
      </c>
      <c r="Q40" s="123">
        <f t="shared" si="6"/>
        <v>66.755888650963598</v>
      </c>
      <c r="R40" s="94"/>
      <c r="S40" s="94"/>
    </row>
    <row r="41" spans="2:21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Production2!AT20</f>
        <v>0</v>
      </c>
      <c r="G41" s="75">
        <f>F41+'17'!G41</f>
        <v>10.129999999999999</v>
      </c>
      <c r="H41" s="75">
        <f>F41+'17'!H41</f>
        <v>43.23</v>
      </c>
      <c r="I41" s="710"/>
      <c r="J41" s="77">
        <f>Production2!AU20</f>
        <v>0</v>
      </c>
      <c r="K41" s="74">
        <f>J41+'17'!K41</f>
        <v>600</v>
      </c>
      <c r="L41" s="74">
        <f>J41+'17'!L41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21" x14ac:dyDescent="0.25">
      <c r="B42" s="688"/>
      <c r="C42" s="691"/>
      <c r="D42" s="80" t="s">
        <v>266</v>
      </c>
      <c r="E42" s="97">
        <v>70</v>
      </c>
      <c r="F42" s="78">
        <f>Production2!AQ20</f>
        <v>0</v>
      </c>
      <c r="G42" s="75">
        <f>F42+'17'!G42</f>
        <v>182.93</v>
      </c>
      <c r="H42" s="75">
        <f>F42+'17'!H42</f>
        <v>598.92999999999995</v>
      </c>
      <c r="I42" s="711"/>
      <c r="J42" s="77">
        <f>Production2!AR20</f>
        <v>0</v>
      </c>
      <c r="K42" s="74">
        <f>J42+'17'!K42</f>
        <v>10475</v>
      </c>
      <c r="L42" s="74">
        <f>J42+'17'!L42</f>
        <v>34615</v>
      </c>
      <c r="M42" s="716"/>
      <c r="N42" s="717"/>
      <c r="O42" s="717"/>
      <c r="P42" s="718"/>
      <c r="Q42" s="96" t="e">
        <f t="shared" si="6"/>
        <v>#DIV/0!</v>
      </c>
      <c r="R42" s="94"/>
      <c r="S42" s="94"/>
    </row>
    <row r="43" spans="2:21" x14ac:dyDescent="0.25">
      <c r="B43" s="688"/>
      <c r="C43" s="691"/>
      <c r="D43" s="80" t="s">
        <v>267</v>
      </c>
      <c r="E43" s="97">
        <v>70</v>
      </c>
      <c r="F43" s="78">
        <f>Production2!AW20</f>
        <v>0</v>
      </c>
      <c r="G43" s="75">
        <f>F43+'17'!G43</f>
        <v>0</v>
      </c>
      <c r="H43" s="75">
        <f>F43+'17'!H43</f>
        <v>0</v>
      </c>
      <c r="I43" s="711"/>
      <c r="J43" s="77">
        <f>Production2!AX20</f>
        <v>0</v>
      </c>
      <c r="K43" s="74">
        <f>J43+'17'!K43</f>
        <v>0</v>
      </c>
      <c r="L43" s="74">
        <f>J43+'17'!L43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21" x14ac:dyDescent="0.25">
      <c r="B44" s="688"/>
      <c r="C44" s="691"/>
      <c r="D44" s="194" t="s">
        <v>175</v>
      </c>
      <c r="E44" s="97">
        <v>60</v>
      </c>
      <c r="F44" s="84">
        <f>Production2!AZ20</f>
        <v>0</v>
      </c>
      <c r="G44" s="75">
        <f>F44+'17'!G44</f>
        <v>5</v>
      </c>
      <c r="H44" s="75">
        <f>F44+'17'!H44</f>
        <v>37.880000000000003</v>
      </c>
      <c r="I44" s="712"/>
      <c r="J44" s="195">
        <f>Production2!BA20</f>
        <v>0</v>
      </c>
      <c r="K44" s="74">
        <f>J44+'17'!K44</f>
        <v>277</v>
      </c>
      <c r="L44" s="74">
        <f>J44+'17'!L44</f>
        <v>2097</v>
      </c>
      <c r="M44" s="719"/>
      <c r="N44" s="720"/>
      <c r="O44" s="720"/>
      <c r="P44" s="721"/>
      <c r="Q44" s="96" t="e">
        <f t="shared" si="6"/>
        <v>#DIV/0!</v>
      </c>
      <c r="R44" s="94"/>
      <c r="S44" s="94"/>
    </row>
    <row r="45" spans="2:21" x14ac:dyDescent="0.25">
      <c r="B45" s="688"/>
      <c r="C45" s="691"/>
      <c r="D45" s="517" t="s">
        <v>304</v>
      </c>
      <c r="E45" s="521">
        <v>70</v>
      </c>
      <c r="F45" s="519">
        <f>Production2!BC20</f>
        <v>0</v>
      </c>
      <c r="G45" s="520">
        <f>F45+'17'!G45</f>
        <v>27.119999999999997</v>
      </c>
      <c r="H45" s="520">
        <f>F45+'17'!H45</f>
        <v>82.09</v>
      </c>
      <c r="I45" s="512"/>
      <c r="J45" s="516">
        <f>Production2!BD20</f>
        <v>0</v>
      </c>
      <c r="K45" s="513">
        <f>J45+'17'!K45</f>
        <v>1639</v>
      </c>
      <c r="L45" s="513">
        <f>J45+'17'!L45</f>
        <v>4911</v>
      </c>
      <c r="M45" s="514"/>
      <c r="N45" s="522"/>
      <c r="O45" s="522"/>
      <c r="P45" s="515"/>
      <c r="Q45" s="96" t="e">
        <f t="shared" si="6"/>
        <v>#DIV/0!</v>
      </c>
      <c r="R45" s="94"/>
      <c r="S45" s="94"/>
    </row>
    <row r="46" spans="2:21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0</v>
      </c>
      <c r="G46" s="132">
        <f t="shared" ref="G46:H46" si="9">G41+G42+G43+G44+G45</f>
        <v>225.18</v>
      </c>
      <c r="H46" s="132">
        <f t="shared" si="9"/>
        <v>762.13</v>
      </c>
      <c r="I46" s="122">
        <f t="shared" ref="I46" si="10">I41+I42+I43+I44</f>
        <v>0</v>
      </c>
      <c r="J46" s="122">
        <f>J41+J42+J43+J44+J45</f>
        <v>0</v>
      </c>
      <c r="K46" s="518">
        <f t="shared" ref="K46:L46" si="11">K41+K42+K43+K44+K45</f>
        <v>12991</v>
      </c>
      <c r="L46" s="518">
        <f t="shared" si="11"/>
        <v>44223</v>
      </c>
      <c r="M46" s="873"/>
      <c r="N46" s="874"/>
      <c r="O46" s="874"/>
      <c r="P46" s="875"/>
      <c r="Q46" s="123" t="e">
        <f t="shared" si="6"/>
        <v>#DIV/0!</v>
      </c>
      <c r="R46" s="94"/>
      <c r="S46" s="94"/>
    </row>
    <row r="47" spans="2:21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21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1.0374811895933851</v>
      </c>
      <c r="F50" s="99">
        <f>F53/(J31+J32)</f>
        <v>25.947136563876654</v>
      </c>
      <c r="G50" s="99">
        <f>G53/J32</f>
        <v>0</v>
      </c>
      <c r="H50" s="99">
        <f>H53/J34</f>
        <v>35.999337748344374</v>
      </c>
      <c r="I50" s="99">
        <f>I53/J33</f>
        <v>56.914163090128753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15.033112582781458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1.8303641649515086</v>
      </c>
      <c r="F51" s="102">
        <f>F50*1.55</f>
        <v>40.218061674008815</v>
      </c>
      <c r="G51" s="102">
        <f>G50*1.55</f>
        <v>0</v>
      </c>
      <c r="H51" s="102">
        <f>H50</f>
        <v>35.999337748344374</v>
      </c>
      <c r="I51" s="102">
        <f>I50*(Q50/100)</f>
        <v>8.5559702128869048</v>
      </c>
      <c r="J51" s="102"/>
      <c r="K51" s="102"/>
      <c r="L51" s="102"/>
      <c r="M51" s="96"/>
      <c r="N51" s="307">
        <f>SUM(E51:I51)</f>
        <v>86.603733800191605</v>
      </c>
      <c r="O51" s="728" t="s">
        <v>277</v>
      </c>
      <c r="P51" s="728"/>
      <c r="Q51" s="104">
        <v>5467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1.3491119606510678</v>
      </c>
      <c r="F52" s="102">
        <f>F51*M18/100</f>
        <v>29.643646372439257</v>
      </c>
      <c r="G52" s="102">
        <f>G51*M18/100</f>
        <v>0</v>
      </c>
      <c r="H52" s="102">
        <f>H51*M18/100</f>
        <v>26.534138977254042</v>
      </c>
      <c r="I52" s="102">
        <f>I51*M18/100</f>
        <v>6.3063744200246568</v>
      </c>
      <c r="J52" s="99">
        <f>J53/(J40+J46)</f>
        <v>44.097032878909381</v>
      </c>
      <c r="K52" s="99">
        <f>K53/(J46+J40)</f>
        <v>1.3785084202085005</v>
      </c>
      <c r="L52" s="99">
        <f>L53/(M40)</f>
        <v>3.4757281553398056</v>
      </c>
      <c r="M52" s="96">
        <f>M53/(J46+J40)</f>
        <v>3.4699278267842821</v>
      </c>
      <c r="N52" s="307">
        <f>SUM(E52:M52)</f>
        <v>116.25446901161101</v>
      </c>
      <c r="O52" s="728" t="s">
        <v>279</v>
      </c>
      <c r="P52" s="728"/>
      <c r="Q52" s="104">
        <f>Q51*Q50/100</f>
        <v>821.86026490066229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unit'!B20</f>
        <v>2675</v>
      </c>
      <c r="F53" s="118">
        <f>'Daily unit'!C20</f>
        <v>65379</v>
      </c>
      <c r="G53" s="118">
        <f>'Daily unit'!D20</f>
        <v>0</v>
      </c>
      <c r="H53" s="118">
        <f>'Daily unit'!E20</f>
        <v>54359</v>
      </c>
      <c r="I53" s="118">
        <f>'Daily unit'!F20</f>
        <v>13261</v>
      </c>
      <c r="J53" s="118">
        <f>'Daily unit'!G20</f>
        <v>54989</v>
      </c>
      <c r="K53" s="118">
        <f>'Daily unit'!H20</f>
        <v>1719</v>
      </c>
      <c r="L53" s="118">
        <f>'Daily unit'!I20</f>
        <v>5549</v>
      </c>
      <c r="M53" s="119">
        <f>'Daily unit'!J20</f>
        <v>4327</v>
      </c>
      <c r="N53" s="318">
        <f>SUM(E53:M53)</f>
        <v>202258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844" t="s">
        <v>281</v>
      </c>
      <c r="C55" s="811"/>
      <c r="D55" s="811"/>
      <c r="E55" s="811"/>
      <c r="F55" s="811"/>
      <c r="G55" s="811"/>
      <c r="H55" s="81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187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687">
        <v>1</v>
      </c>
      <c r="C57" s="824" t="s">
        <v>285</v>
      </c>
      <c r="D57" s="825"/>
      <c r="E57" s="80">
        <v>42.5</v>
      </c>
      <c r="F57" s="53">
        <f>'Internal use cement'!F20</f>
        <v>0</v>
      </c>
      <c r="G57" s="53">
        <f>F57+'17'!G57</f>
        <v>0</v>
      </c>
      <c r="H57" s="77">
        <f>F57+'17'!H57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688"/>
      <c r="C58" s="826"/>
      <c r="D58" s="827"/>
      <c r="E58" s="80" t="s">
        <v>195</v>
      </c>
      <c r="F58" s="53">
        <f>'Internal use cement'!Q20</f>
        <v>0</v>
      </c>
      <c r="G58" s="53">
        <f>F58+'17'!G58</f>
        <v>2</v>
      </c>
      <c r="H58" s="77">
        <f>F58+'17'!H58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.75" customHeight="1" x14ac:dyDescent="0.25">
      <c r="B59" s="688"/>
      <c r="C59" s="826"/>
      <c r="D59" s="827"/>
      <c r="E59" s="80">
        <v>32.5</v>
      </c>
      <c r="F59" s="53">
        <f>'Internal use cement'!AB20</f>
        <v>0</v>
      </c>
      <c r="G59" s="53">
        <f>F59+'17'!G59</f>
        <v>0</v>
      </c>
      <c r="H59" s="77">
        <f>F59+'17'!H59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89"/>
      <c r="C60" s="828"/>
      <c r="D60" s="829"/>
      <c r="E60" s="112" t="s">
        <v>175</v>
      </c>
      <c r="F60" s="113">
        <f>'Internal use cement'!AJ20</f>
        <v>0</v>
      </c>
      <c r="G60" s="53">
        <f>F60+'17'!G60</f>
        <v>0</v>
      </c>
      <c r="H60" s="77">
        <f>F60+'17'!H60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6"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C52:D52"/>
    <mergeCell ref="O52:P52"/>
    <mergeCell ref="C53:D53"/>
    <mergeCell ref="C30:D30"/>
    <mergeCell ref="C31:D31"/>
    <mergeCell ref="C33:D33"/>
    <mergeCell ref="C34:D34"/>
    <mergeCell ref="C17:Q17"/>
    <mergeCell ref="C32:D32"/>
    <mergeCell ref="I31:I32"/>
    <mergeCell ref="M31:M32"/>
    <mergeCell ref="N31:N32"/>
    <mergeCell ref="O31:O32"/>
    <mergeCell ref="P31:P32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P6:P7"/>
    <mergeCell ref="C8:Q8"/>
    <mergeCell ref="C11:D11"/>
    <mergeCell ref="C12:D12"/>
    <mergeCell ref="C13:D13"/>
    <mergeCell ref="P13:Q13"/>
    <mergeCell ref="O9:O16"/>
    <mergeCell ref="C10:D10"/>
    <mergeCell ref="Q6:Q7"/>
    <mergeCell ref="C9:D9"/>
    <mergeCell ref="B14:B16"/>
    <mergeCell ref="C14:C16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O51:P51"/>
    <mergeCell ref="I41:I44"/>
    <mergeCell ref="M41:P44"/>
    <mergeCell ref="M46:P46"/>
    <mergeCell ref="B35:B40"/>
    <mergeCell ref="C35:C40"/>
    <mergeCell ref="B48:N48"/>
    <mergeCell ref="O48:Q48"/>
    <mergeCell ref="I55:Q60"/>
    <mergeCell ref="C57:D60"/>
    <mergeCell ref="B57:B60"/>
    <mergeCell ref="C21:D21"/>
    <mergeCell ref="B41:B46"/>
    <mergeCell ref="C41:C46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</mergeCells>
  <pageMargins left="0.25" right="0.25" top="0.75" bottom="0.75" header="0.3" footer="0.3"/>
  <pageSetup paperSize="9" scale="55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/>
  <dimension ref="B2:U157"/>
  <sheetViews>
    <sheetView zoomScale="90" zoomScaleNormal="90" workbookViewId="0">
      <pane xSplit="4" ySplit="1" topLeftCell="E22" activePane="bottomRight" state="frozen"/>
      <selection pane="topRight" activeCell="E1" sqref="E1"/>
      <selection pane="bottomLeft" activeCell="A6" sqref="A6"/>
      <selection pane="bottomRight" activeCell="L12" sqref="L12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338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'18'!L9</f>
        <v>24488.989483257126</v>
      </c>
      <c r="F9" s="74">
        <f>Production2!D21</f>
        <v>3109.2800000000007</v>
      </c>
      <c r="G9" s="74">
        <f>F9+'18'!G9</f>
        <v>56199.34</v>
      </c>
      <c r="H9" s="74">
        <f>F9+'18'!H9</f>
        <v>121185.04000000001</v>
      </c>
      <c r="I9" s="74">
        <f>Production2!E21</f>
        <v>3110</v>
      </c>
      <c r="J9" s="74">
        <f>I9+'18'!J9</f>
        <v>38852</v>
      </c>
      <c r="K9" s="74">
        <f>I9+'18'!K9</f>
        <v>105739</v>
      </c>
      <c r="L9" s="74">
        <f>E9+F9-I9-I21</f>
        <v>24199.936149923797</v>
      </c>
      <c r="M9" s="75">
        <f>I9</f>
        <v>3110</v>
      </c>
      <c r="N9" s="75">
        <f>(I9/I13)*100</f>
        <v>96.58385093167702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(2)'!L21</f>
        <v>2691.9600000000005</v>
      </c>
      <c r="F10" s="77">
        <f>'Mines (2)'!M21</f>
        <v>105.44</v>
      </c>
      <c r="G10" s="74">
        <f>F10+'18'!G10</f>
        <v>3082.900000000001</v>
      </c>
      <c r="H10" s="74">
        <f>F10+'18'!H10</f>
        <v>4434.3599999999997</v>
      </c>
      <c r="I10" s="77">
        <f>'Mines (2)'!N21</f>
        <v>58</v>
      </c>
      <c r="J10" s="74">
        <f>I10+'18'!J10</f>
        <v>1290</v>
      </c>
      <c r="K10" s="74">
        <f>I10+'18'!K10</f>
        <v>1819</v>
      </c>
      <c r="L10" s="77">
        <f t="shared" ref="L10:L16" si="0">E10+F10-I10</f>
        <v>2739.4000000000005</v>
      </c>
      <c r="M10" s="75">
        <f t="shared" ref="M10:M12" si="1">I10</f>
        <v>58</v>
      </c>
      <c r="N10" s="75">
        <f>(I10/I13)*100</f>
        <v>1.8012422360248446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Clinker!C21</f>
        <v>3435.3</v>
      </c>
      <c r="F11" s="77">
        <f>Clinker!D21</f>
        <v>0</v>
      </c>
      <c r="G11" s="74">
        <f>F11+'18'!G11</f>
        <v>287.96000000000004</v>
      </c>
      <c r="H11" s="74">
        <f>F11+'18'!H11</f>
        <v>357.66</v>
      </c>
      <c r="I11" s="77">
        <f>Clinker!E21</f>
        <v>52</v>
      </c>
      <c r="J11" s="74">
        <f>I11+'18'!J11</f>
        <v>903</v>
      </c>
      <c r="K11" s="74">
        <f>I11+'18'!K11</f>
        <v>2340</v>
      </c>
      <c r="L11" s="77">
        <f t="shared" si="0"/>
        <v>3383.3</v>
      </c>
      <c r="M11" s="75">
        <f t="shared" si="1"/>
        <v>52</v>
      </c>
      <c r="N11" s="75">
        <f>(I11/I13)*100</f>
        <v>1.6149068322981366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(2)'!Q21</f>
        <v>3.999999999996362E-2</v>
      </c>
      <c r="F12" s="77">
        <f>'Mines (2)'!R21</f>
        <v>0</v>
      </c>
      <c r="G12" s="74">
        <f>F12+'18'!G12</f>
        <v>0</v>
      </c>
      <c r="H12" s="74">
        <f>F12+'18'!H12</f>
        <v>137.76</v>
      </c>
      <c r="I12" s="77">
        <f>'Mines (2)'!S21</f>
        <v>0</v>
      </c>
      <c r="J12" s="74">
        <f>I12+'18'!J12</f>
        <v>191</v>
      </c>
      <c r="K12" s="74">
        <f>I12+'18'!K12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30616.289483257126</v>
      </c>
      <c r="F13" s="127">
        <f t="shared" si="2"/>
        <v>3214.7200000000007</v>
      </c>
      <c r="G13" s="127">
        <f t="shared" si="2"/>
        <v>59570.2</v>
      </c>
      <c r="H13" s="127">
        <f t="shared" si="2"/>
        <v>126114.82</v>
      </c>
      <c r="I13" s="127">
        <f t="shared" si="2"/>
        <v>3220</v>
      </c>
      <c r="J13" s="127">
        <f t="shared" si="2"/>
        <v>41236</v>
      </c>
      <c r="K13" s="127">
        <f t="shared" si="2"/>
        <v>110636</v>
      </c>
      <c r="L13" s="127">
        <f t="shared" si="0"/>
        <v>30611.009483257127</v>
      </c>
      <c r="M13" s="128">
        <f>SUM(M9:M12)</f>
        <v>3220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Clinker!EB21</f>
        <v>5247.6769999999906</v>
      </c>
      <c r="F14" s="77">
        <f>Clinker!EC21</f>
        <v>0</v>
      </c>
      <c r="G14" s="77">
        <f>F14+'18'!G14</f>
        <v>0</v>
      </c>
      <c r="H14" s="77">
        <f>F14+'18'!H14</f>
        <v>181.5</v>
      </c>
      <c r="I14" s="77">
        <f>Clinker!ED21</f>
        <v>294.44</v>
      </c>
      <c r="J14" s="77">
        <f>I14+'18'!J14</f>
        <v>4371.12</v>
      </c>
      <c r="K14" s="77">
        <f>I14+'18'!K14</f>
        <v>11207.42</v>
      </c>
      <c r="L14" s="77">
        <f>E14+F14-Clinker!N21-Clinker!Z21-Clinker!AS21-Clinker!AX21-Clinker!BC21-Clinker!BW21-Clinker!BH21-Clinker!BM21-Clinker!BR21-Clinker!CV21-Clinker!DP21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Clinker!EF21</f>
        <v>7720.1099999999933</v>
      </c>
      <c r="F15" s="77">
        <f>Clinker!EG21</f>
        <v>0</v>
      </c>
      <c r="G15" s="77">
        <f>F15+'18'!G15</f>
        <v>1160.3</v>
      </c>
      <c r="H15" s="77">
        <f>F15+'18'!H15</f>
        <v>1315.3500000000001</v>
      </c>
      <c r="I15" s="77">
        <f>Clinker!EH21</f>
        <v>153</v>
      </c>
      <c r="J15" s="77">
        <f>I15+'18'!J15</f>
        <v>2520</v>
      </c>
      <c r="K15" s="77">
        <f>I15+'18'!K15</f>
        <v>6389</v>
      </c>
      <c r="L15" s="77">
        <f>E15+F15-I14-Clinker!T21-Clinker!AE21-Clinker!AJ21-Clinker!CG21-Clinker!CQ21-Clinker!CG21</f>
        <v>7272.6699999999937</v>
      </c>
      <c r="M15" s="81"/>
      <c r="N15" s="81"/>
      <c r="O15" s="787"/>
      <c r="P15" s="53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12967.786999999984</v>
      </c>
      <c r="F16" s="125">
        <f>F14+F15</f>
        <v>0</v>
      </c>
      <c r="G16" s="125">
        <f t="shared" ref="G16:K16" si="3">G14+G15</f>
        <v>1160.3</v>
      </c>
      <c r="H16" s="125">
        <f t="shared" si="3"/>
        <v>1496.8500000000001</v>
      </c>
      <c r="I16" s="125">
        <f>I14+I15</f>
        <v>447.44</v>
      </c>
      <c r="J16" s="125">
        <f>J14+J15</f>
        <v>6891.12</v>
      </c>
      <c r="K16" s="125">
        <f t="shared" si="3"/>
        <v>17596.419999999998</v>
      </c>
      <c r="L16" s="125">
        <f t="shared" si="0"/>
        <v>12520.346999999983</v>
      </c>
      <c r="M16" s="126"/>
      <c r="N16" s="126"/>
      <c r="O16" s="787"/>
      <c r="P16" s="131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Clinker!EJ21</f>
        <v>27406.493085106751</v>
      </c>
      <c r="F18" s="74">
        <f>Clinker!EK21</f>
        <v>1710</v>
      </c>
      <c r="G18" s="74">
        <f>F18+'18'!G18</f>
        <v>23944</v>
      </c>
      <c r="H18" s="74">
        <f>F18+'18'!H18</f>
        <v>64444</v>
      </c>
      <c r="I18" s="74">
        <f>Clinker!EL21</f>
        <v>1103.7500000000007</v>
      </c>
      <c r="J18" s="74">
        <f>I18+'18'!J18</f>
        <v>20850.917002633709</v>
      </c>
      <c r="K18" s="74">
        <f>I18+'18'!K18</f>
        <v>39712.797014519972</v>
      </c>
      <c r="L18" s="74">
        <f>E18+F18-I18-I20</f>
        <v>28012.743085106751</v>
      </c>
      <c r="M18" s="75">
        <f>((I18+I19)/(J40+J46))*100</f>
        <v>76.916376306620265</v>
      </c>
      <c r="N18" s="765"/>
      <c r="O18" s="767"/>
      <c r="P18" s="769"/>
      <c r="Q18" s="770"/>
      <c r="R18" s="20"/>
      <c r="S18" s="190"/>
    </row>
    <row r="19" spans="2:19" ht="45" x14ac:dyDescent="0.25">
      <c r="B19" s="763"/>
      <c r="C19" s="691"/>
      <c r="D19" s="85" t="s">
        <v>75</v>
      </c>
      <c r="E19" s="74">
        <f>Clinker!EO21</f>
        <v>5306.1090080001359</v>
      </c>
      <c r="F19" s="74">
        <f>Clinker!EP21</f>
        <v>0</v>
      </c>
      <c r="G19" s="74">
        <f>F19+'18'!G19</f>
        <v>150.78</v>
      </c>
      <c r="H19" s="74">
        <f>F19+'18'!H19</f>
        <v>13390.660000000003</v>
      </c>
      <c r="I19" s="74">
        <f>Clinker!EQ21</f>
        <v>0</v>
      </c>
      <c r="J19" s="74">
        <f>I19+'18'!J19</f>
        <v>0</v>
      </c>
      <c r="K19" s="74">
        <f>I19+'18'!K19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19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Clinker!EN21</f>
        <v>0</v>
      </c>
      <c r="G20" s="74">
        <f>F20+'18'!G20</f>
        <v>0</v>
      </c>
      <c r="H20" s="74">
        <f>F20+'18'!H20</f>
        <v>0</v>
      </c>
      <c r="I20" s="77">
        <f>Clinker!EN21</f>
        <v>0</v>
      </c>
      <c r="J20" s="74">
        <f>I20+'18'!J20</f>
        <v>0</v>
      </c>
      <c r="K20" s="74">
        <f>I20+'18'!K20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>
        <f>Cement!P21</f>
        <v>0</v>
      </c>
      <c r="F21" s="77">
        <f>Cement!Q21</f>
        <v>0</v>
      </c>
      <c r="G21" s="74">
        <f>F21+'18'!G21</f>
        <v>0</v>
      </c>
      <c r="H21" s="74">
        <f>F21+'18'!H21</f>
        <v>0</v>
      </c>
      <c r="I21" s="77">
        <f>Cement!S21</f>
        <v>288.33333333333252</v>
      </c>
      <c r="J21" s="74">
        <f>I21+'18'!J21</f>
        <v>5719.1555546978134</v>
      </c>
      <c r="K21" s="74">
        <f>I21+'18'!K21</f>
        <v>14350.97554726005</v>
      </c>
      <c r="L21" s="74"/>
      <c r="M21" s="78">
        <f>(I21/(J40+J46))*100</f>
        <v>20.092915214866377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Cement!C21</f>
        <v>5779.9816445052284</v>
      </c>
      <c r="F22" s="77">
        <f>Cement!D21</f>
        <v>0</v>
      </c>
      <c r="G22" s="74">
        <f>F22+'18'!G22</f>
        <v>62.5</v>
      </c>
      <c r="H22" s="74">
        <f>F22+'18'!H22</f>
        <v>2033.4</v>
      </c>
      <c r="I22" s="77">
        <f>Cement!F21</f>
        <v>75.526315789473685</v>
      </c>
      <c r="J22" s="74">
        <f>I22+'18'!J22</f>
        <v>1435.1247348825264</v>
      </c>
      <c r="K22" s="74">
        <f>I22+'18'!K22</f>
        <v>3774.3247304340252</v>
      </c>
      <c r="L22" s="74">
        <f t="shared" ref="L22:L24" si="4">E22+F22-I22</f>
        <v>5704.4553287157551</v>
      </c>
      <c r="M22" s="78">
        <f>(I22/(J40+J46))*100</f>
        <v>5.2631578947368416</v>
      </c>
      <c r="N22" s="78"/>
      <c r="O22" s="767"/>
      <c r="P22" s="87">
        <v>5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Cement!H21</f>
        <v>0.23999999999796273</v>
      </c>
      <c r="F23" s="77">
        <f>Cement!I21</f>
        <v>0</v>
      </c>
      <c r="G23" s="74">
        <f>F23+'18'!G23</f>
        <v>0</v>
      </c>
      <c r="H23" s="74">
        <f>F23+'18'!H23</f>
        <v>0</v>
      </c>
      <c r="I23" s="77">
        <f>Cement!J21</f>
        <v>0</v>
      </c>
      <c r="J23" s="74">
        <f>I23+'18'!J23</f>
        <v>0</v>
      </c>
      <c r="K23" s="74">
        <f>I23+'18'!K23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Cement!L21</f>
        <v>0</v>
      </c>
      <c r="F24" s="77">
        <f>Cement!M21</f>
        <v>0</v>
      </c>
      <c r="G24" s="74">
        <f>F24+'18'!G24</f>
        <v>0</v>
      </c>
      <c r="H24" s="74">
        <f>F24+'18'!H24</f>
        <v>0</v>
      </c>
      <c r="I24" s="77">
        <f>Cement!N21</f>
        <v>0</v>
      </c>
      <c r="J24" s="74">
        <f>I24+'18'!J24</f>
        <v>0</v>
      </c>
      <c r="K24" s="74">
        <f>I24+'18'!K24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38492.823737612111</v>
      </c>
      <c r="F25" s="122">
        <f t="shared" ref="F25:L25" si="5">F18+F19+F21+F22+F23+F24</f>
        <v>1710</v>
      </c>
      <c r="G25" s="122">
        <f t="shared" si="5"/>
        <v>24157.279999999999</v>
      </c>
      <c r="H25" s="122">
        <f t="shared" si="5"/>
        <v>79868.06</v>
      </c>
      <c r="I25" s="122">
        <f t="shared" si="5"/>
        <v>1467.609649122807</v>
      </c>
      <c r="J25" s="122">
        <f t="shared" si="5"/>
        <v>28005.197292214049</v>
      </c>
      <c r="K25" s="122">
        <f t="shared" si="5"/>
        <v>74772.197292214041</v>
      </c>
      <c r="L25" s="122">
        <f t="shared" si="5"/>
        <v>39023.547421822637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Production2!C21</f>
        <v>14.27</v>
      </c>
      <c r="G30" s="75">
        <f>F30+'18'!G30</f>
        <v>318.98</v>
      </c>
      <c r="H30" s="75">
        <f>F30+'18'!H30</f>
        <v>751.46000000000015</v>
      </c>
      <c r="I30" s="74">
        <f>'Mines (2)'!C21+'Mines (2)'!H21+'Mines (2)'!V21+'Mines (2)'!Z21+'Mines (2)'!AD21</f>
        <v>24488.989483257123</v>
      </c>
      <c r="J30" s="74">
        <f>Production2!D21</f>
        <v>3109.2800000000007</v>
      </c>
      <c r="K30" s="74">
        <f>J30+'18'!K30</f>
        <v>56199.34</v>
      </c>
      <c r="L30" s="74">
        <f>J30+'18'!L30</f>
        <v>121185.04000000001</v>
      </c>
      <c r="M30" s="74">
        <f>I9+I21</f>
        <v>3398.3333333333326</v>
      </c>
      <c r="N30" s="74">
        <f>M30+'18'!N30</f>
        <v>44571.155554697812</v>
      </c>
      <c r="O30" s="74">
        <f>M30+'18'!O30</f>
        <v>120089.97554726008</v>
      </c>
      <c r="P30" s="74">
        <f>I30+J30-M30</f>
        <v>24199.936149923789</v>
      </c>
      <c r="Q30" s="93">
        <f>J30/F30</f>
        <v>217.88927820602669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Production2!G21</f>
        <v>22.85</v>
      </c>
      <c r="G31" s="75">
        <f>F31+'18'!G31</f>
        <v>321.93</v>
      </c>
      <c r="H31" s="75">
        <f>F31+'18'!H31</f>
        <v>815.15</v>
      </c>
      <c r="I31" s="724">
        <f>Production2!H21</f>
        <v>1495.7900168375199</v>
      </c>
      <c r="J31" s="78">
        <f>Production2!N21</f>
        <v>2754</v>
      </c>
      <c r="K31" s="74">
        <f>J31+'18'!K31</f>
        <v>36214.530000000006</v>
      </c>
      <c r="L31" s="74">
        <f>J31+'18'!L31</f>
        <v>95071.680000000022</v>
      </c>
      <c r="M31" s="724">
        <f>Production2!K21</f>
        <v>2650.5</v>
      </c>
      <c r="N31" s="724">
        <f>M31+'18'!N31</f>
        <v>37113.199999999997</v>
      </c>
      <c r="O31" s="724">
        <f>M31+'18'!O31</f>
        <v>99888.2</v>
      </c>
      <c r="P31" s="724">
        <f>I31+J31+J32-M31</f>
        <v>1744.9900168375198</v>
      </c>
      <c r="Q31" s="96">
        <f t="shared" ref="Q31:Q46" si="6">J31/F31</f>
        <v>120.52516411378555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Production2!P21</f>
        <v>16.25</v>
      </c>
      <c r="G32" s="75">
        <f>F32+'18'!G32</f>
        <v>105.89</v>
      </c>
      <c r="H32" s="75">
        <f>F32+'18'!H32</f>
        <v>512.17999999999995</v>
      </c>
      <c r="I32" s="712"/>
      <c r="J32" s="77">
        <f>Production2!Q21</f>
        <v>145.69999999999999</v>
      </c>
      <c r="K32" s="74">
        <f>J32+'18'!K32</f>
        <v>925.54</v>
      </c>
      <c r="L32" s="74">
        <f>J32+'18'!L32</f>
        <v>4567.7799999999988</v>
      </c>
      <c r="M32" s="712"/>
      <c r="N32" s="712"/>
      <c r="O32" s="712"/>
      <c r="P32" s="712"/>
      <c r="Q32" s="96">
        <f>J32/F32</f>
        <v>8.9661538461538459</v>
      </c>
      <c r="R32" s="94"/>
      <c r="S32" s="94"/>
    </row>
    <row r="33" spans="2:21" x14ac:dyDescent="0.25">
      <c r="B33" s="79">
        <v>4</v>
      </c>
      <c r="C33" s="725" t="s">
        <v>145</v>
      </c>
      <c r="D33" s="726"/>
      <c r="E33" s="95">
        <v>10</v>
      </c>
      <c r="F33" s="78">
        <f>Production2!S21</f>
        <v>17.55</v>
      </c>
      <c r="G33" s="75">
        <f>F33+'18'!G33</f>
        <v>288.60000000000002</v>
      </c>
      <c r="H33" s="75">
        <f>F33+'18'!H33</f>
        <v>734.97</v>
      </c>
      <c r="I33" s="77">
        <f>Production2!T21</f>
        <v>35.209999999999866</v>
      </c>
      <c r="J33" s="77">
        <f>Production2!U21</f>
        <v>265</v>
      </c>
      <c r="K33" s="74">
        <f>J33+'18'!K33</f>
        <v>3934</v>
      </c>
      <c r="L33" s="74">
        <f>J33+'18'!L33</f>
        <v>10086.700000000001</v>
      </c>
      <c r="M33" s="78">
        <f>Production2!V21</f>
        <v>254</v>
      </c>
      <c r="N33" s="74">
        <f>M33+'18'!N33</f>
        <v>3928</v>
      </c>
      <c r="O33" s="74">
        <f>M33+'18'!O33</f>
        <v>10056</v>
      </c>
      <c r="P33" s="74">
        <f t="shared" ref="P33" si="7">I33+J33-M33</f>
        <v>46.209999999999866</v>
      </c>
      <c r="Q33" s="96">
        <f t="shared" si="6"/>
        <v>15.0997150997151</v>
      </c>
      <c r="R33" s="94"/>
      <c r="S33" s="94"/>
    </row>
    <row r="34" spans="2:21" x14ac:dyDescent="0.25">
      <c r="B34" s="91">
        <v>5</v>
      </c>
      <c r="C34" s="725" t="s">
        <v>69</v>
      </c>
      <c r="D34" s="726"/>
      <c r="E34" s="95">
        <v>50</v>
      </c>
      <c r="F34" s="78">
        <f>Production2!Y21</f>
        <v>24</v>
      </c>
      <c r="G34" s="75">
        <f>F34+'18'!G34</f>
        <v>415.16999999999996</v>
      </c>
      <c r="H34" s="75">
        <f>F34+'18'!H34</f>
        <v>1033.44</v>
      </c>
      <c r="I34" s="77">
        <f>Clinker!EJ21</f>
        <v>27406.493085106751</v>
      </c>
      <c r="J34" s="77">
        <f>Clinker!EK21</f>
        <v>1710</v>
      </c>
      <c r="K34" s="74">
        <f>J34+'18'!K34</f>
        <v>23944</v>
      </c>
      <c r="L34" s="74">
        <f>J34+'18'!L34</f>
        <v>64444</v>
      </c>
      <c r="M34" s="77">
        <f>Clinker!EL21</f>
        <v>1103.7500000000007</v>
      </c>
      <c r="N34" s="74">
        <f>M34+'18'!N34</f>
        <v>20850.917002633709</v>
      </c>
      <c r="O34" s="74">
        <f>M34+'18'!O34</f>
        <v>39712.797014519972</v>
      </c>
      <c r="P34" s="74">
        <f>I34+J34-M34-I20</f>
        <v>28012.743085106751</v>
      </c>
      <c r="Q34" s="96">
        <f t="shared" si="6"/>
        <v>71.25</v>
      </c>
      <c r="R34" s="94"/>
      <c r="S34" s="94"/>
    </row>
    <row r="35" spans="2:21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Production2!AE21</f>
        <v>0</v>
      </c>
      <c r="G35" s="75">
        <f>F35+'18'!G35</f>
        <v>17.899999999999999</v>
      </c>
      <c r="H35" s="75">
        <f>F35+'18'!H35</f>
        <v>26.9</v>
      </c>
      <c r="I35" s="77">
        <f>Production2!BJ21</f>
        <v>490.29999999999995</v>
      </c>
      <c r="J35" s="77">
        <f>Production2!AF21</f>
        <v>0</v>
      </c>
      <c r="K35" s="74">
        <f>J35+'18'!K35</f>
        <v>1150</v>
      </c>
      <c r="L35" s="74">
        <f>J35+'18'!L35</f>
        <v>1724</v>
      </c>
      <c r="M35" s="77">
        <f>Production2!BL21</f>
        <v>94</v>
      </c>
      <c r="N35" s="75">
        <f>M35+'18'!N35</f>
        <v>1765.5</v>
      </c>
      <c r="O35" s="74">
        <f>M35+'18'!O35</f>
        <v>4160</v>
      </c>
      <c r="P35" s="74">
        <f>I35+J35+J41-M35-F59</f>
        <v>396.29999999999995</v>
      </c>
      <c r="Q35" s="96" t="e">
        <f t="shared" si="6"/>
        <v>#DIV/0!</v>
      </c>
      <c r="R35" s="94"/>
      <c r="S35" s="94"/>
    </row>
    <row r="36" spans="2:21" x14ac:dyDescent="0.25">
      <c r="B36" s="688"/>
      <c r="C36" s="691"/>
      <c r="D36" s="80" t="s">
        <v>266</v>
      </c>
      <c r="E36" s="97">
        <v>78</v>
      </c>
      <c r="F36" s="78">
        <f>Production2!AB21</f>
        <v>1</v>
      </c>
      <c r="G36" s="75">
        <f>F36+'18'!G36</f>
        <v>155.04999999999998</v>
      </c>
      <c r="H36" s="75">
        <f>F36+'18'!H36</f>
        <v>361.38</v>
      </c>
      <c r="I36" s="77">
        <f>Production2!BF21</f>
        <v>1928.1979999999794</v>
      </c>
      <c r="J36" s="77">
        <f>Production2!AC21</f>
        <v>65</v>
      </c>
      <c r="K36" s="74">
        <f>J36+'18'!K36</f>
        <v>9473</v>
      </c>
      <c r="L36" s="74">
        <f>J36+'18'!L36</f>
        <v>21902</v>
      </c>
      <c r="M36" s="77">
        <f>Production2!BH21</f>
        <v>1534</v>
      </c>
      <c r="N36" s="75">
        <f>M36+'18'!N36</f>
        <v>22168.089999999997</v>
      </c>
      <c r="O36" s="74">
        <f>M36+'18'!O36</f>
        <v>57336.360000000008</v>
      </c>
      <c r="P36" s="74">
        <f>I36+J36+J42-M36-F57</f>
        <v>1219.1979999999794</v>
      </c>
      <c r="Q36" s="96">
        <f t="shared" si="6"/>
        <v>65</v>
      </c>
      <c r="R36" s="94"/>
      <c r="S36" s="94"/>
    </row>
    <row r="37" spans="2:21" x14ac:dyDescent="0.25">
      <c r="B37" s="688"/>
      <c r="C37" s="691"/>
      <c r="D37" s="80" t="s">
        <v>267</v>
      </c>
      <c r="E37" s="97">
        <v>78</v>
      </c>
      <c r="F37" s="78">
        <f>Production2!AH21</f>
        <v>0</v>
      </c>
      <c r="G37" s="526">
        <f>F37+'18'!G37</f>
        <v>0</v>
      </c>
      <c r="H37" s="526">
        <f>F37+'18'!H37</f>
        <v>0</v>
      </c>
      <c r="I37" s="77">
        <f>Production2!BN21</f>
        <v>9.0000000000849845E-2</v>
      </c>
      <c r="J37" s="77">
        <f>Production2!AI21</f>
        <v>0</v>
      </c>
      <c r="K37" s="74">
        <f>J37+'18'!K37</f>
        <v>0</v>
      </c>
      <c r="L37" s="74">
        <f>J37+'18'!L37</f>
        <v>0</v>
      </c>
      <c r="M37" s="77">
        <f>Production2!BP21</f>
        <v>0</v>
      </c>
      <c r="N37" s="75">
        <f>M37+'18'!N37</f>
        <v>0</v>
      </c>
      <c r="O37" s="74">
        <f>M37+'18'!O37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21" x14ac:dyDescent="0.25">
      <c r="B38" s="688"/>
      <c r="C38" s="691"/>
      <c r="D38" s="194" t="s">
        <v>175</v>
      </c>
      <c r="E38" s="97">
        <v>65</v>
      </c>
      <c r="F38" s="84">
        <f>Production2!AK21</f>
        <v>0</v>
      </c>
      <c r="G38" s="526">
        <f>F38+'18'!G38</f>
        <v>3</v>
      </c>
      <c r="H38" s="526">
        <f>F38+'18'!H38</f>
        <v>3</v>
      </c>
      <c r="I38" s="195">
        <f>Production2!BR21</f>
        <v>143.30000000000001</v>
      </c>
      <c r="J38" s="195">
        <f>Production2!AL21</f>
        <v>0</v>
      </c>
      <c r="K38" s="528">
        <f>J38+'18'!K38</f>
        <v>180</v>
      </c>
      <c r="L38" s="528">
        <f>J38+'18'!L38</f>
        <v>180</v>
      </c>
      <c r="M38" s="195">
        <f>Production2!BT21</f>
        <v>30</v>
      </c>
      <c r="N38" s="526">
        <f>M38+'18'!N38</f>
        <v>530</v>
      </c>
      <c r="O38" s="528">
        <f>M38+'18'!O38</f>
        <v>2377</v>
      </c>
      <c r="P38" s="74">
        <f t="shared" ref="P38" si="8">I38+J38+J44-M38</f>
        <v>223.3</v>
      </c>
      <c r="Q38" s="96" t="e">
        <f t="shared" si="6"/>
        <v>#DIV/0!</v>
      </c>
      <c r="R38" s="94"/>
      <c r="S38" s="94"/>
    </row>
    <row r="39" spans="2:21" x14ac:dyDescent="0.25">
      <c r="B39" s="688"/>
      <c r="C39" s="691"/>
      <c r="D39" s="523" t="s">
        <v>304</v>
      </c>
      <c r="E39" s="529">
        <v>78</v>
      </c>
      <c r="F39" s="525">
        <f>Production2!AN21</f>
        <v>7.62</v>
      </c>
      <c r="G39" s="526">
        <f>F39+'18'!G39</f>
        <v>45.519999999999996</v>
      </c>
      <c r="H39" s="526">
        <f>F39+'18'!H39</f>
        <v>86.170000000000016</v>
      </c>
      <c r="I39" s="527">
        <f>Production2!BV21</f>
        <v>567.17000000000007</v>
      </c>
      <c r="J39" s="527">
        <f>Production2!AO21</f>
        <v>500</v>
      </c>
      <c r="K39" s="528">
        <f>J39+'18'!K39</f>
        <v>2815</v>
      </c>
      <c r="L39" s="528">
        <f>J39+'18'!L39</f>
        <v>5347</v>
      </c>
      <c r="M39" s="77">
        <f>Production2!BX21</f>
        <v>546.74</v>
      </c>
      <c r="N39" s="526">
        <f>M39+'18'!N39</f>
        <v>4689.3999999999996</v>
      </c>
      <c r="O39" s="528">
        <f>M39+'18'!O39</f>
        <v>10111.280000000001</v>
      </c>
      <c r="P39" s="528">
        <f>I39+J39+J45-M39</f>
        <v>520.43000000000006</v>
      </c>
      <c r="Q39" s="96">
        <f t="shared" si="6"/>
        <v>65.616797900262469</v>
      </c>
      <c r="R39" s="94"/>
      <c r="S39" s="94"/>
    </row>
    <row r="40" spans="2:21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8.620000000000001</v>
      </c>
      <c r="G40" s="132">
        <f t="shared" ref="G40:H40" si="9">G35+G36+G37+G38+G39</f>
        <v>221.46999999999997</v>
      </c>
      <c r="H40" s="132">
        <f t="shared" si="9"/>
        <v>477.45</v>
      </c>
      <c r="I40" s="122">
        <f>I35+I36+I37+I38+I39</f>
        <v>3129.0579999999809</v>
      </c>
      <c r="J40" s="524">
        <f t="shared" ref="J40:O40" si="10">J35+J36+J37+J38+J39</f>
        <v>565</v>
      </c>
      <c r="K40" s="524">
        <f t="shared" si="10"/>
        <v>13618</v>
      </c>
      <c r="L40" s="524">
        <f t="shared" si="10"/>
        <v>29153</v>
      </c>
      <c r="M40" s="524">
        <f t="shared" si="10"/>
        <v>2204.7399999999998</v>
      </c>
      <c r="N40" s="524">
        <f t="shared" si="10"/>
        <v>29152.989999999998</v>
      </c>
      <c r="O40" s="524">
        <f t="shared" si="10"/>
        <v>73984.490000000005</v>
      </c>
      <c r="P40" s="524">
        <f>P35+P36+P37+P38+P39</f>
        <v>2359.3179999999802</v>
      </c>
      <c r="Q40" s="123">
        <f t="shared" si="6"/>
        <v>65.545243619489554</v>
      </c>
      <c r="R40" s="94"/>
      <c r="S40" s="94"/>
      <c r="T40" s="94"/>
      <c r="U40" s="94"/>
    </row>
    <row r="41" spans="2:21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Production2!AT21</f>
        <v>0</v>
      </c>
      <c r="G41" s="75">
        <f>F41+'18'!G41</f>
        <v>10.129999999999999</v>
      </c>
      <c r="H41" s="75">
        <f>F41+'18'!H41</f>
        <v>43.23</v>
      </c>
      <c r="I41" s="710"/>
      <c r="J41" s="77">
        <f>Production2!AU21</f>
        <v>0</v>
      </c>
      <c r="K41" s="74">
        <f>J41+'18'!K41</f>
        <v>600</v>
      </c>
      <c r="L41" s="74">
        <f>J41+'18'!L41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21" x14ac:dyDescent="0.25">
      <c r="B42" s="688"/>
      <c r="C42" s="691"/>
      <c r="D42" s="80" t="s">
        <v>266</v>
      </c>
      <c r="E42" s="97">
        <v>70</v>
      </c>
      <c r="F42" s="78">
        <f>Production2!AQ21</f>
        <v>12.68</v>
      </c>
      <c r="G42" s="75">
        <f>F42+'18'!G42</f>
        <v>195.61</v>
      </c>
      <c r="H42" s="75">
        <f>F42+'18'!H42</f>
        <v>611.6099999999999</v>
      </c>
      <c r="I42" s="711"/>
      <c r="J42" s="77">
        <f>Production2!AR21</f>
        <v>760</v>
      </c>
      <c r="K42" s="74">
        <f>J42+'18'!K42</f>
        <v>11235</v>
      </c>
      <c r="L42" s="74">
        <f>J42+'18'!L42</f>
        <v>35375</v>
      </c>
      <c r="M42" s="716"/>
      <c r="N42" s="867"/>
      <c r="O42" s="867"/>
      <c r="P42" s="718"/>
      <c r="Q42" s="96">
        <f t="shared" si="6"/>
        <v>59.936908517350162</v>
      </c>
      <c r="R42" s="94"/>
      <c r="S42" s="94"/>
    </row>
    <row r="43" spans="2:21" x14ac:dyDescent="0.25">
      <c r="B43" s="688"/>
      <c r="C43" s="691"/>
      <c r="D43" s="80" t="s">
        <v>267</v>
      </c>
      <c r="E43" s="97">
        <v>70</v>
      </c>
      <c r="F43" s="78">
        <f>Production2!AW21</f>
        <v>0</v>
      </c>
      <c r="G43" s="75">
        <f>F43+'18'!G43</f>
        <v>0</v>
      </c>
      <c r="H43" s="75">
        <f>F43+'18'!H43</f>
        <v>0</v>
      </c>
      <c r="I43" s="711"/>
      <c r="J43" s="77">
        <f>Production2!AX21</f>
        <v>0</v>
      </c>
      <c r="K43" s="74">
        <f>J43+'18'!K43</f>
        <v>0</v>
      </c>
      <c r="L43" s="74">
        <f>J43+'18'!L43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21" x14ac:dyDescent="0.25">
      <c r="B44" s="688"/>
      <c r="C44" s="691"/>
      <c r="D44" s="194" t="s">
        <v>175</v>
      </c>
      <c r="E44" s="97">
        <v>60</v>
      </c>
      <c r="F44" s="84">
        <f>Production2!AZ21</f>
        <v>2</v>
      </c>
      <c r="G44" s="526">
        <f>F44+'18'!G44</f>
        <v>7</v>
      </c>
      <c r="H44" s="526">
        <f>F44+'18'!H44</f>
        <v>39.880000000000003</v>
      </c>
      <c r="I44" s="711"/>
      <c r="J44" s="195">
        <f>Production2!BA21</f>
        <v>110</v>
      </c>
      <c r="K44" s="528">
        <f>J44+'18'!K44</f>
        <v>387</v>
      </c>
      <c r="L44" s="528">
        <f>J44+'18'!L44</f>
        <v>2207</v>
      </c>
      <c r="M44" s="716"/>
      <c r="N44" s="867"/>
      <c r="O44" s="867"/>
      <c r="P44" s="718"/>
      <c r="Q44" s="96">
        <f t="shared" si="6"/>
        <v>55</v>
      </c>
      <c r="R44" s="94"/>
      <c r="S44" s="94"/>
    </row>
    <row r="45" spans="2:21" x14ac:dyDescent="0.25">
      <c r="B45" s="688"/>
      <c r="C45" s="691"/>
      <c r="D45" s="523" t="s">
        <v>304</v>
      </c>
      <c r="E45" s="529">
        <v>70</v>
      </c>
      <c r="F45" s="525">
        <f>Production2!BC21</f>
        <v>0</v>
      </c>
      <c r="G45" s="526">
        <f>F45+'18'!G45</f>
        <v>27.119999999999997</v>
      </c>
      <c r="H45" s="526">
        <f>F45+'18'!H45</f>
        <v>82.09</v>
      </c>
      <c r="I45" s="712"/>
      <c r="J45" s="527">
        <f>Production2!BD21</f>
        <v>0</v>
      </c>
      <c r="K45" s="528">
        <f>J45+'18'!K45</f>
        <v>1639</v>
      </c>
      <c r="L45" s="528">
        <f>J45+'18'!L45</f>
        <v>4911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21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14.68</v>
      </c>
      <c r="G46" s="132">
        <f>G41+G42+G43+G44+G45</f>
        <v>239.86</v>
      </c>
      <c r="H46" s="132">
        <f t="shared" ref="H46" si="11">H41+H42+H43+H44+H45</f>
        <v>776.81</v>
      </c>
      <c r="I46" s="122"/>
      <c r="J46" s="122">
        <f>J41+J42+J43+J44+J45</f>
        <v>870</v>
      </c>
      <c r="K46" s="524">
        <f>K41+K42+K43+K44+K45</f>
        <v>13861</v>
      </c>
      <c r="L46" s="524">
        <f t="shared" ref="L46" si="12">L41+L42+L43+L44+L45</f>
        <v>45093</v>
      </c>
      <c r="M46" s="873"/>
      <c r="N46" s="874"/>
      <c r="O46" s="874"/>
      <c r="P46" s="875"/>
      <c r="Q46" s="123">
        <f t="shared" si="6"/>
        <v>59.264305177111716</v>
      </c>
      <c r="R46" s="94"/>
      <c r="S46" s="94"/>
    </row>
    <row r="47" spans="2:21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21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0.92722430916482257</v>
      </c>
      <c r="F50" s="99">
        <f>F53/(J31+J32)</f>
        <v>22.856847260061386</v>
      </c>
      <c r="G50" s="99">
        <f>G53/J32</f>
        <v>0</v>
      </c>
      <c r="H50" s="99">
        <f>H53/J34</f>
        <v>30.51345029239766</v>
      </c>
      <c r="I50" s="99">
        <f>I53/J33</f>
        <v>47.264150943396224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14.853801169590644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1.6863553225161392</v>
      </c>
      <c r="F51" s="102">
        <f>F50*1.55</f>
        <v>35.428113253095148</v>
      </c>
      <c r="G51" s="102">
        <f>G50*1.55</f>
        <v>0</v>
      </c>
      <c r="H51" s="102">
        <f>H50</f>
        <v>30.51345029239766</v>
      </c>
      <c r="I51" s="102">
        <f>I50*(Q50/100)</f>
        <v>7.0205230056272754</v>
      </c>
      <c r="J51" s="102"/>
      <c r="K51" s="102"/>
      <c r="L51" s="102"/>
      <c r="M51" s="96"/>
      <c r="N51" s="307">
        <f>SUM(E51:F51,H51:I51)</f>
        <v>74.648441873636216</v>
      </c>
      <c r="O51" s="728" t="s">
        <v>277</v>
      </c>
      <c r="P51" s="728"/>
      <c r="Q51" s="104">
        <v>5362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1.2970834057332334</v>
      </c>
      <c r="F52" s="102">
        <f>F51*M18/100</f>
        <v>27.25002090808627</v>
      </c>
      <c r="G52" s="102">
        <f>G51*M18/100</f>
        <v>0</v>
      </c>
      <c r="H52" s="102">
        <f>H51*M18/100</f>
        <v>23.469840251034107</v>
      </c>
      <c r="I52" s="102">
        <f>I51*M18/100</f>
        <v>5.3999318937011234</v>
      </c>
      <c r="J52" s="99">
        <f>J53/(J40+J46)</f>
        <v>43.597909407665504</v>
      </c>
      <c r="K52" s="99">
        <f>K53/(J46+J40)</f>
        <v>1.2320557491289199</v>
      </c>
      <c r="L52" s="99">
        <f>L53/(M40)</f>
        <v>2.5617533133158559</v>
      </c>
      <c r="M52" s="96">
        <f>M53/(J46+J40)</f>
        <v>3.0752613240418119</v>
      </c>
      <c r="N52" s="307">
        <f>SUM(E52:F52,H52:M52)</f>
        <v>107.88385625270683</v>
      </c>
      <c r="O52" s="728" t="s">
        <v>279</v>
      </c>
      <c r="P52" s="728"/>
      <c r="Q52" s="104">
        <f>Q51*Q50/100</f>
        <v>796.46081871345041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unit'!B21</f>
        <v>2883</v>
      </c>
      <c r="F53" s="118">
        <f>'Daily unit'!C21</f>
        <v>66278</v>
      </c>
      <c r="G53" s="118">
        <f>'Daily unit'!D21</f>
        <v>0</v>
      </c>
      <c r="H53" s="118">
        <f>'Daily unit'!E21</f>
        <v>52178</v>
      </c>
      <c r="I53" s="118">
        <f>'Daily unit'!F21</f>
        <v>12525</v>
      </c>
      <c r="J53" s="118">
        <f>'Daily unit'!G21</f>
        <v>62563</v>
      </c>
      <c r="K53" s="118">
        <f>'Daily unit'!H21</f>
        <v>1768</v>
      </c>
      <c r="L53" s="118">
        <f>'Daily unit'!I21</f>
        <v>5648</v>
      </c>
      <c r="M53" s="119">
        <f>'Daily unit'!J21</f>
        <v>4413</v>
      </c>
      <c r="N53" s="318">
        <f>SUM(E53:M53)</f>
        <v>208256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14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763">
        <v>1</v>
      </c>
      <c r="C57" s="701" t="s">
        <v>285</v>
      </c>
      <c r="D57" s="825"/>
      <c r="E57" s="80">
        <v>42.5</v>
      </c>
      <c r="F57" s="53">
        <f>'Internal use cement'!F21</f>
        <v>0</v>
      </c>
      <c r="G57" s="53">
        <f>F57+'18'!G57</f>
        <v>0</v>
      </c>
      <c r="H57" s="104">
        <f>F57+'18'!H57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763"/>
      <c r="C58" s="702"/>
      <c r="D58" s="827"/>
      <c r="E58" s="80" t="s">
        <v>195</v>
      </c>
      <c r="F58" s="53">
        <f>'Internal use cement'!Q21</f>
        <v>0</v>
      </c>
      <c r="G58" s="53">
        <f>F58+'18'!G58</f>
        <v>2</v>
      </c>
      <c r="H58" s="104">
        <f>F58+'18'!H58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763"/>
      <c r="C59" s="702"/>
      <c r="D59" s="827"/>
      <c r="E59" s="80">
        <v>32.5</v>
      </c>
      <c r="F59" s="53">
        <f>'Internal use cement'!AB21</f>
        <v>0</v>
      </c>
      <c r="G59" s="53">
        <f>F59+'18'!G59</f>
        <v>0</v>
      </c>
      <c r="H59" s="104">
        <f>F59+'18'!H59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72"/>
      <c r="C60" s="703"/>
      <c r="D60" s="829"/>
      <c r="E60" s="230" t="s">
        <v>175</v>
      </c>
      <c r="F60" s="228">
        <f>'Internal use cement'!AJ21</f>
        <v>0</v>
      </c>
      <c r="G60" s="53">
        <f>F60+'18'!G60</f>
        <v>0</v>
      </c>
      <c r="H60" s="104">
        <f>F60+'18'!H60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115"/>
      <c r="S63" s="115"/>
    </row>
    <row r="64" spans="2:19" x14ac:dyDescent="0.25">
      <c r="R64" s="116"/>
      <c r="S64" s="116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94"/>
      <c r="S67" s="94"/>
    </row>
    <row r="68" spans="2:19" x14ac:dyDescent="0.25">
      <c r="R68" s="109"/>
      <c r="S68" s="109"/>
    </row>
    <row r="69" spans="2:19" x14ac:dyDescent="0.25">
      <c r="R69" s="94"/>
      <c r="S69" s="94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R72" s="117"/>
      <c r="S72" s="117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2:19" x14ac:dyDescent="0.25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</row>
  </sheetData>
  <mergeCells count="85">
    <mergeCell ref="B48:N48"/>
    <mergeCell ref="O48:Q48"/>
    <mergeCell ref="C57:D60"/>
    <mergeCell ref="B57:B60"/>
    <mergeCell ref="C31:D31"/>
    <mergeCell ref="C33:D33"/>
    <mergeCell ref="C34:D34"/>
    <mergeCell ref="M46:P46"/>
    <mergeCell ref="C41:C46"/>
    <mergeCell ref="C32:D32"/>
    <mergeCell ref="I31:I32"/>
    <mergeCell ref="M31:M32"/>
    <mergeCell ref="N31:N32"/>
    <mergeCell ref="O31:O32"/>
    <mergeCell ref="P31:P32"/>
    <mergeCell ref="M41:P45"/>
    <mergeCell ref="I41:I45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C30:D30"/>
    <mergeCell ref="B23:B24"/>
    <mergeCell ref="C23:C24"/>
    <mergeCell ref="M23:N24"/>
    <mergeCell ref="P23:Q25"/>
    <mergeCell ref="C25:D25"/>
    <mergeCell ref="M25:N25"/>
    <mergeCell ref="C18:C20"/>
    <mergeCell ref="N18:N20"/>
    <mergeCell ref="O18:O25"/>
    <mergeCell ref="P18:Q20"/>
    <mergeCell ref="Q21:Q22"/>
    <mergeCell ref="C22:D22"/>
    <mergeCell ref="C21:D21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C17:Q17"/>
    <mergeCell ref="B18:B20"/>
    <mergeCell ref="I55:Q60"/>
    <mergeCell ref="B35:B40"/>
    <mergeCell ref="C35:C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41:B46"/>
  </mergeCells>
  <pageMargins left="0" right="0" top="0.75" bottom="0.75" header="0.3" footer="0.3"/>
  <pageSetup paperSize="9" scale="5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/>
  <dimension ref="B2:R156"/>
  <sheetViews>
    <sheetView zoomScale="90" zoomScaleNormal="90" workbookViewId="0">
      <pane xSplit="4" ySplit="1" topLeftCell="E31" activePane="bottomRight" state="frozen"/>
      <selection pane="topRight" activeCell="E1" sqref="E1"/>
      <selection pane="bottomLeft" activeCell="A6" sqref="A6"/>
      <selection pane="bottomRight" activeCell="R12" sqref="R12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31" width="9.140625" style="68"/>
    <col min="232" max="232" width="3.7109375" style="68" customWidth="1"/>
    <col min="233" max="233" width="4" style="68" bestFit="1" customWidth="1"/>
    <col min="234" max="234" width="14.5703125" style="68" customWidth="1"/>
    <col min="235" max="235" width="11.140625" style="68" customWidth="1"/>
    <col min="236" max="236" width="8.7109375" style="68" customWidth="1"/>
    <col min="237" max="237" width="9.7109375" style="68" bestFit="1" customWidth="1"/>
    <col min="238" max="238" width="10.85546875" style="68" customWidth="1"/>
    <col min="239" max="239" width="10.42578125" style="68" customWidth="1"/>
    <col min="240" max="240" width="9.7109375" style="68" bestFit="1" customWidth="1"/>
    <col min="241" max="243" width="9.28515625" style="68" bestFit="1" customWidth="1"/>
    <col min="244" max="244" width="10.7109375" style="68" bestFit="1" customWidth="1"/>
    <col min="245" max="245" width="11.28515625" style="68" customWidth="1"/>
    <col min="246" max="246" width="12.5703125" style="68" customWidth="1"/>
    <col min="247" max="247" width="13.5703125" style="68" customWidth="1"/>
    <col min="248" max="248" width="13" style="68" customWidth="1"/>
    <col min="249" max="487" width="9.140625" style="68"/>
    <col min="488" max="488" width="3.7109375" style="68" customWidth="1"/>
    <col min="489" max="489" width="4" style="68" bestFit="1" customWidth="1"/>
    <col min="490" max="490" width="14.5703125" style="68" customWidth="1"/>
    <col min="491" max="491" width="11.140625" style="68" customWidth="1"/>
    <col min="492" max="492" width="8.7109375" style="68" customWidth="1"/>
    <col min="493" max="493" width="9.7109375" style="68" bestFit="1" customWidth="1"/>
    <col min="494" max="494" width="10.85546875" style="68" customWidth="1"/>
    <col min="495" max="495" width="10.42578125" style="68" customWidth="1"/>
    <col min="496" max="496" width="9.7109375" style="68" bestFit="1" customWidth="1"/>
    <col min="497" max="499" width="9.28515625" style="68" bestFit="1" customWidth="1"/>
    <col min="500" max="500" width="10.7109375" style="68" bestFit="1" customWidth="1"/>
    <col min="501" max="501" width="11.28515625" style="68" customWidth="1"/>
    <col min="502" max="502" width="12.5703125" style="68" customWidth="1"/>
    <col min="503" max="503" width="13.5703125" style="68" customWidth="1"/>
    <col min="504" max="504" width="13" style="68" customWidth="1"/>
    <col min="505" max="743" width="9.140625" style="68"/>
    <col min="744" max="744" width="3.7109375" style="68" customWidth="1"/>
    <col min="745" max="745" width="4" style="68" bestFit="1" customWidth="1"/>
    <col min="746" max="746" width="14.5703125" style="68" customWidth="1"/>
    <col min="747" max="747" width="11.140625" style="68" customWidth="1"/>
    <col min="748" max="748" width="8.7109375" style="68" customWidth="1"/>
    <col min="749" max="749" width="9.7109375" style="68" bestFit="1" customWidth="1"/>
    <col min="750" max="750" width="10.85546875" style="68" customWidth="1"/>
    <col min="751" max="751" width="10.42578125" style="68" customWidth="1"/>
    <col min="752" max="752" width="9.7109375" style="68" bestFit="1" customWidth="1"/>
    <col min="753" max="755" width="9.28515625" style="68" bestFit="1" customWidth="1"/>
    <col min="756" max="756" width="10.7109375" style="68" bestFit="1" customWidth="1"/>
    <col min="757" max="757" width="11.28515625" style="68" customWidth="1"/>
    <col min="758" max="758" width="12.5703125" style="68" customWidth="1"/>
    <col min="759" max="759" width="13.5703125" style="68" customWidth="1"/>
    <col min="760" max="760" width="13" style="68" customWidth="1"/>
    <col min="761" max="999" width="9.140625" style="68"/>
    <col min="1000" max="1000" width="3.7109375" style="68" customWidth="1"/>
    <col min="1001" max="1001" width="4" style="68" bestFit="1" customWidth="1"/>
    <col min="1002" max="1002" width="14.5703125" style="68" customWidth="1"/>
    <col min="1003" max="1003" width="11.140625" style="68" customWidth="1"/>
    <col min="1004" max="1004" width="8.7109375" style="68" customWidth="1"/>
    <col min="1005" max="1005" width="9.7109375" style="68" bestFit="1" customWidth="1"/>
    <col min="1006" max="1006" width="10.85546875" style="68" customWidth="1"/>
    <col min="1007" max="1007" width="10.42578125" style="68" customWidth="1"/>
    <col min="1008" max="1008" width="9.7109375" style="68" bestFit="1" customWidth="1"/>
    <col min="1009" max="1011" width="9.28515625" style="68" bestFit="1" customWidth="1"/>
    <col min="1012" max="1012" width="10.7109375" style="68" bestFit="1" customWidth="1"/>
    <col min="1013" max="1013" width="11.28515625" style="68" customWidth="1"/>
    <col min="1014" max="1014" width="12.5703125" style="68" customWidth="1"/>
    <col min="1015" max="1015" width="13.5703125" style="68" customWidth="1"/>
    <col min="1016" max="1016" width="13" style="68" customWidth="1"/>
    <col min="1017" max="1255" width="9.140625" style="68"/>
    <col min="1256" max="1256" width="3.7109375" style="68" customWidth="1"/>
    <col min="1257" max="1257" width="4" style="68" bestFit="1" customWidth="1"/>
    <col min="1258" max="1258" width="14.5703125" style="68" customWidth="1"/>
    <col min="1259" max="1259" width="11.140625" style="68" customWidth="1"/>
    <col min="1260" max="1260" width="8.7109375" style="68" customWidth="1"/>
    <col min="1261" max="1261" width="9.7109375" style="68" bestFit="1" customWidth="1"/>
    <col min="1262" max="1262" width="10.85546875" style="68" customWidth="1"/>
    <col min="1263" max="1263" width="10.42578125" style="68" customWidth="1"/>
    <col min="1264" max="1264" width="9.7109375" style="68" bestFit="1" customWidth="1"/>
    <col min="1265" max="1267" width="9.28515625" style="68" bestFit="1" customWidth="1"/>
    <col min="1268" max="1268" width="10.7109375" style="68" bestFit="1" customWidth="1"/>
    <col min="1269" max="1269" width="11.28515625" style="68" customWidth="1"/>
    <col min="1270" max="1270" width="12.5703125" style="68" customWidth="1"/>
    <col min="1271" max="1271" width="13.5703125" style="68" customWidth="1"/>
    <col min="1272" max="1272" width="13" style="68" customWidth="1"/>
    <col min="1273" max="1511" width="9.140625" style="68"/>
    <col min="1512" max="1512" width="3.7109375" style="68" customWidth="1"/>
    <col min="1513" max="1513" width="4" style="68" bestFit="1" customWidth="1"/>
    <col min="1514" max="1514" width="14.5703125" style="68" customWidth="1"/>
    <col min="1515" max="1515" width="11.140625" style="68" customWidth="1"/>
    <col min="1516" max="1516" width="8.7109375" style="68" customWidth="1"/>
    <col min="1517" max="1517" width="9.7109375" style="68" bestFit="1" customWidth="1"/>
    <col min="1518" max="1518" width="10.85546875" style="68" customWidth="1"/>
    <col min="1519" max="1519" width="10.42578125" style="68" customWidth="1"/>
    <col min="1520" max="1520" width="9.7109375" style="68" bestFit="1" customWidth="1"/>
    <col min="1521" max="1523" width="9.28515625" style="68" bestFit="1" customWidth="1"/>
    <col min="1524" max="1524" width="10.7109375" style="68" bestFit="1" customWidth="1"/>
    <col min="1525" max="1525" width="11.28515625" style="68" customWidth="1"/>
    <col min="1526" max="1526" width="12.5703125" style="68" customWidth="1"/>
    <col min="1527" max="1527" width="13.5703125" style="68" customWidth="1"/>
    <col min="1528" max="1528" width="13" style="68" customWidth="1"/>
    <col min="1529" max="1767" width="9.140625" style="68"/>
    <col min="1768" max="1768" width="3.7109375" style="68" customWidth="1"/>
    <col min="1769" max="1769" width="4" style="68" bestFit="1" customWidth="1"/>
    <col min="1770" max="1770" width="14.5703125" style="68" customWidth="1"/>
    <col min="1771" max="1771" width="11.140625" style="68" customWidth="1"/>
    <col min="1772" max="1772" width="8.7109375" style="68" customWidth="1"/>
    <col min="1773" max="1773" width="9.7109375" style="68" bestFit="1" customWidth="1"/>
    <col min="1774" max="1774" width="10.85546875" style="68" customWidth="1"/>
    <col min="1775" max="1775" width="10.42578125" style="68" customWidth="1"/>
    <col min="1776" max="1776" width="9.7109375" style="68" bestFit="1" customWidth="1"/>
    <col min="1777" max="1779" width="9.28515625" style="68" bestFit="1" customWidth="1"/>
    <col min="1780" max="1780" width="10.7109375" style="68" bestFit="1" customWidth="1"/>
    <col min="1781" max="1781" width="11.28515625" style="68" customWidth="1"/>
    <col min="1782" max="1782" width="12.5703125" style="68" customWidth="1"/>
    <col min="1783" max="1783" width="13.5703125" style="68" customWidth="1"/>
    <col min="1784" max="1784" width="13" style="68" customWidth="1"/>
    <col min="1785" max="2023" width="9.140625" style="68"/>
    <col min="2024" max="2024" width="3.7109375" style="68" customWidth="1"/>
    <col min="2025" max="2025" width="4" style="68" bestFit="1" customWidth="1"/>
    <col min="2026" max="2026" width="14.5703125" style="68" customWidth="1"/>
    <col min="2027" max="2027" width="11.140625" style="68" customWidth="1"/>
    <col min="2028" max="2028" width="8.7109375" style="68" customWidth="1"/>
    <col min="2029" max="2029" width="9.7109375" style="68" bestFit="1" customWidth="1"/>
    <col min="2030" max="2030" width="10.85546875" style="68" customWidth="1"/>
    <col min="2031" max="2031" width="10.42578125" style="68" customWidth="1"/>
    <col min="2032" max="2032" width="9.7109375" style="68" bestFit="1" customWidth="1"/>
    <col min="2033" max="2035" width="9.28515625" style="68" bestFit="1" customWidth="1"/>
    <col min="2036" max="2036" width="10.7109375" style="68" bestFit="1" customWidth="1"/>
    <col min="2037" max="2037" width="11.28515625" style="68" customWidth="1"/>
    <col min="2038" max="2038" width="12.5703125" style="68" customWidth="1"/>
    <col min="2039" max="2039" width="13.5703125" style="68" customWidth="1"/>
    <col min="2040" max="2040" width="13" style="68" customWidth="1"/>
    <col min="2041" max="2279" width="9.140625" style="68"/>
    <col min="2280" max="2280" width="3.7109375" style="68" customWidth="1"/>
    <col min="2281" max="2281" width="4" style="68" bestFit="1" customWidth="1"/>
    <col min="2282" max="2282" width="14.5703125" style="68" customWidth="1"/>
    <col min="2283" max="2283" width="11.140625" style="68" customWidth="1"/>
    <col min="2284" max="2284" width="8.7109375" style="68" customWidth="1"/>
    <col min="2285" max="2285" width="9.7109375" style="68" bestFit="1" customWidth="1"/>
    <col min="2286" max="2286" width="10.85546875" style="68" customWidth="1"/>
    <col min="2287" max="2287" width="10.42578125" style="68" customWidth="1"/>
    <col min="2288" max="2288" width="9.7109375" style="68" bestFit="1" customWidth="1"/>
    <col min="2289" max="2291" width="9.28515625" style="68" bestFit="1" customWidth="1"/>
    <col min="2292" max="2292" width="10.7109375" style="68" bestFit="1" customWidth="1"/>
    <col min="2293" max="2293" width="11.28515625" style="68" customWidth="1"/>
    <col min="2294" max="2294" width="12.5703125" style="68" customWidth="1"/>
    <col min="2295" max="2295" width="13.5703125" style="68" customWidth="1"/>
    <col min="2296" max="2296" width="13" style="68" customWidth="1"/>
    <col min="2297" max="2535" width="9.140625" style="68"/>
    <col min="2536" max="2536" width="3.7109375" style="68" customWidth="1"/>
    <col min="2537" max="2537" width="4" style="68" bestFit="1" customWidth="1"/>
    <col min="2538" max="2538" width="14.5703125" style="68" customWidth="1"/>
    <col min="2539" max="2539" width="11.140625" style="68" customWidth="1"/>
    <col min="2540" max="2540" width="8.7109375" style="68" customWidth="1"/>
    <col min="2541" max="2541" width="9.7109375" style="68" bestFit="1" customWidth="1"/>
    <col min="2542" max="2542" width="10.85546875" style="68" customWidth="1"/>
    <col min="2543" max="2543" width="10.42578125" style="68" customWidth="1"/>
    <col min="2544" max="2544" width="9.7109375" style="68" bestFit="1" customWidth="1"/>
    <col min="2545" max="2547" width="9.28515625" style="68" bestFit="1" customWidth="1"/>
    <col min="2548" max="2548" width="10.7109375" style="68" bestFit="1" customWidth="1"/>
    <col min="2549" max="2549" width="11.28515625" style="68" customWidth="1"/>
    <col min="2550" max="2550" width="12.5703125" style="68" customWidth="1"/>
    <col min="2551" max="2551" width="13.5703125" style="68" customWidth="1"/>
    <col min="2552" max="2552" width="13" style="68" customWidth="1"/>
    <col min="2553" max="2791" width="9.140625" style="68"/>
    <col min="2792" max="2792" width="3.7109375" style="68" customWidth="1"/>
    <col min="2793" max="2793" width="4" style="68" bestFit="1" customWidth="1"/>
    <col min="2794" max="2794" width="14.5703125" style="68" customWidth="1"/>
    <col min="2795" max="2795" width="11.140625" style="68" customWidth="1"/>
    <col min="2796" max="2796" width="8.7109375" style="68" customWidth="1"/>
    <col min="2797" max="2797" width="9.7109375" style="68" bestFit="1" customWidth="1"/>
    <col min="2798" max="2798" width="10.85546875" style="68" customWidth="1"/>
    <col min="2799" max="2799" width="10.42578125" style="68" customWidth="1"/>
    <col min="2800" max="2800" width="9.7109375" style="68" bestFit="1" customWidth="1"/>
    <col min="2801" max="2803" width="9.28515625" style="68" bestFit="1" customWidth="1"/>
    <col min="2804" max="2804" width="10.7109375" style="68" bestFit="1" customWidth="1"/>
    <col min="2805" max="2805" width="11.28515625" style="68" customWidth="1"/>
    <col min="2806" max="2806" width="12.5703125" style="68" customWidth="1"/>
    <col min="2807" max="2807" width="13.5703125" style="68" customWidth="1"/>
    <col min="2808" max="2808" width="13" style="68" customWidth="1"/>
    <col min="2809" max="3047" width="9.140625" style="68"/>
    <col min="3048" max="3048" width="3.7109375" style="68" customWidth="1"/>
    <col min="3049" max="3049" width="4" style="68" bestFit="1" customWidth="1"/>
    <col min="3050" max="3050" width="14.5703125" style="68" customWidth="1"/>
    <col min="3051" max="3051" width="11.140625" style="68" customWidth="1"/>
    <col min="3052" max="3052" width="8.7109375" style="68" customWidth="1"/>
    <col min="3053" max="3053" width="9.7109375" style="68" bestFit="1" customWidth="1"/>
    <col min="3054" max="3054" width="10.85546875" style="68" customWidth="1"/>
    <col min="3055" max="3055" width="10.42578125" style="68" customWidth="1"/>
    <col min="3056" max="3056" width="9.7109375" style="68" bestFit="1" customWidth="1"/>
    <col min="3057" max="3059" width="9.28515625" style="68" bestFit="1" customWidth="1"/>
    <col min="3060" max="3060" width="10.7109375" style="68" bestFit="1" customWidth="1"/>
    <col min="3061" max="3061" width="11.28515625" style="68" customWidth="1"/>
    <col min="3062" max="3062" width="12.5703125" style="68" customWidth="1"/>
    <col min="3063" max="3063" width="13.5703125" style="68" customWidth="1"/>
    <col min="3064" max="3064" width="13" style="68" customWidth="1"/>
    <col min="3065" max="3303" width="9.140625" style="68"/>
    <col min="3304" max="3304" width="3.7109375" style="68" customWidth="1"/>
    <col min="3305" max="3305" width="4" style="68" bestFit="1" customWidth="1"/>
    <col min="3306" max="3306" width="14.5703125" style="68" customWidth="1"/>
    <col min="3307" max="3307" width="11.140625" style="68" customWidth="1"/>
    <col min="3308" max="3308" width="8.7109375" style="68" customWidth="1"/>
    <col min="3309" max="3309" width="9.7109375" style="68" bestFit="1" customWidth="1"/>
    <col min="3310" max="3310" width="10.85546875" style="68" customWidth="1"/>
    <col min="3311" max="3311" width="10.42578125" style="68" customWidth="1"/>
    <col min="3312" max="3312" width="9.7109375" style="68" bestFit="1" customWidth="1"/>
    <col min="3313" max="3315" width="9.28515625" style="68" bestFit="1" customWidth="1"/>
    <col min="3316" max="3316" width="10.7109375" style="68" bestFit="1" customWidth="1"/>
    <col min="3317" max="3317" width="11.28515625" style="68" customWidth="1"/>
    <col min="3318" max="3318" width="12.5703125" style="68" customWidth="1"/>
    <col min="3319" max="3319" width="13.5703125" style="68" customWidth="1"/>
    <col min="3320" max="3320" width="13" style="68" customWidth="1"/>
    <col min="3321" max="3559" width="9.140625" style="68"/>
    <col min="3560" max="3560" width="3.7109375" style="68" customWidth="1"/>
    <col min="3561" max="3561" width="4" style="68" bestFit="1" customWidth="1"/>
    <col min="3562" max="3562" width="14.5703125" style="68" customWidth="1"/>
    <col min="3563" max="3563" width="11.140625" style="68" customWidth="1"/>
    <col min="3564" max="3564" width="8.7109375" style="68" customWidth="1"/>
    <col min="3565" max="3565" width="9.7109375" style="68" bestFit="1" customWidth="1"/>
    <col min="3566" max="3566" width="10.85546875" style="68" customWidth="1"/>
    <col min="3567" max="3567" width="10.42578125" style="68" customWidth="1"/>
    <col min="3568" max="3568" width="9.7109375" style="68" bestFit="1" customWidth="1"/>
    <col min="3569" max="3571" width="9.28515625" style="68" bestFit="1" customWidth="1"/>
    <col min="3572" max="3572" width="10.7109375" style="68" bestFit="1" customWidth="1"/>
    <col min="3573" max="3573" width="11.28515625" style="68" customWidth="1"/>
    <col min="3574" max="3574" width="12.5703125" style="68" customWidth="1"/>
    <col min="3575" max="3575" width="13.5703125" style="68" customWidth="1"/>
    <col min="3576" max="3576" width="13" style="68" customWidth="1"/>
    <col min="3577" max="3815" width="9.140625" style="68"/>
    <col min="3816" max="3816" width="3.7109375" style="68" customWidth="1"/>
    <col min="3817" max="3817" width="4" style="68" bestFit="1" customWidth="1"/>
    <col min="3818" max="3818" width="14.5703125" style="68" customWidth="1"/>
    <col min="3819" max="3819" width="11.140625" style="68" customWidth="1"/>
    <col min="3820" max="3820" width="8.7109375" style="68" customWidth="1"/>
    <col min="3821" max="3821" width="9.7109375" style="68" bestFit="1" customWidth="1"/>
    <col min="3822" max="3822" width="10.85546875" style="68" customWidth="1"/>
    <col min="3823" max="3823" width="10.42578125" style="68" customWidth="1"/>
    <col min="3824" max="3824" width="9.7109375" style="68" bestFit="1" customWidth="1"/>
    <col min="3825" max="3827" width="9.28515625" style="68" bestFit="1" customWidth="1"/>
    <col min="3828" max="3828" width="10.7109375" style="68" bestFit="1" customWidth="1"/>
    <col min="3829" max="3829" width="11.28515625" style="68" customWidth="1"/>
    <col min="3830" max="3830" width="12.5703125" style="68" customWidth="1"/>
    <col min="3831" max="3831" width="13.5703125" style="68" customWidth="1"/>
    <col min="3832" max="3832" width="13" style="68" customWidth="1"/>
    <col min="3833" max="4071" width="9.140625" style="68"/>
    <col min="4072" max="4072" width="3.7109375" style="68" customWidth="1"/>
    <col min="4073" max="4073" width="4" style="68" bestFit="1" customWidth="1"/>
    <col min="4074" max="4074" width="14.5703125" style="68" customWidth="1"/>
    <col min="4075" max="4075" width="11.140625" style="68" customWidth="1"/>
    <col min="4076" max="4076" width="8.7109375" style="68" customWidth="1"/>
    <col min="4077" max="4077" width="9.7109375" style="68" bestFit="1" customWidth="1"/>
    <col min="4078" max="4078" width="10.85546875" style="68" customWidth="1"/>
    <col min="4079" max="4079" width="10.42578125" style="68" customWidth="1"/>
    <col min="4080" max="4080" width="9.7109375" style="68" bestFit="1" customWidth="1"/>
    <col min="4081" max="4083" width="9.28515625" style="68" bestFit="1" customWidth="1"/>
    <col min="4084" max="4084" width="10.7109375" style="68" bestFit="1" customWidth="1"/>
    <col min="4085" max="4085" width="11.28515625" style="68" customWidth="1"/>
    <col min="4086" max="4086" width="12.5703125" style="68" customWidth="1"/>
    <col min="4087" max="4087" width="13.5703125" style="68" customWidth="1"/>
    <col min="4088" max="4088" width="13" style="68" customWidth="1"/>
    <col min="4089" max="4327" width="9.140625" style="68"/>
    <col min="4328" max="4328" width="3.7109375" style="68" customWidth="1"/>
    <col min="4329" max="4329" width="4" style="68" bestFit="1" customWidth="1"/>
    <col min="4330" max="4330" width="14.5703125" style="68" customWidth="1"/>
    <col min="4331" max="4331" width="11.140625" style="68" customWidth="1"/>
    <col min="4332" max="4332" width="8.7109375" style="68" customWidth="1"/>
    <col min="4333" max="4333" width="9.7109375" style="68" bestFit="1" customWidth="1"/>
    <col min="4334" max="4334" width="10.85546875" style="68" customWidth="1"/>
    <col min="4335" max="4335" width="10.42578125" style="68" customWidth="1"/>
    <col min="4336" max="4336" width="9.7109375" style="68" bestFit="1" customWidth="1"/>
    <col min="4337" max="4339" width="9.28515625" style="68" bestFit="1" customWidth="1"/>
    <col min="4340" max="4340" width="10.7109375" style="68" bestFit="1" customWidth="1"/>
    <col min="4341" max="4341" width="11.28515625" style="68" customWidth="1"/>
    <col min="4342" max="4342" width="12.5703125" style="68" customWidth="1"/>
    <col min="4343" max="4343" width="13.5703125" style="68" customWidth="1"/>
    <col min="4344" max="4344" width="13" style="68" customWidth="1"/>
    <col min="4345" max="4583" width="9.140625" style="68"/>
    <col min="4584" max="4584" width="3.7109375" style="68" customWidth="1"/>
    <col min="4585" max="4585" width="4" style="68" bestFit="1" customWidth="1"/>
    <col min="4586" max="4586" width="14.5703125" style="68" customWidth="1"/>
    <col min="4587" max="4587" width="11.140625" style="68" customWidth="1"/>
    <col min="4588" max="4588" width="8.7109375" style="68" customWidth="1"/>
    <col min="4589" max="4589" width="9.7109375" style="68" bestFit="1" customWidth="1"/>
    <col min="4590" max="4590" width="10.85546875" style="68" customWidth="1"/>
    <col min="4591" max="4591" width="10.42578125" style="68" customWidth="1"/>
    <col min="4592" max="4592" width="9.7109375" style="68" bestFit="1" customWidth="1"/>
    <col min="4593" max="4595" width="9.28515625" style="68" bestFit="1" customWidth="1"/>
    <col min="4596" max="4596" width="10.7109375" style="68" bestFit="1" customWidth="1"/>
    <col min="4597" max="4597" width="11.28515625" style="68" customWidth="1"/>
    <col min="4598" max="4598" width="12.5703125" style="68" customWidth="1"/>
    <col min="4599" max="4599" width="13.5703125" style="68" customWidth="1"/>
    <col min="4600" max="4600" width="13" style="68" customWidth="1"/>
    <col min="4601" max="4839" width="9.140625" style="68"/>
    <col min="4840" max="4840" width="3.7109375" style="68" customWidth="1"/>
    <col min="4841" max="4841" width="4" style="68" bestFit="1" customWidth="1"/>
    <col min="4842" max="4842" width="14.5703125" style="68" customWidth="1"/>
    <col min="4843" max="4843" width="11.140625" style="68" customWidth="1"/>
    <col min="4844" max="4844" width="8.7109375" style="68" customWidth="1"/>
    <col min="4845" max="4845" width="9.7109375" style="68" bestFit="1" customWidth="1"/>
    <col min="4846" max="4846" width="10.85546875" style="68" customWidth="1"/>
    <col min="4847" max="4847" width="10.42578125" style="68" customWidth="1"/>
    <col min="4848" max="4848" width="9.7109375" style="68" bestFit="1" customWidth="1"/>
    <col min="4849" max="4851" width="9.28515625" style="68" bestFit="1" customWidth="1"/>
    <col min="4852" max="4852" width="10.7109375" style="68" bestFit="1" customWidth="1"/>
    <col min="4853" max="4853" width="11.28515625" style="68" customWidth="1"/>
    <col min="4854" max="4854" width="12.5703125" style="68" customWidth="1"/>
    <col min="4855" max="4855" width="13.5703125" style="68" customWidth="1"/>
    <col min="4856" max="4856" width="13" style="68" customWidth="1"/>
    <col min="4857" max="5095" width="9.140625" style="68"/>
    <col min="5096" max="5096" width="3.7109375" style="68" customWidth="1"/>
    <col min="5097" max="5097" width="4" style="68" bestFit="1" customWidth="1"/>
    <col min="5098" max="5098" width="14.5703125" style="68" customWidth="1"/>
    <col min="5099" max="5099" width="11.140625" style="68" customWidth="1"/>
    <col min="5100" max="5100" width="8.7109375" style="68" customWidth="1"/>
    <col min="5101" max="5101" width="9.7109375" style="68" bestFit="1" customWidth="1"/>
    <col min="5102" max="5102" width="10.85546875" style="68" customWidth="1"/>
    <col min="5103" max="5103" width="10.42578125" style="68" customWidth="1"/>
    <col min="5104" max="5104" width="9.7109375" style="68" bestFit="1" customWidth="1"/>
    <col min="5105" max="5107" width="9.28515625" style="68" bestFit="1" customWidth="1"/>
    <col min="5108" max="5108" width="10.7109375" style="68" bestFit="1" customWidth="1"/>
    <col min="5109" max="5109" width="11.28515625" style="68" customWidth="1"/>
    <col min="5110" max="5110" width="12.5703125" style="68" customWidth="1"/>
    <col min="5111" max="5111" width="13.5703125" style="68" customWidth="1"/>
    <col min="5112" max="5112" width="13" style="68" customWidth="1"/>
    <col min="5113" max="5351" width="9.140625" style="68"/>
    <col min="5352" max="5352" width="3.7109375" style="68" customWidth="1"/>
    <col min="5353" max="5353" width="4" style="68" bestFit="1" customWidth="1"/>
    <col min="5354" max="5354" width="14.5703125" style="68" customWidth="1"/>
    <col min="5355" max="5355" width="11.140625" style="68" customWidth="1"/>
    <col min="5356" max="5356" width="8.7109375" style="68" customWidth="1"/>
    <col min="5357" max="5357" width="9.7109375" style="68" bestFit="1" customWidth="1"/>
    <col min="5358" max="5358" width="10.85546875" style="68" customWidth="1"/>
    <col min="5359" max="5359" width="10.42578125" style="68" customWidth="1"/>
    <col min="5360" max="5360" width="9.7109375" style="68" bestFit="1" customWidth="1"/>
    <col min="5361" max="5363" width="9.28515625" style="68" bestFit="1" customWidth="1"/>
    <col min="5364" max="5364" width="10.7109375" style="68" bestFit="1" customWidth="1"/>
    <col min="5365" max="5365" width="11.28515625" style="68" customWidth="1"/>
    <col min="5366" max="5366" width="12.5703125" style="68" customWidth="1"/>
    <col min="5367" max="5367" width="13.5703125" style="68" customWidth="1"/>
    <col min="5368" max="5368" width="13" style="68" customWidth="1"/>
    <col min="5369" max="5607" width="9.140625" style="68"/>
    <col min="5608" max="5608" width="3.7109375" style="68" customWidth="1"/>
    <col min="5609" max="5609" width="4" style="68" bestFit="1" customWidth="1"/>
    <col min="5610" max="5610" width="14.5703125" style="68" customWidth="1"/>
    <col min="5611" max="5611" width="11.140625" style="68" customWidth="1"/>
    <col min="5612" max="5612" width="8.7109375" style="68" customWidth="1"/>
    <col min="5613" max="5613" width="9.7109375" style="68" bestFit="1" customWidth="1"/>
    <col min="5614" max="5614" width="10.85546875" style="68" customWidth="1"/>
    <col min="5615" max="5615" width="10.42578125" style="68" customWidth="1"/>
    <col min="5616" max="5616" width="9.7109375" style="68" bestFit="1" customWidth="1"/>
    <col min="5617" max="5619" width="9.28515625" style="68" bestFit="1" customWidth="1"/>
    <col min="5620" max="5620" width="10.7109375" style="68" bestFit="1" customWidth="1"/>
    <col min="5621" max="5621" width="11.28515625" style="68" customWidth="1"/>
    <col min="5622" max="5622" width="12.5703125" style="68" customWidth="1"/>
    <col min="5623" max="5623" width="13.5703125" style="68" customWidth="1"/>
    <col min="5624" max="5624" width="13" style="68" customWidth="1"/>
    <col min="5625" max="5863" width="9.140625" style="68"/>
    <col min="5864" max="5864" width="3.7109375" style="68" customWidth="1"/>
    <col min="5865" max="5865" width="4" style="68" bestFit="1" customWidth="1"/>
    <col min="5866" max="5866" width="14.5703125" style="68" customWidth="1"/>
    <col min="5867" max="5867" width="11.140625" style="68" customWidth="1"/>
    <col min="5868" max="5868" width="8.7109375" style="68" customWidth="1"/>
    <col min="5869" max="5869" width="9.7109375" style="68" bestFit="1" customWidth="1"/>
    <col min="5870" max="5870" width="10.85546875" style="68" customWidth="1"/>
    <col min="5871" max="5871" width="10.42578125" style="68" customWidth="1"/>
    <col min="5872" max="5872" width="9.7109375" style="68" bestFit="1" customWidth="1"/>
    <col min="5873" max="5875" width="9.28515625" style="68" bestFit="1" customWidth="1"/>
    <col min="5876" max="5876" width="10.7109375" style="68" bestFit="1" customWidth="1"/>
    <col min="5877" max="5877" width="11.28515625" style="68" customWidth="1"/>
    <col min="5878" max="5878" width="12.5703125" style="68" customWidth="1"/>
    <col min="5879" max="5879" width="13.5703125" style="68" customWidth="1"/>
    <col min="5880" max="5880" width="13" style="68" customWidth="1"/>
    <col min="5881" max="6119" width="9.140625" style="68"/>
    <col min="6120" max="6120" width="3.7109375" style="68" customWidth="1"/>
    <col min="6121" max="6121" width="4" style="68" bestFit="1" customWidth="1"/>
    <col min="6122" max="6122" width="14.5703125" style="68" customWidth="1"/>
    <col min="6123" max="6123" width="11.140625" style="68" customWidth="1"/>
    <col min="6124" max="6124" width="8.7109375" style="68" customWidth="1"/>
    <col min="6125" max="6125" width="9.7109375" style="68" bestFit="1" customWidth="1"/>
    <col min="6126" max="6126" width="10.85546875" style="68" customWidth="1"/>
    <col min="6127" max="6127" width="10.42578125" style="68" customWidth="1"/>
    <col min="6128" max="6128" width="9.7109375" style="68" bestFit="1" customWidth="1"/>
    <col min="6129" max="6131" width="9.28515625" style="68" bestFit="1" customWidth="1"/>
    <col min="6132" max="6132" width="10.7109375" style="68" bestFit="1" customWidth="1"/>
    <col min="6133" max="6133" width="11.28515625" style="68" customWidth="1"/>
    <col min="6134" max="6134" width="12.5703125" style="68" customWidth="1"/>
    <col min="6135" max="6135" width="13.5703125" style="68" customWidth="1"/>
    <col min="6136" max="6136" width="13" style="68" customWidth="1"/>
    <col min="6137" max="6375" width="9.140625" style="68"/>
    <col min="6376" max="6376" width="3.7109375" style="68" customWidth="1"/>
    <col min="6377" max="6377" width="4" style="68" bestFit="1" customWidth="1"/>
    <col min="6378" max="6378" width="14.5703125" style="68" customWidth="1"/>
    <col min="6379" max="6379" width="11.140625" style="68" customWidth="1"/>
    <col min="6380" max="6380" width="8.7109375" style="68" customWidth="1"/>
    <col min="6381" max="6381" width="9.7109375" style="68" bestFit="1" customWidth="1"/>
    <col min="6382" max="6382" width="10.85546875" style="68" customWidth="1"/>
    <col min="6383" max="6383" width="10.42578125" style="68" customWidth="1"/>
    <col min="6384" max="6384" width="9.7109375" style="68" bestFit="1" customWidth="1"/>
    <col min="6385" max="6387" width="9.28515625" style="68" bestFit="1" customWidth="1"/>
    <col min="6388" max="6388" width="10.7109375" style="68" bestFit="1" customWidth="1"/>
    <col min="6389" max="6389" width="11.28515625" style="68" customWidth="1"/>
    <col min="6390" max="6390" width="12.5703125" style="68" customWidth="1"/>
    <col min="6391" max="6391" width="13.5703125" style="68" customWidth="1"/>
    <col min="6392" max="6392" width="13" style="68" customWidth="1"/>
    <col min="6393" max="6631" width="9.140625" style="68"/>
    <col min="6632" max="6632" width="3.7109375" style="68" customWidth="1"/>
    <col min="6633" max="6633" width="4" style="68" bestFit="1" customWidth="1"/>
    <col min="6634" max="6634" width="14.5703125" style="68" customWidth="1"/>
    <col min="6635" max="6635" width="11.140625" style="68" customWidth="1"/>
    <col min="6636" max="6636" width="8.7109375" style="68" customWidth="1"/>
    <col min="6637" max="6637" width="9.7109375" style="68" bestFit="1" customWidth="1"/>
    <col min="6638" max="6638" width="10.85546875" style="68" customWidth="1"/>
    <col min="6639" max="6639" width="10.42578125" style="68" customWidth="1"/>
    <col min="6640" max="6640" width="9.7109375" style="68" bestFit="1" customWidth="1"/>
    <col min="6641" max="6643" width="9.28515625" style="68" bestFit="1" customWidth="1"/>
    <col min="6644" max="6644" width="10.7109375" style="68" bestFit="1" customWidth="1"/>
    <col min="6645" max="6645" width="11.28515625" style="68" customWidth="1"/>
    <col min="6646" max="6646" width="12.5703125" style="68" customWidth="1"/>
    <col min="6647" max="6647" width="13.5703125" style="68" customWidth="1"/>
    <col min="6648" max="6648" width="13" style="68" customWidth="1"/>
    <col min="6649" max="6887" width="9.140625" style="68"/>
    <col min="6888" max="6888" width="3.7109375" style="68" customWidth="1"/>
    <col min="6889" max="6889" width="4" style="68" bestFit="1" customWidth="1"/>
    <col min="6890" max="6890" width="14.5703125" style="68" customWidth="1"/>
    <col min="6891" max="6891" width="11.140625" style="68" customWidth="1"/>
    <col min="6892" max="6892" width="8.7109375" style="68" customWidth="1"/>
    <col min="6893" max="6893" width="9.7109375" style="68" bestFit="1" customWidth="1"/>
    <col min="6894" max="6894" width="10.85546875" style="68" customWidth="1"/>
    <col min="6895" max="6895" width="10.42578125" style="68" customWidth="1"/>
    <col min="6896" max="6896" width="9.7109375" style="68" bestFit="1" customWidth="1"/>
    <col min="6897" max="6899" width="9.28515625" style="68" bestFit="1" customWidth="1"/>
    <col min="6900" max="6900" width="10.7109375" style="68" bestFit="1" customWidth="1"/>
    <col min="6901" max="6901" width="11.28515625" style="68" customWidth="1"/>
    <col min="6902" max="6902" width="12.5703125" style="68" customWidth="1"/>
    <col min="6903" max="6903" width="13.5703125" style="68" customWidth="1"/>
    <col min="6904" max="6904" width="13" style="68" customWidth="1"/>
    <col min="6905" max="7143" width="9.140625" style="68"/>
    <col min="7144" max="7144" width="3.7109375" style="68" customWidth="1"/>
    <col min="7145" max="7145" width="4" style="68" bestFit="1" customWidth="1"/>
    <col min="7146" max="7146" width="14.5703125" style="68" customWidth="1"/>
    <col min="7147" max="7147" width="11.140625" style="68" customWidth="1"/>
    <col min="7148" max="7148" width="8.7109375" style="68" customWidth="1"/>
    <col min="7149" max="7149" width="9.7109375" style="68" bestFit="1" customWidth="1"/>
    <col min="7150" max="7150" width="10.85546875" style="68" customWidth="1"/>
    <col min="7151" max="7151" width="10.42578125" style="68" customWidth="1"/>
    <col min="7152" max="7152" width="9.7109375" style="68" bestFit="1" customWidth="1"/>
    <col min="7153" max="7155" width="9.28515625" style="68" bestFit="1" customWidth="1"/>
    <col min="7156" max="7156" width="10.7109375" style="68" bestFit="1" customWidth="1"/>
    <col min="7157" max="7157" width="11.28515625" style="68" customWidth="1"/>
    <col min="7158" max="7158" width="12.5703125" style="68" customWidth="1"/>
    <col min="7159" max="7159" width="13.5703125" style="68" customWidth="1"/>
    <col min="7160" max="7160" width="13" style="68" customWidth="1"/>
    <col min="7161" max="7399" width="9.140625" style="68"/>
    <col min="7400" max="7400" width="3.7109375" style="68" customWidth="1"/>
    <col min="7401" max="7401" width="4" style="68" bestFit="1" customWidth="1"/>
    <col min="7402" max="7402" width="14.5703125" style="68" customWidth="1"/>
    <col min="7403" max="7403" width="11.140625" style="68" customWidth="1"/>
    <col min="7404" max="7404" width="8.7109375" style="68" customWidth="1"/>
    <col min="7405" max="7405" width="9.7109375" style="68" bestFit="1" customWidth="1"/>
    <col min="7406" max="7406" width="10.85546875" style="68" customWidth="1"/>
    <col min="7407" max="7407" width="10.42578125" style="68" customWidth="1"/>
    <col min="7408" max="7408" width="9.7109375" style="68" bestFit="1" customWidth="1"/>
    <col min="7409" max="7411" width="9.28515625" style="68" bestFit="1" customWidth="1"/>
    <col min="7412" max="7412" width="10.7109375" style="68" bestFit="1" customWidth="1"/>
    <col min="7413" max="7413" width="11.28515625" style="68" customWidth="1"/>
    <col min="7414" max="7414" width="12.5703125" style="68" customWidth="1"/>
    <col min="7415" max="7415" width="13.5703125" style="68" customWidth="1"/>
    <col min="7416" max="7416" width="13" style="68" customWidth="1"/>
    <col min="7417" max="7655" width="9.140625" style="68"/>
    <col min="7656" max="7656" width="3.7109375" style="68" customWidth="1"/>
    <col min="7657" max="7657" width="4" style="68" bestFit="1" customWidth="1"/>
    <col min="7658" max="7658" width="14.5703125" style="68" customWidth="1"/>
    <col min="7659" max="7659" width="11.140625" style="68" customWidth="1"/>
    <col min="7660" max="7660" width="8.7109375" style="68" customWidth="1"/>
    <col min="7661" max="7661" width="9.7109375" style="68" bestFit="1" customWidth="1"/>
    <col min="7662" max="7662" width="10.85546875" style="68" customWidth="1"/>
    <col min="7663" max="7663" width="10.42578125" style="68" customWidth="1"/>
    <col min="7664" max="7664" width="9.7109375" style="68" bestFit="1" customWidth="1"/>
    <col min="7665" max="7667" width="9.28515625" style="68" bestFit="1" customWidth="1"/>
    <col min="7668" max="7668" width="10.7109375" style="68" bestFit="1" customWidth="1"/>
    <col min="7669" max="7669" width="11.28515625" style="68" customWidth="1"/>
    <col min="7670" max="7670" width="12.5703125" style="68" customWidth="1"/>
    <col min="7671" max="7671" width="13.5703125" style="68" customWidth="1"/>
    <col min="7672" max="7672" width="13" style="68" customWidth="1"/>
    <col min="7673" max="7911" width="9.140625" style="68"/>
    <col min="7912" max="7912" width="3.7109375" style="68" customWidth="1"/>
    <col min="7913" max="7913" width="4" style="68" bestFit="1" customWidth="1"/>
    <col min="7914" max="7914" width="14.5703125" style="68" customWidth="1"/>
    <col min="7915" max="7915" width="11.140625" style="68" customWidth="1"/>
    <col min="7916" max="7916" width="8.7109375" style="68" customWidth="1"/>
    <col min="7917" max="7917" width="9.7109375" style="68" bestFit="1" customWidth="1"/>
    <col min="7918" max="7918" width="10.85546875" style="68" customWidth="1"/>
    <col min="7919" max="7919" width="10.42578125" style="68" customWidth="1"/>
    <col min="7920" max="7920" width="9.7109375" style="68" bestFit="1" customWidth="1"/>
    <col min="7921" max="7923" width="9.28515625" style="68" bestFit="1" customWidth="1"/>
    <col min="7924" max="7924" width="10.7109375" style="68" bestFit="1" customWidth="1"/>
    <col min="7925" max="7925" width="11.28515625" style="68" customWidth="1"/>
    <col min="7926" max="7926" width="12.5703125" style="68" customWidth="1"/>
    <col min="7927" max="7927" width="13.5703125" style="68" customWidth="1"/>
    <col min="7928" max="7928" width="13" style="68" customWidth="1"/>
    <col min="7929" max="8167" width="9.140625" style="68"/>
    <col min="8168" max="8168" width="3.7109375" style="68" customWidth="1"/>
    <col min="8169" max="8169" width="4" style="68" bestFit="1" customWidth="1"/>
    <col min="8170" max="8170" width="14.5703125" style="68" customWidth="1"/>
    <col min="8171" max="8171" width="11.140625" style="68" customWidth="1"/>
    <col min="8172" max="8172" width="8.7109375" style="68" customWidth="1"/>
    <col min="8173" max="8173" width="9.7109375" style="68" bestFit="1" customWidth="1"/>
    <col min="8174" max="8174" width="10.85546875" style="68" customWidth="1"/>
    <col min="8175" max="8175" width="10.42578125" style="68" customWidth="1"/>
    <col min="8176" max="8176" width="9.7109375" style="68" bestFit="1" customWidth="1"/>
    <col min="8177" max="8179" width="9.28515625" style="68" bestFit="1" customWidth="1"/>
    <col min="8180" max="8180" width="10.7109375" style="68" bestFit="1" customWidth="1"/>
    <col min="8181" max="8181" width="11.28515625" style="68" customWidth="1"/>
    <col min="8182" max="8182" width="12.5703125" style="68" customWidth="1"/>
    <col min="8183" max="8183" width="13.5703125" style="68" customWidth="1"/>
    <col min="8184" max="8184" width="13" style="68" customWidth="1"/>
    <col min="8185" max="8423" width="9.140625" style="68"/>
    <col min="8424" max="8424" width="3.7109375" style="68" customWidth="1"/>
    <col min="8425" max="8425" width="4" style="68" bestFit="1" customWidth="1"/>
    <col min="8426" max="8426" width="14.5703125" style="68" customWidth="1"/>
    <col min="8427" max="8427" width="11.140625" style="68" customWidth="1"/>
    <col min="8428" max="8428" width="8.7109375" style="68" customWidth="1"/>
    <col min="8429" max="8429" width="9.7109375" style="68" bestFit="1" customWidth="1"/>
    <col min="8430" max="8430" width="10.85546875" style="68" customWidth="1"/>
    <col min="8431" max="8431" width="10.42578125" style="68" customWidth="1"/>
    <col min="8432" max="8432" width="9.7109375" style="68" bestFit="1" customWidth="1"/>
    <col min="8433" max="8435" width="9.28515625" style="68" bestFit="1" customWidth="1"/>
    <col min="8436" max="8436" width="10.7109375" style="68" bestFit="1" customWidth="1"/>
    <col min="8437" max="8437" width="11.28515625" style="68" customWidth="1"/>
    <col min="8438" max="8438" width="12.5703125" style="68" customWidth="1"/>
    <col min="8439" max="8439" width="13.5703125" style="68" customWidth="1"/>
    <col min="8440" max="8440" width="13" style="68" customWidth="1"/>
    <col min="8441" max="8679" width="9.140625" style="68"/>
    <col min="8680" max="8680" width="3.7109375" style="68" customWidth="1"/>
    <col min="8681" max="8681" width="4" style="68" bestFit="1" customWidth="1"/>
    <col min="8682" max="8682" width="14.5703125" style="68" customWidth="1"/>
    <col min="8683" max="8683" width="11.140625" style="68" customWidth="1"/>
    <col min="8684" max="8684" width="8.7109375" style="68" customWidth="1"/>
    <col min="8685" max="8685" width="9.7109375" style="68" bestFit="1" customWidth="1"/>
    <col min="8686" max="8686" width="10.85546875" style="68" customWidth="1"/>
    <col min="8687" max="8687" width="10.42578125" style="68" customWidth="1"/>
    <col min="8688" max="8688" width="9.7109375" style="68" bestFit="1" customWidth="1"/>
    <col min="8689" max="8691" width="9.28515625" style="68" bestFit="1" customWidth="1"/>
    <col min="8692" max="8692" width="10.7109375" style="68" bestFit="1" customWidth="1"/>
    <col min="8693" max="8693" width="11.28515625" style="68" customWidth="1"/>
    <col min="8694" max="8694" width="12.5703125" style="68" customWidth="1"/>
    <col min="8695" max="8695" width="13.5703125" style="68" customWidth="1"/>
    <col min="8696" max="8696" width="13" style="68" customWidth="1"/>
    <col min="8697" max="8935" width="9.140625" style="68"/>
    <col min="8936" max="8936" width="3.7109375" style="68" customWidth="1"/>
    <col min="8937" max="8937" width="4" style="68" bestFit="1" customWidth="1"/>
    <col min="8938" max="8938" width="14.5703125" style="68" customWidth="1"/>
    <col min="8939" max="8939" width="11.140625" style="68" customWidth="1"/>
    <col min="8940" max="8940" width="8.7109375" style="68" customWidth="1"/>
    <col min="8941" max="8941" width="9.7109375" style="68" bestFit="1" customWidth="1"/>
    <col min="8942" max="8942" width="10.85546875" style="68" customWidth="1"/>
    <col min="8943" max="8943" width="10.42578125" style="68" customWidth="1"/>
    <col min="8944" max="8944" width="9.7109375" style="68" bestFit="1" customWidth="1"/>
    <col min="8945" max="8947" width="9.28515625" style="68" bestFit="1" customWidth="1"/>
    <col min="8948" max="8948" width="10.7109375" style="68" bestFit="1" customWidth="1"/>
    <col min="8949" max="8949" width="11.28515625" style="68" customWidth="1"/>
    <col min="8950" max="8950" width="12.5703125" style="68" customWidth="1"/>
    <col min="8951" max="8951" width="13.5703125" style="68" customWidth="1"/>
    <col min="8952" max="8952" width="13" style="68" customWidth="1"/>
    <col min="8953" max="9191" width="9.140625" style="68"/>
    <col min="9192" max="9192" width="3.7109375" style="68" customWidth="1"/>
    <col min="9193" max="9193" width="4" style="68" bestFit="1" customWidth="1"/>
    <col min="9194" max="9194" width="14.5703125" style="68" customWidth="1"/>
    <col min="9195" max="9195" width="11.140625" style="68" customWidth="1"/>
    <col min="9196" max="9196" width="8.7109375" style="68" customWidth="1"/>
    <col min="9197" max="9197" width="9.7109375" style="68" bestFit="1" customWidth="1"/>
    <col min="9198" max="9198" width="10.85546875" style="68" customWidth="1"/>
    <col min="9199" max="9199" width="10.42578125" style="68" customWidth="1"/>
    <col min="9200" max="9200" width="9.7109375" style="68" bestFit="1" customWidth="1"/>
    <col min="9201" max="9203" width="9.28515625" style="68" bestFit="1" customWidth="1"/>
    <col min="9204" max="9204" width="10.7109375" style="68" bestFit="1" customWidth="1"/>
    <col min="9205" max="9205" width="11.28515625" style="68" customWidth="1"/>
    <col min="9206" max="9206" width="12.5703125" style="68" customWidth="1"/>
    <col min="9207" max="9207" width="13.5703125" style="68" customWidth="1"/>
    <col min="9208" max="9208" width="13" style="68" customWidth="1"/>
    <col min="9209" max="9447" width="9.140625" style="68"/>
    <col min="9448" max="9448" width="3.7109375" style="68" customWidth="1"/>
    <col min="9449" max="9449" width="4" style="68" bestFit="1" customWidth="1"/>
    <col min="9450" max="9450" width="14.5703125" style="68" customWidth="1"/>
    <col min="9451" max="9451" width="11.140625" style="68" customWidth="1"/>
    <col min="9452" max="9452" width="8.7109375" style="68" customWidth="1"/>
    <col min="9453" max="9453" width="9.7109375" style="68" bestFit="1" customWidth="1"/>
    <col min="9454" max="9454" width="10.85546875" style="68" customWidth="1"/>
    <col min="9455" max="9455" width="10.42578125" style="68" customWidth="1"/>
    <col min="9456" max="9456" width="9.7109375" style="68" bestFit="1" customWidth="1"/>
    <col min="9457" max="9459" width="9.28515625" style="68" bestFit="1" customWidth="1"/>
    <col min="9460" max="9460" width="10.7109375" style="68" bestFit="1" customWidth="1"/>
    <col min="9461" max="9461" width="11.28515625" style="68" customWidth="1"/>
    <col min="9462" max="9462" width="12.5703125" style="68" customWidth="1"/>
    <col min="9463" max="9463" width="13.5703125" style="68" customWidth="1"/>
    <col min="9464" max="9464" width="13" style="68" customWidth="1"/>
    <col min="9465" max="9703" width="9.140625" style="68"/>
    <col min="9704" max="9704" width="3.7109375" style="68" customWidth="1"/>
    <col min="9705" max="9705" width="4" style="68" bestFit="1" customWidth="1"/>
    <col min="9706" max="9706" width="14.5703125" style="68" customWidth="1"/>
    <col min="9707" max="9707" width="11.140625" style="68" customWidth="1"/>
    <col min="9708" max="9708" width="8.7109375" style="68" customWidth="1"/>
    <col min="9709" max="9709" width="9.7109375" style="68" bestFit="1" customWidth="1"/>
    <col min="9710" max="9710" width="10.85546875" style="68" customWidth="1"/>
    <col min="9711" max="9711" width="10.42578125" style="68" customWidth="1"/>
    <col min="9712" max="9712" width="9.7109375" style="68" bestFit="1" customWidth="1"/>
    <col min="9713" max="9715" width="9.28515625" style="68" bestFit="1" customWidth="1"/>
    <col min="9716" max="9716" width="10.7109375" style="68" bestFit="1" customWidth="1"/>
    <col min="9717" max="9717" width="11.28515625" style="68" customWidth="1"/>
    <col min="9718" max="9718" width="12.5703125" style="68" customWidth="1"/>
    <col min="9719" max="9719" width="13.5703125" style="68" customWidth="1"/>
    <col min="9720" max="9720" width="13" style="68" customWidth="1"/>
    <col min="9721" max="9959" width="9.140625" style="68"/>
    <col min="9960" max="9960" width="3.7109375" style="68" customWidth="1"/>
    <col min="9961" max="9961" width="4" style="68" bestFit="1" customWidth="1"/>
    <col min="9962" max="9962" width="14.5703125" style="68" customWidth="1"/>
    <col min="9963" max="9963" width="11.140625" style="68" customWidth="1"/>
    <col min="9964" max="9964" width="8.7109375" style="68" customWidth="1"/>
    <col min="9965" max="9965" width="9.7109375" style="68" bestFit="1" customWidth="1"/>
    <col min="9966" max="9966" width="10.85546875" style="68" customWidth="1"/>
    <col min="9967" max="9967" width="10.42578125" style="68" customWidth="1"/>
    <col min="9968" max="9968" width="9.7109375" style="68" bestFit="1" customWidth="1"/>
    <col min="9969" max="9971" width="9.28515625" style="68" bestFit="1" customWidth="1"/>
    <col min="9972" max="9972" width="10.7109375" style="68" bestFit="1" customWidth="1"/>
    <col min="9973" max="9973" width="11.28515625" style="68" customWidth="1"/>
    <col min="9974" max="9974" width="12.5703125" style="68" customWidth="1"/>
    <col min="9975" max="9975" width="13.5703125" style="68" customWidth="1"/>
    <col min="9976" max="9976" width="13" style="68" customWidth="1"/>
    <col min="9977" max="10215" width="9.140625" style="68"/>
    <col min="10216" max="10216" width="3.7109375" style="68" customWidth="1"/>
    <col min="10217" max="10217" width="4" style="68" bestFit="1" customWidth="1"/>
    <col min="10218" max="10218" width="14.5703125" style="68" customWidth="1"/>
    <col min="10219" max="10219" width="11.140625" style="68" customWidth="1"/>
    <col min="10220" max="10220" width="8.7109375" style="68" customWidth="1"/>
    <col min="10221" max="10221" width="9.7109375" style="68" bestFit="1" customWidth="1"/>
    <col min="10222" max="10222" width="10.85546875" style="68" customWidth="1"/>
    <col min="10223" max="10223" width="10.42578125" style="68" customWidth="1"/>
    <col min="10224" max="10224" width="9.7109375" style="68" bestFit="1" customWidth="1"/>
    <col min="10225" max="10227" width="9.28515625" style="68" bestFit="1" customWidth="1"/>
    <col min="10228" max="10228" width="10.7109375" style="68" bestFit="1" customWidth="1"/>
    <col min="10229" max="10229" width="11.28515625" style="68" customWidth="1"/>
    <col min="10230" max="10230" width="12.5703125" style="68" customWidth="1"/>
    <col min="10231" max="10231" width="13.5703125" style="68" customWidth="1"/>
    <col min="10232" max="10232" width="13" style="68" customWidth="1"/>
    <col min="10233" max="10471" width="9.140625" style="68"/>
    <col min="10472" max="10472" width="3.7109375" style="68" customWidth="1"/>
    <col min="10473" max="10473" width="4" style="68" bestFit="1" customWidth="1"/>
    <col min="10474" max="10474" width="14.5703125" style="68" customWidth="1"/>
    <col min="10475" max="10475" width="11.140625" style="68" customWidth="1"/>
    <col min="10476" max="10476" width="8.7109375" style="68" customWidth="1"/>
    <col min="10477" max="10477" width="9.7109375" style="68" bestFit="1" customWidth="1"/>
    <col min="10478" max="10478" width="10.85546875" style="68" customWidth="1"/>
    <col min="10479" max="10479" width="10.42578125" style="68" customWidth="1"/>
    <col min="10480" max="10480" width="9.7109375" style="68" bestFit="1" customWidth="1"/>
    <col min="10481" max="10483" width="9.28515625" style="68" bestFit="1" customWidth="1"/>
    <col min="10484" max="10484" width="10.7109375" style="68" bestFit="1" customWidth="1"/>
    <col min="10485" max="10485" width="11.28515625" style="68" customWidth="1"/>
    <col min="10486" max="10486" width="12.5703125" style="68" customWidth="1"/>
    <col min="10487" max="10487" width="13.5703125" style="68" customWidth="1"/>
    <col min="10488" max="10488" width="13" style="68" customWidth="1"/>
    <col min="10489" max="10727" width="9.140625" style="68"/>
    <col min="10728" max="10728" width="3.7109375" style="68" customWidth="1"/>
    <col min="10729" max="10729" width="4" style="68" bestFit="1" customWidth="1"/>
    <col min="10730" max="10730" width="14.5703125" style="68" customWidth="1"/>
    <col min="10731" max="10731" width="11.140625" style="68" customWidth="1"/>
    <col min="10732" max="10732" width="8.7109375" style="68" customWidth="1"/>
    <col min="10733" max="10733" width="9.7109375" style="68" bestFit="1" customWidth="1"/>
    <col min="10734" max="10734" width="10.85546875" style="68" customWidth="1"/>
    <col min="10735" max="10735" width="10.42578125" style="68" customWidth="1"/>
    <col min="10736" max="10736" width="9.7109375" style="68" bestFit="1" customWidth="1"/>
    <col min="10737" max="10739" width="9.28515625" style="68" bestFit="1" customWidth="1"/>
    <col min="10740" max="10740" width="10.7109375" style="68" bestFit="1" customWidth="1"/>
    <col min="10741" max="10741" width="11.28515625" style="68" customWidth="1"/>
    <col min="10742" max="10742" width="12.5703125" style="68" customWidth="1"/>
    <col min="10743" max="10743" width="13.5703125" style="68" customWidth="1"/>
    <col min="10744" max="10744" width="13" style="68" customWidth="1"/>
    <col min="10745" max="10983" width="9.140625" style="68"/>
    <col min="10984" max="10984" width="3.7109375" style="68" customWidth="1"/>
    <col min="10985" max="10985" width="4" style="68" bestFit="1" customWidth="1"/>
    <col min="10986" max="10986" width="14.5703125" style="68" customWidth="1"/>
    <col min="10987" max="10987" width="11.140625" style="68" customWidth="1"/>
    <col min="10988" max="10988" width="8.7109375" style="68" customWidth="1"/>
    <col min="10989" max="10989" width="9.7109375" style="68" bestFit="1" customWidth="1"/>
    <col min="10990" max="10990" width="10.85546875" style="68" customWidth="1"/>
    <col min="10991" max="10991" width="10.42578125" style="68" customWidth="1"/>
    <col min="10992" max="10992" width="9.7109375" style="68" bestFit="1" customWidth="1"/>
    <col min="10993" max="10995" width="9.28515625" style="68" bestFit="1" customWidth="1"/>
    <col min="10996" max="10996" width="10.7109375" style="68" bestFit="1" customWidth="1"/>
    <col min="10997" max="10997" width="11.28515625" style="68" customWidth="1"/>
    <col min="10998" max="10998" width="12.5703125" style="68" customWidth="1"/>
    <col min="10999" max="10999" width="13.5703125" style="68" customWidth="1"/>
    <col min="11000" max="11000" width="13" style="68" customWidth="1"/>
    <col min="11001" max="11239" width="9.140625" style="68"/>
    <col min="11240" max="11240" width="3.7109375" style="68" customWidth="1"/>
    <col min="11241" max="11241" width="4" style="68" bestFit="1" customWidth="1"/>
    <col min="11242" max="11242" width="14.5703125" style="68" customWidth="1"/>
    <col min="11243" max="11243" width="11.140625" style="68" customWidth="1"/>
    <col min="11244" max="11244" width="8.7109375" style="68" customWidth="1"/>
    <col min="11245" max="11245" width="9.7109375" style="68" bestFit="1" customWidth="1"/>
    <col min="11246" max="11246" width="10.85546875" style="68" customWidth="1"/>
    <col min="11247" max="11247" width="10.42578125" style="68" customWidth="1"/>
    <col min="11248" max="11248" width="9.7109375" style="68" bestFit="1" customWidth="1"/>
    <col min="11249" max="11251" width="9.28515625" style="68" bestFit="1" customWidth="1"/>
    <col min="11252" max="11252" width="10.7109375" style="68" bestFit="1" customWidth="1"/>
    <col min="11253" max="11253" width="11.28515625" style="68" customWidth="1"/>
    <col min="11254" max="11254" width="12.5703125" style="68" customWidth="1"/>
    <col min="11255" max="11255" width="13.5703125" style="68" customWidth="1"/>
    <col min="11256" max="11256" width="13" style="68" customWidth="1"/>
    <col min="11257" max="11495" width="9.140625" style="68"/>
    <col min="11496" max="11496" width="3.7109375" style="68" customWidth="1"/>
    <col min="11497" max="11497" width="4" style="68" bestFit="1" customWidth="1"/>
    <col min="11498" max="11498" width="14.5703125" style="68" customWidth="1"/>
    <col min="11499" max="11499" width="11.140625" style="68" customWidth="1"/>
    <col min="11500" max="11500" width="8.7109375" style="68" customWidth="1"/>
    <col min="11501" max="11501" width="9.7109375" style="68" bestFit="1" customWidth="1"/>
    <col min="11502" max="11502" width="10.85546875" style="68" customWidth="1"/>
    <col min="11503" max="11503" width="10.42578125" style="68" customWidth="1"/>
    <col min="11504" max="11504" width="9.7109375" style="68" bestFit="1" customWidth="1"/>
    <col min="11505" max="11507" width="9.28515625" style="68" bestFit="1" customWidth="1"/>
    <col min="11508" max="11508" width="10.7109375" style="68" bestFit="1" customWidth="1"/>
    <col min="11509" max="11509" width="11.28515625" style="68" customWidth="1"/>
    <col min="11510" max="11510" width="12.5703125" style="68" customWidth="1"/>
    <col min="11511" max="11511" width="13.5703125" style="68" customWidth="1"/>
    <col min="11512" max="11512" width="13" style="68" customWidth="1"/>
    <col min="11513" max="11751" width="9.140625" style="68"/>
    <col min="11752" max="11752" width="3.7109375" style="68" customWidth="1"/>
    <col min="11753" max="11753" width="4" style="68" bestFit="1" customWidth="1"/>
    <col min="11754" max="11754" width="14.5703125" style="68" customWidth="1"/>
    <col min="11755" max="11755" width="11.140625" style="68" customWidth="1"/>
    <col min="11756" max="11756" width="8.7109375" style="68" customWidth="1"/>
    <col min="11757" max="11757" width="9.7109375" style="68" bestFit="1" customWidth="1"/>
    <col min="11758" max="11758" width="10.85546875" style="68" customWidth="1"/>
    <col min="11759" max="11759" width="10.42578125" style="68" customWidth="1"/>
    <col min="11760" max="11760" width="9.7109375" style="68" bestFit="1" customWidth="1"/>
    <col min="11761" max="11763" width="9.28515625" style="68" bestFit="1" customWidth="1"/>
    <col min="11764" max="11764" width="10.7109375" style="68" bestFit="1" customWidth="1"/>
    <col min="11765" max="11765" width="11.28515625" style="68" customWidth="1"/>
    <col min="11766" max="11766" width="12.5703125" style="68" customWidth="1"/>
    <col min="11767" max="11767" width="13.5703125" style="68" customWidth="1"/>
    <col min="11768" max="11768" width="13" style="68" customWidth="1"/>
    <col min="11769" max="12007" width="9.140625" style="68"/>
    <col min="12008" max="12008" width="3.7109375" style="68" customWidth="1"/>
    <col min="12009" max="12009" width="4" style="68" bestFit="1" customWidth="1"/>
    <col min="12010" max="12010" width="14.5703125" style="68" customWidth="1"/>
    <col min="12011" max="12011" width="11.140625" style="68" customWidth="1"/>
    <col min="12012" max="12012" width="8.7109375" style="68" customWidth="1"/>
    <col min="12013" max="12013" width="9.7109375" style="68" bestFit="1" customWidth="1"/>
    <col min="12014" max="12014" width="10.85546875" style="68" customWidth="1"/>
    <col min="12015" max="12015" width="10.42578125" style="68" customWidth="1"/>
    <col min="12016" max="12016" width="9.7109375" style="68" bestFit="1" customWidth="1"/>
    <col min="12017" max="12019" width="9.28515625" style="68" bestFit="1" customWidth="1"/>
    <col min="12020" max="12020" width="10.7109375" style="68" bestFit="1" customWidth="1"/>
    <col min="12021" max="12021" width="11.28515625" style="68" customWidth="1"/>
    <col min="12022" max="12022" width="12.5703125" style="68" customWidth="1"/>
    <col min="12023" max="12023" width="13.5703125" style="68" customWidth="1"/>
    <col min="12024" max="12024" width="13" style="68" customWidth="1"/>
    <col min="12025" max="12263" width="9.140625" style="68"/>
    <col min="12264" max="12264" width="3.7109375" style="68" customWidth="1"/>
    <col min="12265" max="12265" width="4" style="68" bestFit="1" customWidth="1"/>
    <col min="12266" max="12266" width="14.5703125" style="68" customWidth="1"/>
    <col min="12267" max="12267" width="11.140625" style="68" customWidth="1"/>
    <col min="12268" max="12268" width="8.7109375" style="68" customWidth="1"/>
    <col min="12269" max="12269" width="9.7109375" style="68" bestFit="1" customWidth="1"/>
    <col min="12270" max="12270" width="10.85546875" style="68" customWidth="1"/>
    <col min="12271" max="12271" width="10.42578125" style="68" customWidth="1"/>
    <col min="12272" max="12272" width="9.7109375" style="68" bestFit="1" customWidth="1"/>
    <col min="12273" max="12275" width="9.28515625" style="68" bestFit="1" customWidth="1"/>
    <col min="12276" max="12276" width="10.7109375" style="68" bestFit="1" customWidth="1"/>
    <col min="12277" max="12277" width="11.28515625" style="68" customWidth="1"/>
    <col min="12278" max="12278" width="12.5703125" style="68" customWidth="1"/>
    <col min="12279" max="12279" width="13.5703125" style="68" customWidth="1"/>
    <col min="12280" max="12280" width="13" style="68" customWidth="1"/>
    <col min="12281" max="12519" width="9.140625" style="68"/>
    <col min="12520" max="12520" width="3.7109375" style="68" customWidth="1"/>
    <col min="12521" max="12521" width="4" style="68" bestFit="1" customWidth="1"/>
    <col min="12522" max="12522" width="14.5703125" style="68" customWidth="1"/>
    <col min="12523" max="12523" width="11.140625" style="68" customWidth="1"/>
    <col min="12524" max="12524" width="8.7109375" style="68" customWidth="1"/>
    <col min="12525" max="12525" width="9.7109375" style="68" bestFit="1" customWidth="1"/>
    <col min="12526" max="12526" width="10.85546875" style="68" customWidth="1"/>
    <col min="12527" max="12527" width="10.42578125" style="68" customWidth="1"/>
    <col min="12528" max="12528" width="9.7109375" style="68" bestFit="1" customWidth="1"/>
    <col min="12529" max="12531" width="9.28515625" style="68" bestFit="1" customWidth="1"/>
    <col min="12532" max="12532" width="10.7109375" style="68" bestFit="1" customWidth="1"/>
    <col min="12533" max="12533" width="11.28515625" style="68" customWidth="1"/>
    <col min="12534" max="12534" width="12.5703125" style="68" customWidth="1"/>
    <col min="12535" max="12535" width="13.5703125" style="68" customWidth="1"/>
    <col min="12536" max="12536" width="13" style="68" customWidth="1"/>
    <col min="12537" max="12775" width="9.140625" style="68"/>
    <col min="12776" max="12776" width="3.7109375" style="68" customWidth="1"/>
    <col min="12777" max="12777" width="4" style="68" bestFit="1" customWidth="1"/>
    <col min="12778" max="12778" width="14.5703125" style="68" customWidth="1"/>
    <col min="12779" max="12779" width="11.140625" style="68" customWidth="1"/>
    <col min="12780" max="12780" width="8.7109375" style="68" customWidth="1"/>
    <col min="12781" max="12781" width="9.7109375" style="68" bestFit="1" customWidth="1"/>
    <col min="12782" max="12782" width="10.85546875" style="68" customWidth="1"/>
    <col min="12783" max="12783" width="10.42578125" style="68" customWidth="1"/>
    <col min="12784" max="12784" width="9.7109375" style="68" bestFit="1" customWidth="1"/>
    <col min="12785" max="12787" width="9.28515625" style="68" bestFit="1" customWidth="1"/>
    <col min="12788" max="12788" width="10.7109375" style="68" bestFit="1" customWidth="1"/>
    <col min="12789" max="12789" width="11.28515625" style="68" customWidth="1"/>
    <col min="12790" max="12790" width="12.5703125" style="68" customWidth="1"/>
    <col min="12791" max="12791" width="13.5703125" style="68" customWidth="1"/>
    <col min="12792" max="12792" width="13" style="68" customWidth="1"/>
    <col min="12793" max="13031" width="9.140625" style="68"/>
    <col min="13032" max="13032" width="3.7109375" style="68" customWidth="1"/>
    <col min="13033" max="13033" width="4" style="68" bestFit="1" customWidth="1"/>
    <col min="13034" max="13034" width="14.5703125" style="68" customWidth="1"/>
    <col min="13035" max="13035" width="11.140625" style="68" customWidth="1"/>
    <col min="13036" max="13036" width="8.7109375" style="68" customWidth="1"/>
    <col min="13037" max="13037" width="9.7109375" style="68" bestFit="1" customWidth="1"/>
    <col min="13038" max="13038" width="10.85546875" style="68" customWidth="1"/>
    <col min="13039" max="13039" width="10.42578125" style="68" customWidth="1"/>
    <col min="13040" max="13040" width="9.7109375" style="68" bestFit="1" customWidth="1"/>
    <col min="13041" max="13043" width="9.28515625" style="68" bestFit="1" customWidth="1"/>
    <col min="13044" max="13044" width="10.7109375" style="68" bestFit="1" customWidth="1"/>
    <col min="13045" max="13045" width="11.28515625" style="68" customWidth="1"/>
    <col min="13046" max="13046" width="12.5703125" style="68" customWidth="1"/>
    <col min="13047" max="13047" width="13.5703125" style="68" customWidth="1"/>
    <col min="13048" max="13048" width="13" style="68" customWidth="1"/>
    <col min="13049" max="13287" width="9.140625" style="68"/>
    <col min="13288" max="13288" width="3.7109375" style="68" customWidth="1"/>
    <col min="13289" max="13289" width="4" style="68" bestFit="1" customWidth="1"/>
    <col min="13290" max="13290" width="14.5703125" style="68" customWidth="1"/>
    <col min="13291" max="13291" width="11.140625" style="68" customWidth="1"/>
    <col min="13292" max="13292" width="8.7109375" style="68" customWidth="1"/>
    <col min="13293" max="13293" width="9.7109375" style="68" bestFit="1" customWidth="1"/>
    <col min="13294" max="13294" width="10.85546875" style="68" customWidth="1"/>
    <col min="13295" max="13295" width="10.42578125" style="68" customWidth="1"/>
    <col min="13296" max="13296" width="9.7109375" style="68" bestFit="1" customWidth="1"/>
    <col min="13297" max="13299" width="9.28515625" style="68" bestFit="1" customWidth="1"/>
    <col min="13300" max="13300" width="10.7109375" style="68" bestFit="1" customWidth="1"/>
    <col min="13301" max="13301" width="11.28515625" style="68" customWidth="1"/>
    <col min="13302" max="13302" width="12.5703125" style="68" customWidth="1"/>
    <col min="13303" max="13303" width="13.5703125" style="68" customWidth="1"/>
    <col min="13304" max="13304" width="13" style="68" customWidth="1"/>
    <col min="13305" max="13543" width="9.140625" style="68"/>
    <col min="13544" max="13544" width="3.7109375" style="68" customWidth="1"/>
    <col min="13545" max="13545" width="4" style="68" bestFit="1" customWidth="1"/>
    <col min="13546" max="13546" width="14.5703125" style="68" customWidth="1"/>
    <col min="13547" max="13547" width="11.140625" style="68" customWidth="1"/>
    <col min="13548" max="13548" width="8.7109375" style="68" customWidth="1"/>
    <col min="13549" max="13549" width="9.7109375" style="68" bestFit="1" customWidth="1"/>
    <col min="13550" max="13550" width="10.85546875" style="68" customWidth="1"/>
    <col min="13551" max="13551" width="10.42578125" style="68" customWidth="1"/>
    <col min="13552" max="13552" width="9.7109375" style="68" bestFit="1" customWidth="1"/>
    <col min="13553" max="13555" width="9.28515625" style="68" bestFit="1" customWidth="1"/>
    <col min="13556" max="13556" width="10.7109375" style="68" bestFit="1" customWidth="1"/>
    <col min="13557" max="13557" width="11.28515625" style="68" customWidth="1"/>
    <col min="13558" max="13558" width="12.5703125" style="68" customWidth="1"/>
    <col min="13559" max="13559" width="13.5703125" style="68" customWidth="1"/>
    <col min="13560" max="13560" width="13" style="68" customWidth="1"/>
    <col min="13561" max="13799" width="9.140625" style="68"/>
    <col min="13800" max="13800" width="3.7109375" style="68" customWidth="1"/>
    <col min="13801" max="13801" width="4" style="68" bestFit="1" customWidth="1"/>
    <col min="13802" max="13802" width="14.5703125" style="68" customWidth="1"/>
    <col min="13803" max="13803" width="11.140625" style="68" customWidth="1"/>
    <col min="13804" max="13804" width="8.7109375" style="68" customWidth="1"/>
    <col min="13805" max="13805" width="9.7109375" style="68" bestFit="1" customWidth="1"/>
    <col min="13806" max="13806" width="10.85546875" style="68" customWidth="1"/>
    <col min="13807" max="13807" width="10.42578125" style="68" customWidth="1"/>
    <col min="13808" max="13808" width="9.7109375" style="68" bestFit="1" customWidth="1"/>
    <col min="13809" max="13811" width="9.28515625" style="68" bestFit="1" customWidth="1"/>
    <col min="13812" max="13812" width="10.7109375" style="68" bestFit="1" customWidth="1"/>
    <col min="13813" max="13813" width="11.28515625" style="68" customWidth="1"/>
    <col min="13814" max="13814" width="12.5703125" style="68" customWidth="1"/>
    <col min="13815" max="13815" width="13.5703125" style="68" customWidth="1"/>
    <col min="13816" max="13816" width="13" style="68" customWidth="1"/>
    <col min="13817" max="14055" width="9.140625" style="68"/>
    <col min="14056" max="14056" width="3.7109375" style="68" customWidth="1"/>
    <col min="14057" max="14057" width="4" style="68" bestFit="1" customWidth="1"/>
    <col min="14058" max="14058" width="14.5703125" style="68" customWidth="1"/>
    <col min="14059" max="14059" width="11.140625" style="68" customWidth="1"/>
    <col min="14060" max="14060" width="8.7109375" style="68" customWidth="1"/>
    <col min="14061" max="14061" width="9.7109375" style="68" bestFit="1" customWidth="1"/>
    <col min="14062" max="14062" width="10.85546875" style="68" customWidth="1"/>
    <col min="14063" max="14063" width="10.42578125" style="68" customWidth="1"/>
    <col min="14064" max="14064" width="9.7109375" style="68" bestFit="1" customWidth="1"/>
    <col min="14065" max="14067" width="9.28515625" style="68" bestFit="1" customWidth="1"/>
    <col min="14068" max="14068" width="10.7109375" style="68" bestFit="1" customWidth="1"/>
    <col min="14069" max="14069" width="11.28515625" style="68" customWidth="1"/>
    <col min="14070" max="14070" width="12.5703125" style="68" customWidth="1"/>
    <col min="14071" max="14071" width="13.5703125" style="68" customWidth="1"/>
    <col min="14072" max="14072" width="13" style="68" customWidth="1"/>
    <col min="14073" max="14311" width="9.140625" style="68"/>
    <col min="14312" max="14312" width="3.7109375" style="68" customWidth="1"/>
    <col min="14313" max="14313" width="4" style="68" bestFit="1" customWidth="1"/>
    <col min="14314" max="14314" width="14.5703125" style="68" customWidth="1"/>
    <col min="14315" max="14315" width="11.140625" style="68" customWidth="1"/>
    <col min="14316" max="14316" width="8.7109375" style="68" customWidth="1"/>
    <col min="14317" max="14317" width="9.7109375" style="68" bestFit="1" customWidth="1"/>
    <col min="14318" max="14318" width="10.85546875" style="68" customWidth="1"/>
    <col min="14319" max="14319" width="10.42578125" style="68" customWidth="1"/>
    <col min="14320" max="14320" width="9.7109375" style="68" bestFit="1" customWidth="1"/>
    <col min="14321" max="14323" width="9.28515625" style="68" bestFit="1" customWidth="1"/>
    <col min="14324" max="14324" width="10.7109375" style="68" bestFit="1" customWidth="1"/>
    <col min="14325" max="14325" width="11.28515625" style="68" customWidth="1"/>
    <col min="14326" max="14326" width="12.5703125" style="68" customWidth="1"/>
    <col min="14327" max="14327" width="13.5703125" style="68" customWidth="1"/>
    <col min="14328" max="14328" width="13" style="68" customWidth="1"/>
    <col min="14329" max="14567" width="9.140625" style="68"/>
    <col min="14568" max="14568" width="3.7109375" style="68" customWidth="1"/>
    <col min="14569" max="14569" width="4" style="68" bestFit="1" customWidth="1"/>
    <col min="14570" max="14570" width="14.5703125" style="68" customWidth="1"/>
    <col min="14571" max="14571" width="11.140625" style="68" customWidth="1"/>
    <col min="14572" max="14572" width="8.7109375" style="68" customWidth="1"/>
    <col min="14573" max="14573" width="9.7109375" style="68" bestFit="1" customWidth="1"/>
    <col min="14574" max="14574" width="10.85546875" style="68" customWidth="1"/>
    <col min="14575" max="14575" width="10.42578125" style="68" customWidth="1"/>
    <col min="14576" max="14576" width="9.7109375" style="68" bestFit="1" customWidth="1"/>
    <col min="14577" max="14579" width="9.28515625" style="68" bestFit="1" customWidth="1"/>
    <col min="14580" max="14580" width="10.7109375" style="68" bestFit="1" customWidth="1"/>
    <col min="14581" max="14581" width="11.28515625" style="68" customWidth="1"/>
    <col min="14582" max="14582" width="12.5703125" style="68" customWidth="1"/>
    <col min="14583" max="14583" width="13.5703125" style="68" customWidth="1"/>
    <col min="14584" max="14584" width="13" style="68" customWidth="1"/>
    <col min="14585" max="14823" width="9.140625" style="68"/>
    <col min="14824" max="14824" width="3.7109375" style="68" customWidth="1"/>
    <col min="14825" max="14825" width="4" style="68" bestFit="1" customWidth="1"/>
    <col min="14826" max="14826" width="14.5703125" style="68" customWidth="1"/>
    <col min="14827" max="14827" width="11.140625" style="68" customWidth="1"/>
    <col min="14828" max="14828" width="8.7109375" style="68" customWidth="1"/>
    <col min="14829" max="14829" width="9.7109375" style="68" bestFit="1" customWidth="1"/>
    <col min="14830" max="14830" width="10.85546875" style="68" customWidth="1"/>
    <col min="14831" max="14831" width="10.42578125" style="68" customWidth="1"/>
    <col min="14832" max="14832" width="9.7109375" style="68" bestFit="1" customWidth="1"/>
    <col min="14833" max="14835" width="9.28515625" style="68" bestFit="1" customWidth="1"/>
    <col min="14836" max="14836" width="10.7109375" style="68" bestFit="1" customWidth="1"/>
    <col min="14837" max="14837" width="11.28515625" style="68" customWidth="1"/>
    <col min="14838" max="14838" width="12.5703125" style="68" customWidth="1"/>
    <col min="14839" max="14839" width="13.5703125" style="68" customWidth="1"/>
    <col min="14840" max="14840" width="13" style="68" customWidth="1"/>
    <col min="14841" max="15079" width="9.140625" style="68"/>
    <col min="15080" max="15080" width="3.7109375" style="68" customWidth="1"/>
    <col min="15081" max="15081" width="4" style="68" bestFit="1" customWidth="1"/>
    <col min="15082" max="15082" width="14.5703125" style="68" customWidth="1"/>
    <col min="15083" max="15083" width="11.140625" style="68" customWidth="1"/>
    <col min="15084" max="15084" width="8.7109375" style="68" customWidth="1"/>
    <col min="15085" max="15085" width="9.7109375" style="68" bestFit="1" customWidth="1"/>
    <col min="15086" max="15086" width="10.85546875" style="68" customWidth="1"/>
    <col min="15087" max="15087" width="10.42578125" style="68" customWidth="1"/>
    <col min="15088" max="15088" width="9.7109375" style="68" bestFit="1" customWidth="1"/>
    <col min="15089" max="15091" width="9.28515625" style="68" bestFit="1" customWidth="1"/>
    <col min="15092" max="15092" width="10.7109375" style="68" bestFit="1" customWidth="1"/>
    <col min="15093" max="15093" width="11.28515625" style="68" customWidth="1"/>
    <col min="15094" max="15094" width="12.5703125" style="68" customWidth="1"/>
    <col min="15095" max="15095" width="13.5703125" style="68" customWidth="1"/>
    <col min="15096" max="15096" width="13" style="68" customWidth="1"/>
    <col min="15097" max="15335" width="9.140625" style="68"/>
    <col min="15336" max="15336" width="3.7109375" style="68" customWidth="1"/>
    <col min="15337" max="15337" width="4" style="68" bestFit="1" customWidth="1"/>
    <col min="15338" max="15338" width="14.5703125" style="68" customWidth="1"/>
    <col min="15339" max="15339" width="11.140625" style="68" customWidth="1"/>
    <col min="15340" max="15340" width="8.7109375" style="68" customWidth="1"/>
    <col min="15341" max="15341" width="9.7109375" style="68" bestFit="1" customWidth="1"/>
    <col min="15342" max="15342" width="10.85546875" style="68" customWidth="1"/>
    <col min="15343" max="15343" width="10.42578125" style="68" customWidth="1"/>
    <col min="15344" max="15344" width="9.7109375" style="68" bestFit="1" customWidth="1"/>
    <col min="15345" max="15347" width="9.28515625" style="68" bestFit="1" customWidth="1"/>
    <col min="15348" max="15348" width="10.7109375" style="68" bestFit="1" customWidth="1"/>
    <col min="15349" max="15349" width="11.28515625" style="68" customWidth="1"/>
    <col min="15350" max="15350" width="12.5703125" style="68" customWidth="1"/>
    <col min="15351" max="15351" width="13.5703125" style="68" customWidth="1"/>
    <col min="15352" max="15352" width="13" style="68" customWidth="1"/>
    <col min="15353" max="15591" width="9.140625" style="68"/>
    <col min="15592" max="15592" width="3.7109375" style="68" customWidth="1"/>
    <col min="15593" max="15593" width="4" style="68" bestFit="1" customWidth="1"/>
    <col min="15594" max="15594" width="14.5703125" style="68" customWidth="1"/>
    <col min="15595" max="15595" width="11.140625" style="68" customWidth="1"/>
    <col min="15596" max="15596" width="8.7109375" style="68" customWidth="1"/>
    <col min="15597" max="15597" width="9.7109375" style="68" bestFit="1" customWidth="1"/>
    <col min="15598" max="15598" width="10.85546875" style="68" customWidth="1"/>
    <col min="15599" max="15599" width="10.42578125" style="68" customWidth="1"/>
    <col min="15600" max="15600" width="9.7109375" style="68" bestFit="1" customWidth="1"/>
    <col min="15601" max="15603" width="9.28515625" style="68" bestFit="1" customWidth="1"/>
    <col min="15604" max="15604" width="10.7109375" style="68" bestFit="1" customWidth="1"/>
    <col min="15605" max="15605" width="11.28515625" style="68" customWidth="1"/>
    <col min="15606" max="15606" width="12.5703125" style="68" customWidth="1"/>
    <col min="15607" max="15607" width="13.5703125" style="68" customWidth="1"/>
    <col min="15608" max="15608" width="13" style="68" customWidth="1"/>
    <col min="15609" max="15847" width="9.140625" style="68"/>
    <col min="15848" max="15848" width="3.7109375" style="68" customWidth="1"/>
    <col min="15849" max="15849" width="4" style="68" bestFit="1" customWidth="1"/>
    <col min="15850" max="15850" width="14.5703125" style="68" customWidth="1"/>
    <col min="15851" max="15851" width="11.140625" style="68" customWidth="1"/>
    <col min="15852" max="15852" width="8.7109375" style="68" customWidth="1"/>
    <col min="15853" max="15853" width="9.7109375" style="68" bestFit="1" customWidth="1"/>
    <col min="15854" max="15854" width="10.85546875" style="68" customWidth="1"/>
    <col min="15855" max="15855" width="10.42578125" style="68" customWidth="1"/>
    <col min="15856" max="15856" width="9.7109375" style="68" bestFit="1" customWidth="1"/>
    <col min="15857" max="15859" width="9.28515625" style="68" bestFit="1" customWidth="1"/>
    <col min="15860" max="15860" width="10.7109375" style="68" bestFit="1" customWidth="1"/>
    <col min="15861" max="15861" width="11.28515625" style="68" customWidth="1"/>
    <col min="15862" max="15862" width="12.5703125" style="68" customWidth="1"/>
    <col min="15863" max="15863" width="13.5703125" style="68" customWidth="1"/>
    <col min="15864" max="15864" width="13" style="68" customWidth="1"/>
    <col min="15865" max="16103" width="9.140625" style="68"/>
    <col min="16104" max="16104" width="3.7109375" style="68" customWidth="1"/>
    <col min="16105" max="16105" width="4" style="68" bestFit="1" customWidth="1"/>
    <col min="16106" max="16106" width="14.5703125" style="68" customWidth="1"/>
    <col min="16107" max="16107" width="11.140625" style="68" customWidth="1"/>
    <col min="16108" max="16108" width="8.7109375" style="68" customWidth="1"/>
    <col min="16109" max="16109" width="9.7109375" style="68" bestFit="1" customWidth="1"/>
    <col min="16110" max="16110" width="10.85546875" style="68" customWidth="1"/>
    <col min="16111" max="16111" width="10.42578125" style="68" customWidth="1"/>
    <col min="16112" max="16112" width="9.7109375" style="68" bestFit="1" customWidth="1"/>
    <col min="16113" max="16115" width="9.28515625" style="68" bestFit="1" customWidth="1"/>
    <col min="16116" max="16116" width="10.7109375" style="68" bestFit="1" customWidth="1"/>
    <col min="16117" max="16117" width="11.28515625" style="68" customWidth="1"/>
    <col min="16118" max="16118" width="12.5703125" style="68" customWidth="1"/>
    <col min="16119" max="16119" width="13.5703125" style="68" customWidth="1"/>
    <col min="16120" max="16120" width="13" style="68" customWidth="1"/>
    <col min="16121" max="16384" width="9.140625" style="68"/>
  </cols>
  <sheetData>
    <row r="2" spans="2:18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18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</row>
    <row r="4" spans="2:18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339</v>
      </c>
      <c r="R4" s="67"/>
    </row>
    <row r="5" spans="2:18" s="70" customFormat="1" x14ac:dyDescent="0.25">
      <c r="B5" s="71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18" ht="13.9" customHeight="1" x14ac:dyDescent="0.25">
      <c r="B6" s="886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18" ht="15.75" thickBot="1" x14ac:dyDescent="0.3">
      <c r="B7" s="887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18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</row>
    <row r="9" spans="2:18" x14ac:dyDescent="0.25">
      <c r="B9" s="89">
        <v>1</v>
      </c>
      <c r="C9" s="884" t="s">
        <v>242</v>
      </c>
      <c r="D9" s="885"/>
      <c r="E9" s="74">
        <f>'19'!L9</f>
        <v>24199.936149923797</v>
      </c>
      <c r="F9" s="74">
        <f>Production2!D22</f>
        <v>3565.7800000000007</v>
      </c>
      <c r="G9" s="74">
        <f>F9+'19'!G9</f>
        <v>59765.119999999995</v>
      </c>
      <c r="H9" s="74">
        <f>F9+'19'!H9</f>
        <v>124750.82</v>
      </c>
      <c r="I9" s="74">
        <f>Production2!E22</f>
        <v>3059</v>
      </c>
      <c r="J9" s="74">
        <f>I9+'19'!J9</f>
        <v>41911</v>
      </c>
      <c r="K9" s="74">
        <f>I9+'19'!K9</f>
        <v>108798</v>
      </c>
      <c r="L9" s="74">
        <f>E9+F9-I9-I21</f>
        <v>24201.871705479356</v>
      </c>
      <c r="M9" s="75">
        <f>I9</f>
        <v>3059</v>
      </c>
      <c r="N9" s="75">
        <f>(I9/I13)*100</f>
        <v>96.803797468354432</v>
      </c>
      <c r="O9" s="787"/>
      <c r="P9" s="286">
        <v>10</v>
      </c>
      <c r="Q9" s="261">
        <f>'Raw mill moisture content'!L35</f>
        <v>9.9999999999999922E-2</v>
      </c>
    </row>
    <row r="10" spans="2:18" ht="13.9" customHeight="1" x14ac:dyDescent="0.25">
      <c r="B10" s="79">
        <v>2</v>
      </c>
      <c r="C10" s="728" t="s">
        <v>30</v>
      </c>
      <c r="D10" s="728"/>
      <c r="E10" s="77">
        <f>'Mines (2)'!L22</f>
        <v>2739.4000000000005</v>
      </c>
      <c r="F10" s="77">
        <f>'Mines (2)'!M22</f>
        <v>0</v>
      </c>
      <c r="G10" s="74">
        <f>F10+'19'!G10</f>
        <v>3082.900000000001</v>
      </c>
      <c r="H10" s="74">
        <f>F10+'19'!H10</f>
        <v>4434.3599999999997</v>
      </c>
      <c r="I10" s="77">
        <f>'Mines (2)'!N22</f>
        <v>38</v>
      </c>
      <c r="J10" s="74">
        <f>I10+'19'!J10</f>
        <v>1328</v>
      </c>
      <c r="K10" s="74">
        <f>I10+'19'!K10</f>
        <v>1857</v>
      </c>
      <c r="L10" s="77">
        <f t="shared" ref="L10:L13" si="0">E10+F10-I10</f>
        <v>2701.4000000000005</v>
      </c>
      <c r="M10" s="75">
        <f t="shared" ref="M10:M12" si="1">I10</f>
        <v>38</v>
      </c>
      <c r="N10" s="75">
        <f>(I10/I13)*100</f>
        <v>1.2025316455696202</v>
      </c>
      <c r="O10" s="787"/>
      <c r="P10" s="53">
        <v>10</v>
      </c>
      <c r="Q10" s="262">
        <f>'Raw mill moisture content'!M35</f>
        <v>9.9999999999999867E-2</v>
      </c>
    </row>
    <row r="11" spans="2:18" x14ac:dyDescent="0.25">
      <c r="B11" s="79">
        <v>3</v>
      </c>
      <c r="C11" s="728" t="s">
        <v>32</v>
      </c>
      <c r="D11" s="728"/>
      <c r="E11" s="77">
        <f>Clinker!C22</f>
        <v>3383.3</v>
      </c>
      <c r="F11" s="77">
        <f>Clinker!D22</f>
        <v>0</v>
      </c>
      <c r="G11" s="74">
        <f>F11+'19'!G11</f>
        <v>287.96000000000004</v>
      </c>
      <c r="H11" s="74">
        <f>F11+'19'!H11</f>
        <v>357.66</v>
      </c>
      <c r="I11" s="77">
        <f>Clinker!E22</f>
        <v>63</v>
      </c>
      <c r="J11" s="74">
        <f>I11+'19'!J11</f>
        <v>966</v>
      </c>
      <c r="K11" s="74">
        <f>I11+'19'!K11</f>
        <v>2403</v>
      </c>
      <c r="L11" s="77">
        <f t="shared" si="0"/>
        <v>3320.3</v>
      </c>
      <c r="M11" s="75">
        <f t="shared" si="1"/>
        <v>63</v>
      </c>
      <c r="N11" s="75">
        <f>(I11/I13)*100</f>
        <v>1.9936708860759493</v>
      </c>
      <c r="O11" s="787"/>
      <c r="P11" s="53">
        <v>7</v>
      </c>
      <c r="Q11" s="262">
        <f>'Raw mill moisture content'!N35</f>
        <v>7.0000000000000076E-2</v>
      </c>
    </row>
    <row r="12" spans="2:18" ht="13.9" customHeight="1" x14ac:dyDescent="0.25">
      <c r="B12" s="79">
        <v>4</v>
      </c>
      <c r="C12" s="728" t="s">
        <v>243</v>
      </c>
      <c r="D12" s="728"/>
      <c r="E12" s="77">
        <f>'Mines (2)'!Q22</f>
        <v>3.999999999996362E-2</v>
      </c>
      <c r="F12" s="77">
        <f>'Mines (2)'!R22</f>
        <v>0</v>
      </c>
      <c r="G12" s="74">
        <f>F12+'19'!G12</f>
        <v>0</v>
      </c>
      <c r="H12" s="74">
        <f>F12+'19'!H12</f>
        <v>137.76</v>
      </c>
      <c r="I12" s="77">
        <f>'Mines (2)'!S22</f>
        <v>0</v>
      </c>
      <c r="J12" s="74">
        <f>I12+'19'!J12</f>
        <v>191</v>
      </c>
      <c r="K12" s="74">
        <f>I12+'19'!K12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18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30322.676149923798</v>
      </c>
      <c r="F13" s="127">
        <f t="shared" si="2"/>
        <v>3565.7800000000007</v>
      </c>
      <c r="G13" s="127">
        <f t="shared" si="2"/>
        <v>63135.979999999996</v>
      </c>
      <c r="H13" s="127">
        <f t="shared" si="2"/>
        <v>129680.6</v>
      </c>
      <c r="I13" s="127">
        <f t="shared" si="2"/>
        <v>3160</v>
      </c>
      <c r="J13" s="127">
        <f t="shared" si="2"/>
        <v>44396</v>
      </c>
      <c r="K13" s="127">
        <f t="shared" si="2"/>
        <v>113796</v>
      </c>
      <c r="L13" s="127">
        <f t="shared" si="0"/>
        <v>30728.456149923797</v>
      </c>
      <c r="M13" s="128">
        <f>SUM(M9:M12)</f>
        <v>3160</v>
      </c>
      <c r="N13" s="128">
        <f>SUM(N9:N12)</f>
        <v>100</v>
      </c>
      <c r="O13" s="787"/>
      <c r="P13" s="797"/>
      <c r="Q13" s="798"/>
    </row>
    <row r="14" spans="2:18" x14ac:dyDescent="0.25">
      <c r="B14" s="763">
        <v>6</v>
      </c>
      <c r="C14" s="775" t="s">
        <v>245</v>
      </c>
      <c r="D14" s="80" t="s">
        <v>69</v>
      </c>
      <c r="E14" s="77">
        <f>Clinker!EB22</f>
        <v>5247.6769999999906</v>
      </c>
      <c r="F14" s="77">
        <f>Clinker!EC22</f>
        <v>0</v>
      </c>
      <c r="G14" s="77">
        <f>F14+'19'!G14</f>
        <v>0</v>
      </c>
      <c r="H14" s="77">
        <f>F14+'19'!H14</f>
        <v>181.5</v>
      </c>
      <c r="I14" s="77">
        <f>Clinker!ED22</f>
        <v>311</v>
      </c>
      <c r="J14" s="77">
        <f>I14+'19'!J14</f>
        <v>4682.12</v>
      </c>
      <c r="K14" s="77">
        <f>I14+'19'!K14</f>
        <v>11518.42</v>
      </c>
      <c r="L14" s="77">
        <f>E14+F14-Clinker!N22-Clinker!Z22-Clinker!AS22-Clinker!AX22-Clinker!BC22-Clinker!BW22-Clinker!BH22-Clinker!BM22-Clinker!BR22-Clinker!CV22-Clinker!DP22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</row>
    <row r="15" spans="2:18" x14ac:dyDescent="0.25">
      <c r="B15" s="763"/>
      <c r="C15" s="775"/>
      <c r="D15" s="80" t="s">
        <v>68</v>
      </c>
      <c r="E15" s="77">
        <f>Clinker!EF22</f>
        <v>7272.6699999999937</v>
      </c>
      <c r="F15" s="77">
        <f>Clinker!EG22</f>
        <v>64</v>
      </c>
      <c r="G15" s="77">
        <f>F15+'19'!G15</f>
        <v>1224.3</v>
      </c>
      <c r="H15" s="77">
        <f>F15+'19'!H15</f>
        <v>1379.3500000000001</v>
      </c>
      <c r="I15" s="77">
        <f>Clinker!EH22</f>
        <v>154</v>
      </c>
      <c r="J15" s="77">
        <f>I15+'19'!J15</f>
        <v>2674</v>
      </c>
      <c r="K15" s="77">
        <f>I15+'19'!K15</f>
        <v>6543</v>
      </c>
      <c r="L15" s="77">
        <f>E15+F15-I14-Clinker!T22-Clinker!AE22-Clinker!AJ22-Clinker!CL22-Clinker!CQ22-Clinker!CG22</f>
        <v>6871.6699999999937</v>
      </c>
      <c r="M15" s="81"/>
      <c r="N15" s="81"/>
      <c r="O15" s="787"/>
      <c r="P15" s="53"/>
      <c r="Q15" s="82"/>
      <c r="R15" s="83"/>
    </row>
    <row r="16" spans="2:18" x14ac:dyDescent="0.25">
      <c r="B16" s="763"/>
      <c r="C16" s="690"/>
      <c r="D16" s="124" t="s">
        <v>150</v>
      </c>
      <c r="E16" s="125">
        <f>E14+E15</f>
        <v>12520.346999999983</v>
      </c>
      <c r="F16" s="125">
        <f t="shared" ref="F16:K16" si="3">F14+F15</f>
        <v>64</v>
      </c>
      <c r="G16" s="125">
        <f t="shared" si="3"/>
        <v>1224.3</v>
      </c>
      <c r="H16" s="125">
        <f t="shared" si="3"/>
        <v>1560.8500000000001</v>
      </c>
      <c r="I16" s="125">
        <f t="shared" si="3"/>
        <v>465</v>
      </c>
      <c r="J16" s="125">
        <f>J14+J15</f>
        <v>7356.12</v>
      </c>
      <c r="K16" s="125">
        <f t="shared" si="3"/>
        <v>18061.419999999998</v>
      </c>
      <c r="L16" s="125">
        <f>E16+F16-I16</f>
        <v>12119.346999999983</v>
      </c>
      <c r="M16" s="126"/>
      <c r="N16" s="126"/>
      <c r="O16" s="787"/>
      <c r="P16" s="131"/>
      <c r="Q16" s="131"/>
      <c r="R16" s="83"/>
    </row>
    <row r="17" spans="2:18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</row>
    <row r="18" spans="2:18" x14ac:dyDescent="0.25">
      <c r="B18" s="763">
        <v>7</v>
      </c>
      <c r="C18" s="691" t="s">
        <v>247</v>
      </c>
      <c r="D18" s="85" t="s">
        <v>248</v>
      </c>
      <c r="E18" s="74">
        <f>Clinker!EJ22</f>
        <v>28012.743085106751</v>
      </c>
      <c r="F18" s="74">
        <f>Clinker!EK22</f>
        <v>1805</v>
      </c>
      <c r="G18" s="74">
        <f>F18+'19'!G18</f>
        <v>25749</v>
      </c>
      <c r="H18" s="74">
        <f>F18+'19'!H18</f>
        <v>66249</v>
      </c>
      <c r="I18" s="74">
        <f>Clinker!EL22</f>
        <v>2009.9400000000007</v>
      </c>
      <c r="J18" s="74">
        <f>I18+'19'!J18</f>
        <v>22860.857002633711</v>
      </c>
      <c r="K18" s="74">
        <f>I18+'19'!K18</f>
        <v>41722.737014519975</v>
      </c>
      <c r="L18" s="74">
        <f>E18+F18-I18-I20</f>
        <v>27807.803085106749</v>
      </c>
      <c r="M18" s="783">
        <f>((I18+I19)/(J40+J46))*100</f>
        <v>77.48419429452585</v>
      </c>
      <c r="N18" s="765"/>
      <c r="O18" s="767"/>
      <c r="P18" s="769"/>
      <c r="Q18" s="770"/>
      <c r="R18" s="190"/>
    </row>
    <row r="19" spans="2:18" ht="45" x14ac:dyDescent="0.25">
      <c r="B19" s="763"/>
      <c r="C19" s="691"/>
      <c r="D19" s="85" t="s">
        <v>75</v>
      </c>
      <c r="E19" s="74">
        <f>Clinker!EO22</f>
        <v>5306.1090080001359</v>
      </c>
      <c r="F19" s="74">
        <f>Clinker!EP22</f>
        <v>0</v>
      </c>
      <c r="G19" s="74">
        <f>F19+'19'!G19</f>
        <v>150.78</v>
      </c>
      <c r="H19" s="74">
        <f>F19+'19'!H19</f>
        <v>13390.660000000003</v>
      </c>
      <c r="I19" s="74">
        <f>Clinker!EQ22</f>
        <v>0</v>
      </c>
      <c r="J19" s="74">
        <f>I19+'19'!J19</f>
        <v>0</v>
      </c>
      <c r="K19" s="74">
        <f>I19+'19'!K19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20"/>
    </row>
    <row r="20" spans="2:18" ht="30" x14ac:dyDescent="0.25">
      <c r="B20" s="763"/>
      <c r="C20" s="764"/>
      <c r="D20" s="86" t="s">
        <v>249</v>
      </c>
      <c r="E20" s="77"/>
      <c r="F20" s="77">
        <f>Clinker!EN22</f>
        <v>0</v>
      </c>
      <c r="G20" s="74">
        <f>F20+'19'!G20</f>
        <v>0</v>
      </c>
      <c r="H20" s="74">
        <f>F20+'19'!H20</f>
        <v>0</v>
      </c>
      <c r="I20" s="77">
        <f>Clinker!EN22</f>
        <v>0</v>
      </c>
      <c r="J20" s="74">
        <f>I20+'19'!J20</f>
        <v>0</v>
      </c>
      <c r="K20" s="74">
        <f>I20+'19'!K20</f>
        <v>0</v>
      </c>
      <c r="L20" s="74"/>
      <c r="M20" s="78"/>
      <c r="N20" s="766"/>
      <c r="O20" s="767"/>
      <c r="P20" s="771"/>
      <c r="Q20" s="772"/>
      <c r="R20" s="20"/>
    </row>
    <row r="21" spans="2:18" x14ac:dyDescent="0.25">
      <c r="B21" s="89">
        <v>8</v>
      </c>
      <c r="C21" s="822" t="s">
        <v>242</v>
      </c>
      <c r="D21" s="823"/>
      <c r="E21" s="77">
        <f>Cement!P22</f>
        <v>0</v>
      </c>
      <c r="F21" s="77">
        <f>Cement!Q22</f>
        <v>0</v>
      </c>
      <c r="G21" s="74">
        <f>F21+'19'!G21</f>
        <v>0</v>
      </c>
      <c r="H21" s="74">
        <f>F21+'19'!H21</f>
        <v>0</v>
      </c>
      <c r="I21" s="77">
        <f>Cement!S22</f>
        <v>504.84444444444341</v>
      </c>
      <c r="J21" s="74">
        <f>I21+'19'!J21</f>
        <v>6223.9999991422565</v>
      </c>
      <c r="K21" s="74">
        <f>I21+'19'!K21</f>
        <v>14855.819991704493</v>
      </c>
      <c r="L21" s="74"/>
      <c r="M21" s="78">
        <f>(I21/(J40+J46))*100</f>
        <v>19.462006339415705</v>
      </c>
      <c r="N21" s="78"/>
      <c r="O21" s="767"/>
      <c r="P21" s="87">
        <v>10</v>
      </c>
      <c r="Q21" s="773"/>
      <c r="R21" s="20"/>
    </row>
    <row r="22" spans="2:18" x14ac:dyDescent="0.25">
      <c r="B22" s="89">
        <v>9</v>
      </c>
      <c r="C22" s="775" t="s">
        <v>250</v>
      </c>
      <c r="D22" s="775"/>
      <c r="E22" s="77">
        <f>Cement!C22</f>
        <v>5704.4553287157551</v>
      </c>
      <c r="F22" s="77">
        <f>Cement!D22</f>
        <v>30.94</v>
      </c>
      <c r="G22" s="74">
        <f>F22+'19'!G22</f>
        <v>93.44</v>
      </c>
      <c r="H22" s="74">
        <f>F22+'19'!H22</f>
        <v>2064.34</v>
      </c>
      <c r="I22" s="77">
        <f>Cement!F22</f>
        <v>136.52631578947367</v>
      </c>
      <c r="J22" s="74">
        <f>I22+'19'!J22</f>
        <v>1571.6510506720001</v>
      </c>
      <c r="K22" s="74">
        <f>I22+'19'!K22</f>
        <v>3910.851046223499</v>
      </c>
      <c r="L22" s="74">
        <f t="shared" ref="L22:L24" si="4">E22+F22-I22</f>
        <v>5598.8690129262814</v>
      </c>
      <c r="M22" s="78">
        <f>(I22/(J40+J46))*100</f>
        <v>5.2631578947368416</v>
      </c>
      <c r="N22" s="78"/>
      <c r="O22" s="767"/>
      <c r="P22" s="87">
        <v>5</v>
      </c>
      <c r="Q22" s="774"/>
      <c r="R22" s="20"/>
    </row>
    <row r="23" spans="2:18" x14ac:dyDescent="0.25">
      <c r="B23" s="763">
        <v>10</v>
      </c>
      <c r="C23" s="690" t="s">
        <v>251</v>
      </c>
      <c r="D23" s="76" t="s">
        <v>252</v>
      </c>
      <c r="E23" s="77">
        <f>Cement!H22</f>
        <v>0.23999999999796273</v>
      </c>
      <c r="F23" s="77">
        <f>Cement!I22</f>
        <v>0</v>
      </c>
      <c r="G23" s="74">
        <f>F23+'19'!G23</f>
        <v>0</v>
      </c>
      <c r="H23" s="74">
        <f>F23+'19'!H23</f>
        <v>0</v>
      </c>
      <c r="I23" s="77">
        <f>Cement!J22</f>
        <v>0</v>
      </c>
      <c r="J23" s="74">
        <f>I23+'19'!J23</f>
        <v>0</v>
      </c>
      <c r="K23" s="74">
        <f>I23+'19'!K23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</row>
    <row r="24" spans="2:18" x14ac:dyDescent="0.25">
      <c r="B24" s="763"/>
      <c r="C24" s="764"/>
      <c r="D24" s="76" t="s">
        <v>253</v>
      </c>
      <c r="E24" s="77">
        <v>0</v>
      </c>
      <c r="F24" s="77">
        <v>0</v>
      </c>
      <c r="G24" s="74">
        <f>F24+'19'!G24</f>
        <v>0</v>
      </c>
      <c r="H24" s="74">
        <f>F24+'19'!H24</f>
        <v>0</v>
      </c>
      <c r="I24" s="77">
        <v>0</v>
      </c>
      <c r="J24" s="74">
        <f>I24+'19'!J24</f>
        <v>0</v>
      </c>
      <c r="K24" s="74">
        <f>I24+'19'!K24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</row>
    <row r="25" spans="2:18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39023.547421822637</v>
      </c>
      <c r="F25" s="122">
        <f t="shared" ref="F25:L25" si="5">F18+F19+F21+F22+F23+F24</f>
        <v>1835.94</v>
      </c>
      <c r="G25" s="122">
        <f t="shared" si="5"/>
        <v>25993.219999999998</v>
      </c>
      <c r="H25" s="122">
        <f t="shared" si="5"/>
        <v>81704</v>
      </c>
      <c r="I25" s="122">
        <f t="shared" si="5"/>
        <v>2651.3107602339178</v>
      </c>
      <c r="J25" s="122">
        <f t="shared" si="5"/>
        <v>30656.508052447967</v>
      </c>
      <c r="K25" s="122">
        <f t="shared" si="5"/>
        <v>77423.508052447971</v>
      </c>
      <c r="L25" s="122">
        <f t="shared" si="5"/>
        <v>38713.021106033164</v>
      </c>
      <c r="M25" s="782"/>
      <c r="N25" s="782"/>
      <c r="O25" s="768"/>
      <c r="P25" s="779"/>
      <c r="Q25" s="780"/>
      <c r="R25" s="83"/>
    </row>
    <row r="26" spans="2:18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</row>
    <row r="27" spans="2:18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</row>
    <row r="28" spans="2:18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</row>
    <row r="29" spans="2:18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</row>
    <row r="30" spans="2:18" x14ac:dyDescent="0.25">
      <c r="B30" s="91">
        <v>1</v>
      </c>
      <c r="C30" s="699" t="s">
        <v>261</v>
      </c>
      <c r="D30" s="700"/>
      <c r="E30" s="92">
        <v>250</v>
      </c>
      <c r="F30" s="75">
        <f>Production2!C22</f>
        <v>17.93</v>
      </c>
      <c r="G30" s="75">
        <f>F30+'19'!G30</f>
        <v>336.91</v>
      </c>
      <c r="H30" s="75">
        <f>F30+'19'!H30</f>
        <v>769.3900000000001</v>
      </c>
      <c r="I30" s="74">
        <f>'Mines (2)'!C22+'Mines (2)'!H22+'Mines (2)'!V22+'Mines (2)'!Z22+'Mines (2)'!AD22</f>
        <v>24199.936149923793</v>
      </c>
      <c r="J30" s="74">
        <f>Production2!D22</f>
        <v>3565.7800000000007</v>
      </c>
      <c r="K30" s="74">
        <f>J30+'19'!K30</f>
        <v>59765.119999999995</v>
      </c>
      <c r="L30" s="74">
        <f>J30+'19'!L30</f>
        <v>124750.82</v>
      </c>
      <c r="M30" s="74">
        <f>I9+I21</f>
        <v>3563.8444444444435</v>
      </c>
      <c r="N30" s="74">
        <f>M30+'19'!N30</f>
        <v>48134.999999142259</v>
      </c>
      <c r="O30" s="74">
        <f>M30+'19'!O30</f>
        <v>123653.81999170453</v>
      </c>
      <c r="P30" s="74">
        <f>I30+J30-M30</f>
        <v>24201.871705479349</v>
      </c>
      <c r="Q30" s="93">
        <f>J30/F30</f>
        <v>198.87228109314003</v>
      </c>
      <c r="R30" s="94"/>
    </row>
    <row r="31" spans="2:18" x14ac:dyDescent="0.25">
      <c r="B31" s="79">
        <v>2</v>
      </c>
      <c r="C31" s="725" t="s">
        <v>292</v>
      </c>
      <c r="D31" s="726"/>
      <c r="E31" s="95">
        <v>120</v>
      </c>
      <c r="F31" s="78">
        <f>Production2!G22</f>
        <v>22.25</v>
      </c>
      <c r="G31" s="75">
        <f>F31+'19'!G31</f>
        <v>344.18</v>
      </c>
      <c r="H31" s="75">
        <f>F31+'19'!H31</f>
        <v>837.4</v>
      </c>
      <c r="I31" s="724">
        <f>Production2!H22</f>
        <v>1744.9900168375198</v>
      </c>
      <c r="J31" s="78">
        <f>Production2!N22</f>
        <v>2651</v>
      </c>
      <c r="K31" s="74">
        <f>J31+'19'!K31</f>
        <v>38865.530000000006</v>
      </c>
      <c r="L31" s="74">
        <f>J31+'19'!L31</f>
        <v>97722.680000000022</v>
      </c>
      <c r="M31" s="724">
        <f>Production2!K22</f>
        <v>2797.75</v>
      </c>
      <c r="N31" s="724">
        <f>M31+'19'!N31</f>
        <v>39910.949999999997</v>
      </c>
      <c r="O31" s="724">
        <f>M31+'19'!O31</f>
        <v>102685.95</v>
      </c>
      <c r="P31" s="724">
        <f>I31+J31+J32-M31</f>
        <v>1794.0300168375197</v>
      </c>
      <c r="Q31" s="96">
        <f t="shared" ref="Q31:Q46" si="6">J31/F31</f>
        <v>119.14606741573034</v>
      </c>
      <c r="R31" s="94"/>
    </row>
    <row r="32" spans="2:18" x14ac:dyDescent="0.25">
      <c r="B32" s="91">
        <v>3</v>
      </c>
      <c r="C32" s="725" t="s">
        <v>263</v>
      </c>
      <c r="D32" s="726"/>
      <c r="E32" s="95">
        <v>20</v>
      </c>
      <c r="F32" s="78">
        <f>Production2!P22</f>
        <v>21.82</v>
      </c>
      <c r="G32" s="75">
        <f>F32+'19'!G32</f>
        <v>127.71000000000001</v>
      </c>
      <c r="H32" s="75">
        <f>F32+'19'!H32</f>
        <v>534</v>
      </c>
      <c r="I32" s="712"/>
      <c r="J32" s="78">
        <f>Production2!Q22</f>
        <v>195.79</v>
      </c>
      <c r="K32" s="74">
        <f>J32+'19'!K32</f>
        <v>1121.33</v>
      </c>
      <c r="L32" s="74">
        <f>J32+'19'!L32</f>
        <v>4763.5699999999988</v>
      </c>
      <c r="M32" s="712"/>
      <c r="N32" s="712"/>
      <c r="O32" s="712"/>
      <c r="P32" s="712"/>
      <c r="Q32" s="96">
        <f>J32/F32</f>
        <v>8.9729605866177806</v>
      </c>
      <c r="R32" s="94"/>
    </row>
    <row r="33" spans="2:18" x14ac:dyDescent="0.25">
      <c r="B33" s="79">
        <v>4</v>
      </c>
      <c r="C33" s="725" t="s">
        <v>145</v>
      </c>
      <c r="D33" s="726"/>
      <c r="E33" s="95">
        <v>10</v>
      </c>
      <c r="F33" s="78">
        <f>Production2!S22</f>
        <v>19.82</v>
      </c>
      <c r="G33" s="75">
        <f>F33+'19'!G33</f>
        <v>308.42</v>
      </c>
      <c r="H33" s="75">
        <f>F33+'19'!H33</f>
        <v>754.79000000000008</v>
      </c>
      <c r="I33" s="77">
        <f>Production2!T22</f>
        <v>46.209999999999866</v>
      </c>
      <c r="J33" s="77">
        <f>Production2!U22</f>
        <v>279.89999999999998</v>
      </c>
      <c r="K33" s="74">
        <f>J33+'19'!K33</f>
        <v>4213.8999999999996</v>
      </c>
      <c r="L33" s="74">
        <f>J33+'19'!L33</f>
        <v>10366.6</v>
      </c>
      <c r="M33" s="77">
        <f>Production2!V22</f>
        <v>270</v>
      </c>
      <c r="N33" s="74">
        <f>M33+'19'!N33</f>
        <v>4198</v>
      </c>
      <c r="O33" s="74">
        <f>M33+'19'!O33</f>
        <v>10326</v>
      </c>
      <c r="P33" s="74">
        <f t="shared" ref="P33" si="7">I33+J33-M33</f>
        <v>56.109999999999843</v>
      </c>
      <c r="Q33" s="96">
        <f t="shared" si="6"/>
        <v>14.12209889001009</v>
      </c>
      <c r="R33" s="94"/>
    </row>
    <row r="34" spans="2:18" x14ac:dyDescent="0.25">
      <c r="B34" s="91">
        <v>5</v>
      </c>
      <c r="C34" s="725" t="s">
        <v>69</v>
      </c>
      <c r="D34" s="726"/>
      <c r="E34" s="95">
        <v>50</v>
      </c>
      <c r="F34" s="78">
        <f>Production2!Y22</f>
        <v>24</v>
      </c>
      <c r="G34" s="75">
        <f>F34+'19'!G34</f>
        <v>439.16999999999996</v>
      </c>
      <c r="H34" s="75">
        <f>F34+'19'!H34</f>
        <v>1057.44</v>
      </c>
      <c r="I34" s="77">
        <f>Clinker!EJ22</f>
        <v>28012.743085106751</v>
      </c>
      <c r="J34" s="77">
        <f>Clinker!EK22</f>
        <v>1805</v>
      </c>
      <c r="K34" s="74">
        <f>J34+'19'!K34</f>
        <v>25749</v>
      </c>
      <c r="L34" s="74">
        <f>J34+'19'!L34</f>
        <v>66249</v>
      </c>
      <c r="M34" s="77">
        <f>Clinker!EL22</f>
        <v>2009.9400000000007</v>
      </c>
      <c r="N34" s="74">
        <f>M34+'19'!N34</f>
        <v>22860.857002633711</v>
      </c>
      <c r="O34" s="74">
        <f>M34+'19'!O34</f>
        <v>41722.737014519975</v>
      </c>
      <c r="P34" s="74">
        <f>I34+J34-M34-I20</f>
        <v>27807.803085106749</v>
      </c>
      <c r="Q34" s="96">
        <f t="shared" si="6"/>
        <v>75.208333333333329</v>
      </c>
      <c r="R34" s="94"/>
    </row>
    <row r="35" spans="2:18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'Daily CEM-1'!I23</f>
        <v>0</v>
      </c>
      <c r="G35" s="75">
        <f>F35+'19'!G35</f>
        <v>17.899999999999999</v>
      </c>
      <c r="H35" s="75">
        <f>F35+'19'!H35</f>
        <v>26.9</v>
      </c>
      <c r="I35" s="77">
        <f>Production2!BJ22</f>
        <v>396.29999999999995</v>
      </c>
      <c r="J35" s="77">
        <f>'Daily CEM-1'!D23</f>
        <v>0</v>
      </c>
      <c r="K35" s="74">
        <f>J35+'19'!K35</f>
        <v>1150</v>
      </c>
      <c r="L35" s="74">
        <f>J35+'19'!L35</f>
        <v>1724</v>
      </c>
      <c r="M35" s="77">
        <f>Production2!BL22</f>
        <v>0</v>
      </c>
      <c r="N35" s="74">
        <f>M35+'19'!N35</f>
        <v>1765.5</v>
      </c>
      <c r="O35" s="74">
        <f>M35+'19'!O35</f>
        <v>4160</v>
      </c>
      <c r="P35" s="74">
        <f>I35+J35+J41-M35-F59</f>
        <v>396.29999999999995</v>
      </c>
      <c r="Q35" s="96" t="e">
        <f t="shared" si="6"/>
        <v>#DIV/0!</v>
      </c>
      <c r="R35" s="94"/>
    </row>
    <row r="36" spans="2:18" x14ac:dyDescent="0.25">
      <c r="B36" s="688"/>
      <c r="C36" s="691"/>
      <c r="D36" s="80" t="s">
        <v>266</v>
      </c>
      <c r="E36" s="97">
        <v>78</v>
      </c>
      <c r="F36" s="78">
        <f>'Daily CEM-1'!H23</f>
        <v>12.23</v>
      </c>
      <c r="G36" s="75">
        <f>F36+'19'!G36</f>
        <v>167.27999999999997</v>
      </c>
      <c r="H36" s="75">
        <f>F36+'19'!H36</f>
        <v>373.61</v>
      </c>
      <c r="I36" s="77">
        <f>Production2!BF22</f>
        <v>1219.1979999999794</v>
      </c>
      <c r="J36" s="77">
        <f>'Daily CEM-1'!C23</f>
        <v>800</v>
      </c>
      <c r="K36" s="74">
        <f>J36+'19'!K36</f>
        <v>10273</v>
      </c>
      <c r="L36" s="74">
        <f>J36+'19'!L36</f>
        <v>22702</v>
      </c>
      <c r="M36" s="77">
        <f>Production2!BH22</f>
        <v>2022.25</v>
      </c>
      <c r="N36" s="74">
        <f>M36+'19'!N36</f>
        <v>24190.339999999997</v>
      </c>
      <c r="O36" s="535">
        <f>M36+'19'!O36</f>
        <v>59358.610000000008</v>
      </c>
      <c r="P36" s="74">
        <f>I36+J36+J42-M36-F57</f>
        <v>1480.9479999999794</v>
      </c>
      <c r="Q36" s="96">
        <f t="shared" si="6"/>
        <v>65.412919051512674</v>
      </c>
      <c r="R36" s="94"/>
    </row>
    <row r="37" spans="2:18" x14ac:dyDescent="0.25">
      <c r="B37" s="688"/>
      <c r="C37" s="691"/>
      <c r="D37" s="80" t="s">
        <v>267</v>
      </c>
      <c r="E37" s="97">
        <v>78</v>
      </c>
      <c r="F37" s="78">
        <f>'Daily CEM-1'!J23</f>
        <v>0</v>
      </c>
      <c r="G37" s="75">
        <f>F37+'19'!G37</f>
        <v>0</v>
      </c>
      <c r="H37" s="75">
        <f>F37+'19'!H37</f>
        <v>0</v>
      </c>
      <c r="I37" s="77">
        <f>Production2!BN22</f>
        <v>9.0000000000849845E-2</v>
      </c>
      <c r="J37" s="77">
        <f>'Daily CEM-1'!E23</f>
        <v>0</v>
      </c>
      <c r="K37" s="74">
        <f>J37+'19'!K37</f>
        <v>0</v>
      </c>
      <c r="L37" s="74">
        <f>J37+'19'!L37</f>
        <v>0</v>
      </c>
      <c r="M37" s="77">
        <f>Production2!BP22</f>
        <v>0</v>
      </c>
      <c r="N37" s="535">
        <f>M37+'19'!N37</f>
        <v>0</v>
      </c>
      <c r="O37" s="535">
        <f>M37+'19'!O37</f>
        <v>-0.15</v>
      </c>
      <c r="P37" s="74">
        <f>I37+J37+J43-M37-F58</f>
        <v>9.0000000000849845E-2</v>
      </c>
      <c r="Q37" s="96" t="e">
        <f t="shared" si="6"/>
        <v>#DIV/0!</v>
      </c>
      <c r="R37" s="94"/>
    </row>
    <row r="38" spans="2:18" x14ac:dyDescent="0.25">
      <c r="B38" s="688"/>
      <c r="C38" s="691"/>
      <c r="D38" s="194" t="s">
        <v>175</v>
      </c>
      <c r="E38" s="97">
        <v>65</v>
      </c>
      <c r="F38" s="84">
        <f>Production2!AK22</f>
        <v>0</v>
      </c>
      <c r="G38" s="533">
        <f>F38+'19'!G38</f>
        <v>3</v>
      </c>
      <c r="H38" s="533">
        <f>F38+'19'!H38</f>
        <v>3</v>
      </c>
      <c r="I38" s="195">
        <f>Production2!BR22</f>
        <v>223.3</v>
      </c>
      <c r="J38" s="195">
        <f>Production2!AL22</f>
        <v>0</v>
      </c>
      <c r="K38" s="535">
        <f>J38+'19'!K38</f>
        <v>180</v>
      </c>
      <c r="L38" s="535">
        <f>J38+'19'!L38</f>
        <v>180</v>
      </c>
      <c r="M38" s="195">
        <f>Production2!BT22</f>
        <v>30</v>
      </c>
      <c r="N38" s="535">
        <f>M38+'19'!N38</f>
        <v>560</v>
      </c>
      <c r="O38" s="535">
        <f>M38+'19'!O38</f>
        <v>2407</v>
      </c>
      <c r="P38" s="74">
        <f>I38+J38+J44-M38</f>
        <v>193.3</v>
      </c>
      <c r="Q38" s="96" t="e">
        <f t="shared" si="6"/>
        <v>#DIV/0!</v>
      </c>
      <c r="R38" s="94"/>
    </row>
    <row r="39" spans="2:18" x14ac:dyDescent="0.25">
      <c r="B39" s="688"/>
      <c r="C39" s="691"/>
      <c r="D39" s="530" t="s">
        <v>304</v>
      </c>
      <c r="E39" s="536">
        <v>78</v>
      </c>
      <c r="F39" s="532">
        <f>Production2!AN22</f>
        <v>4.5999999999999996</v>
      </c>
      <c r="G39" s="533">
        <f>F39+'19'!G39</f>
        <v>50.12</v>
      </c>
      <c r="H39" s="533">
        <f>F39+'19'!H39</f>
        <v>90.77000000000001</v>
      </c>
      <c r="I39" s="534">
        <f>Production2!BV22</f>
        <v>520.43000000000006</v>
      </c>
      <c r="J39" s="534">
        <f>Production2!AO22</f>
        <v>310</v>
      </c>
      <c r="K39" s="535">
        <f>J39+'19'!K39</f>
        <v>3125</v>
      </c>
      <c r="L39" s="535">
        <f>J39+'19'!L39</f>
        <v>5657</v>
      </c>
      <c r="M39" s="77">
        <f>Production2!BX22</f>
        <v>274.54000000000002</v>
      </c>
      <c r="N39" s="535">
        <f>M39+'19'!N39</f>
        <v>4963.9399999999996</v>
      </c>
      <c r="O39" s="535">
        <f>M39+'19'!O39</f>
        <v>10385.820000000002</v>
      </c>
      <c r="P39" s="535">
        <f>I39+J39+J45-M39</f>
        <v>555.8900000000001</v>
      </c>
      <c r="Q39" s="96">
        <f t="shared" si="6"/>
        <v>67.391304347826093</v>
      </c>
      <c r="R39" s="94"/>
    </row>
    <row r="40" spans="2:18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16.829999999999998</v>
      </c>
      <c r="G40" s="132">
        <f t="shared" ref="G40:H40" si="8">G35+G36+G37+G38+G39</f>
        <v>238.29999999999998</v>
      </c>
      <c r="H40" s="132">
        <f t="shared" si="8"/>
        <v>494.28</v>
      </c>
      <c r="I40" s="122">
        <f>I35+I36+I37+I38+I39</f>
        <v>2359.3179999999802</v>
      </c>
      <c r="J40" s="531">
        <f t="shared" ref="J40:O40" si="9">J35+J36+J37+J38+J39</f>
        <v>1110</v>
      </c>
      <c r="K40" s="531">
        <f t="shared" si="9"/>
        <v>14728</v>
      </c>
      <c r="L40" s="531">
        <f t="shared" si="9"/>
        <v>30263</v>
      </c>
      <c r="M40" s="531">
        <f t="shared" si="9"/>
        <v>2326.79</v>
      </c>
      <c r="N40" s="531">
        <f t="shared" si="9"/>
        <v>31479.779999999995</v>
      </c>
      <c r="O40" s="531">
        <f t="shared" si="9"/>
        <v>76311.280000000013</v>
      </c>
      <c r="P40" s="531">
        <f>P35+P36+P37+P38+P39</f>
        <v>2626.5279999999802</v>
      </c>
      <c r="Q40" s="123">
        <f t="shared" si="6"/>
        <v>65.95365418894832</v>
      </c>
      <c r="R40" s="94"/>
    </row>
    <row r="41" spans="2:18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Production2!AT22</f>
        <v>0</v>
      </c>
      <c r="G41" s="75">
        <f>F41+'19'!G41</f>
        <v>10.129999999999999</v>
      </c>
      <c r="H41" s="75">
        <f>F41+'19'!H41</f>
        <v>43.23</v>
      </c>
      <c r="I41" s="710"/>
      <c r="J41" s="77">
        <f>Production2!AU22</f>
        <v>0</v>
      </c>
      <c r="K41" s="74">
        <f>J41+'19'!K41</f>
        <v>600</v>
      </c>
      <c r="L41" s="74">
        <f>J41+'19'!L41</f>
        <v>2600</v>
      </c>
      <c r="M41" s="713"/>
      <c r="N41" s="714"/>
      <c r="O41" s="714"/>
      <c r="P41" s="715"/>
      <c r="Q41" s="96" t="e">
        <f t="shared" si="6"/>
        <v>#DIV/0!</v>
      </c>
      <c r="R41" s="94"/>
    </row>
    <row r="42" spans="2:18" x14ac:dyDescent="0.25">
      <c r="B42" s="688"/>
      <c r="C42" s="691"/>
      <c r="D42" s="80" t="s">
        <v>266</v>
      </c>
      <c r="E42" s="97">
        <v>70</v>
      </c>
      <c r="F42" s="78">
        <f>Production2!AQ22</f>
        <v>24</v>
      </c>
      <c r="G42" s="75">
        <f>F42+'19'!G42</f>
        <v>219.61</v>
      </c>
      <c r="H42" s="75">
        <f>F42+'19'!H42</f>
        <v>635.6099999999999</v>
      </c>
      <c r="I42" s="711"/>
      <c r="J42" s="77">
        <f>Production2!AR22</f>
        <v>1484</v>
      </c>
      <c r="K42" s="74">
        <f>J42+'19'!K42</f>
        <v>12719</v>
      </c>
      <c r="L42" s="74">
        <f>J42+'19'!L42</f>
        <v>36859</v>
      </c>
      <c r="M42" s="716"/>
      <c r="N42" s="867"/>
      <c r="O42" s="867"/>
      <c r="P42" s="718"/>
      <c r="Q42" s="96">
        <f t="shared" si="6"/>
        <v>61.833333333333336</v>
      </c>
      <c r="R42" s="94"/>
    </row>
    <row r="43" spans="2:18" x14ac:dyDescent="0.25">
      <c r="B43" s="688"/>
      <c r="C43" s="691"/>
      <c r="D43" s="80" t="s">
        <v>267</v>
      </c>
      <c r="E43" s="97">
        <v>70</v>
      </c>
      <c r="F43" s="78">
        <f>Production2!AW22</f>
        <v>0</v>
      </c>
      <c r="G43" s="75">
        <f>F43+'19'!G43</f>
        <v>0</v>
      </c>
      <c r="H43" s="75">
        <f>F43+'19'!H43</f>
        <v>0</v>
      </c>
      <c r="I43" s="711"/>
      <c r="J43" s="77">
        <f>Production2!AX22</f>
        <v>0</v>
      </c>
      <c r="K43" s="74">
        <f>J43+'19'!K43</f>
        <v>0</v>
      </c>
      <c r="L43" s="74">
        <f>J43+'19'!L43</f>
        <v>0</v>
      </c>
      <c r="M43" s="716"/>
      <c r="N43" s="867"/>
      <c r="O43" s="867"/>
      <c r="P43" s="718"/>
      <c r="Q43" s="96" t="e">
        <f t="shared" si="6"/>
        <v>#DIV/0!</v>
      </c>
      <c r="R43" s="94"/>
    </row>
    <row r="44" spans="2:18" x14ac:dyDescent="0.25">
      <c r="B44" s="688"/>
      <c r="C44" s="691"/>
      <c r="D44" s="194" t="s">
        <v>175</v>
      </c>
      <c r="E44" s="97">
        <v>60</v>
      </c>
      <c r="F44" s="84">
        <f>Production2!AZ22</f>
        <v>0</v>
      </c>
      <c r="G44" s="533">
        <f>F44+'19'!G44</f>
        <v>7</v>
      </c>
      <c r="H44" s="533">
        <f>F44+'19'!H44</f>
        <v>39.880000000000003</v>
      </c>
      <c r="I44" s="711"/>
      <c r="J44" s="195">
        <f>Production2!BA22</f>
        <v>0</v>
      </c>
      <c r="K44" s="74">
        <f>J44+'19'!K44</f>
        <v>387</v>
      </c>
      <c r="L44" s="74">
        <f>J44+'19'!L44</f>
        <v>2207</v>
      </c>
      <c r="M44" s="716"/>
      <c r="N44" s="867"/>
      <c r="O44" s="867"/>
      <c r="P44" s="718"/>
      <c r="Q44" s="96" t="e">
        <f t="shared" si="6"/>
        <v>#DIV/0!</v>
      </c>
      <c r="R44" s="94"/>
    </row>
    <row r="45" spans="2:18" x14ac:dyDescent="0.25">
      <c r="B45" s="688"/>
      <c r="C45" s="691"/>
      <c r="D45" s="530" t="s">
        <v>304</v>
      </c>
      <c r="E45" s="536">
        <v>70</v>
      </c>
      <c r="F45" s="532">
        <f>Production2!BC22</f>
        <v>0</v>
      </c>
      <c r="G45" s="533">
        <f>F45+'19'!G45</f>
        <v>27.119999999999997</v>
      </c>
      <c r="H45" s="533">
        <f>F45+'19'!H45</f>
        <v>82.09</v>
      </c>
      <c r="I45" s="712"/>
      <c r="J45" s="534">
        <f>Production2!BD22</f>
        <v>0</v>
      </c>
      <c r="K45" s="535">
        <f>J45+'18'!K45</f>
        <v>1639</v>
      </c>
      <c r="L45" s="535">
        <f>J45+'18'!L45</f>
        <v>4911</v>
      </c>
      <c r="M45" s="719"/>
      <c r="N45" s="720"/>
      <c r="O45" s="720"/>
      <c r="P45" s="721"/>
      <c r="Q45" s="96" t="e">
        <f t="shared" si="6"/>
        <v>#DIV/0!</v>
      </c>
      <c r="R45" s="94"/>
    </row>
    <row r="46" spans="2:18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24</v>
      </c>
      <c r="G46" s="132">
        <f>G41+G42+G43+G44+G45</f>
        <v>263.86</v>
      </c>
      <c r="H46" s="132">
        <f t="shared" ref="H46" si="10">H41+H42+H43+H44+H45</f>
        <v>800.81</v>
      </c>
      <c r="I46" s="122"/>
      <c r="J46" s="122">
        <f>J41+J42+J43+J44+J45</f>
        <v>1484</v>
      </c>
      <c r="K46" s="531">
        <f t="shared" ref="K46" si="11">K41+K42+K43+K44+K45</f>
        <v>15345</v>
      </c>
      <c r="L46" s="531">
        <f>L41+L42+L43+L44+L45</f>
        <v>46577</v>
      </c>
      <c r="M46" s="873"/>
      <c r="N46" s="874"/>
      <c r="O46" s="874"/>
      <c r="P46" s="875"/>
      <c r="Q46" s="123">
        <f t="shared" si="6"/>
        <v>61.833333333333336</v>
      </c>
      <c r="R46" s="94"/>
    </row>
    <row r="47" spans="2:18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</row>
    <row r="48" spans="2:18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</row>
    <row r="49" spans="2:18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8" ht="14.45" customHeight="1" x14ac:dyDescent="0.25">
      <c r="B50" s="91">
        <v>1</v>
      </c>
      <c r="C50" s="709" t="s">
        <v>274</v>
      </c>
      <c r="D50" s="709"/>
      <c r="E50" s="99">
        <f>E53/J30</f>
        <v>0.93191391504803978</v>
      </c>
      <c r="F50" s="99">
        <f>F53/(J31+J32)</f>
        <v>22.920903895264491</v>
      </c>
      <c r="G50" s="99">
        <f>G53/J32</f>
        <v>0</v>
      </c>
      <c r="H50" s="99">
        <f>H53/J34</f>
        <v>31.438227146814405</v>
      </c>
      <c r="I50" s="99">
        <f>I53/J33</f>
        <v>48.492318685244733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14.958448753462603</v>
      </c>
    </row>
    <row r="51" spans="2:18" ht="14.45" customHeight="1" x14ac:dyDescent="0.25">
      <c r="B51" s="79">
        <v>2</v>
      </c>
      <c r="C51" s="728" t="s">
        <v>276</v>
      </c>
      <c r="D51" s="728"/>
      <c r="E51" s="102">
        <f>E50*(I9/J34)</f>
        <v>1.5793488455024673</v>
      </c>
      <c r="F51" s="102">
        <f>F50*1.55</f>
        <v>35.527401037659963</v>
      </c>
      <c r="G51" s="102">
        <f>G50*1.55</f>
        <v>0</v>
      </c>
      <c r="H51" s="102">
        <f>H50</f>
        <v>31.438227146814405</v>
      </c>
      <c r="I51" s="102">
        <f>I50*(Q50/100)</f>
        <v>7.2536986398981034</v>
      </c>
      <c r="J51" s="102"/>
      <c r="K51" s="102"/>
      <c r="L51" s="102"/>
      <c r="M51" s="96"/>
      <c r="N51" s="307">
        <f>SUM(E51:F51,H51:I51)</f>
        <v>75.798675669874939</v>
      </c>
      <c r="O51" s="728" t="s">
        <v>277</v>
      </c>
      <c r="P51" s="728"/>
      <c r="Q51" s="104">
        <v>5400</v>
      </c>
    </row>
    <row r="52" spans="2:18" ht="14.45" customHeight="1" x14ac:dyDescent="0.25">
      <c r="B52" s="79">
        <v>3</v>
      </c>
      <c r="C52" s="729" t="s">
        <v>278</v>
      </c>
      <c r="D52" s="729"/>
      <c r="E52" s="102">
        <f>E51*M18/100</f>
        <v>1.2237457280374826</v>
      </c>
      <c r="F52" s="102">
        <f>F51*M18/100</f>
        <v>27.528120447815841</v>
      </c>
      <c r="G52" s="102">
        <f>G51*M18/100</f>
        <v>0</v>
      </c>
      <c r="H52" s="102">
        <f>H51*M18/100</f>
        <v>24.359657005192044</v>
      </c>
      <c r="I52" s="102">
        <f>I51*M18/100</f>
        <v>5.6204699476780249</v>
      </c>
      <c r="J52" s="99">
        <f>J53/(J40+J46)</f>
        <v>37.503469545104089</v>
      </c>
      <c r="K52" s="99">
        <f>K53/(J46+J40)</f>
        <v>0.83269082498072478</v>
      </c>
      <c r="L52" s="99">
        <f>L53/(M40)</f>
        <v>2.8017139492605692</v>
      </c>
      <c r="M52" s="96">
        <f>M53/(J46+J40)</f>
        <v>1.7178103315343098</v>
      </c>
      <c r="N52" s="307">
        <f>SUM(E52:F52,H52:M52)</f>
        <v>101.5876777796031</v>
      </c>
      <c r="O52" s="728" t="s">
        <v>279</v>
      </c>
      <c r="P52" s="728"/>
      <c r="Q52" s="104">
        <f>Q51*Q50/100</f>
        <v>807.75623268698052</v>
      </c>
    </row>
    <row r="53" spans="2:18" ht="15" customHeight="1" thickBot="1" x14ac:dyDescent="0.3">
      <c r="B53" s="90" t="s">
        <v>241</v>
      </c>
      <c r="C53" s="723" t="s">
        <v>280</v>
      </c>
      <c r="D53" s="723"/>
      <c r="E53" s="118">
        <f>'Daily unit'!B22</f>
        <v>3323</v>
      </c>
      <c r="F53" s="118">
        <f>'Daily unit'!C22</f>
        <v>65251</v>
      </c>
      <c r="G53" s="118">
        <f>'Daily unit'!D22</f>
        <v>0</v>
      </c>
      <c r="H53" s="118">
        <f>'Daily unit'!E22</f>
        <v>56746</v>
      </c>
      <c r="I53" s="118">
        <f>'Daily unit'!F22</f>
        <v>13573</v>
      </c>
      <c r="J53" s="118">
        <f>'Daily unit'!G22</f>
        <v>97284</v>
      </c>
      <c r="K53" s="118">
        <f>'Daily unit'!H22</f>
        <v>2160</v>
      </c>
      <c r="L53" s="118">
        <f>'Daily unit'!I22</f>
        <v>6519</v>
      </c>
      <c r="M53" s="119">
        <f>'Daily unit'!J22</f>
        <v>4456</v>
      </c>
      <c r="N53" s="318">
        <f>SUM(E53:M53)</f>
        <v>249312</v>
      </c>
      <c r="O53" s="106"/>
      <c r="P53" s="107"/>
      <c r="Q53" s="108"/>
    </row>
    <row r="54" spans="2:18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8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8" s="110" customFormat="1" ht="14.45" customHeight="1" thickBot="1" x14ac:dyDescent="0.3">
      <c r="B56" s="214" t="s">
        <v>229</v>
      </c>
      <c r="C56" s="856" t="s">
        <v>283</v>
      </c>
      <c r="D56" s="856"/>
      <c r="E56" s="856"/>
      <c r="F56" s="215" t="s">
        <v>284</v>
      </c>
      <c r="G56" s="215" t="s">
        <v>26</v>
      </c>
      <c r="H56" s="23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8" ht="14.45" customHeight="1" thickBot="1" x14ac:dyDescent="0.3">
      <c r="B57" s="883">
        <v>1</v>
      </c>
      <c r="C57" s="882" t="s">
        <v>285</v>
      </c>
      <c r="D57" s="882"/>
      <c r="E57" s="217" t="s">
        <v>296</v>
      </c>
      <c r="F57" s="218">
        <f>'Internal use cement'!F22</f>
        <v>0</v>
      </c>
      <c r="G57" s="218">
        <f>F57+'19'!G57</f>
        <v>0</v>
      </c>
      <c r="H57" s="219">
        <f>F57+'19'!H57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8" ht="14.45" customHeight="1" thickBot="1" x14ac:dyDescent="0.3">
      <c r="B58" s="763"/>
      <c r="C58" s="704"/>
      <c r="D58" s="704"/>
      <c r="E58" s="80" t="s">
        <v>195</v>
      </c>
      <c r="F58" s="53">
        <f>'Internal use cement'!Q22</f>
        <v>0</v>
      </c>
      <c r="G58" s="218">
        <f>F58+'19'!G58</f>
        <v>2</v>
      </c>
      <c r="H58" s="219">
        <f>F58+'19'!H58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8" ht="15" customHeight="1" thickBot="1" x14ac:dyDescent="0.3">
      <c r="B59" s="763"/>
      <c r="C59" s="704"/>
      <c r="D59" s="704"/>
      <c r="E59" s="80">
        <v>32.5</v>
      </c>
      <c r="F59" s="53">
        <f>'Internal use cement'!Y22</f>
        <v>0</v>
      </c>
      <c r="G59" s="218">
        <f>F59+'19'!G59</f>
        <v>0</v>
      </c>
      <c r="H59" s="219">
        <f>F59+'19'!H59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8" ht="15" customHeight="1" thickBot="1" x14ac:dyDescent="0.3">
      <c r="B60" s="872"/>
      <c r="C60" s="871"/>
      <c r="D60" s="871"/>
      <c r="E60" s="112" t="s">
        <v>175</v>
      </c>
      <c r="F60" s="113">
        <f>'Internal use cement'!AJ22</f>
        <v>0</v>
      </c>
      <c r="G60" s="218">
        <f>F60+'19'!G60</f>
        <v>0</v>
      </c>
      <c r="H60" s="219">
        <f>F60+'19'!H60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8" x14ac:dyDescent="0.25">
      <c r="R61" s="94"/>
    </row>
    <row r="62" spans="2:18" x14ac:dyDescent="0.25">
      <c r="R62" s="115"/>
    </row>
    <row r="63" spans="2:18" x14ac:dyDescent="0.25">
      <c r="R63" s="116"/>
    </row>
    <row r="64" spans="2:18" x14ac:dyDescent="0.25">
      <c r="R64" s="94"/>
    </row>
    <row r="65" spans="2:18" x14ac:dyDescent="0.25">
      <c r="R65" s="94"/>
    </row>
    <row r="66" spans="2:18" x14ac:dyDescent="0.25">
      <c r="R66" s="94"/>
    </row>
    <row r="67" spans="2:18" x14ac:dyDescent="0.25">
      <c r="R67" s="109"/>
    </row>
    <row r="68" spans="2:18" x14ac:dyDescent="0.25">
      <c r="R68" s="94"/>
    </row>
    <row r="69" spans="2:18" x14ac:dyDescent="0.25">
      <c r="R69" s="117"/>
    </row>
    <row r="70" spans="2:18" x14ac:dyDescent="0.25">
      <c r="R70" s="117"/>
    </row>
    <row r="71" spans="2:18" x14ac:dyDescent="0.25">
      <c r="R71" s="117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  <row r="156" spans="2:18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</row>
  </sheetData>
  <mergeCells count="86">
    <mergeCell ref="I31:I32"/>
    <mergeCell ref="M31:M32"/>
    <mergeCell ref="N31:N32"/>
    <mergeCell ref="O31:O32"/>
    <mergeCell ref="P31:P32"/>
    <mergeCell ref="B14:B16"/>
    <mergeCell ref="C14:C16"/>
    <mergeCell ref="B2:Q2"/>
    <mergeCell ref="B3:Q3"/>
    <mergeCell ref="N6:N7"/>
    <mergeCell ref="O6:O7"/>
    <mergeCell ref="P6:P7"/>
    <mergeCell ref="Q6:Q7"/>
    <mergeCell ref="B4:O4"/>
    <mergeCell ref="B6:B7"/>
    <mergeCell ref="C6:C7"/>
    <mergeCell ref="D6:D7"/>
    <mergeCell ref="E6:E7"/>
    <mergeCell ref="F6:H6"/>
    <mergeCell ref="I6:K6"/>
    <mergeCell ref="C8:Q8"/>
    <mergeCell ref="P13:Q13"/>
    <mergeCell ref="C9:D9"/>
    <mergeCell ref="L6:L7"/>
    <mergeCell ref="M6:M7"/>
    <mergeCell ref="Q21:Q22"/>
    <mergeCell ref="C22:D22"/>
    <mergeCell ref="C21:D21"/>
    <mergeCell ref="C17:Q17"/>
    <mergeCell ref="O9:O16"/>
    <mergeCell ref="C10:D10"/>
    <mergeCell ref="C11:D11"/>
    <mergeCell ref="C12:D12"/>
    <mergeCell ref="C13:D13"/>
    <mergeCell ref="B18:B20"/>
    <mergeCell ref="C18:C20"/>
    <mergeCell ref="N18:N20"/>
    <mergeCell ref="O18:O25"/>
    <mergeCell ref="B26:Q26"/>
    <mergeCell ref="M18:M19"/>
    <mergeCell ref="P18:Q20"/>
    <mergeCell ref="B23:B24"/>
    <mergeCell ref="C23:C24"/>
    <mergeCell ref="M23:N24"/>
    <mergeCell ref="P23:Q25"/>
    <mergeCell ref="C25:D25"/>
    <mergeCell ref="M25:N25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C31:D31"/>
    <mergeCell ref="C33:D33"/>
    <mergeCell ref="C34:D34"/>
    <mergeCell ref="B35:B40"/>
    <mergeCell ref="C35:C40"/>
    <mergeCell ref="C32:D32"/>
    <mergeCell ref="B54:Q54"/>
    <mergeCell ref="B55:H55"/>
    <mergeCell ref="C56:E56"/>
    <mergeCell ref="C57:D60"/>
    <mergeCell ref="B57:B60"/>
    <mergeCell ref="I55:Q60"/>
    <mergeCell ref="C52:D52"/>
    <mergeCell ref="O52:P52"/>
    <mergeCell ref="C53:D53"/>
    <mergeCell ref="C49:D49"/>
    <mergeCell ref="O49:P49"/>
    <mergeCell ref="C50:D50"/>
    <mergeCell ref="O50:P50"/>
    <mergeCell ref="C51:D51"/>
    <mergeCell ref="O51:P51"/>
    <mergeCell ref="B48:N48"/>
    <mergeCell ref="O48:Q48"/>
    <mergeCell ref="B47:Q47"/>
    <mergeCell ref="M46:P46"/>
    <mergeCell ref="B41:B46"/>
    <mergeCell ref="C41:C46"/>
    <mergeCell ref="I41:I45"/>
    <mergeCell ref="M41:P45"/>
  </mergeCells>
  <pageMargins left="0" right="0" top="0.75" bottom="0.75" header="0.3" footer="0.3"/>
  <pageSetup paperSize="9" scale="55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B2:U156"/>
  <sheetViews>
    <sheetView zoomScale="90" zoomScaleNormal="90" workbookViewId="0">
      <pane xSplit="4" ySplit="1" topLeftCell="E32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37" t="s">
        <v>340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 t="s">
        <v>293</v>
      </c>
      <c r="N5" s="140" t="s">
        <v>294</v>
      </c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'20'!L9</f>
        <v>24201.871705479356</v>
      </c>
      <c r="F9" s="74">
        <f>Production2!D23</f>
        <v>1760.2600000000002</v>
      </c>
      <c r="G9" s="74">
        <f>F9+'20'!G9</f>
        <v>61525.38</v>
      </c>
      <c r="H9" s="74">
        <f>F9+'20'!H9</f>
        <v>126511.08</v>
      </c>
      <c r="I9" s="74">
        <f>Production2!E23</f>
        <v>3148</v>
      </c>
      <c r="J9" s="74">
        <f>I9+'20'!J9</f>
        <v>45059</v>
      </c>
      <c r="K9" s="74">
        <f>I9+'20'!K9</f>
        <v>111946</v>
      </c>
      <c r="L9" s="74">
        <f>E9+F9-I9-I21</f>
        <v>22247.031704286022</v>
      </c>
      <c r="M9" s="75">
        <f>I9</f>
        <v>3148</v>
      </c>
      <c r="N9" s="75">
        <f>(I9/I13)*100</f>
        <v>95.683890577507597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(2)'!L23</f>
        <v>2701.4000000000005</v>
      </c>
      <c r="F10" s="77">
        <f>'Mines (2)'!M23</f>
        <v>188.54</v>
      </c>
      <c r="G10" s="74">
        <f>F10+'20'!G10</f>
        <v>3271.440000000001</v>
      </c>
      <c r="H10" s="74">
        <f>F10+'20'!H10</f>
        <v>4622.8999999999996</v>
      </c>
      <c r="I10" s="77">
        <f>'Mines (2)'!N23</f>
        <v>66</v>
      </c>
      <c r="J10" s="74">
        <f>I10+'20'!J10</f>
        <v>1394</v>
      </c>
      <c r="K10" s="74">
        <f>I10+'20'!K10</f>
        <v>1923</v>
      </c>
      <c r="L10" s="77">
        <f t="shared" ref="L10:L16" si="0">E10+F10-I10</f>
        <v>2823.9400000000005</v>
      </c>
      <c r="M10" s="75">
        <f t="shared" ref="M10:M12" si="1">I10</f>
        <v>66</v>
      </c>
      <c r="N10" s="75">
        <f>(I10/I13)*100</f>
        <v>2.0060790273556233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Clinker!C23</f>
        <v>3320.3</v>
      </c>
      <c r="F11" s="77">
        <f>Clinker!D23</f>
        <v>59.62</v>
      </c>
      <c r="G11" s="74">
        <f>F11+'20'!G11</f>
        <v>347.58000000000004</v>
      </c>
      <c r="H11" s="74">
        <f>F11+'20'!H11</f>
        <v>417.28000000000003</v>
      </c>
      <c r="I11" s="77">
        <f>Clinker!E23</f>
        <v>76</v>
      </c>
      <c r="J11" s="74">
        <f>I11+'20'!J11</f>
        <v>1042</v>
      </c>
      <c r="K11" s="74">
        <f>I11+'20'!K11</f>
        <v>2479</v>
      </c>
      <c r="L11" s="77">
        <f t="shared" si="0"/>
        <v>3303.92</v>
      </c>
      <c r="M11" s="75">
        <f t="shared" si="1"/>
        <v>76</v>
      </c>
      <c r="N11" s="75">
        <f>(I11/I13)*100</f>
        <v>2.3100303951367782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(2)'!Q23</f>
        <v>3.999999999996362E-2</v>
      </c>
      <c r="F12" s="77">
        <f>'Mines (2)'!R23</f>
        <v>0</v>
      </c>
      <c r="G12" s="74">
        <f>F12+'20'!G12</f>
        <v>0</v>
      </c>
      <c r="H12" s="74">
        <f>F12+'20'!H12</f>
        <v>137.76</v>
      </c>
      <c r="I12" s="77">
        <f>'Mines (2)'!S23</f>
        <v>0</v>
      </c>
      <c r="J12" s="74">
        <f>I12+'20'!J12</f>
        <v>191</v>
      </c>
      <c r="K12" s="74">
        <f>I12+'20'!K12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30223.611705479358</v>
      </c>
      <c r="F13" s="127">
        <f t="shared" si="2"/>
        <v>2008.42</v>
      </c>
      <c r="G13" s="127">
        <f t="shared" si="2"/>
        <v>65144.4</v>
      </c>
      <c r="H13" s="127">
        <f t="shared" si="2"/>
        <v>131689.02000000002</v>
      </c>
      <c r="I13" s="127">
        <f t="shared" si="2"/>
        <v>3290</v>
      </c>
      <c r="J13" s="127">
        <f t="shared" si="2"/>
        <v>47686</v>
      </c>
      <c r="K13" s="127">
        <f t="shared" si="2"/>
        <v>117086</v>
      </c>
      <c r="L13" s="127">
        <f t="shared" si="0"/>
        <v>28942.031705479356</v>
      </c>
      <c r="M13" s="128">
        <f>SUM(M9:M12)</f>
        <v>3290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Clinker!EB23</f>
        <v>5247.6769999999906</v>
      </c>
      <c r="F14" s="77">
        <f>Clinker!EC23</f>
        <v>0</v>
      </c>
      <c r="G14" s="77">
        <f>F14+'20'!G14</f>
        <v>0</v>
      </c>
      <c r="H14" s="77">
        <f>F14+'20'!H14</f>
        <v>181.5</v>
      </c>
      <c r="I14" s="77">
        <f>Clinker!ED23</f>
        <v>295</v>
      </c>
      <c r="J14" s="77">
        <f>I14+'20'!J14</f>
        <v>4977.12</v>
      </c>
      <c r="K14" s="77">
        <f>I14+'20'!K14</f>
        <v>11813.42</v>
      </c>
      <c r="L14" s="77">
        <f>E14+F14-Clinker!N23-Clinker!Z23-Clinker!AS23-Clinker!AX23-Clinker!BC23-Clinker!BW23-Clinker!BH23-Clinker!BM23-Clinker!BR23-Clinker!CV23-Clinker!DP23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Clinker!EF23</f>
        <v>6871.6699999999937</v>
      </c>
      <c r="F15" s="77">
        <f>Clinker!EG23</f>
        <v>32</v>
      </c>
      <c r="G15" s="77">
        <f>F15+'20'!G15</f>
        <v>1256.3</v>
      </c>
      <c r="H15" s="77">
        <f>F15+'20'!H15</f>
        <v>1411.3500000000001</v>
      </c>
      <c r="I15" s="77">
        <f>Clinker!EH23</f>
        <v>154</v>
      </c>
      <c r="J15" s="77">
        <f>I15+'20'!J15</f>
        <v>2828</v>
      </c>
      <c r="K15" s="77">
        <f>I15+'20'!K15</f>
        <v>6697</v>
      </c>
      <c r="L15" s="77">
        <f>E15+F15-I14-Clinker!T23-Clinker!AE23-Clinker!AJ23-Clinker!CL23-Clinker!CQ23-Clinker!CG23</f>
        <v>6454.6699999999937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12119.346999999983</v>
      </c>
      <c r="F16" s="125">
        <f t="shared" ref="F16:K16" si="3">F14+F15</f>
        <v>32</v>
      </c>
      <c r="G16" s="125">
        <f t="shared" si="3"/>
        <v>1256.3</v>
      </c>
      <c r="H16" s="125">
        <f t="shared" si="3"/>
        <v>1592.8500000000001</v>
      </c>
      <c r="I16" s="125">
        <f t="shared" si="3"/>
        <v>449</v>
      </c>
      <c r="J16" s="125">
        <f>J14+J15</f>
        <v>7805.12</v>
      </c>
      <c r="K16" s="125">
        <f t="shared" si="3"/>
        <v>18510.419999999998</v>
      </c>
      <c r="L16" s="125">
        <f t="shared" si="0"/>
        <v>11702.346999999983</v>
      </c>
      <c r="M16" s="126"/>
      <c r="N16" s="126"/>
      <c r="O16" s="787"/>
      <c r="P16" s="131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Clinker!EJ23</f>
        <v>27807.803085106749</v>
      </c>
      <c r="F18" s="74">
        <f>Clinker!EK23</f>
        <v>1875</v>
      </c>
      <c r="G18" s="74">
        <f>F18+'20'!G18</f>
        <v>27624</v>
      </c>
      <c r="H18" s="74">
        <f>F18+'20'!H18</f>
        <v>68124</v>
      </c>
      <c r="I18" s="74">
        <f>Clinker!EL23</f>
        <v>2175.2599989260016</v>
      </c>
      <c r="J18" s="74">
        <f>I18+'20'!J18</f>
        <v>25036.117001559713</v>
      </c>
      <c r="K18" s="74">
        <f>I18+'20'!K18</f>
        <v>43897.997013445973</v>
      </c>
      <c r="L18" s="74">
        <f>E18+F18-I18-I20</f>
        <v>27507.543086180747</v>
      </c>
      <c r="M18" s="75">
        <f>((I18+I19)/(J40+J46))*100</f>
        <v>76.9458789857093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Clinker!EO23</f>
        <v>5306.1090080001359</v>
      </c>
      <c r="F19" s="74">
        <f>Clinker!EP23</f>
        <v>0</v>
      </c>
      <c r="G19" s="74">
        <f>F19+'20'!G19</f>
        <v>150.78</v>
      </c>
      <c r="H19" s="74">
        <f>F19+'20'!H19</f>
        <v>13390.660000000003</v>
      </c>
      <c r="I19" s="74">
        <f>Clinker!EQ23</f>
        <v>0</v>
      </c>
      <c r="J19" s="74">
        <f>I19+'20'!J19</f>
        <v>0</v>
      </c>
      <c r="K19" s="74">
        <f>I19+'20'!K19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Clinker!EN23</f>
        <v>0</v>
      </c>
      <c r="G20" s="74">
        <f>F20+'20'!G20</f>
        <v>0</v>
      </c>
      <c r="H20" s="74">
        <f>F20+'20'!H20</f>
        <v>0</v>
      </c>
      <c r="I20" s="77">
        <f>Clinker!EN23</f>
        <v>0</v>
      </c>
      <c r="J20" s="77">
        <f>I20+'20'!J20</f>
        <v>0</v>
      </c>
      <c r="K20" s="77">
        <f>I20+'20'!K20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222" t="s">
        <v>242</v>
      </c>
      <c r="D21" s="223"/>
      <c r="E21" s="77">
        <f>Cement!P23</f>
        <v>0</v>
      </c>
      <c r="F21" s="77">
        <f>Cement!Q23</f>
        <v>0</v>
      </c>
      <c r="G21" s="74">
        <f>F21+'20'!G21</f>
        <v>0</v>
      </c>
      <c r="H21" s="74">
        <f>F21+'20'!H21</f>
        <v>0</v>
      </c>
      <c r="I21" s="77">
        <f>Cement!S23</f>
        <v>567.10000119333142</v>
      </c>
      <c r="J21" s="77">
        <f>I21+'20'!J21</f>
        <v>6791.1000003355875</v>
      </c>
      <c r="K21" s="77">
        <f>I21+'20'!K21</f>
        <v>15422.919992897825</v>
      </c>
      <c r="L21" s="74"/>
      <c r="M21" s="78">
        <f>(I21/(J40+J46))*100</f>
        <v>20.060134460323006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Cement!C23</f>
        <v>5598.8690129262814</v>
      </c>
      <c r="F22" s="77">
        <f>Cement!D23</f>
        <v>30.68</v>
      </c>
      <c r="G22" s="74">
        <f>F22+'20'!G22</f>
        <v>124.12</v>
      </c>
      <c r="H22" s="74">
        <f>F22+'20'!H22</f>
        <v>2095.02</v>
      </c>
      <c r="I22" s="77">
        <f>Cement!F23</f>
        <v>148.78947368421052</v>
      </c>
      <c r="J22" s="77">
        <f>I22+'20'!J22</f>
        <v>1720.4405243562105</v>
      </c>
      <c r="K22" s="77">
        <f>I22+'20'!K22</f>
        <v>4059.6405199077094</v>
      </c>
      <c r="L22" s="74">
        <f t="shared" ref="L22:L23" si="4">E22+F22-I22</f>
        <v>5480.7595392420708</v>
      </c>
      <c r="M22" s="78">
        <f>(I22/(J40+J46))*100</f>
        <v>5.2631578947368416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Cement!H23</f>
        <v>0.23999999999796273</v>
      </c>
      <c r="F23" s="77">
        <f>Cement!I23</f>
        <v>0</v>
      </c>
      <c r="G23" s="77">
        <f>F23+'20'!G23</f>
        <v>0</v>
      </c>
      <c r="H23" s="77">
        <f>F23+'20'!H23</f>
        <v>0</v>
      </c>
      <c r="I23" s="77">
        <f>Cement!J23</f>
        <v>0</v>
      </c>
      <c r="J23" s="77">
        <f>I23+'20'!J23</f>
        <v>0</v>
      </c>
      <c r="K23" s="77">
        <f>I23+'20'!K23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v>0</v>
      </c>
      <c r="F24" s="77">
        <v>0</v>
      </c>
      <c r="G24" s="77">
        <f>F24+'20'!G24</f>
        <v>0</v>
      </c>
      <c r="H24" s="77">
        <f>F24+'20'!H24</f>
        <v>0</v>
      </c>
      <c r="I24" s="77">
        <v>0</v>
      </c>
      <c r="J24" s="77">
        <f>I24+'20'!J24</f>
        <v>0</v>
      </c>
      <c r="K24" s="77">
        <f>I24+'20'!K24</f>
        <v>0</v>
      </c>
      <c r="L24" s="74">
        <f>E24+F24-I24</f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38713.021106033164</v>
      </c>
      <c r="F25" s="122">
        <f t="shared" ref="F25:L25" si="5">F18+F19+F21+F22+F23+F24</f>
        <v>1905.68</v>
      </c>
      <c r="G25" s="122">
        <f t="shared" si="5"/>
        <v>27898.899999999998</v>
      </c>
      <c r="H25" s="122">
        <f t="shared" si="5"/>
        <v>83609.680000000008</v>
      </c>
      <c r="I25" s="122">
        <f>I18+I19+I21+I22+I23+I24</f>
        <v>2891.1494738035435</v>
      </c>
      <c r="J25" s="122">
        <f t="shared" si="5"/>
        <v>33547.657526251511</v>
      </c>
      <c r="K25" s="122">
        <f t="shared" si="5"/>
        <v>80314.657526251511</v>
      </c>
      <c r="L25" s="122">
        <f t="shared" si="5"/>
        <v>38294.651633422953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Production2!C23</f>
        <v>10.050000000000001</v>
      </c>
      <c r="G30" s="75">
        <f>F30+'20'!G30</f>
        <v>346.96000000000004</v>
      </c>
      <c r="H30" s="75">
        <f>F30+'20'!H30</f>
        <v>779.44</v>
      </c>
      <c r="I30" s="74">
        <f>'Mines (2)'!C23+'Mines (2)'!H23+'Mines (2)'!V23+'Mines (2)'!Z23+'Mines (2)'!AD23</f>
        <v>24201.871705479349</v>
      </c>
      <c r="J30" s="74">
        <f>Production2!D23</f>
        <v>1760.2600000000002</v>
      </c>
      <c r="K30" s="74">
        <f>J30+'20'!K30</f>
        <v>61525.38</v>
      </c>
      <c r="L30" s="74">
        <f>J30+'20'!L30</f>
        <v>126511.08</v>
      </c>
      <c r="M30" s="74">
        <f>I9+I21</f>
        <v>3715.1000011933315</v>
      </c>
      <c r="N30" s="74">
        <f>M30+'20'!N30</f>
        <v>51850.100000335588</v>
      </c>
      <c r="O30" s="74">
        <f>M30+'20'!O30</f>
        <v>127368.91999289786</v>
      </c>
      <c r="P30" s="74">
        <f>I30+J30-M30</f>
        <v>22247.031704286015</v>
      </c>
      <c r="Q30" s="93">
        <f>J30/F30</f>
        <v>175.15024875621893</v>
      </c>
      <c r="R30" s="94"/>
      <c r="S30" s="94"/>
    </row>
    <row r="31" spans="2:19" x14ac:dyDescent="0.25">
      <c r="B31" s="79">
        <v>2</v>
      </c>
      <c r="C31" s="725" t="s">
        <v>290</v>
      </c>
      <c r="D31" s="726"/>
      <c r="E31" s="95">
        <v>120</v>
      </c>
      <c r="F31" s="78">
        <f>Production2!G23</f>
        <v>23.25</v>
      </c>
      <c r="G31" s="75">
        <f>F31+'20'!G31</f>
        <v>367.43</v>
      </c>
      <c r="H31" s="75">
        <f>F31+'20'!H31</f>
        <v>860.65</v>
      </c>
      <c r="I31" s="724">
        <f>Production2!H23</f>
        <v>1794.0300168375197</v>
      </c>
      <c r="J31" s="77">
        <f>Production2!N23</f>
        <v>2743</v>
      </c>
      <c r="K31" s="74">
        <f>J31+'20'!K31</f>
        <v>41608.530000000006</v>
      </c>
      <c r="L31" s="74">
        <f>J31+'20'!L31</f>
        <v>100465.68000000002</v>
      </c>
      <c r="M31" s="724">
        <f>Production2!K23</f>
        <v>2906.25</v>
      </c>
      <c r="N31" s="724">
        <f>M31+'20'!N31</f>
        <v>42817.2</v>
      </c>
      <c r="O31" s="724">
        <f>M31+'20'!O31</f>
        <v>105592.2</v>
      </c>
      <c r="P31" s="783">
        <f>I31+J31+J32-M31</f>
        <v>1851.0600168375195</v>
      </c>
      <c r="Q31" s="96">
        <f t="shared" ref="Q31:Q46" si="6">J31/F31</f>
        <v>117.97849462365592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Production2!P23</f>
        <v>21.17</v>
      </c>
      <c r="G32" s="75">
        <f>F32+'20'!G32</f>
        <v>148.88</v>
      </c>
      <c r="H32" s="75">
        <f>F32+'20'!H32</f>
        <v>555.16999999999996</v>
      </c>
      <c r="I32" s="712"/>
      <c r="J32" s="78">
        <f>Production2!Q23</f>
        <v>220.28</v>
      </c>
      <c r="K32" s="74">
        <f>J32+'20'!K32</f>
        <v>1341.61</v>
      </c>
      <c r="L32" s="74">
        <f>J32+'20'!L32</f>
        <v>4983.8499999999985</v>
      </c>
      <c r="M32" s="712"/>
      <c r="N32" s="712"/>
      <c r="O32" s="712"/>
      <c r="P32" s="784"/>
      <c r="Q32" s="96">
        <f>J32/F32</f>
        <v>10.405290505432214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Production2!S23</f>
        <v>19.18</v>
      </c>
      <c r="G33" s="75">
        <f>F33+'20'!G33</f>
        <v>327.60000000000002</v>
      </c>
      <c r="H33" s="75">
        <f>F33+'20'!H33</f>
        <v>773.97</v>
      </c>
      <c r="I33" s="77">
        <f>Production2!T23</f>
        <v>56.109999999999843</v>
      </c>
      <c r="J33" s="77">
        <f>Production2!U23</f>
        <v>265.5</v>
      </c>
      <c r="K33" s="74">
        <f>J33+'20'!K33</f>
        <v>4479.3999999999996</v>
      </c>
      <c r="L33" s="74">
        <f>J33+'20'!L33</f>
        <v>10632.1</v>
      </c>
      <c r="M33" s="77">
        <f>Production2!V23</f>
        <v>276</v>
      </c>
      <c r="N33" s="74">
        <f>M33+'20'!N33</f>
        <v>4474</v>
      </c>
      <c r="O33" s="74">
        <f>M33+'20'!O33</f>
        <v>10602</v>
      </c>
      <c r="P33" s="75">
        <f t="shared" ref="P33" si="7">I33+J33-M33</f>
        <v>45.609999999999843</v>
      </c>
      <c r="Q33" s="96">
        <f t="shared" si="6"/>
        <v>13.842544316996872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Production2!Y23</f>
        <v>24</v>
      </c>
      <c r="G34" s="75">
        <f>F34+'20'!G34</f>
        <v>463.16999999999996</v>
      </c>
      <c r="H34" s="75">
        <f>F34+'20'!H34</f>
        <v>1081.44</v>
      </c>
      <c r="I34" s="77">
        <f>Clinker!EJ23</f>
        <v>27807.803085106749</v>
      </c>
      <c r="J34" s="77">
        <f>Clinker!EK23</f>
        <v>1875</v>
      </c>
      <c r="K34" s="74">
        <f>J34+'20'!K34</f>
        <v>27624</v>
      </c>
      <c r="L34" s="74">
        <f>J34+'20'!L34</f>
        <v>68124</v>
      </c>
      <c r="M34" s="77">
        <f>Clinker!EL23</f>
        <v>2175.2599989260016</v>
      </c>
      <c r="N34" s="74">
        <f>M34+'20'!N34</f>
        <v>25036.117001559713</v>
      </c>
      <c r="O34" s="74">
        <f>M34+'20'!O34</f>
        <v>43897.997013445973</v>
      </c>
      <c r="P34" s="74">
        <f>I34+J34-M34-I20</f>
        <v>27507.543086180747</v>
      </c>
      <c r="Q34" s="96">
        <f t="shared" si="6"/>
        <v>78.125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'Daily CEM-1'!I24</f>
        <v>0</v>
      </c>
      <c r="G35" s="75">
        <f>F35+'20'!G35</f>
        <v>17.899999999999999</v>
      </c>
      <c r="H35" s="75">
        <f>F35+'20'!H35</f>
        <v>26.9</v>
      </c>
      <c r="I35" s="77">
        <f>Production2!BJ23</f>
        <v>396.29999999999995</v>
      </c>
      <c r="J35" s="77">
        <f>'Daily CEM-1'!D24</f>
        <v>0</v>
      </c>
      <c r="K35" s="74">
        <f>J35+'20'!K35</f>
        <v>1150</v>
      </c>
      <c r="L35" s="74">
        <f>J35+'20'!L35</f>
        <v>1724</v>
      </c>
      <c r="M35" s="77">
        <f>Production2!BL23</f>
        <v>0</v>
      </c>
      <c r="N35" s="74">
        <f>M35+'20'!N35</f>
        <v>1765.5</v>
      </c>
      <c r="O35" s="74">
        <f>M35+'20'!O35</f>
        <v>4160</v>
      </c>
      <c r="P35" s="74">
        <f>I35+J35+J41-M35-F59</f>
        <v>396.29999999999995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'Daily CEM-1'!H24</f>
        <v>18.399999999999999</v>
      </c>
      <c r="G36" s="654">
        <f>F36+'20'!G36</f>
        <v>185.67999999999998</v>
      </c>
      <c r="H36" s="654">
        <f>F36+'20'!H36</f>
        <v>392.01</v>
      </c>
      <c r="I36" s="77">
        <f>Production2!BF23</f>
        <v>1480.9479999999794</v>
      </c>
      <c r="J36" s="77">
        <f>'Daily CEM-1'!C24</f>
        <v>1267</v>
      </c>
      <c r="K36" s="74">
        <f>J36+'20'!K36</f>
        <v>11540</v>
      </c>
      <c r="L36" s="74">
        <f>J36+'20'!L36</f>
        <v>23969</v>
      </c>
      <c r="M36" s="77">
        <f>Production2!BH23</f>
        <v>1448.15</v>
      </c>
      <c r="N36" s="542">
        <f>M36+'20'!N36</f>
        <v>25638.489999999998</v>
      </c>
      <c r="O36" s="542">
        <f>M36+'20'!O36</f>
        <v>60806.760000000009</v>
      </c>
      <c r="P36" s="74">
        <f>I36+J36+J42-M36-F57</f>
        <v>2189.7979999999793</v>
      </c>
      <c r="Q36" s="96">
        <f t="shared" si="6"/>
        <v>68.858695652173921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'Daily CEM-1'!J24</f>
        <v>0</v>
      </c>
      <c r="G37" s="654">
        <f>F37+'20'!G37</f>
        <v>0</v>
      </c>
      <c r="H37" s="654">
        <f>F37+'20'!H37</f>
        <v>0</v>
      </c>
      <c r="I37" s="77">
        <f>Production2!BN23</f>
        <v>9.0000000000849845E-2</v>
      </c>
      <c r="J37" s="77">
        <f>'Daily CEM-1'!E24</f>
        <v>0</v>
      </c>
      <c r="K37" s="74">
        <f>J37+'20'!K37</f>
        <v>0</v>
      </c>
      <c r="L37" s="74">
        <f>J37+'20'!L37</f>
        <v>0</v>
      </c>
      <c r="M37" s="77">
        <f>Production2!BP23</f>
        <v>0</v>
      </c>
      <c r="N37" s="542">
        <f>M37+'20'!N37</f>
        <v>0</v>
      </c>
      <c r="O37" s="542">
        <f>M37+'20'!O37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Production2!AK23</f>
        <v>0</v>
      </c>
      <c r="G38" s="654">
        <f>F38+'20'!G38</f>
        <v>3</v>
      </c>
      <c r="H38" s="654">
        <f>F38+'20'!H38</f>
        <v>3</v>
      </c>
      <c r="I38" s="195">
        <f>Production2!BR23</f>
        <v>193.3</v>
      </c>
      <c r="J38" s="195">
        <f>Production2!AL23</f>
        <v>0</v>
      </c>
      <c r="K38" s="542">
        <f>J38+'20'!K38</f>
        <v>180</v>
      </c>
      <c r="L38" s="542">
        <f>J38+'20'!L38</f>
        <v>180</v>
      </c>
      <c r="M38" s="195">
        <f>Production2!BT23</f>
        <v>90</v>
      </c>
      <c r="N38" s="542">
        <f>M38+'20'!N38</f>
        <v>650</v>
      </c>
      <c r="O38" s="542">
        <f>M38+'20'!O38</f>
        <v>2497</v>
      </c>
      <c r="P38" s="74">
        <f>I38+J38+J44-M38-F60</f>
        <v>213.3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537" t="s">
        <v>304</v>
      </c>
      <c r="E39" s="543">
        <v>78</v>
      </c>
      <c r="F39" s="539">
        <f>Production2!AN23</f>
        <v>2</v>
      </c>
      <c r="G39" s="654">
        <f>F39+'20'!G39</f>
        <v>52.12</v>
      </c>
      <c r="H39" s="654">
        <f>F39+'20'!H39</f>
        <v>92.77000000000001</v>
      </c>
      <c r="I39" s="541">
        <f>Production2!BV23</f>
        <v>555.8900000000001</v>
      </c>
      <c r="J39" s="541">
        <f>Production2!AO23</f>
        <v>140</v>
      </c>
      <c r="K39" s="542">
        <f>J39+'20'!K39</f>
        <v>3265</v>
      </c>
      <c r="L39" s="542">
        <f>J39+'20'!L39</f>
        <v>5797</v>
      </c>
      <c r="M39" s="77">
        <f>Production2!BX23</f>
        <v>492.84</v>
      </c>
      <c r="N39" s="542">
        <f>M39+'20'!N39</f>
        <v>5456.78</v>
      </c>
      <c r="O39" s="542">
        <f>M39+'20'!O39</f>
        <v>10878.660000000002</v>
      </c>
      <c r="P39" s="542">
        <f>I39+J39+J45-M39</f>
        <v>623.05000000000018</v>
      </c>
      <c r="Q39" s="96">
        <f t="shared" si="6"/>
        <v>70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20.399999999999999</v>
      </c>
      <c r="G40" s="132">
        <f t="shared" ref="G40:H40" si="8">G35+G36+G37+G38+G39</f>
        <v>258.7</v>
      </c>
      <c r="H40" s="132">
        <f t="shared" si="8"/>
        <v>514.67999999999995</v>
      </c>
      <c r="I40" s="122">
        <f>I35+I36+I37+I38+I39</f>
        <v>2626.5279999999802</v>
      </c>
      <c r="J40" s="538">
        <f t="shared" ref="J40:P40" si="9">J35+J36+J37+J38+J39</f>
        <v>1407</v>
      </c>
      <c r="K40" s="538">
        <f t="shared" si="9"/>
        <v>16135</v>
      </c>
      <c r="L40" s="538">
        <f t="shared" si="9"/>
        <v>31670</v>
      </c>
      <c r="M40" s="538">
        <f t="shared" si="9"/>
        <v>2030.99</v>
      </c>
      <c r="N40" s="538">
        <f t="shared" si="9"/>
        <v>33510.769999999997</v>
      </c>
      <c r="O40" s="538">
        <f t="shared" si="9"/>
        <v>78342.270000000019</v>
      </c>
      <c r="P40" s="538">
        <f t="shared" si="9"/>
        <v>3422.5379999999805</v>
      </c>
      <c r="Q40" s="123">
        <f t="shared" si="6"/>
        <v>68.970588235294116</v>
      </c>
      <c r="R40" s="94"/>
      <c r="S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Production2!AT23</f>
        <v>0</v>
      </c>
      <c r="G41" s="75">
        <f>F41+'20'!G41</f>
        <v>10.129999999999999</v>
      </c>
      <c r="H41" s="75">
        <f>F41+'20'!H41</f>
        <v>43.23</v>
      </c>
      <c r="I41" s="710"/>
      <c r="J41" s="77">
        <f>Production2!AU23</f>
        <v>0</v>
      </c>
      <c r="K41" s="74">
        <f>J41+'20'!K41</f>
        <v>600</v>
      </c>
      <c r="L41" s="74">
        <f>J41+'20'!L41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Production2!AQ23</f>
        <v>15</v>
      </c>
      <c r="G42" s="75">
        <f>F42+'20'!G42</f>
        <v>234.61</v>
      </c>
      <c r="H42" s="654">
        <f>F42+'20'!H42</f>
        <v>650.6099999999999</v>
      </c>
      <c r="I42" s="711"/>
      <c r="J42" s="77">
        <f>Production2!AR23</f>
        <v>890</v>
      </c>
      <c r="K42" s="74">
        <f>J42+'20'!K42</f>
        <v>13609</v>
      </c>
      <c r="L42" s="74">
        <f>J42+'20'!L42</f>
        <v>37749</v>
      </c>
      <c r="M42" s="716"/>
      <c r="N42" s="867"/>
      <c r="O42" s="867"/>
      <c r="P42" s="718"/>
      <c r="Q42" s="96">
        <f t="shared" si="6"/>
        <v>59.333333333333336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Production2!AW23</f>
        <v>0</v>
      </c>
      <c r="G43" s="540">
        <f>F43+'20'!G43</f>
        <v>0</v>
      </c>
      <c r="H43" s="654">
        <f>F43+'20'!H43</f>
        <v>0</v>
      </c>
      <c r="I43" s="711"/>
      <c r="J43" s="77">
        <f>Production2!AX23</f>
        <v>0</v>
      </c>
      <c r="K43" s="542">
        <f>J43+'20'!K43</f>
        <v>0</v>
      </c>
      <c r="L43" s="542">
        <f>J43+'20'!L43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Production2!AZ23</f>
        <v>2</v>
      </c>
      <c r="G44" s="540">
        <f>F44+'20'!G44</f>
        <v>9</v>
      </c>
      <c r="H44" s="654">
        <f>F44+'20'!H44</f>
        <v>41.88</v>
      </c>
      <c r="I44" s="711"/>
      <c r="J44" s="195">
        <f>Production2!BA23</f>
        <v>110</v>
      </c>
      <c r="K44" s="542">
        <f>J44+'20'!K44</f>
        <v>497</v>
      </c>
      <c r="L44" s="542">
        <f>J44+'20'!L44</f>
        <v>2317</v>
      </c>
      <c r="M44" s="716"/>
      <c r="N44" s="867"/>
      <c r="O44" s="867"/>
      <c r="P44" s="718"/>
      <c r="Q44" s="96">
        <f t="shared" si="6"/>
        <v>55</v>
      </c>
      <c r="R44" s="94"/>
      <c r="S44" s="94"/>
    </row>
    <row r="45" spans="2:19" x14ac:dyDescent="0.25">
      <c r="B45" s="688"/>
      <c r="C45" s="691"/>
      <c r="D45" s="537" t="s">
        <v>304</v>
      </c>
      <c r="E45" s="543">
        <v>70</v>
      </c>
      <c r="F45" s="539">
        <f>Production2!BC23</f>
        <v>6.65</v>
      </c>
      <c r="G45" s="540">
        <f>F45+'20'!G45</f>
        <v>33.769999999999996</v>
      </c>
      <c r="H45" s="654">
        <f>F45+'20'!H45</f>
        <v>88.740000000000009</v>
      </c>
      <c r="I45" s="712"/>
      <c r="J45" s="541">
        <f>Production2!BD23</f>
        <v>420</v>
      </c>
      <c r="K45" s="542">
        <f>J45+'20'!K45</f>
        <v>2059</v>
      </c>
      <c r="L45" s="542">
        <f>J45+'20'!L45</f>
        <v>5331</v>
      </c>
      <c r="M45" s="719"/>
      <c r="N45" s="720"/>
      <c r="O45" s="720"/>
      <c r="P45" s="721"/>
      <c r="Q45" s="96">
        <f t="shared" si="6"/>
        <v>63.157894736842103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23.65</v>
      </c>
      <c r="G46" s="132">
        <f t="shared" ref="G46:H46" si="10">G41+G42+G43+G44+G45</f>
        <v>287.51</v>
      </c>
      <c r="H46" s="132">
        <f t="shared" si="10"/>
        <v>824.45999999999992</v>
      </c>
      <c r="I46" s="122">
        <f t="shared" ref="I46" si="11">I41+I42+I43+I44</f>
        <v>0</v>
      </c>
      <c r="J46" s="122">
        <f>J41+J42+J43+J44+J45</f>
        <v>1420</v>
      </c>
      <c r="K46" s="538">
        <f t="shared" ref="K46:L46" si="12">K41+K42+K43+K44+K45</f>
        <v>16765</v>
      </c>
      <c r="L46" s="538">
        <f t="shared" si="12"/>
        <v>47997</v>
      </c>
      <c r="M46" s="873"/>
      <c r="N46" s="874"/>
      <c r="O46" s="874"/>
      <c r="P46" s="875"/>
      <c r="Q46" s="123">
        <f t="shared" si="6"/>
        <v>60.042283298097253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2.1599081953802277</v>
      </c>
      <c r="F50" s="99">
        <f>F53/J31</f>
        <v>22.967918337586585</v>
      </c>
      <c r="G50" s="99">
        <f>G53/J32</f>
        <v>0</v>
      </c>
      <c r="H50" s="99">
        <f>H53/J34</f>
        <v>31.860800000000001</v>
      </c>
      <c r="I50" s="99">
        <f>I53/J33</f>
        <v>53.596986817325799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14.719999999999999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3.6263418661637106</v>
      </c>
      <c r="F51" s="102">
        <f>F50*1.55</f>
        <v>35.60027342325921</v>
      </c>
      <c r="G51" s="102">
        <f>G50*1.55</f>
        <v>0</v>
      </c>
      <c r="H51" s="102">
        <f>H50</f>
        <v>31.860800000000001</v>
      </c>
      <c r="I51" s="102">
        <f>I50*(Q50/100)</f>
        <v>7.8894764595103579</v>
      </c>
      <c r="J51" s="102"/>
      <c r="K51" s="102"/>
      <c r="L51" s="102"/>
      <c r="M51" s="96"/>
      <c r="N51" s="307">
        <f>SUM(E51:I51)</f>
        <v>78.976891748933284</v>
      </c>
      <c r="O51" s="728" t="s">
        <v>277</v>
      </c>
      <c r="P51" s="728"/>
      <c r="Q51" s="104">
        <v>5473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2.7903206239464411</v>
      </c>
      <c r="F52" s="102">
        <f>F51*M18/100</f>
        <v>27.392943306842664</v>
      </c>
      <c r="G52" s="102">
        <f>G51*M18/100</f>
        <v>0</v>
      </c>
      <c r="H52" s="102">
        <f>H51*M18/100</f>
        <v>24.51557261187887</v>
      </c>
      <c r="I52" s="102">
        <f>I51*M18/100</f>
        <v>6.0706270091408623</v>
      </c>
      <c r="J52" s="99">
        <f>J53/(J40+J46)</f>
        <v>39.981605942695438</v>
      </c>
      <c r="K52" s="99">
        <f>K53/(J46+J40)</f>
        <v>0.79660417403608064</v>
      </c>
      <c r="L52" s="99">
        <f>L53/(M40)</f>
        <v>3.0123240390154553</v>
      </c>
      <c r="M52" s="96">
        <f>M53/(J46+J40)</f>
        <v>1.6246904846126635</v>
      </c>
      <c r="N52" s="307">
        <f>SUM(E52:M52)</f>
        <v>106.18468819216847</v>
      </c>
      <c r="O52" s="728" t="s">
        <v>279</v>
      </c>
      <c r="P52" s="728"/>
      <c r="Q52" s="104">
        <f>Q51*Q50/100</f>
        <v>805.62559999999996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unit'!B23</f>
        <v>3802</v>
      </c>
      <c r="F53" s="118">
        <f>'Daily unit'!C23</f>
        <v>63001</v>
      </c>
      <c r="G53" s="118">
        <f>'Daily unit'!D23</f>
        <v>0</v>
      </c>
      <c r="H53" s="118">
        <f>'Daily unit'!E23</f>
        <v>59739</v>
      </c>
      <c r="I53" s="118">
        <f>'Daily unit'!F23</f>
        <v>14230</v>
      </c>
      <c r="J53" s="118">
        <f>'Daily unit'!G23</f>
        <v>113028</v>
      </c>
      <c r="K53" s="118">
        <f>'Daily unit'!H23</f>
        <v>2252</v>
      </c>
      <c r="L53" s="118">
        <f>'Daily unit'!I23</f>
        <v>6118</v>
      </c>
      <c r="M53" s="119">
        <f>'Daily unit'!J23</f>
        <v>4593</v>
      </c>
      <c r="N53" s="318">
        <f>SUM(E53:M53)</f>
        <v>266763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51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763">
        <v>1</v>
      </c>
      <c r="C57" s="701" t="s">
        <v>285</v>
      </c>
      <c r="D57" s="825"/>
      <c r="E57" s="80">
        <v>42.5</v>
      </c>
      <c r="F57" s="53">
        <f>'Internal use cement'!F23</f>
        <v>0</v>
      </c>
      <c r="G57" s="53">
        <f>F57+'20'!G57</f>
        <v>0</v>
      </c>
      <c r="H57" s="104">
        <f>F57+'20'!H57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763"/>
      <c r="C58" s="702"/>
      <c r="D58" s="827"/>
      <c r="E58" s="80" t="s">
        <v>195</v>
      </c>
      <c r="F58" s="53">
        <f>'Internal use cement'!Q23</f>
        <v>0</v>
      </c>
      <c r="G58" s="53">
        <f>F58+'20'!G58</f>
        <v>2</v>
      </c>
      <c r="H58" s="104">
        <f>F58+'20'!H58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763"/>
      <c r="C59" s="702"/>
      <c r="D59" s="827"/>
      <c r="E59" s="80">
        <v>32.5</v>
      </c>
      <c r="F59" s="53">
        <f>'Internal use cement'!Y23</f>
        <v>0</v>
      </c>
      <c r="G59" s="53">
        <f>F59+'20'!G59</f>
        <v>0</v>
      </c>
      <c r="H59" s="104">
        <f>F59+'20'!H59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872"/>
      <c r="C60" s="703"/>
      <c r="D60" s="829"/>
      <c r="E60" s="112" t="s">
        <v>175</v>
      </c>
      <c r="F60" s="113">
        <f>'Internal use cement'!AJ23</f>
        <v>0</v>
      </c>
      <c r="G60" s="53">
        <f>F60+'20'!G60</f>
        <v>0</v>
      </c>
      <c r="H60" s="104">
        <f>F60+'20'!H60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4">
    <mergeCell ref="M41:P45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3:D53"/>
    <mergeCell ref="C52:D52"/>
    <mergeCell ref="O52:P52"/>
    <mergeCell ref="O48:Q48"/>
    <mergeCell ref="C34:D34"/>
    <mergeCell ref="C32:D32"/>
    <mergeCell ref="B48:N48"/>
    <mergeCell ref="B2:Q2"/>
    <mergeCell ref="B3:Q3"/>
    <mergeCell ref="B41:B46"/>
    <mergeCell ref="C41:C46"/>
    <mergeCell ref="C30:D30"/>
    <mergeCell ref="M28:O28"/>
    <mergeCell ref="P28:P29"/>
    <mergeCell ref="Q28:Q29"/>
    <mergeCell ref="P23:Q25"/>
    <mergeCell ref="M46:P46"/>
    <mergeCell ref="M31:M32"/>
    <mergeCell ref="I31:I32"/>
    <mergeCell ref="I41:I45"/>
    <mergeCell ref="N31:N32"/>
    <mergeCell ref="O31:O32"/>
    <mergeCell ref="P31:P32"/>
    <mergeCell ref="C33:D33"/>
    <mergeCell ref="C31:D31"/>
    <mergeCell ref="J28:L28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B28:B29"/>
    <mergeCell ref="C28:D29"/>
    <mergeCell ref="F28:H28"/>
    <mergeCell ref="I28:I29"/>
    <mergeCell ref="P6:P7"/>
    <mergeCell ref="Q6:Q7"/>
    <mergeCell ref="C8:Q8"/>
    <mergeCell ref="C11:D11"/>
    <mergeCell ref="I55:Q60"/>
    <mergeCell ref="C57:D60"/>
    <mergeCell ref="C12:D12"/>
    <mergeCell ref="C13:D13"/>
    <mergeCell ref="P13:Q13"/>
    <mergeCell ref="O9:O16"/>
    <mergeCell ref="C10:D10"/>
    <mergeCell ref="C9:D9"/>
    <mergeCell ref="C25:D25"/>
    <mergeCell ref="M25:N25"/>
    <mergeCell ref="C35:C40"/>
    <mergeCell ref="B26:Q26"/>
    <mergeCell ref="B57:B60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B35:B40"/>
    <mergeCell ref="B27:Q27"/>
  </mergeCells>
  <pageMargins left="0" right="0" top="0.5" bottom="0.5" header="0.3" footer="0.3"/>
  <pageSetup paperSize="9" scale="55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B2:U153"/>
  <sheetViews>
    <sheetView zoomScale="90" zoomScaleNormal="90" workbookViewId="0">
      <pane xSplit="4" ySplit="1" topLeftCell="E25" activePane="bottomRight" state="frozen"/>
      <selection pane="topRight" activeCell="E1" sqref="E1"/>
      <selection pane="bottomLeft" activeCell="A6" sqref="A6"/>
      <selection pane="bottomRight" activeCell="I39" sqref="I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9.28515625" style="68" bestFit="1" customWidth="1"/>
    <col min="11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341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'21'!L9</f>
        <v>22247.031704286022</v>
      </c>
      <c r="F9" s="74">
        <f>Production2!D24</f>
        <v>2982.26</v>
      </c>
      <c r="G9" s="74">
        <f>F9+'21'!G9</f>
        <v>64507.64</v>
      </c>
      <c r="H9" s="74">
        <f>F9+'21'!H9</f>
        <v>129493.34</v>
      </c>
      <c r="I9" s="74">
        <f>Production2!E24</f>
        <v>2405</v>
      </c>
      <c r="J9" s="74">
        <f>I9+'21'!J9</f>
        <v>47464</v>
      </c>
      <c r="K9" s="74">
        <f>I9+'21'!K9</f>
        <v>114351</v>
      </c>
      <c r="L9" s="74">
        <f>E9+F9-I9-I21</f>
        <v>22372.640594026019</v>
      </c>
      <c r="M9" s="75">
        <f>I9</f>
        <v>2405</v>
      </c>
      <c r="N9" s="75">
        <f>(I9/I13)*100</f>
        <v>95.664280031821804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(2)'!L24</f>
        <v>2823.9400000000005</v>
      </c>
      <c r="F10" s="77">
        <f>'Mines (2)'!M24</f>
        <v>0</v>
      </c>
      <c r="G10" s="74">
        <f>F10+'21'!G10</f>
        <v>3271.440000000001</v>
      </c>
      <c r="H10" s="74">
        <f>F10+'21'!H10</f>
        <v>4622.8999999999996</v>
      </c>
      <c r="I10" s="77">
        <f>'Mines (2)'!N24</f>
        <v>50</v>
      </c>
      <c r="J10" s="74">
        <f>I10+'21'!J10</f>
        <v>1444</v>
      </c>
      <c r="K10" s="74">
        <f>I10+'21'!K10</f>
        <v>1973</v>
      </c>
      <c r="L10" s="77">
        <f t="shared" ref="L10:L16" si="0">E10+F10-I10</f>
        <v>2773.9400000000005</v>
      </c>
      <c r="M10" s="75">
        <f t="shared" ref="M10:M12" si="1">I10</f>
        <v>50</v>
      </c>
      <c r="N10" s="75">
        <f>(I10/I13)*100</f>
        <v>1.9888623707239459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Clinker!C24</f>
        <v>3303.92</v>
      </c>
      <c r="F11" s="77">
        <f>Clinker!D24</f>
        <v>0</v>
      </c>
      <c r="G11" s="74">
        <f>F11+'21'!G11</f>
        <v>347.58000000000004</v>
      </c>
      <c r="H11" s="74">
        <f>F11+'21'!H11</f>
        <v>417.28000000000003</v>
      </c>
      <c r="I11" s="77">
        <f>Clinker!E24</f>
        <v>59</v>
      </c>
      <c r="J11" s="74">
        <f>I11+'21'!J11</f>
        <v>1101</v>
      </c>
      <c r="K11" s="74">
        <f>I11+'21'!K11</f>
        <v>2538</v>
      </c>
      <c r="L11" s="77">
        <f t="shared" si="0"/>
        <v>3244.92</v>
      </c>
      <c r="M11" s="75">
        <f t="shared" si="1"/>
        <v>59</v>
      </c>
      <c r="N11" s="75">
        <f>(I11/I13)*100</f>
        <v>2.3468575974542563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(2)'!Q24</f>
        <v>3.999999999996362E-2</v>
      </c>
      <c r="F12" s="77">
        <f>'Mines (2)'!R24</f>
        <v>0</v>
      </c>
      <c r="G12" s="74">
        <f>F12+'21'!G12</f>
        <v>0</v>
      </c>
      <c r="H12" s="74">
        <f>F12+'21'!H12</f>
        <v>137.76</v>
      </c>
      <c r="I12" s="77">
        <f>'Mines (2)'!S24</f>
        <v>0</v>
      </c>
      <c r="J12" s="74">
        <f>I12+'21'!J12</f>
        <v>191</v>
      </c>
      <c r="K12" s="74">
        <f>I12+'21'!K12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28374.93170428602</v>
      </c>
      <c r="F13" s="127">
        <f t="shared" si="2"/>
        <v>2982.26</v>
      </c>
      <c r="G13" s="127">
        <f t="shared" si="2"/>
        <v>68126.66</v>
      </c>
      <c r="H13" s="127">
        <f t="shared" si="2"/>
        <v>134671.28</v>
      </c>
      <c r="I13" s="127">
        <f t="shared" si="2"/>
        <v>2514</v>
      </c>
      <c r="J13" s="127">
        <f t="shared" si="2"/>
        <v>50200</v>
      </c>
      <c r="K13" s="127">
        <f t="shared" si="2"/>
        <v>119600</v>
      </c>
      <c r="L13" s="127">
        <f t="shared" si="0"/>
        <v>28843.191704286022</v>
      </c>
      <c r="M13" s="128">
        <f>SUM(M9:M12)</f>
        <v>2514</v>
      </c>
      <c r="N13" s="128">
        <v>99.999999999999986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Clinker!EB24</f>
        <v>5247.6769999999906</v>
      </c>
      <c r="F14" s="77">
        <f>Clinker!EC24</f>
        <v>0</v>
      </c>
      <c r="G14" s="77">
        <f>F14+'21'!G14</f>
        <v>0</v>
      </c>
      <c r="H14" s="77">
        <f>F14+'21'!H14</f>
        <v>181.5</v>
      </c>
      <c r="I14" s="77">
        <f>Clinker!ED24</f>
        <v>272.22000000000003</v>
      </c>
      <c r="J14" s="77">
        <f>I14+'21'!J14</f>
        <v>5249.34</v>
      </c>
      <c r="K14" s="77">
        <f>I14+'21'!K14</f>
        <v>12085.64</v>
      </c>
      <c r="L14" s="77">
        <f>E14+F14-I14-Clinker!N24-Clinker!Z24-Clinker!AS24-Clinker!AX24-Clinker!BC24-Clinker!BW24-Clinker!BH24-Clinker!BM24-Clinker!BR24-Clinker!CV24-Clinker!DP24</f>
        <v>4975.4569999999903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Clinker!EF24</f>
        <v>6454.6699999999937</v>
      </c>
      <c r="F15" s="77">
        <f>Clinker!EG24</f>
        <v>30.05</v>
      </c>
      <c r="G15" s="77">
        <f>F15+'21'!G15</f>
        <v>1286.3499999999999</v>
      </c>
      <c r="H15" s="77">
        <f>F15+'21'!H15</f>
        <v>1441.4</v>
      </c>
      <c r="I15" s="77">
        <f>Clinker!EH24</f>
        <v>136</v>
      </c>
      <c r="J15" s="77">
        <f>I15+'21'!J15</f>
        <v>2964</v>
      </c>
      <c r="K15" s="77">
        <f>I15+'21'!K15</f>
        <v>6833</v>
      </c>
      <c r="L15" s="77">
        <f>E15+F15-Clinker!T24-Clinker!AE24-Clinker!AJ24-Clinker!CL24-Clinker!CQ24-Clinker!CG24</f>
        <v>6348.7199999999939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11702.346999999983</v>
      </c>
      <c r="F16" s="125">
        <f t="shared" ref="F16:K16" si="3">F14+F15</f>
        <v>30.05</v>
      </c>
      <c r="G16" s="125">
        <f t="shared" si="3"/>
        <v>1286.3499999999999</v>
      </c>
      <c r="H16" s="125">
        <f t="shared" si="3"/>
        <v>1622.9</v>
      </c>
      <c r="I16" s="125">
        <f t="shared" si="3"/>
        <v>408.22</v>
      </c>
      <c r="J16" s="125">
        <f>J14+J15</f>
        <v>8213.34</v>
      </c>
      <c r="K16" s="125">
        <f t="shared" si="3"/>
        <v>18918.64</v>
      </c>
      <c r="L16" s="125">
        <f t="shared" si="0"/>
        <v>11324.176999999983</v>
      </c>
      <c r="M16" s="126"/>
      <c r="N16" s="126"/>
      <c r="O16" s="787"/>
      <c r="P16" s="131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Clinker!EJ24</f>
        <v>27507.543086180747</v>
      </c>
      <c r="F18" s="74">
        <f>Clinker!EK24</f>
        <v>1590</v>
      </c>
      <c r="G18" s="74">
        <f>F18+'21'!G18</f>
        <v>29214</v>
      </c>
      <c r="H18" s="74">
        <f>F18+'21'!H18</f>
        <v>69714</v>
      </c>
      <c r="I18" s="74">
        <f>Clinker!EL24</f>
        <v>1725.2450013759999</v>
      </c>
      <c r="J18" s="74">
        <f>I18+'21'!J18</f>
        <v>26761.362002935712</v>
      </c>
      <c r="K18" s="74">
        <f>I18+'21'!K18</f>
        <v>45623.242014821975</v>
      </c>
      <c r="L18" s="74">
        <f>E18+F18-I18-I20</f>
        <v>27372.298084804748</v>
      </c>
      <c r="M18" s="783">
        <f>((I18+I19)/(J40+J46))*100</f>
        <v>76.848329682672599</v>
      </c>
      <c r="N18" s="765"/>
      <c r="O18" s="767"/>
      <c r="P18" s="769"/>
      <c r="Q18" s="770"/>
      <c r="R18" s="190"/>
      <c r="S18" s="20"/>
    </row>
    <row r="19" spans="2:19" ht="45" x14ac:dyDescent="0.25">
      <c r="B19" s="763"/>
      <c r="C19" s="691"/>
      <c r="D19" s="85" t="s">
        <v>75</v>
      </c>
      <c r="E19" s="74">
        <f>Clinker!EO24</f>
        <v>5306.1090080001359</v>
      </c>
      <c r="F19" s="74">
        <f>Clinker!EP24</f>
        <v>0</v>
      </c>
      <c r="G19" s="74">
        <f>F19+'21'!G19</f>
        <v>150.78</v>
      </c>
      <c r="H19" s="74">
        <f>F19+'21'!H19</f>
        <v>13390.660000000003</v>
      </c>
      <c r="I19" s="74">
        <f>Clinker!EQ24</f>
        <v>0</v>
      </c>
      <c r="J19" s="74">
        <f>I19+'21'!J19</f>
        <v>0</v>
      </c>
      <c r="K19" s="74">
        <f>I19+'21'!K19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190"/>
      <c r="S19" s="190"/>
    </row>
    <row r="20" spans="2:19" ht="30" x14ac:dyDescent="0.25">
      <c r="B20" s="763"/>
      <c r="C20" s="764"/>
      <c r="D20" s="86" t="s">
        <v>249</v>
      </c>
      <c r="E20" s="77"/>
      <c r="F20" s="77">
        <f>Clinker!EN24</f>
        <v>0</v>
      </c>
      <c r="G20" s="74">
        <f>F20+'21'!G20</f>
        <v>0</v>
      </c>
      <c r="H20" s="74">
        <f>F20+'21'!H20</f>
        <v>0</v>
      </c>
      <c r="I20" s="77">
        <f>Clinker!EN24</f>
        <v>0</v>
      </c>
      <c r="J20" s="77">
        <f>I20+'21'!J20</f>
        <v>0</v>
      </c>
      <c r="K20" s="77">
        <f>I20+'21'!K20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822" t="s">
        <v>242</v>
      </c>
      <c r="D21" s="823"/>
      <c r="E21" s="77">
        <f>Cement!P24</f>
        <v>0</v>
      </c>
      <c r="F21" s="77">
        <f>Cement!Q24</f>
        <v>0</v>
      </c>
      <c r="G21" s="74">
        <f>F21+'21'!G21</f>
        <v>0</v>
      </c>
      <c r="H21" s="74">
        <f>F21+'21'!H21</f>
        <v>0</v>
      </c>
      <c r="I21" s="77">
        <f>Cement!S24</f>
        <v>451.65111026</v>
      </c>
      <c r="J21" s="77">
        <f>I21+'21'!J21</f>
        <v>7242.7511105955873</v>
      </c>
      <c r="K21" s="77">
        <f>I21+'21'!K21</f>
        <v>15874.571103157825</v>
      </c>
      <c r="L21" s="74"/>
      <c r="M21" s="78">
        <f>(I21/(J40+J46))*100</f>
        <v>20.118089543875278</v>
      </c>
      <c r="N21" s="78"/>
      <c r="O21" s="767"/>
      <c r="P21" s="87">
        <v>10</v>
      </c>
      <c r="Q21" s="773"/>
      <c r="R21" s="20"/>
      <c r="S21" s="190"/>
    </row>
    <row r="22" spans="2:19" x14ac:dyDescent="0.25">
      <c r="B22" s="89">
        <v>9</v>
      </c>
      <c r="C22" s="775" t="s">
        <v>250</v>
      </c>
      <c r="D22" s="775"/>
      <c r="E22" s="77">
        <f>Cement!C24</f>
        <v>5480.7595392420708</v>
      </c>
      <c r="F22" s="77">
        <f>Cement!D24</f>
        <v>0</v>
      </c>
      <c r="G22" s="75">
        <f>F22+'21'!G22</f>
        <v>124.12</v>
      </c>
      <c r="H22" s="74">
        <f>F22+'21'!H22</f>
        <v>2095.02</v>
      </c>
      <c r="I22" s="77">
        <f>Cement!F24</f>
        <v>119.23052567368421</v>
      </c>
      <c r="J22" s="77">
        <f>I22+'21'!J22</f>
        <v>1839.6710500298948</v>
      </c>
      <c r="K22" s="77">
        <f>I22+'21'!K22</f>
        <v>4178.8710455813934</v>
      </c>
      <c r="L22" s="74">
        <f t="shared" ref="L22:L24" si="4">E22+F22-I22</f>
        <v>5361.5290135683863</v>
      </c>
      <c r="M22" s="78">
        <f>(I22/(J40+J46))*100</f>
        <v>5.3109365556206773</v>
      </c>
      <c r="N22" s="78"/>
      <c r="O22" s="767"/>
      <c r="P22" s="87">
        <v>4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Cement!H24</f>
        <v>0.23999999999796273</v>
      </c>
      <c r="F23" s="77">
        <f>Cement!I24</f>
        <v>0</v>
      </c>
      <c r="G23" s="77">
        <f>F23+'21'!G23</f>
        <v>0</v>
      </c>
      <c r="H23" s="77">
        <f>F23+'21'!H23</f>
        <v>0</v>
      </c>
      <c r="I23" s="77">
        <v>0</v>
      </c>
      <c r="J23" s="77">
        <f>I23+'21'!J23</f>
        <v>0</v>
      </c>
      <c r="K23" s="77">
        <f>I23+'21'!K23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Cement!L24</f>
        <v>0</v>
      </c>
      <c r="F24" s="77">
        <f>Cement!M24</f>
        <v>0</v>
      </c>
      <c r="G24" s="77">
        <f>F24+'21'!G24</f>
        <v>0</v>
      </c>
      <c r="H24" s="77">
        <f>F24+'21'!H24</f>
        <v>0</v>
      </c>
      <c r="I24" s="77">
        <v>0</v>
      </c>
      <c r="J24" s="77">
        <f>I24+'21'!J24</f>
        <v>0</v>
      </c>
      <c r="K24" s="77">
        <f>I24+'21'!K24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E18+E19++E21+E22+E23+E24</f>
        <v>38294.651633422953</v>
      </c>
      <c r="F25" s="122">
        <f t="shared" ref="F25:L25" si="5">F18+F19++F21+F22+F23+F24</f>
        <v>1590</v>
      </c>
      <c r="G25" s="122">
        <f t="shared" si="5"/>
        <v>29488.899999999998</v>
      </c>
      <c r="H25" s="122">
        <f t="shared" si="5"/>
        <v>85199.680000000008</v>
      </c>
      <c r="I25" s="122">
        <f>I18+I19++I21+I22+I23+I24</f>
        <v>2296.1266373096837</v>
      </c>
      <c r="J25" s="122">
        <f t="shared" si="5"/>
        <v>35843.784163561191</v>
      </c>
      <c r="K25" s="122">
        <f t="shared" si="5"/>
        <v>82610.784163561199</v>
      </c>
      <c r="L25" s="122">
        <f t="shared" si="5"/>
        <v>38040.176106373263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Production2!C24</f>
        <v>18.38</v>
      </c>
      <c r="G30" s="75">
        <f>F30+'21'!G30</f>
        <v>365.34000000000003</v>
      </c>
      <c r="H30" s="75">
        <f>F30+'21'!H30</f>
        <v>797.82</v>
      </c>
      <c r="I30" s="74">
        <f>'Mines (2)'!C24+'Mines (2)'!H24+'Mines (2)'!V24+'Mines (2)'!Z24+'Mines (2)'!AD24</f>
        <v>22247.031704286019</v>
      </c>
      <c r="J30" s="74">
        <f>Production2!D24</f>
        <v>2982.26</v>
      </c>
      <c r="K30" s="74">
        <f>J30+'21'!K30</f>
        <v>64507.64</v>
      </c>
      <c r="L30" s="74">
        <f>J30+'21'!L30</f>
        <v>129493.34</v>
      </c>
      <c r="M30" s="74">
        <f>I9+I21</f>
        <v>2856.6511102599998</v>
      </c>
      <c r="N30" s="75">
        <f>M30+'21'!N30</f>
        <v>54706.751110595585</v>
      </c>
      <c r="O30" s="74">
        <f>M30+'21'!O30</f>
        <v>130225.57110315787</v>
      </c>
      <c r="P30" s="74">
        <f>I30+J30-M30</f>
        <v>22372.640594026023</v>
      </c>
      <c r="Q30" s="93">
        <f>J30/F30</f>
        <v>162.25571273122961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Production2!G24</f>
        <v>18.420000000000002</v>
      </c>
      <c r="G31" s="75">
        <f>F31+'21'!G31</f>
        <v>385.85</v>
      </c>
      <c r="H31" s="75">
        <f>F31+'21'!H31</f>
        <v>879.06999999999994</v>
      </c>
      <c r="I31" s="724">
        <f>Production2!H24</f>
        <v>1851.0600168375195</v>
      </c>
      <c r="J31" s="78">
        <f>Production2!N24</f>
        <v>2166</v>
      </c>
      <c r="K31" s="74">
        <f>J31+'21'!K31</f>
        <v>43774.530000000006</v>
      </c>
      <c r="L31" s="74">
        <f>J31+'21'!L31</f>
        <v>102631.68000000002</v>
      </c>
      <c r="M31" s="724">
        <f>Production2!K24</f>
        <v>2464.5</v>
      </c>
      <c r="N31" s="724">
        <f>M31+'21'!N31</f>
        <v>45281.7</v>
      </c>
      <c r="O31" s="724">
        <f>M31+'21'!O31</f>
        <v>108056.7</v>
      </c>
      <c r="P31" s="724">
        <f>I31+J31+J32-M31</f>
        <v>1650.9300168375194</v>
      </c>
      <c r="Q31" s="96">
        <f t="shared" ref="Q31:Q46" si="6">J31/F31</f>
        <v>117.58957654723126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Production2!P24</f>
        <v>11</v>
      </c>
      <c r="G32" s="75">
        <f>F32+'21'!G32</f>
        <v>159.88</v>
      </c>
      <c r="H32" s="75">
        <f>F32+'21'!H32</f>
        <v>566.16999999999996</v>
      </c>
      <c r="I32" s="712"/>
      <c r="J32" s="77">
        <f>Production2!Q24</f>
        <v>98.37</v>
      </c>
      <c r="K32" s="74">
        <f>J32+'21'!K32</f>
        <v>1439.98</v>
      </c>
      <c r="L32" s="74">
        <f>J32+'21'!L32</f>
        <v>5082.2199999999984</v>
      </c>
      <c r="M32" s="712"/>
      <c r="N32" s="712"/>
      <c r="O32" s="712"/>
      <c r="P32" s="712"/>
      <c r="Q32" s="96">
        <f>J32/F32</f>
        <v>8.9427272727272733</v>
      </c>
      <c r="R32" s="94"/>
      <c r="S32" s="94"/>
    </row>
    <row r="33" spans="2:20" x14ac:dyDescent="0.25">
      <c r="B33" s="79">
        <v>4</v>
      </c>
      <c r="C33" s="725" t="s">
        <v>145</v>
      </c>
      <c r="D33" s="726"/>
      <c r="E33" s="95">
        <v>10</v>
      </c>
      <c r="F33" s="78">
        <f>Production2!S24</f>
        <v>18</v>
      </c>
      <c r="G33" s="75">
        <f>F33+'21'!G33</f>
        <v>345.6</v>
      </c>
      <c r="H33" s="75">
        <f>F33+'21'!H33</f>
        <v>791.97</v>
      </c>
      <c r="I33" s="77">
        <f>Production2!T24</f>
        <v>45.609999999999843</v>
      </c>
      <c r="J33" s="77">
        <f>Production2!U24</f>
        <v>245</v>
      </c>
      <c r="K33" s="74">
        <f>J33+'21'!K33</f>
        <v>4724.3999999999996</v>
      </c>
      <c r="L33" s="74">
        <f>J33+'21'!L33</f>
        <v>10877.1</v>
      </c>
      <c r="M33" s="77">
        <f>Production2!V24</f>
        <v>242</v>
      </c>
      <c r="N33" s="74">
        <f>M33+'21'!N33</f>
        <v>4716</v>
      </c>
      <c r="O33" s="74">
        <f>M33+'21'!O33</f>
        <v>10844</v>
      </c>
      <c r="P33" s="74">
        <f t="shared" ref="P33:P34" si="7">I33+J33-M33</f>
        <v>48.609999999999843</v>
      </c>
      <c r="Q33" s="96">
        <f t="shared" si="6"/>
        <v>13.611111111111111</v>
      </c>
      <c r="R33" s="94"/>
      <c r="S33" s="94"/>
    </row>
    <row r="34" spans="2:20" x14ac:dyDescent="0.25">
      <c r="B34" s="91">
        <v>5</v>
      </c>
      <c r="C34" s="725" t="s">
        <v>69</v>
      </c>
      <c r="D34" s="726"/>
      <c r="E34" s="95">
        <v>50</v>
      </c>
      <c r="F34" s="78">
        <f>Production2!Y24</f>
        <v>22.24</v>
      </c>
      <c r="G34" s="75">
        <f>F34+'21'!G34</f>
        <v>485.40999999999997</v>
      </c>
      <c r="H34" s="75">
        <f>F34+'21'!H34</f>
        <v>1103.68</v>
      </c>
      <c r="I34" s="77">
        <f>Clinker!EJ24</f>
        <v>27507.543086180747</v>
      </c>
      <c r="J34" s="77">
        <f>Clinker!EK24</f>
        <v>1590</v>
      </c>
      <c r="K34" s="74">
        <f>J34+'21'!K34</f>
        <v>29214</v>
      </c>
      <c r="L34" s="74">
        <f>J34+'21'!L34</f>
        <v>69714</v>
      </c>
      <c r="M34" s="77">
        <f>Clinker!EL24</f>
        <v>1725.2450013759999</v>
      </c>
      <c r="N34" s="74">
        <f>M34+'21'!N34</f>
        <v>26761.362002935712</v>
      </c>
      <c r="O34" s="74">
        <f>M34+'21'!O34</f>
        <v>45623.242014821975</v>
      </c>
      <c r="P34" s="74">
        <f t="shared" si="7"/>
        <v>27372.298084804748</v>
      </c>
      <c r="Q34" s="96">
        <f t="shared" si="6"/>
        <v>71.492805755395693</v>
      </c>
      <c r="R34" s="94"/>
      <c r="S34" s="94"/>
    </row>
    <row r="35" spans="2:20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Production2!AE24</f>
        <v>0</v>
      </c>
      <c r="G35" s="75">
        <f>F35+'21'!G35</f>
        <v>17.899999999999999</v>
      </c>
      <c r="H35" s="75">
        <f>F35+'21'!H35</f>
        <v>26.9</v>
      </c>
      <c r="I35" s="77">
        <f>Production2!BJ24</f>
        <v>396.29999999999995</v>
      </c>
      <c r="J35" s="77">
        <f>Production2!AF24</f>
        <v>0</v>
      </c>
      <c r="K35" s="74">
        <f>J35+'21'!K35</f>
        <v>1150</v>
      </c>
      <c r="L35" s="74">
        <f>J35+'21'!L35</f>
        <v>1724</v>
      </c>
      <c r="M35" s="77">
        <f>Production2!BL24</f>
        <v>30</v>
      </c>
      <c r="N35" s="74">
        <f>M35+'21'!N35</f>
        <v>1795.5</v>
      </c>
      <c r="O35" s="74">
        <f>M35+'21'!O35</f>
        <v>4190</v>
      </c>
      <c r="P35" s="74">
        <f>I35+J35+J41-M35</f>
        <v>366.29999999999995</v>
      </c>
      <c r="Q35" s="96" t="e">
        <f t="shared" si="6"/>
        <v>#DIV/0!</v>
      </c>
      <c r="R35" s="94"/>
      <c r="S35" s="94"/>
    </row>
    <row r="36" spans="2:20" x14ac:dyDescent="0.25">
      <c r="B36" s="688"/>
      <c r="C36" s="691"/>
      <c r="D36" s="80" t="s">
        <v>266</v>
      </c>
      <c r="E36" s="97">
        <v>78</v>
      </c>
      <c r="F36" s="78">
        <f>Production2!AB24</f>
        <v>10.1</v>
      </c>
      <c r="G36" s="654">
        <f>F36+'21'!G36</f>
        <v>195.77999999999997</v>
      </c>
      <c r="H36" s="654">
        <f>F36+'21'!H36</f>
        <v>402.11</v>
      </c>
      <c r="I36" s="77">
        <f>Production2!BF24</f>
        <v>2189.7979999999793</v>
      </c>
      <c r="J36" s="77">
        <f>Production2!AC24</f>
        <v>695</v>
      </c>
      <c r="K36" s="74">
        <f>J36+'21'!K36</f>
        <v>12235</v>
      </c>
      <c r="L36" s="74">
        <f>J36+'21'!L36</f>
        <v>24664</v>
      </c>
      <c r="M36" s="77">
        <f>Production2!BH24</f>
        <v>1604.75</v>
      </c>
      <c r="N36" s="549">
        <f>M36+'21'!N36</f>
        <v>27243.239999999998</v>
      </c>
      <c r="O36" s="549">
        <f>M36+'21'!O36</f>
        <v>62411.510000000009</v>
      </c>
      <c r="P36" s="74">
        <f>I36+J36+J42-M36-F57</f>
        <v>2690.0479999999789</v>
      </c>
      <c r="Q36" s="96">
        <f t="shared" si="6"/>
        <v>68.811881188118818</v>
      </c>
      <c r="R36" s="94"/>
      <c r="S36" s="94"/>
    </row>
    <row r="37" spans="2:20" x14ac:dyDescent="0.25">
      <c r="B37" s="688"/>
      <c r="C37" s="691"/>
      <c r="D37" s="80" t="s">
        <v>267</v>
      </c>
      <c r="E37" s="97">
        <v>78</v>
      </c>
      <c r="F37" s="78">
        <f>Production2!AH24</f>
        <v>0</v>
      </c>
      <c r="G37" s="654">
        <f>F37+'21'!G37</f>
        <v>0</v>
      </c>
      <c r="H37" s="654">
        <f>F37+'21'!H37</f>
        <v>0</v>
      </c>
      <c r="I37" s="77">
        <f>Production2!BN24</f>
        <v>9.0000000000849845E-2</v>
      </c>
      <c r="J37" s="77">
        <f>Production2!AI24</f>
        <v>0</v>
      </c>
      <c r="K37" s="549">
        <f>J37+'21'!K37</f>
        <v>0</v>
      </c>
      <c r="L37" s="549">
        <f>J37+'21'!L37</f>
        <v>0</v>
      </c>
      <c r="M37" s="77">
        <f>Production2!BP24</f>
        <v>0</v>
      </c>
      <c r="N37" s="549">
        <f>M37+'21'!N37</f>
        <v>0</v>
      </c>
      <c r="O37" s="549">
        <f>M37+'21'!O37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20" x14ac:dyDescent="0.25">
      <c r="B38" s="688"/>
      <c r="C38" s="691"/>
      <c r="D38" s="194" t="s">
        <v>175</v>
      </c>
      <c r="E38" s="97">
        <v>65</v>
      </c>
      <c r="F38" s="84">
        <f>Production2!AK24</f>
        <v>0</v>
      </c>
      <c r="G38" s="654">
        <f>F38+'21'!G38</f>
        <v>3</v>
      </c>
      <c r="H38" s="654">
        <f>F38+'21'!H38</f>
        <v>3</v>
      </c>
      <c r="I38" s="195">
        <f>Production2!BR24</f>
        <v>213.3</v>
      </c>
      <c r="J38" s="195">
        <f>Production2!AL24</f>
        <v>0</v>
      </c>
      <c r="K38" s="549">
        <f>J38+'21'!K38</f>
        <v>180</v>
      </c>
      <c r="L38" s="549">
        <f>J38+'21'!L38</f>
        <v>180</v>
      </c>
      <c r="M38" s="195">
        <f>Production2!BT24</f>
        <v>63</v>
      </c>
      <c r="N38" s="549">
        <f>M38+'21'!N38</f>
        <v>713</v>
      </c>
      <c r="O38" s="549">
        <f>M38+'21'!O38</f>
        <v>2560</v>
      </c>
      <c r="P38" s="74">
        <f>I38+J38+J44-M38-F59</f>
        <v>150.30000000000001</v>
      </c>
      <c r="Q38" s="96" t="e">
        <f t="shared" si="6"/>
        <v>#DIV/0!</v>
      </c>
      <c r="R38" s="94"/>
      <c r="S38" s="94"/>
    </row>
    <row r="39" spans="2:20" x14ac:dyDescent="0.25">
      <c r="B39" s="688"/>
      <c r="C39" s="691"/>
      <c r="D39" s="544" t="s">
        <v>304</v>
      </c>
      <c r="E39" s="550">
        <v>78</v>
      </c>
      <c r="F39" s="546">
        <f>Production2!AN24</f>
        <v>2</v>
      </c>
      <c r="G39" s="654">
        <f>F39+'21'!G39</f>
        <v>54.12</v>
      </c>
      <c r="H39" s="654">
        <f>F39+'21'!H39</f>
        <v>94.77000000000001</v>
      </c>
      <c r="I39" s="548">
        <f>Production2!BV24</f>
        <v>623.05000000000018</v>
      </c>
      <c r="J39" s="548">
        <f>Production2!AO24</f>
        <v>140</v>
      </c>
      <c r="K39" s="549">
        <f>J39+'21'!K39</f>
        <v>3405</v>
      </c>
      <c r="L39" s="549">
        <f>J39+'21'!L39</f>
        <v>5937</v>
      </c>
      <c r="M39" s="77">
        <f>Production2!BX24</f>
        <v>463.84</v>
      </c>
      <c r="N39" s="549">
        <f>M39+'21'!N39</f>
        <v>5920.62</v>
      </c>
      <c r="O39" s="549">
        <f>M39+'21'!O39</f>
        <v>11342.500000000002</v>
      </c>
      <c r="P39" s="549">
        <f>I39+J39+J45-M39</f>
        <v>299.21000000000021</v>
      </c>
      <c r="Q39" s="96">
        <f t="shared" si="6"/>
        <v>70</v>
      </c>
      <c r="R39" s="94"/>
      <c r="S39" s="94"/>
    </row>
    <row r="40" spans="2:20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12.1</v>
      </c>
      <c r="G40" s="132">
        <f t="shared" ref="G40:H40" si="8">G35+G36+G37+G38+G39</f>
        <v>270.79999999999995</v>
      </c>
      <c r="H40" s="132">
        <f t="shared" si="8"/>
        <v>526.78</v>
      </c>
      <c r="I40" s="122">
        <f>I35+I36+I37+I38+I39</f>
        <v>3422.5379999999805</v>
      </c>
      <c r="J40" s="545">
        <f t="shared" ref="J40:O40" si="9">J35+J36+J37+J38+J39</f>
        <v>835</v>
      </c>
      <c r="K40" s="545">
        <f t="shared" si="9"/>
        <v>16970</v>
      </c>
      <c r="L40" s="545">
        <f t="shared" si="9"/>
        <v>32505</v>
      </c>
      <c r="M40" s="545">
        <f t="shared" si="9"/>
        <v>2161.59</v>
      </c>
      <c r="N40" s="545">
        <f t="shared" si="9"/>
        <v>35672.36</v>
      </c>
      <c r="O40" s="545">
        <f t="shared" si="9"/>
        <v>80503.860000000015</v>
      </c>
      <c r="P40" s="545">
        <f>P35+P36+P37+P38+P39</f>
        <v>3505.9479999999803</v>
      </c>
      <c r="Q40" s="123">
        <f t="shared" si="6"/>
        <v>69.008264462809919</v>
      </c>
      <c r="R40" s="94"/>
      <c r="S40" s="94"/>
    </row>
    <row r="41" spans="2:20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Production2!AT24</f>
        <v>0</v>
      </c>
      <c r="G41" s="75">
        <f>F41+'21'!G41</f>
        <v>10.129999999999999</v>
      </c>
      <c r="H41" s="75">
        <f>F41+'21'!H41</f>
        <v>43.23</v>
      </c>
      <c r="I41" s="710"/>
      <c r="J41" s="77">
        <f>Production2!AU24</f>
        <v>0</v>
      </c>
      <c r="K41" s="74">
        <f>J41+'21'!K41</f>
        <v>600</v>
      </c>
      <c r="L41" s="74">
        <f>J41+'21'!L41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  <c r="T41" s="176"/>
    </row>
    <row r="42" spans="2:20" x14ac:dyDescent="0.25">
      <c r="B42" s="688"/>
      <c r="C42" s="691"/>
      <c r="D42" s="80" t="s">
        <v>266</v>
      </c>
      <c r="E42" s="97">
        <v>70</v>
      </c>
      <c r="F42" s="78">
        <f>Production2!AQ24</f>
        <v>23.46</v>
      </c>
      <c r="G42" s="75">
        <f>F42+'21'!G42</f>
        <v>258.07</v>
      </c>
      <c r="H42" s="654">
        <f>F42+'21'!H42</f>
        <v>674.06999999999994</v>
      </c>
      <c r="I42" s="711"/>
      <c r="J42" s="77">
        <f>Production2!AR24</f>
        <v>1410</v>
      </c>
      <c r="K42" s="74">
        <f>J42+'21'!K42</f>
        <v>15019</v>
      </c>
      <c r="L42" s="74">
        <f>J42+'21'!L42</f>
        <v>39159</v>
      </c>
      <c r="M42" s="716"/>
      <c r="N42" s="867"/>
      <c r="O42" s="867"/>
      <c r="P42" s="718"/>
      <c r="Q42" s="96">
        <f t="shared" si="6"/>
        <v>60.102301790281331</v>
      </c>
      <c r="R42" s="94"/>
      <c r="S42" s="94"/>
    </row>
    <row r="43" spans="2:20" x14ac:dyDescent="0.25">
      <c r="B43" s="688"/>
      <c r="C43" s="691"/>
      <c r="D43" s="80" t="s">
        <v>267</v>
      </c>
      <c r="E43" s="97">
        <v>70</v>
      </c>
      <c r="F43" s="78">
        <f>Production2!AW24</f>
        <v>0</v>
      </c>
      <c r="G43" s="547">
        <f>F43+'21'!G43</f>
        <v>0</v>
      </c>
      <c r="H43" s="654">
        <f>F43+'21'!H43</f>
        <v>0</v>
      </c>
      <c r="I43" s="711"/>
      <c r="J43" s="77">
        <f>Production2!AX24</f>
        <v>0</v>
      </c>
      <c r="K43" s="549">
        <f>J43+'21'!K43</f>
        <v>0</v>
      </c>
      <c r="L43" s="549">
        <f>J43+'21'!L43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20" x14ac:dyDescent="0.25">
      <c r="B44" s="688"/>
      <c r="C44" s="691"/>
      <c r="D44" s="194" t="s">
        <v>175</v>
      </c>
      <c r="E44" s="97">
        <v>60</v>
      </c>
      <c r="F44" s="84">
        <f>Production2!AZ24</f>
        <v>0</v>
      </c>
      <c r="G44" s="547">
        <f>F44+'21'!G44</f>
        <v>9</v>
      </c>
      <c r="H44" s="654">
        <f>F44+'21'!H44</f>
        <v>41.88</v>
      </c>
      <c r="I44" s="711"/>
      <c r="J44" s="195">
        <f>Production2!BA24</f>
        <v>0</v>
      </c>
      <c r="K44" s="549">
        <f>J44+'21'!K44</f>
        <v>497</v>
      </c>
      <c r="L44" s="549">
        <f>J44+'21'!L44</f>
        <v>2317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20" x14ac:dyDescent="0.25">
      <c r="B45" s="688"/>
      <c r="C45" s="691"/>
      <c r="D45" s="544" t="s">
        <v>304</v>
      </c>
      <c r="E45" s="550">
        <v>70</v>
      </c>
      <c r="F45" s="546">
        <f>Production2!BC24</f>
        <v>0</v>
      </c>
      <c r="G45" s="547">
        <f>F45+'21'!G45</f>
        <v>33.769999999999996</v>
      </c>
      <c r="H45" s="654">
        <f>F45+'21'!H45</f>
        <v>88.740000000000009</v>
      </c>
      <c r="I45" s="712"/>
      <c r="J45" s="548">
        <f>Production2!BD24</f>
        <v>0</v>
      </c>
      <c r="K45" s="549">
        <f>J45+'21'!K45</f>
        <v>2059</v>
      </c>
      <c r="L45" s="549">
        <f>J45+'21'!L45</f>
        <v>5331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20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23.46</v>
      </c>
      <c r="G46" s="132">
        <f t="shared" ref="G46:H46" si="10">G41+G42+G43+G44+G45</f>
        <v>310.96999999999997</v>
      </c>
      <c r="H46" s="132">
        <f t="shared" si="10"/>
        <v>847.92</v>
      </c>
      <c r="I46" s="122">
        <f t="shared" ref="I46" si="11">I41+I42+I43+I44</f>
        <v>0</v>
      </c>
      <c r="J46" s="122">
        <f>J41+J42+J43+J44+J45</f>
        <v>1410</v>
      </c>
      <c r="K46" s="551">
        <f t="shared" ref="K46:L46" si="12">K41+K42+K43+K44+K45</f>
        <v>18175</v>
      </c>
      <c r="L46" s="551">
        <f t="shared" si="12"/>
        <v>49407</v>
      </c>
      <c r="M46" s="873"/>
      <c r="N46" s="874"/>
      <c r="O46" s="874"/>
      <c r="P46" s="875"/>
      <c r="Q46" s="123">
        <f t="shared" si="6"/>
        <v>60.102301790281331</v>
      </c>
      <c r="R46" s="94"/>
      <c r="S46" s="94"/>
    </row>
    <row r="47" spans="2:20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20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1.307062429164459</v>
      </c>
      <c r="F50" s="99">
        <f>F53/(J31+J32)</f>
        <v>22.229582621214732</v>
      </c>
      <c r="G50" s="99">
        <f>G53/J32</f>
        <v>0</v>
      </c>
      <c r="H50" s="99">
        <f>H53/J34</f>
        <v>34.231446540880505</v>
      </c>
      <c r="I50" s="99">
        <f>I53/J33</f>
        <v>53.538775510204083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15.220125786163521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1.9770346805915244</v>
      </c>
      <c r="F51" s="102">
        <f>F50*1.55</f>
        <v>34.455853062882838</v>
      </c>
      <c r="G51" s="102">
        <f>G50*1.55</f>
        <v>0</v>
      </c>
      <c r="H51" s="102">
        <f>H50</f>
        <v>34.231446540880505</v>
      </c>
      <c r="I51" s="102">
        <f>I50*(Q50/100)</f>
        <v>8.1486689770247729</v>
      </c>
      <c r="J51" s="102"/>
      <c r="K51" s="102"/>
      <c r="L51" s="102"/>
      <c r="M51" s="96"/>
      <c r="N51" s="307">
        <f>SUM(E51:I51)</f>
        <v>78.813003261379635</v>
      </c>
      <c r="O51" s="728" t="s">
        <v>277</v>
      </c>
      <c r="P51" s="728"/>
      <c r="Q51" s="104">
        <v>5490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1.5193181292817479</v>
      </c>
      <c r="F52" s="102">
        <f>F51*M18/100</f>
        <v>26.478747556741446</v>
      </c>
      <c r="G52" s="102">
        <f>G51*M18/100</f>
        <v>0</v>
      </c>
      <c r="H52" s="102">
        <f>H51*M18/100</f>
        <v>26.306294892883674</v>
      </c>
      <c r="I52" s="102">
        <f>I51*M18/100</f>
        <v>6.2621160002136618</v>
      </c>
      <c r="J52" s="99">
        <f>J53/(J40+J46)</f>
        <v>38.807126948775057</v>
      </c>
      <c r="K52" s="99">
        <f>K53/(J46+J40)</f>
        <v>0.84365256124721599</v>
      </c>
      <c r="L52" s="99">
        <f>L53/(M40)</f>
        <v>2.7068037879523867</v>
      </c>
      <c r="M52" s="96">
        <f>M53/(J46+J40)</f>
        <v>2.0160356347438753</v>
      </c>
      <c r="N52" s="307">
        <f>SUM(E52:M52)</f>
        <v>104.94009551183905</v>
      </c>
      <c r="O52" s="728" t="s">
        <v>279</v>
      </c>
      <c r="P52" s="728"/>
      <c r="Q52" s="104">
        <f>Q51*Q50/100</f>
        <v>835.58490566037722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unit'!B24</f>
        <v>3898</v>
      </c>
      <c r="F53" s="118">
        <f>'Daily unit'!C24</f>
        <v>50336</v>
      </c>
      <c r="G53" s="118">
        <f>'Daily unit'!D24</f>
        <v>0</v>
      </c>
      <c r="H53" s="118">
        <f>'Daily unit'!E24</f>
        <v>54428</v>
      </c>
      <c r="I53" s="118">
        <f>'Daily unit'!F24</f>
        <v>13117</v>
      </c>
      <c r="J53" s="118">
        <f>'Daily unit'!G24</f>
        <v>87122</v>
      </c>
      <c r="K53" s="118">
        <f>'Daily unit'!H24</f>
        <v>1894</v>
      </c>
      <c r="L53" s="118">
        <f>'Daily unit'!I24</f>
        <v>5851</v>
      </c>
      <c r="M53" s="119">
        <f>'Daily unit'!J24</f>
        <v>4526</v>
      </c>
      <c r="N53" s="318">
        <f>SUM(E53:M53)</f>
        <v>221172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730" t="s">
        <v>282</v>
      </c>
      <c r="J55" s="731"/>
      <c r="K55" s="731"/>
      <c r="L55" s="731"/>
      <c r="M55" s="731"/>
      <c r="N55" s="731"/>
      <c r="O55" s="731"/>
      <c r="P55" s="731"/>
      <c r="Q55" s="732"/>
      <c r="R55" s="109"/>
    </row>
    <row r="56" spans="2:19" s="110" customFormat="1" ht="14.45" customHeight="1" x14ac:dyDescent="0.25">
      <c r="B56" s="214" t="s">
        <v>229</v>
      </c>
      <c r="C56" s="856" t="s">
        <v>283</v>
      </c>
      <c r="D56" s="856"/>
      <c r="E56" s="856"/>
      <c r="F56" s="215" t="s">
        <v>284</v>
      </c>
      <c r="G56" s="215" t="s">
        <v>26</v>
      </c>
      <c r="H56" s="216" t="s">
        <v>27</v>
      </c>
      <c r="I56" s="733"/>
      <c r="J56" s="734"/>
      <c r="K56" s="734"/>
      <c r="L56" s="734"/>
      <c r="M56" s="734"/>
      <c r="N56" s="734"/>
      <c r="O56" s="734"/>
      <c r="P56" s="734"/>
      <c r="Q56" s="735"/>
      <c r="R56" s="111"/>
    </row>
    <row r="57" spans="2:19" ht="14.45" customHeight="1" x14ac:dyDescent="0.25">
      <c r="B57" s="687">
        <v>1</v>
      </c>
      <c r="C57" s="824" t="s">
        <v>285</v>
      </c>
      <c r="D57" s="825"/>
      <c r="E57" s="80">
        <v>42.5</v>
      </c>
      <c r="F57" s="53">
        <f>'Internal use cement'!F24</f>
        <v>0</v>
      </c>
      <c r="G57" s="53">
        <f>F57+'21'!G57</f>
        <v>0</v>
      </c>
      <c r="H57" s="104">
        <f>F57+'21'!H57</f>
        <v>0</v>
      </c>
      <c r="I57" s="733"/>
      <c r="J57" s="734"/>
      <c r="K57" s="734"/>
      <c r="L57" s="734"/>
      <c r="M57" s="734"/>
      <c r="N57" s="734"/>
      <c r="O57" s="734"/>
      <c r="P57" s="734"/>
      <c r="Q57" s="735"/>
      <c r="R57" s="109"/>
    </row>
    <row r="58" spans="2:19" ht="14.45" customHeight="1" x14ac:dyDescent="0.25">
      <c r="B58" s="688"/>
      <c r="C58" s="826"/>
      <c r="D58" s="827"/>
      <c r="E58" s="80" t="s">
        <v>195</v>
      </c>
      <c r="F58" s="53">
        <f>'Internal use cement'!Q24</f>
        <v>0</v>
      </c>
      <c r="G58" s="53">
        <f>F58+'21'!G58</f>
        <v>2</v>
      </c>
      <c r="H58" s="104">
        <f>F58+'21'!H58</f>
        <v>2</v>
      </c>
      <c r="I58" s="733"/>
      <c r="J58" s="734"/>
      <c r="K58" s="734"/>
      <c r="L58" s="734"/>
      <c r="M58" s="734"/>
      <c r="N58" s="734"/>
      <c r="O58" s="734"/>
      <c r="P58" s="734"/>
      <c r="Q58" s="735"/>
      <c r="R58" s="109"/>
    </row>
    <row r="59" spans="2:19" ht="15" customHeight="1" x14ac:dyDescent="0.25">
      <c r="B59" s="688"/>
      <c r="C59" s="826"/>
      <c r="D59" s="827"/>
      <c r="E59" s="80">
        <v>32.5</v>
      </c>
      <c r="F59" s="53">
        <f>'Internal use cement'!Y24</f>
        <v>0</v>
      </c>
      <c r="G59" s="53">
        <f>F59+'21'!G59</f>
        <v>0</v>
      </c>
      <c r="H59" s="104">
        <f>F59+'21'!H59</f>
        <v>0</v>
      </c>
      <c r="I59" s="733"/>
      <c r="J59" s="734"/>
      <c r="K59" s="734"/>
      <c r="L59" s="734"/>
      <c r="M59" s="734"/>
      <c r="N59" s="734"/>
      <c r="O59" s="734"/>
      <c r="P59" s="734"/>
      <c r="Q59" s="735"/>
      <c r="R59" s="109"/>
    </row>
    <row r="60" spans="2:19" ht="15" customHeight="1" thickBot="1" x14ac:dyDescent="0.3">
      <c r="B60" s="689"/>
      <c r="C60" s="828"/>
      <c r="D60" s="829"/>
      <c r="E60" s="112" t="s">
        <v>175</v>
      </c>
      <c r="F60" s="113">
        <f>'Internal use cement'!AJ24</f>
        <v>0</v>
      </c>
      <c r="G60" s="53">
        <f>F60+'21'!G60</f>
        <v>0</v>
      </c>
      <c r="H60" s="104">
        <f>F60+'21'!H60</f>
        <v>0</v>
      </c>
      <c r="I60" s="736"/>
      <c r="J60" s="737"/>
      <c r="K60" s="737"/>
      <c r="L60" s="737"/>
      <c r="M60" s="737"/>
      <c r="N60" s="737"/>
      <c r="O60" s="737"/>
      <c r="P60" s="737"/>
      <c r="Q60" s="738"/>
      <c r="R60" s="109"/>
    </row>
    <row r="61" spans="2:19" x14ac:dyDescent="0.25">
      <c r="R61" s="94"/>
      <c r="S61" s="94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109"/>
      <c r="S64" s="109"/>
    </row>
    <row r="65" spans="2:19" x14ac:dyDescent="0.25">
      <c r="R65" s="94"/>
      <c r="S65" s="94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</sheetData>
  <mergeCells count="86">
    <mergeCell ref="M41:P45"/>
    <mergeCell ref="I41:I45"/>
    <mergeCell ref="C53:D53"/>
    <mergeCell ref="I55:Q60"/>
    <mergeCell ref="B2:Q2"/>
    <mergeCell ref="B3:Q3"/>
    <mergeCell ref="B41:B46"/>
    <mergeCell ref="C41:C46"/>
    <mergeCell ref="C30:D30"/>
    <mergeCell ref="C31:D31"/>
    <mergeCell ref="C33:D33"/>
    <mergeCell ref="C34:D34"/>
    <mergeCell ref="M46:P46"/>
    <mergeCell ref="C35:C40"/>
    <mergeCell ref="P28:P29"/>
    <mergeCell ref="Q28:Q29"/>
    <mergeCell ref="B4:O4"/>
    <mergeCell ref="B6:B7"/>
    <mergeCell ref="C28:D29"/>
    <mergeCell ref="F28:H28"/>
    <mergeCell ref="I28:I29"/>
    <mergeCell ref="J28:L28"/>
    <mergeCell ref="M28:O28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31:P32"/>
    <mergeCell ref="M31:M32"/>
    <mergeCell ref="N31:N32"/>
    <mergeCell ref="C32:D32"/>
    <mergeCell ref="O31:O32"/>
    <mergeCell ref="I31:I32"/>
    <mergeCell ref="B47:Q47"/>
    <mergeCell ref="B57:B60"/>
    <mergeCell ref="C57:D60"/>
    <mergeCell ref="B48:N48"/>
    <mergeCell ref="O48:Q48"/>
    <mergeCell ref="B55:H55"/>
    <mergeCell ref="C56:E56"/>
    <mergeCell ref="B54:Q54"/>
    <mergeCell ref="C49:D49"/>
    <mergeCell ref="O49:P49"/>
    <mergeCell ref="C50:D50"/>
    <mergeCell ref="O50:P50"/>
    <mergeCell ref="C51:D51"/>
    <mergeCell ref="O51:P51"/>
    <mergeCell ref="C52:D52"/>
    <mergeCell ref="O52:P52"/>
    <mergeCell ref="P6:P7"/>
    <mergeCell ref="B26:Q26"/>
    <mergeCell ref="B27:Q27"/>
    <mergeCell ref="B28:B29"/>
    <mergeCell ref="Q6:Q7"/>
    <mergeCell ref="M18:M19"/>
    <mergeCell ref="C23:C24"/>
    <mergeCell ref="C8:Q8"/>
    <mergeCell ref="C22:D22"/>
    <mergeCell ref="C11:D11"/>
    <mergeCell ref="C12:D12"/>
    <mergeCell ref="C13:D13"/>
    <mergeCell ref="P13:Q13"/>
    <mergeCell ref="O9:O16"/>
    <mergeCell ref="C10:D10"/>
    <mergeCell ref="P23:Q25"/>
    <mergeCell ref="C25:D25"/>
    <mergeCell ref="M25:N25"/>
    <mergeCell ref="M23:N24"/>
    <mergeCell ref="B35:B40"/>
    <mergeCell ref="C9:D9"/>
    <mergeCell ref="C21:D21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B23:B24"/>
  </mergeCells>
  <pageMargins left="0.25" right="0.25" top="0.75" bottom="0.75" header="0.3" footer="0.3"/>
  <pageSetup paperSize="9" scale="50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B2:T156"/>
  <sheetViews>
    <sheetView zoomScale="90" zoomScaleNormal="90" workbookViewId="0">
      <pane xSplit="4" ySplit="1" topLeftCell="E25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5" width="9.140625" style="68"/>
    <col min="256" max="256" width="3.7109375" style="68" customWidth="1"/>
    <col min="257" max="257" width="4" style="68" bestFit="1" customWidth="1"/>
    <col min="258" max="258" width="14.5703125" style="68" customWidth="1"/>
    <col min="259" max="259" width="11.140625" style="68" customWidth="1"/>
    <col min="260" max="260" width="8.7109375" style="68" customWidth="1"/>
    <col min="261" max="261" width="9.7109375" style="68" bestFit="1" customWidth="1"/>
    <col min="262" max="262" width="10.85546875" style="68" customWidth="1"/>
    <col min="263" max="263" width="10.42578125" style="68" customWidth="1"/>
    <col min="264" max="264" width="9.7109375" style="68" bestFit="1" customWidth="1"/>
    <col min="265" max="267" width="9.28515625" style="68" bestFit="1" customWidth="1"/>
    <col min="268" max="268" width="10.7109375" style="68" bestFit="1" customWidth="1"/>
    <col min="269" max="269" width="11.28515625" style="68" customWidth="1"/>
    <col min="270" max="270" width="12.5703125" style="68" customWidth="1"/>
    <col min="271" max="271" width="13.5703125" style="68" customWidth="1"/>
    <col min="272" max="272" width="13" style="68" customWidth="1"/>
    <col min="273" max="511" width="9.140625" style="68"/>
    <col min="512" max="512" width="3.7109375" style="68" customWidth="1"/>
    <col min="513" max="513" width="4" style="68" bestFit="1" customWidth="1"/>
    <col min="514" max="514" width="14.5703125" style="68" customWidth="1"/>
    <col min="515" max="515" width="11.140625" style="68" customWidth="1"/>
    <col min="516" max="516" width="8.7109375" style="68" customWidth="1"/>
    <col min="517" max="517" width="9.7109375" style="68" bestFit="1" customWidth="1"/>
    <col min="518" max="518" width="10.85546875" style="68" customWidth="1"/>
    <col min="519" max="519" width="10.42578125" style="68" customWidth="1"/>
    <col min="520" max="520" width="9.7109375" style="68" bestFit="1" customWidth="1"/>
    <col min="521" max="523" width="9.28515625" style="68" bestFit="1" customWidth="1"/>
    <col min="524" max="524" width="10.7109375" style="68" bestFit="1" customWidth="1"/>
    <col min="525" max="525" width="11.28515625" style="68" customWidth="1"/>
    <col min="526" max="526" width="12.5703125" style="68" customWidth="1"/>
    <col min="527" max="527" width="13.5703125" style="68" customWidth="1"/>
    <col min="528" max="528" width="13" style="68" customWidth="1"/>
    <col min="529" max="767" width="9.140625" style="68"/>
    <col min="768" max="768" width="3.7109375" style="68" customWidth="1"/>
    <col min="769" max="769" width="4" style="68" bestFit="1" customWidth="1"/>
    <col min="770" max="770" width="14.5703125" style="68" customWidth="1"/>
    <col min="771" max="771" width="11.140625" style="68" customWidth="1"/>
    <col min="772" max="772" width="8.7109375" style="68" customWidth="1"/>
    <col min="773" max="773" width="9.7109375" style="68" bestFit="1" customWidth="1"/>
    <col min="774" max="774" width="10.85546875" style="68" customWidth="1"/>
    <col min="775" max="775" width="10.42578125" style="68" customWidth="1"/>
    <col min="776" max="776" width="9.7109375" style="68" bestFit="1" customWidth="1"/>
    <col min="777" max="779" width="9.28515625" style="68" bestFit="1" customWidth="1"/>
    <col min="780" max="780" width="10.7109375" style="68" bestFit="1" customWidth="1"/>
    <col min="781" max="781" width="11.28515625" style="68" customWidth="1"/>
    <col min="782" max="782" width="12.5703125" style="68" customWidth="1"/>
    <col min="783" max="783" width="13.5703125" style="68" customWidth="1"/>
    <col min="784" max="784" width="13" style="68" customWidth="1"/>
    <col min="785" max="1023" width="9.140625" style="68"/>
    <col min="1024" max="1024" width="3.7109375" style="68" customWidth="1"/>
    <col min="1025" max="1025" width="4" style="68" bestFit="1" customWidth="1"/>
    <col min="1026" max="1026" width="14.5703125" style="68" customWidth="1"/>
    <col min="1027" max="1027" width="11.140625" style="68" customWidth="1"/>
    <col min="1028" max="1028" width="8.7109375" style="68" customWidth="1"/>
    <col min="1029" max="1029" width="9.7109375" style="68" bestFit="1" customWidth="1"/>
    <col min="1030" max="1030" width="10.85546875" style="68" customWidth="1"/>
    <col min="1031" max="1031" width="10.42578125" style="68" customWidth="1"/>
    <col min="1032" max="1032" width="9.7109375" style="68" bestFit="1" customWidth="1"/>
    <col min="1033" max="1035" width="9.28515625" style="68" bestFit="1" customWidth="1"/>
    <col min="1036" max="1036" width="10.7109375" style="68" bestFit="1" customWidth="1"/>
    <col min="1037" max="1037" width="11.28515625" style="68" customWidth="1"/>
    <col min="1038" max="1038" width="12.5703125" style="68" customWidth="1"/>
    <col min="1039" max="1039" width="13.5703125" style="68" customWidth="1"/>
    <col min="1040" max="1040" width="13" style="68" customWidth="1"/>
    <col min="1041" max="1279" width="9.140625" style="68"/>
    <col min="1280" max="1280" width="3.7109375" style="68" customWidth="1"/>
    <col min="1281" max="1281" width="4" style="68" bestFit="1" customWidth="1"/>
    <col min="1282" max="1282" width="14.5703125" style="68" customWidth="1"/>
    <col min="1283" max="1283" width="11.140625" style="68" customWidth="1"/>
    <col min="1284" max="1284" width="8.7109375" style="68" customWidth="1"/>
    <col min="1285" max="1285" width="9.7109375" style="68" bestFit="1" customWidth="1"/>
    <col min="1286" max="1286" width="10.85546875" style="68" customWidth="1"/>
    <col min="1287" max="1287" width="10.42578125" style="68" customWidth="1"/>
    <col min="1288" max="1288" width="9.7109375" style="68" bestFit="1" customWidth="1"/>
    <col min="1289" max="1291" width="9.28515625" style="68" bestFit="1" customWidth="1"/>
    <col min="1292" max="1292" width="10.7109375" style="68" bestFit="1" customWidth="1"/>
    <col min="1293" max="1293" width="11.28515625" style="68" customWidth="1"/>
    <col min="1294" max="1294" width="12.5703125" style="68" customWidth="1"/>
    <col min="1295" max="1295" width="13.5703125" style="68" customWidth="1"/>
    <col min="1296" max="1296" width="13" style="68" customWidth="1"/>
    <col min="1297" max="1535" width="9.140625" style="68"/>
    <col min="1536" max="1536" width="3.7109375" style="68" customWidth="1"/>
    <col min="1537" max="1537" width="4" style="68" bestFit="1" customWidth="1"/>
    <col min="1538" max="1538" width="14.5703125" style="68" customWidth="1"/>
    <col min="1539" max="1539" width="11.140625" style="68" customWidth="1"/>
    <col min="1540" max="1540" width="8.7109375" style="68" customWidth="1"/>
    <col min="1541" max="1541" width="9.7109375" style="68" bestFit="1" customWidth="1"/>
    <col min="1542" max="1542" width="10.85546875" style="68" customWidth="1"/>
    <col min="1543" max="1543" width="10.42578125" style="68" customWidth="1"/>
    <col min="1544" max="1544" width="9.7109375" style="68" bestFit="1" customWidth="1"/>
    <col min="1545" max="1547" width="9.28515625" style="68" bestFit="1" customWidth="1"/>
    <col min="1548" max="1548" width="10.7109375" style="68" bestFit="1" customWidth="1"/>
    <col min="1549" max="1549" width="11.28515625" style="68" customWidth="1"/>
    <col min="1550" max="1550" width="12.5703125" style="68" customWidth="1"/>
    <col min="1551" max="1551" width="13.5703125" style="68" customWidth="1"/>
    <col min="1552" max="1552" width="13" style="68" customWidth="1"/>
    <col min="1553" max="1791" width="9.140625" style="68"/>
    <col min="1792" max="1792" width="3.7109375" style="68" customWidth="1"/>
    <col min="1793" max="1793" width="4" style="68" bestFit="1" customWidth="1"/>
    <col min="1794" max="1794" width="14.5703125" style="68" customWidth="1"/>
    <col min="1795" max="1795" width="11.140625" style="68" customWidth="1"/>
    <col min="1796" max="1796" width="8.7109375" style="68" customWidth="1"/>
    <col min="1797" max="1797" width="9.7109375" style="68" bestFit="1" customWidth="1"/>
    <col min="1798" max="1798" width="10.85546875" style="68" customWidth="1"/>
    <col min="1799" max="1799" width="10.42578125" style="68" customWidth="1"/>
    <col min="1800" max="1800" width="9.7109375" style="68" bestFit="1" customWidth="1"/>
    <col min="1801" max="1803" width="9.28515625" style="68" bestFit="1" customWidth="1"/>
    <col min="1804" max="1804" width="10.7109375" style="68" bestFit="1" customWidth="1"/>
    <col min="1805" max="1805" width="11.28515625" style="68" customWidth="1"/>
    <col min="1806" max="1806" width="12.5703125" style="68" customWidth="1"/>
    <col min="1807" max="1807" width="13.5703125" style="68" customWidth="1"/>
    <col min="1808" max="1808" width="13" style="68" customWidth="1"/>
    <col min="1809" max="2047" width="9.140625" style="68"/>
    <col min="2048" max="2048" width="3.7109375" style="68" customWidth="1"/>
    <col min="2049" max="2049" width="4" style="68" bestFit="1" customWidth="1"/>
    <col min="2050" max="2050" width="14.5703125" style="68" customWidth="1"/>
    <col min="2051" max="2051" width="11.140625" style="68" customWidth="1"/>
    <col min="2052" max="2052" width="8.7109375" style="68" customWidth="1"/>
    <col min="2053" max="2053" width="9.7109375" style="68" bestFit="1" customWidth="1"/>
    <col min="2054" max="2054" width="10.85546875" style="68" customWidth="1"/>
    <col min="2055" max="2055" width="10.42578125" style="68" customWidth="1"/>
    <col min="2056" max="2056" width="9.7109375" style="68" bestFit="1" customWidth="1"/>
    <col min="2057" max="2059" width="9.28515625" style="68" bestFit="1" customWidth="1"/>
    <col min="2060" max="2060" width="10.7109375" style="68" bestFit="1" customWidth="1"/>
    <col min="2061" max="2061" width="11.28515625" style="68" customWidth="1"/>
    <col min="2062" max="2062" width="12.5703125" style="68" customWidth="1"/>
    <col min="2063" max="2063" width="13.5703125" style="68" customWidth="1"/>
    <col min="2064" max="2064" width="13" style="68" customWidth="1"/>
    <col min="2065" max="2303" width="9.140625" style="68"/>
    <col min="2304" max="2304" width="3.7109375" style="68" customWidth="1"/>
    <col min="2305" max="2305" width="4" style="68" bestFit="1" customWidth="1"/>
    <col min="2306" max="2306" width="14.5703125" style="68" customWidth="1"/>
    <col min="2307" max="2307" width="11.140625" style="68" customWidth="1"/>
    <col min="2308" max="2308" width="8.7109375" style="68" customWidth="1"/>
    <col min="2309" max="2309" width="9.7109375" style="68" bestFit="1" customWidth="1"/>
    <col min="2310" max="2310" width="10.85546875" style="68" customWidth="1"/>
    <col min="2311" max="2311" width="10.42578125" style="68" customWidth="1"/>
    <col min="2312" max="2312" width="9.7109375" style="68" bestFit="1" customWidth="1"/>
    <col min="2313" max="2315" width="9.28515625" style="68" bestFit="1" customWidth="1"/>
    <col min="2316" max="2316" width="10.7109375" style="68" bestFit="1" customWidth="1"/>
    <col min="2317" max="2317" width="11.28515625" style="68" customWidth="1"/>
    <col min="2318" max="2318" width="12.5703125" style="68" customWidth="1"/>
    <col min="2319" max="2319" width="13.5703125" style="68" customWidth="1"/>
    <col min="2320" max="2320" width="13" style="68" customWidth="1"/>
    <col min="2321" max="2559" width="9.140625" style="68"/>
    <col min="2560" max="2560" width="3.7109375" style="68" customWidth="1"/>
    <col min="2561" max="2561" width="4" style="68" bestFit="1" customWidth="1"/>
    <col min="2562" max="2562" width="14.5703125" style="68" customWidth="1"/>
    <col min="2563" max="2563" width="11.140625" style="68" customWidth="1"/>
    <col min="2564" max="2564" width="8.7109375" style="68" customWidth="1"/>
    <col min="2565" max="2565" width="9.7109375" style="68" bestFit="1" customWidth="1"/>
    <col min="2566" max="2566" width="10.85546875" style="68" customWidth="1"/>
    <col min="2567" max="2567" width="10.42578125" style="68" customWidth="1"/>
    <col min="2568" max="2568" width="9.7109375" style="68" bestFit="1" customWidth="1"/>
    <col min="2569" max="2571" width="9.28515625" style="68" bestFit="1" customWidth="1"/>
    <col min="2572" max="2572" width="10.7109375" style="68" bestFit="1" customWidth="1"/>
    <col min="2573" max="2573" width="11.28515625" style="68" customWidth="1"/>
    <col min="2574" max="2574" width="12.5703125" style="68" customWidth="1"/>
    <col min="2575" max="2575" width="13.5703125" style="68" customWidth="1"/>
    <col min="2576" max="2576" width="13" style="68" customWidth="1"/>
    <col min="2577" max="2815" width="9.140625" style="68"/>
    <col min="2816" max="2816" width="3.7109375" style="68" customWidth="1"/>
    <col min="2817" max="2817" width="4" style="68" bestFit="1" customWidth="1"/>
    <col min="2818" max="2818" width="14.5703125" style="68" customWidth="1"/>
    <col min="2819" max="2819" width="11.140625" style="68" customWidth="1"/>
    <col min="2820" max="2820" width="8.7109375" style="68" customWidth="1"/>
    <col min="2821" max="2821" width="9.7109375" style="68" bestFit="1" customWidth="1"/>
    <col min="2822" max="2822" width="10.85546875" style="68" customWidth="1"/>
    <col min="2823" max="2823" width="10.42578125" style="68" customWidth="1"/>
    <col min="2824" max="2824" width="9.7109375" style="68" bestFit="1" customWidth="1"/>
    <col min="2825" max="2827" width="9.28515625" style="68" bestFit="1" customWidth="1"/>
    <col min="2828" max="2828" width="10.7109375" style="68" bestFit="1" customWidth="1"/>
    <col min="2829" max="2829" width="11.28515625" style="68" customWidth="1"/>
    <col min="2830" max="2830" width="12.5703125" style="68" customWidth="1"/>
    <col min="2831" max="2831" width="13.5703125" style="68" customWidth="1"/>
    <col min="2832" max="2832" width="13" style="68" customWidth="1"/>
    <col min="2833" max="3071" width="9.140625" style="68"/>
    <col min="3072" max="3072" width="3.7109375" style="68" customWidth="1"/>
    <col min="3073" max="3073" width="4" style="68" bestFit="1" customWidth="1"/>
    <col min="3074" max="3074" width="14.5703125" style="68" customWidth="1"/>
    <col min="3075" max="3075" width="11.140625" style="68" customWidth="1"/>
    <col min="3076" max="3076" width="8.7109375" style="68" customWidth="1"/>
    <col min="3077" max="3077" width="9.7109375" style="68" bestFit="1" customWidth="1"/>
    <col min="3078" max="3078" width="10.85546875" style="68" customWidth="1"/>
    <col min="3079" max="3079" width="10.42578125" style="68" customWidth="1"/>
    <col min="3080" max="3080" width="9.7109375" style="68" bestFit="1" customWidth="1"/>
    <col min="3081" max="3083" width="9.28515625" style="68" bestFit="1" customWidth="1"/>
    <col min="3084" max="3084" width="10.7109375" style="68" bestFit="1" customWidth="1"/>
    <col min="3085" max="3085" width="11.28515625" style="68" customWidth="1"/>
    <col min="3086" max="3086" width="12.5703125" style="68" customWidth="1"/>
    <col min="3087" max="3087" width="13.5703125" style="68" customWidth="1"/>
    <col min="3088" max="3088" width="13" style="68" customWidth="1"/>
    <col min="3089" max="3327" width="9.140625" style="68"/>
    <col min="3328" max="3328" width="3.7109375" style="68" customWidth="1"/>
    <col min="3329" max="3329" width="4" style="68" bestFit="1" customWidth="1"/>
    <col min="3330" max="3330" width="14.5703125" style="68" customWidth="1"/>
    <col min="3331" max="3331" width="11.140625" style="68" customWidth="1"/>
    <col min="3332" max="3332" width="8.7109375" style="68" customWidth="1"/>
    <col min="3333" max="3333" width="9.7109375" style="68" bestFit="1" customWidth="1"/>
    <col min="3334" max="3334" width="10.85546875" style="68" customWidth="1"/>
    <col min="3335" max="3335" width="10.42578125" style="68" customWidth="1"/>
    <col min="3336" max="3336" width="9.7109375" style="68" bestFit="1" customWidth="1"/>
    <col min="3337" max="3339" width="9.28515625" style="68" bestFit="1" customWidth="1"/>
    <col min="3340" max="3340" width="10.7109375" style="68" bestFit="1" customWidth="1"/>
    <col min="3341" max="3341" width="11.28515625" style="68" customWidth="1"/>
    <col min="3342" max="3342" width="12.5703125" style="68" customWidth="1"/>
    <col min="3343" max="3343" width="13.5703125" style="68" customWidth="1"/>
    <col min="3344" max="3344" width="13" style="68" customWidth="1"/>
    <col min="3345" max="3583" width="9.140625" style="68"/>
    <col min="3584" max="3584" width="3.7109375" style="68" customWidth="1"/>
    <col min="3585" max="3585" width="4" style="68" bestFit="1" customWidth="1"/>
    <col min="3586" max="3586" width="14.5703125" style="68" customWidth="1"/>
    <col min="3587" max="3587" width="11.140625" style="68" customWidth="1"/>
    <col min="3588" max="3588" width="8.7109375" style="68" customWidth="1"/>
    <col min="3589" max="3589" width="9.7109375" style="68" bestFit="1" customWidth="1"/>
    <col min="3590" max="3590" width="10.85546875" style="68" customWidth="1"/>
    <col min="3591" max="3591" width="10.42578125" style="68" customWidth="1"/>
    <col min="3592" max="3592" width="9.7109375" style="68" bestFit="1" customWidth="1"/>
    <col min="3593" max="3595" width="9.28515625" style="68" bestFit="1" customWidth="1"/>
    <col min="3596" max="3596" width="10.7109375" style="68" bestFit="1" customWidth="1"/>
    <col min="3597" max="3597" width="11.28515625" style="68" customWidth="1"/>
    <col min="3598" max="3598" width="12.5703125" style="68" customWidth="1"/>
    <col min="3599" max="3599" width="13.5703125" style="68" customWidth="1"/>
    <col min="3600" max="3600" width="13" style="68" customWidth="1"/>
    <col min="3601" max="3839" width="9.140625" style="68"/>
    <col min="3840" max="3840" width="3.7109375" style="68" customWidth="1"/>
    <col min="3841" max="3841" width="4" style="68" bestFit="1" customWidth="1"/>
    <col min="3842" max="3842" width="14.5703125" style="68" customWidth="1"/>
    <col min="3843" max="3843" width="11.140625" style="68" customWidth="1"/>
    <col min="3844" max="3844" width="8.7109375" style="68" customWidth="1"/>
    <col min="3845" max="3845" width="9.7109375" style="68" bestFit="1" customWidth="1"/>
    <col min="3846" max="3846" width="10.85546875" style="68" customWidth="1"/>
    <col min="3847" max="3847" width="10.42578125" style="68" customWidth="1"/>
    <col min="3848" max="3848" width="9.7109375" style="68" bestFit="1" customWidth="1"/>
    <col min="3849" max="3851" width="9.28515625" style="68" bestFit="1" customWidth="1"/>
    <col min="3852" max="3852" width="10.7109375" style="68" bestFit="1" customWidth="1"/>
    <col min="3853" max="3853" width="11.28515625" style="68" customWidth="1"/>
    <col min="3854" max="3854" width="12.5703125" style="68" customWidth="1"/>
    <col min="3855" max="3855" width="13.5703125" style="68" customWidth="1"/>
    <col min="3856" max="3856" width="13" style="68" customWidth="1"/>
    <col min="3857" max="4095" width="9.140625" style="68"/>
    <col min="4096" max="4096" width="3.7109375" style="68" customWidth="1"/>
    <col min="4097" max="4097" width="4" style="68" bestFit="1" customWidth="1"/>
    <col min="4098" max="4098" width="14.5703125" style="68" customWidth="1"/>
    <col min="4099" max="4099" width="11.140625" style="68" customWidth="1"/>
    <col min="4100" max="4100" width="8.7109375" style="68" customWidth="1"/>
    <col min="4101" max="4101" width="9.7109375" style="68" bestFit="1" customWidth="1"/>
    <col min="4102" max="4102" width="10.85546875" style="68" customWidth="1"/>
    <col min="4103" max="4103" width="10.42578125" style="68" customWidth="1"/>
    <col min="4104" max="4104" width="9.7109375" style="68" bestFit="1" customWidth="1"/>
    <col min="4105" max="4107" width="9.28515625" style="68" bestFit="1" customWidth="1"/>
    <col min="4108" max="4108" width="10.7109375" style="68" bestFit="1" customWidth="1"/>
    <col min="4109" max="4109" width="11.28515625" style="68" customWidth="1"/>
    <col min="4110" max="4110" width="12.5703125" style="68" customWidth="1"/>
    <col min="4111" max="4111" width="13.5703125" style="68" customWidth="1"/>
    <col min="4112" max="4112" width="13" style="68" customWidth="1"/>
    <col min="4113" max="4351" width="9.140625" style="68"/>
    <col min="4352" max="4352" width="3.7109375" style="68" customWidth="1"/>
    <col min="4353" max="4353" width="4" style="68" bestFit="1" customWidth="1"/>
    <col min="4354" max="4354" width="14.5703125" style="68" customWidth="1"/>
    <col min="4355" max="4355" width="11.140625" style="68" customWidth="1"/>
    <col min="4356" max="4356" width="8.7109375" style="68" customWidth="1"/>
    <col min="4357" max="4357" width="9.7109375" style="68" bestFit="1" customWidth="1"/>
    <col min="4358" max="4358" width="10.85546875" style="68" customWidth="1"/>
    <col min="4359" max="4359" width="10.42578125" style="68" customWidth="1"/>
    <col min="4360" max="4360" width="9.7109375" style="68" bestFit="1" customWidth="1"/>
    <col min="4361" max="4363" width="9.28515625" style="68" bestFit="1" customWidth="1"/>
    <col min="4364" max="4364" width="10.7109375" style="68" bestFit="1" customWidth="1"/>
    <col min="4365" max="4365" width="11.28515625" style="68" customWidth="1"/>
    <col min="4366" max="4366" width="12.5703125" style="68" customWidth="1"/>
    <col min="4367" max="4367" width="13.5703125" style="68" customWidth="1"/>
    <col min="4368" max="4368" width="13" style="68" customWidth="1"/>
    <col min="4369" max="4607" width="9.140625" style="68"/>
    <col min="4608" max="4608" width="3.7109375" style="68" customWidth="1"/>
    <col min="4609" max="4609" width="4" style="68" bestFit="1" customWidth="1"/>
    <col min="4610" max="4610" width="14.5703125" style="68" customWidth="1"/>
    <col min="4611" max="4611" width="11.140625" style="68" customWidth="1"/>
    <col min="4612" max="4612" width="8.7109375" style="68" customWidth="1"/>
    <col min="4613" max="4613" width="9.7109375" style="68" bestFit="1" customWidth="1"/>
    <col min="4614" max="4614" width="10.85546875" style="68" customWidth="1"/>
    <col min="4615" max="4615" width="10.42578125" style="68" customWidth="1"/>
    <col min="4616" max="4616" width="9.7109375" style="68" bestFit="1" customWidth="1"/>
    <col min="4617" max="4619" width="9.28515625" style="68" bestFit="1" customWidth="1"/>
    <col min="4620" max="4620" width="10.7109375" style="68" bestFit="1" customWidth="1"/>
    <col min="4621" max="4621" width="11.28515625" style="68" customWidth="1"/>
    <col min="4622" max="4622" width="12.5703125" style="68" customWidth="1"/>
    <col min="4623" max="4623" width="13.5703125" style="68" customWidth="1"/>
    <col min="4624" max="4624" width="13" style="68" customWidth="1"/>
    <col min="4625" max="4863" width="9.140625" style="68"/>
    <col min="4864" max="4864" width="3.7109375" style="68" customWidth="1"/>
    <col min="4865" max="4865" width="4" style="68" bestFit="1" customWidth="1"/>
    <col min="4866" max="4866" width="14.5703125" style="68" customWidth="1"/>
    <col min="4867" max="4867" width="11.140625" style="68" customWidth="1"/>
    <col min="4868" max="4868" width="8.7109375" style="68" customWidth="1"/>
    <col min="4869" max="4869" width="9.7109375" style="68" bestFit="1" customWidth="1"/>
    <col min="4870" max="4870" width="10.85546875" style="68" customWidth="1"/>
    <col min="4871" max="4871" width="10.42578125" style="68" customWidth="1"/>
    <col min="4872" max="4872" width="9.7109375" style="68" bestFit="1" customWidth="1"/>
    <col min="4873" max="4875" width="9.28515625" style="68" bestFit="1" customWidth="1"/>
    <col min="4876" max="4876" width="10.7109375" style="68" bestFit="1" customWidth="1"/>
    <col min="4877" max="4877" width="11.28515625" style="68" customWidth="1"/>
    <col min="4878" max="4878" width="12.5703125" style="68" customWidth="1"/>
    <col min="4879" max="4879" width="13.5703125" style="68" customWidth="1"/>
    <col min="4880" max="4880" width="13" style="68" customWidth="1"/>
    <col min="4881" max="5119" width="9.140625" style="68"/>
    <col min="5120" max="5120" width="3.7109375" style="68" customWidth="1"/>
    <col min="5121" max="5121" width="4" style="68" bestFit="1" customWidth="1"/>
    <col min="5122" max="5122" width="14.5703125" style="68" customWidth="1"/>
    <col min="5123" max="5123" width="11.140625" style="68" customWidth="1"/>
    <col min="5124" max="5124" width="8.7109375" style="68" customWidth="1"/>
    <col min="5125" max="5125" width="9.7109375" style="68" bestFit="1" customWidth="1"/>
    <col min="5126" max="5126" width="10.85546875" style="68" customWidth="1"/>
    <col min="5127" max="5127" width="10.42578125" style="68" customWidth="1"/>
    <col min="5128" max="5128" width="9.7109375" style="68" bestFit="1" customWidth="1"/>
    <col min="5129" max="5131" width="9.28515625" style="68" bestFit="1" customWidth="1"/>
    <col min="5132" max="5132" width="10.7109375" style="68" bestFit="1" customWidth="1"/>
    <col min="5133" max="5133" width="11.28515625" style="68" customWidth="1"/>
    <col min="5134" max="5134" width="12.5703125" style="68" customWidth="1"/>
    <col min="5135" max="5135" width="13.5703125" style="68" customWidth="1"/>
    <col min="5136" max="5136" width="13" style="68" customWidth="1"/>
    <col min="5137" max="5375" width="9.140625" style="68"/>
    <col min="5376" max="5376" width="3.7109375" style="68" customWidth="1"/>
    <col min="5377" max="5377" width="4" style="68" bestFit="1" customWidth="1"/>
    <col min="5378" max="5378" width="14.5703125" style="68" customWidth="1"/>
    <col min="5379" max="5379" width="11.140625" style="68" customWidth="1"/>
    <col min="5380" max="5380" width="8.7109375" style="68" customWidth="1"/>
    <col min="5381" max="5381" width="9.7109375" style="68" bestFit="1" customWidth="1"/>
    <col min="5382" max="5382" width="10.85546875" style="68" customWidth="1"/>
    <col min="5383" max="5383" width="10.42578125" style="68" customWidth="1"/>
    <col min="5384" max="5384" width="9.7109375" style="68" bestFit="1" customWidth="1"/>
    <col min="5385" max="5387" width="9.28515625" style="68" bestFit="1" customWidth="1"/>
    <col min="5388" max="5388" width="10.7109375" style="68" bestFit="1" customWidth="1"/>
    <col min="5389" max="5389" width="11.28515625" style="68" customWidth="1"/>
    <col min="5390" max="5390" width="12.5703125" style="68" customWidth="1"/>
    <col min="5391" max="5391" width="13.5703125" style="68" customWidth="1"/>
    <col min="5392" max="5392" width="13" style="68" customWidth="1"/>
    <col min="5393" max="5631" width="9.140625" style="68"/>
    <col min="5632" max="5632" width="3.7109375" style="68" customWidth="1"/>
    <col min="5633" max="5633" width="4" style="68" bestFit="1" customWidth="1"/>
    <col min="5634" max="5634" width="14.5703125" style="68" customWidth="1"/>
    <col min="5635" max="5635" width="11.140625" style="68" customWidth="1"/>
    <col min="5636" max="5636" width="8.7109375" style="68" customWidth="1"/>
    <col min="5637" max="5637" width="9.7109375" style="68" bestFit="1" customWidth="1"/>
    <col min="5638" max="5638" width="10.85546875" style="68" customWidth="1"/>
    <col min="5639" max="5639" width="10.42578125" style="68" customWidth="1"/>
    <col min="5640" max="5640" width="9.7109375" style="68" bestFit="1" customWidth="1"/>
    <col min="5641" max="5643" width="9.28515625" style="68" bestFit="1" customWidth="1"/>
    <col min="5644" max="5644" width="10.7109375" style="68" bestFit="1" customWidth="1"/>
    <col min="5645" max="5645" width="11.28515625" style="68" customWidth="1"/>
    <col min="5646" max="5646" width="12.5703125" style="68" customWidth="1"/>
    <col min="5647" max="5647" width="13.5703125" style="68" customWidth="1"/>
    <col min="5648" max="5648" width="13" style="68" customWidth="1"/>
    <col min="5649" max="5887" width="9.140625" style="68"/>
    <col min="5888" max="5888" width="3.7109375" style="68" customWidth="1"/>
    <col min="5889" max="5889" width="4" style="68" bestFit="1" customWidth="1"/>
    <col min="5890" max="5890" width="14.5703125" style="68" customWidth="1"/>
    <col min="5891" max="5891" width="11.140625" style="68" customWidth="1"/>
    <col min="5892" max="5892" width="8.7109375" style="68" customWidth="1"/>
    <col min="5893" max="5893" width="9.7109375" style="68" bestFit="1" customWidth="1"/>
    <col min="5894" max="5894" width="10.85546875" style="68" customWidth="1"/>
    <col min="5895" max="5895" width="10.42578125" style="68" customWidth="1"/>
    <col min="5896" max="5896" width="9.7109375" style="68" bestFit="1" customWidth="1"/>
    <col min="5897" max="5899" width="9.28515625" style="68" bestFit="1" customWidth="1"/>
    <col min="5900" max="5900" width="10.7109375" style="68" bestFit="1" customWidth="1"/>
    <col min="5901" max="5901" width="11.28515625" style="68" customWidth="1"/>
    <col min="5902" max="5902" width="12.5703125" style="68" customWidth="1"/>
    <col min="5903" max="5903" width="13.5703125" style="68" customWidth="1"/>
    <col min="5904" max="5904" width="13" style="68" customWidth="1"/>
    <col min="5905" max="6143" width="9.140625" style="68"/>
    <col min="6144" max="6144" width="3.7109375" style="68" customWidth="1"/>
    <col min="6145" max="6145" width="4" style="68" bestFit="1" customWidth="1"/>
    <col min="6146" max="6146" width="14.5703125" style="68" customWidth="1"/>
    <col min="6147" max="6147" width="11.140625" style="68" customWidth="1"/>
    <col min="6148" max="6148" width="8.7109375" style="68" customWidth="1"/>
    <col min="6149" max="6149" width="9.7109375" style="68" bestFit="1" customWidth="1"/>
    <col min="6150" max="6150" width="10.85546875" style="68" customWidth="1"/>
    <col min="6151" max="6151" width="10.42578125" style="68" customWidth="1"/>
    <col min="6152" max="6152" width="9.7109375" style="68" bestFit="1" customWidth="1"/>
    <col min="6153" max="6155" width="9.28515625" style="68" bestFit="1" customWidth="1"/>
    <col min="6156" max="6156" width="10.7109375" style="68" bestFit="1" customWidth="1"/>
    <col min="6157" max="6157" width="11.28515625" style="68" customWidth="1"/>
    <col min="6158" max="6158" width="12.5703125" style="68" customWidth="1"/>
    <col min="6159" max="6159" width="13.5703125" style="68" customWidth="1"/>
    <col min="6160" max="6160" width="13" style="68" customWidth="1"/>
    <col min="6161" max="6399" width="9.140625" style="68"/>
    <col min="6400" max="6400" width="3.7109375" style="68" customWidth="1"/>
    <col min="6401" max="6401" width="4" style="68" bestFit="1" customWidth="1"/>
    <col min="6402" max="6402" width="14.5703125" style="68" customWidth="1"/>
    <col min="6403" max="6403" width="11.140625" style="68" customWidth="1"/>
    <col min="6404" max="6404" width="8.7109375" style="68" customWidth="1"/>
    <col min="6405" max="6405" width="9.7109375" style="68" bestFit="1" customWidth="1"/>
    <col min="6406" max="6406" width="10.85546875" style="68" customWidth="1"/>
    <col min="6407" max="6407" width="10.42578125" style="68" customWidth="1"/>
    <col min="6408" max="6408" width="9.7109375" style="68" bestFit="1" customWidth="1"/>
    <col min="6409" max="6411" width="9.28515625" style="68" bestFit="1" customWidth="1"/>
    <col min="6412" max="6412" width="10.7109375" style="68" bestFit="1" customWidth="1"/>
    <col min="6413" max="6413" width="11.28515625" style="68" customWidth="1"/>
    <col min="6414" max="6414" width="12.5703125" style="68" customWidth="1"/>
    <col min="6415" max="6415" width="13.5703125" style="68" customWidth="1"/>
    <col min="6416" max="6416" width="13" style="68" customWidth="1"/>
    <col min="6417" max="6655" width="9.140625" style="68"/>
    <col min="6656" max="6656" width="3.7109375" style="68" customWidth="1"/>
    <col min="6657" max="6657" width="4" style="68" bestFit="1" customWidth="1"/>
    <col min="6658" max="6658" width="14.5703125" style="68" customWidth="1"/>
    <col min="6659" max="6659" width="11.140625" style="68" customWidth="1"/>
    <col min="6660" max="6660" width="8.7109375" style="68" customWidth="1"/>
    <col min="6661" max="6661" width="9.7109375" style="68" bestFit="1" customWidth="1"/>
    <col min="6662" max="6662" width="10.85546875" style="68" customWidth="1"/>
    <col min="6663" max="6663" width="10.42578125" style="68" customWidth="1"/>
    <col min="6664" max="6664" width="9.7109375" style="68" bestFit="1" customWidth="1"/>
    <col min="6665" max="6667" width="9.28515625" style="68" bestFit="1" customWidth="1"/>
    <col min="6668" max="6668" width="10.7109375" style="68" bestFit="1" customWidth="1"/>
    <col min="6669" max="6669" width="11.28515625" style="68" customWidth="1"/>
    <col min="6670" max="6670" width="12.5703125" style="68" customWidth="1"/>
    <col min="6671" max="6671" width="13.5703125" style="68" customWidth="1"/>
    <col min="6672" max="6672" width="13" style="68" customWidth="1"/>
    <col min="6673" max="6911" width="9.140625" style="68"/>
    <col min="6912" max="6912" width="3.7109375" style="68" customWidth="1"/>
    <col min="6913" max="6913" width="4" style="68" bestFit="1" customWidth="1"/>
    <col min="6914" max="6914" width="14.5703125" style="68" customWidth="1"/>
    <col min="6915" max="6915" width="11.140625" style="68" customWidth="1"/>
    <col min="6916" max="6916" width="8.7109375" style="68" customWidth="1"/>
    <col min="6917" max="6917" width="9.7109375" style="68" bestFit="1" customWidth="1"/>
    <col min="6918" max="6918" width="10.85546875" style="68" customWidth="1"/>
    <col min="6919" max="6919" width="10.42578125" style="68" customWidth="1"/>
    <col min="6920" max="6920" width="9.7109375" style="68" bestFit="1" customWidth="1"/>
    <col min="6921" max="6923" width="9.28515625" style="68" bestFit="1" customWidth="1"/>
    <col min="6924" max="6924" width="10.7109375" style="68" bestFit="1" customWidth="1"/>
    <col min="6925" max="6925" width="11.28515625" style="68" customWidth="1"/>
    <col min="6926" max="6926" width="12.5703125" style="68" customWidth="1"/>
    <col min="6927" max="6927" width="13.5703125" style="68" customWidth="1"/>
    <col min="6928" max="6928" width="13" style="68" customWidth="1"/>
    <col min="6929" max="7167" width="9.140625" style="68"/>
    <col min="7168" max="7168" width="3.7109375" style="68" customWidth="1"/>
    <col min="7169" max="7169" width="4" style="68" bestFit="1" customWidth="1"/>
    <col min="7170" max="7170" width="14.5703125" style="68" customWidth="1"/>
    <col min="7171" max="7171" width="11.140625" style="68" customWidth="1"/>
    <col min="7172" max="7172" width="8.7109375" style="68" customWidth="1"/>
    <col min="7173" max="7173" width="9.7109375" style="68" bestFit="1" customWidth="1"/>
    <col min="7174" max="7174" width="10.85546875" style="68" customWidth="1"/>
    <col min="7175" max="7175" width="10.42578125" style="68" customWidth="1"/>
    <col min="7176" max="7176" width="9.7109375" style="68" bestFit="1" customWidth="1"/>
    <col min="7177" max="7179" width="9.28515625" style="68" bestFit="1" customWidth="1"/>
    <col min="7180" max="7180" width="10.7109375" style="68" bestFit="1" customWidth="1"/>
    <col min="7181" max="7181" width="11.28515625" style="68" customWidth="1"/>
    <col min="7182" max="7182" width="12.5703125" style="68" customWidth="1"/>
    <col min="7183" max="7183" width="13.5703125" style="68" customWidth="1"/>
    <col min="7184" max="7184" width="13" style="68" customWidth="1"/>
    <col min="7185" max="7423" width="9.140625" style="68"/>
    <col min="7424" max="7424" width="3.7109375" style="68" customWidth="1"/>
    <col min="7425" max="7425" width="4" style="68" bestFit="1" customWidth="1"/>
    <col min="7426" max="7426" width="14.5703125" style="68" customWidth="1"/>
    <col min="7427" max="7427" width="11.140625" style="68" customWidth="1"/>
    <col min="7428" max="7428" width="8.7109375" style="68" customWidth="1"/>
    <col min="7429" max="7429" width="9.7109375" style="68" bestFit="1" customWidth="1"/>
    <col min="7430" max="7430" width="10.85546875" style="68" customWidth="1"/>
    <col min="7431" max="7431" width="10.42578125" style="68" customWidth="1"/>
    <col min="7432" max="7432" width="9.7109375" style="68" bestFit="1" customWidth="1"/>
    <col min="7433" max="7435" width="9.28515625" style="68" bestFit="1" customWidth="1"/>
    <col min="7436" max="7436" width="10.7109375" style="68" bestFit="1" customWidth="1"/>
    <col min="7437" max="7437" width="11.28515625" style="68" customWidth="1"/>
    <col min="7438" max="7438" width="12.5703125" style="68" customWidth="1"/>
    <col min="7439" max="7439" width="13.5703125" style="68" customWidth="1"/>
    <col min="7440" max="7440" width="13" style="68" customWidth="1"/>
    <col min="7441" max="7679" width="9.140625" style="68"/>
    <col min="7680" max="7680" width="3.7109375" style="68" customWidth="1"/>
    <col min="7681" max="7681" width="4" style="68" bestFit="1" customWidth="1"/>
    <col min="7682" max="7682" width="14.5703125" style="68" customWidth="1"/>
    <col min="7683" max="7683" width="11.140625" style="68" customWidth="1"/>
    <col min="7684" max="7684" width="8.7109375" style="68" customWidth="1"/>
    <col min="7685" max="7685" width="9.7109375" style="68" bestFit="1" customWidth="1"/>
    <col min="7686" max="7686" width="10.85546875" style="68" customWidth="1"/>
    <col min="7687" max="7687" width="10.42578125" style="68" customWidth="1"/>
    <col min="7688" max="7688" width="9.7109375" style="68" bestFit="1" customWidth="1"/>
    <col min="7689" max="7691" width="9.28515625" style="68" bestFit="1" customWidth="1"/>
    <col min="7692" max="7692" width="10.7109375" style="68" bestFit="1" customWidth="1"/>
    <col min="7693" max="7693" width="11.28515625" style="68" customWidth="1"/>
    <col min="7694" max="7694" width="12.5703125" style="68" customWidth="1"/>
    <col min="7695" max="7695" width="13.5703125" style="68" customWidth="1"/>
    <col min="7696" max="7696" width="13" style="68" customWidth="1"/>
    <col min="7697" max="7935" width="9.140625" style="68"/>
    <col min="7936" max="7936" width="3.7109375" style="68" customWidth="1"/>
    <col min="7937" max="7937" width="4" style="68" bestFit="1" customWidth="1"/>
    <col min="7938" max="7938" width="14.5703125" style="68" customWidth="1"/>
    <col min="7939" max="7939" width="11.140625" style="68" customWidth="1"/>
    <col min="7940" max="7940" width="8.7109375" style="68" customWidth="1"/>
    <col min="7941" max="7941" width="9.7109375" style="68" bestFit="1" customWidth="1"/>
    <col min="7942" max="7942" width="10.85546875" style="68" customWidth="1"/>
    <col min="7943" max="7943" width="10.42578125" style="68" customWidth="1"/>
    <col min="7944" max="7944" width="9.7109375" style="68" bestFit="1" customWidth="1"/>
    <col min="7945" max="7947" width="9.28515625" style="68" bestFit="1" customWidth="1"/>
    <col min="7948" max="7948" width="10.7109375" style="68" bestFit="1" customWidth="1"/>
    <col min="7949" max="7949" width="11.28515625" style="68" customWidth="1"/>
    <col min="7950" max="7950" width="12.5703125" style="68" customWidth="1"/>
    <col min="7951" max="7951" width="13.5703125" style="68" customWidth="1"/>
    <col min="7952" max="7952" width="13" style="68" customWidth="1"/>
    <col min="7953" max="8191" width="9.140625" style="68"/>
    <col min="8192" max="8192" width="3.7109375" style="68" customWidth="1"/>
    <col min="8193" max="8193" width="4" style="68" bestFit="1" customWidth="1"/>
    <col min="8194" max="8194" width="14.5703125" style="68" customWidth="1"/>
    <col min="8195" max="8195" width="11.140625" style="68" customWidth="1"/>
    <col min="8196" max="8196" width="8.7109375" style="68" customWidth="1"/>
    <col min="8197" max="8197" width="9.7109375" style="68" bestFit="1" customWidth="1"/>
    <col min="8198" max="8198" width="10.85546875" style="68" customWidth="1"/>
    <col min="8199" max="8199" width="10.42578125" style="68" customWidth="1"/>
    <col min="8200" max="8200" width="9.7109375" style="68" bestFit="1" customWidth="1"/>
    <col min="8201" max="8203" width="9.28515625" style="68" bestFit="1" customWidth="1"/>
    <col min="8204" max="8204" width="10.7109375" style="68" bestFit="1" customWidth="1"/>
    <col min="8205" max="8205" width="11.28515625" style="68" customWidth="1"/>
    <col min="8206" max="8206" width="12.5703125" style="68" customWidth="1"/>
    <col min="8207" max="8207" width="13.5703125" style="68" customWidth="1"/>
    <col min="8208" max="8208" width="13" style="68" customWidth="1"/>
    <col min="8209" max="8447" width="9.140625" style="68"/>
    <col min="8448" max="8448" width="3.7109375" style="68" customWidth="1"/>
    <col min="8449" max="8449" width="4" style="68" bestFit="1" customWidth="1"/>
    <col min="8450" max="8450" width="14.5703125" style="68" customWidth="1"/>
    <col min="8451" max="8451" width="11.140625" style="68" customWidth="1"/>
    <col min="8452" max="8452" width="8.7109375" style="68" customWidth="1"/>
    <col min="8453" max="8453" width="9.7109375" style="68" bestFit="1" customWidth="1"/>
    <col min="8454" max="8454" width="10.85546875" style="68" customWidth="1"/>
    <col min="8455" max="8455" width="10.42578125" style="68" customWidth="1"/>
    <col min="8456" max="8456" width="9.7109375" style="68" bestFit="1" customWidth="1"/>
    <col min="8457" max="8459" width="9.28515625" style="68" bestFit="1" customWidth="1"/>
    <col min="8460" max="8460" width="10.7109375" style="68" bestFit="1" customWidth="1"/>
    <col min="8461" max="8461" width="11.28515625" style="68" customWidth="1"/>
    <col min="8462" max="8462" width="12.5703125" style="68" customWidth="1"/>
    <col min="8463" max="8463" width="13.5703125" style="68" customWidth="1"/>
    <col min="8464" max="8464" width="13" style="68" customWidth="1"/>
    <col min="8465" max="8703" width="9.140625" style="68"/>
    <col min="8704" max="8704" width="3.7109375" style="68" customWidth="1"/>
    <col min="8705" max="8705" width="4" style="68" bestFit="1" customWidth="1"/>
    <col min="8706" max="8706" width="14.5703125" style="68" customWidth="1"/>
    <col min="8707" max="8707" width="11.140625" style="68" customWidth="1"/>
    <col min="8708" max="8708" width="8.7109375" style="68" customWidth="1"/>
    <col min="8709" max="8709" width="9.7109375" style="68" bestFit="1" customWidth="1"/>
    <col min="8710" max="8710" width="10.85546875" style="68" customWidth="1"/>
    <col min="8711" max="8711" width="10.42578125" style="68" customWidth="1"/>
    <col min="8712" max="8712" width="9.7109375" style="68" bestFit="1" customWidth="1"/>
    <col min="8713" max="8715" width="9.28515625" style="68" bestFit="1" customWidth="1"/>
    <col min="8716" max="8716" width="10.7109375" style="68" bestFit="1" customWidth="1"/>
    <col min="8717" max="8717" width="11.28515625" style="68" customWidth="1"/>
    <col min="8718" max="8718" width="12.5703125" style="68" customWidth="1"/>
    <col min="8719" max="8719" width="13.5703125" style="68" customWidth="1"/>
    <col min="8720" max="8720" width="13" style="68" customWidth="1"/>
    <col min="8721" max="8959" width="9.140625" style="68"/>
    <col min="8960" max="8960" width="3.7109375" style="68" customWidth="1"/>
    <col min="8961" max="8961" width="4" style="68" bestFit="1" customWidth="1"/>
    <col min="8962" max="8962" width="14.5703125" style="68" customWidth="1"/>
    <col min="8963" max="8963" width="11.140625" style="68" customWidth="1"/>
    <col min="8964" max="8964" width="8.7109375" style="68" customWidth="1"/>
    <col min="8965" max="8965" width="9.7109375" style="68" bestFit="1" customWidth="1"/>
    <col min="8966" max="8966" width="10.85546875" style="68" customWidth="1"/>
    <col min="8967" max="8967" width="10.42578125" style="68" customWidth="1"/>
    <col min="8968" max="8968" width="9.7109375" style="68" bestFit="1" customWidth="1"/>
    <col min="8969" max="8971" width="9.28515625" style="68" bestFit="1" customWidth="1"/>
    <col min="8972" max="8972" width="10.7109375" style="68" bestFit="1" customWidth="1"/>
    <col min="8973" max="8973" width="11.28515625" style="68" customWidth="1"/>
    <col min="8974" max="8974" width="12.5703125" style="68" customWidth="1"/>
    <col min="8975" max="8975" width="13.5703125" style="68" customWidth="1"/>
    <col min="8976" max="8976" width="13" style="68" customWidth="1"/>
    <col min="8977" max="9215" width="9.140625" style="68"/>
    <col min="9216" max="9216" width="3.7109375" style="68" customWidth="1"/>
    <col min="9217" max="9217" width="4" style="68" bestFit="1" customWidth="1"/>
    <col min="9218" max="9218" width="14.5703125" style="68" customWidth="1"/>
    <col min="9219" max="9219" width="11.140625" style="68" customWidth="1"/>
    <col min="9220" max="9220" width="8.7109375" style="68" customWidth="1"/>
    <col min="9221" max="9221" width="9.7109375" style="68" bestFit="1" customWidth="1"/>
    <col min="9222" max="9222" width="10.85546875" style="68" customWidth="1"/>
    <col min="9223" max="9223" width="10.42578125" style="68" customWidth="1"/>
    <col min="9224" max="9224" width="9.7109375" style="68" bestFit="1" customWidth="1"/>
    <col min="9225" max="9227" width="9.28515625" style="68" bestFit="1" customWidth="1"/>
    <col min="9228" max="9228" width="10.7109375" style="68" bestFit="1" customWidth="1"/>
    <col min="9229" max="9229" width="11.28515625" style="68" customWidth="1"/>
    <col min="9230" max="9230" width="12.5703125" style="68" customWidth="1"/>
    <col min="9231" max="9231" width="13.5703125" style="68" customWidth="1"/>
    <col min="9232" max="9232" width="13" style="68" customWidth="1"/>
    <col min="9233" max="9471" width="9.140625" style="68"/>
    <col min="9472" max="9472" width="3.7109375" style="68" customWidth="1"/>
    <col min="9473" max="9473" width="4" style="68" bestFit="1" customWidth="1"/>
    <col min="9474" max="9474" width="14.5703125" style="68" customWidth="1"/>
    <col min="9475" max="9475" width="11.140625" style="68" customWidth="1"/>
    <col min="9476" max="9476" width="8.7109375" style="68" customWidth="1"/>
    <col min="9477" max="9477" width="9.7109375" style="68" bestFit="1" customWidth="1"/>
    <col min="9478" max="9478" width="10.85546875" style="68" customWidth="1"/>
    <col min="9479" max="9479" width="10.42578125" style="68" customWidth="1"/>
    <col min="9480" max="9480" width="9.7109375" style="68" bestFit="1" customWidth="1"/>
    <col min="9481" max="9483" width="9.28515625" style="68" bestFit="1" customWidth="1"/>
    <col min="9484" max="9484" width="10.7109375" style="68" bestFit="1" customWidth="1"/>
    <col min="9485" max="9485" width="11.28515625" style="68" customWidth="1"/>
    <col min="9486" max="9486" width="12.5703125" style="68" customWidth="1"/>
    <col min="9487" max="9487" width="13.5703125" style="68" customWidth="1"/>
    <col min="9488" max="9488" width="13" style="68" customWidth="1"/>
    <col min="9489" max="9727" width="9.140625" style="68"/>
    <col min="9728" max="9728" width="3.7109375" style="68" customWidth="1"/>
    <col min="9729" max="9729" width="4" style="68" bestFit="1" customWidth="1"/>
    <col min="9730" max="9730" width="14.5703125" style="68" customWidth="1"/>
    <col min="9731" max="9731" width="11.140625" style="68" customWidth="1"/>
    <col min="9732" max="9732" width="8.7109375" style="68" customWidth="1"/>
    <col min="9733" max="9733" width="9.7109375" style="68" bestFit="1" customWidth="1"/>
    <col min="9734" max="9734" width="10.85546875" style="68" customWidth="1"/>
    <col min="9735" max="9735" width="10.42578125" style="68" customWidth="1"/>
    <col min="9736" max="9736" width="9.7109375" style="68" bestFit="1" customWidth="1"/>
    <col min="9737" max="9739" width="9.28515625" style="68" bestFit="1" customWidth="1"/>
    <col min="9740" max="9740" width="10.7109375" style="68" bestFit="1" customWidth="1"/>
    <col min="9741" max="9741" width="11.28515625" style="68" customWidth="1"/>
    <col min="9742" max="9742" width="12.5703125" style="68" customWidth="1"/>
    <col min="9743" max="9743" width="13.5703125" style="68" customWidth="1"/>
    <col min="9744" max="9744" width="13" style="68" customWidth="1"/>
    <col min="9745" max="9983" width="9.140625" style="68"/>
    <col min="9984" max="9984" width="3.7109375" style="68" customWidth="1"/>
    <col min="9985" max="9985" width="4" style="68" bestFit="1" customWidth="1"/>
    <col min="9986" max="9986" width="14.5703125" style="68" customWidth="1"/>
    <col min="9987" max="9987" width="11.140625" style="68" customWidth="1"/>
    <col min="9988" max="9988" width="8.7109375" style="68" customWidth="1"/>
    <col min="9989" max="9989" width="9.7109375" style="68" bestFit="1" customWidth="1"/>
    <col min="9990" max="9990" width="10.85546875" style="68" customWidth="1"/>
    <col min="9991" max="9991" width="10.42578125" style="68" customWidth="1"/>
    <col min="9992" max="9992" width="9.7109375" style="68" bestFit="1" customWidth="1"/>
    <col min="9993" max="9995" width="9.28515625" style="68" bestFit="1" customWidth="1"/>
    <col min="9996" max="9996" width="10.7109375" style="68" bestFit="1" customWidth="1"/>
    <col min="9997" max="9997" width="11.28515625" style="68" customWidth="1"/>
    <col min="9998" max="9998" width="12.5703125" style="68" customWidth="1"/>
    <col min="9999" max="9999" width="13.5703125" style="68" customWidth="1"/>
    <col min="10000" max="10000" width="13" style="68" customWidth="1"/>
    <col min="10001" max="10239" width="9.140625" style="68"/>
    <col min="10240" max="10240" width="3.7109375" style="68" customWidth="1"/>
    <col min="10241" max="10241" width="4" style="68" bestFit="1" customWidth="1"/>
    <col min="10242" max="10242" width="14.5703125" style="68" customWidth="1"/>
    <col min="10243" max="10243" width="11.140625" style="68" customWidth="1"/>
    <col min="10244" max="10244" width="8.7109375" style="68" customWidth="1"/>
    <col min="10245" max="10245" width="9.7109375" style="68" bestFit="1" customWidth="1"/>
    <col min="10246" max="10246" width="10.85546875" style="68" customWidth="1"/>
    <col min="10247" max="10247" width="10.42578125" style="68" customWidth="1"/>
    <col min="10248" max="10248" width="9.7109375" style="68" bestFit="1" customWidth="1"/>
    <col min="10249" max="10251" width="9.28515625" style="68" bestFit="1" customWidth="1"/>
    <col min="10252" max="10252" width="10.7109375" style="68" bestFit="1" customWidth="1"/>
    <col min="10253" max="10253" width="11.28515625" style="68" customWidth="1"/>
    <col min="10254" max="10254" width="12.5703125" style="68" customWidth="1"/>
    <col min="10255" max="10255" width="13.5703125" style="68" customWidth="1"/>
    <col min="10256" max="10256" width="13" style="68" customWidth="1"/>
    <col min="10257" max="10495" width="9.140625" style="68"/>
    <col min="10496" max="10496" width="3.7109375" style="68" customWidth="1"/>
    <col min="10497" max="10497" width="4" style="68" bestFit="1" customWidth="1"/>
    <col min="10498" max="10498" width="14.5703125" style="68" customWidth="1"/>
    <col min="10499" max="10499" width="11.140625" style="68" customWidth="1"/>
    <col min="10500" max="10500" width="8.7109375" style="68" customWidth="1"/>
    <col min="10501" max="10501" width="9.7109375" style="68" bestFit="1" customWidth="1"/>
    <col min="10502" max="10502" width="10.85546875" style="68" customWidth="1"/>
    <col min="10503" max="10503" width="10.42578125" style="68" customWidth="1"/>
    <col min="10504" max="10504" width="9.7109375" style="68" bestFit="1" customWidth="1"/>
    <col min="10505" max="10507" width="9.28515625" style="68" bestFit="1" customWidth="1"/>
    <col min="10508" max="10508" width="10.7109375" style="68" bestFit="1" customWidth="1"/>
    <col min="10509" max="10509" width="11.28515625" style="68" customWidth="1"/>
    <col min="10510" max="10510" width="12.5703125" style="68" customWidth="1"/>
    <col min="10511" max="10511" width="13.5703125" style="68" customWidth="1"/>
    <col min="10512" max="10512" width="13" style="68" customWidth="1"/>
    <col min="10513" max="10751" width="9.140625" style="68"/>
    <col min="10752" max="10752" width="3.7109375" style="68" customWidth="1"/>
    <col min="10753" max="10753" width="4" style="68" bestFit="1" customWidth="1"/>
    <col min="10754" max="10754" width="14.5703125" style="68" customWidth="1"/>
    <col min="10755" max="10755" width="11.140625" style="68" customWidth="1"/>
    <col min="10756" max="10756" width="8.7109375" style="68" customWidth="1"/>
    <col min="10757" max="10757" width="9.7109375" style="68" bestFit="1" customWidth="1"/>
    <col min="10758" max="10758" width="10.85546875" style="68" customWidth="1"/>
    <col min="10759" max="10759" width="10.42578125" style="68" customWidth="1"/>
    <col min="10760" max="10760" width="9.7109375" style="68" bestFit="1" customWidth="1"/>
    <col min="10761" max="10763" width="9.28515625" style="68" bestFit="1" customWidth="1"/>
    <col min="10764" max="10764" width="10.7109375" style="68" bestFit="1" customWidth="1"/>
    <col min="10765" max="10765" width="11.28515625" style="68" customWidth="1"/>
    <col min="10766" max="10766" width="12.5703125" style="68" customWidth="1"/>
    <col min="10767" max="10767" width="13.5703125" style="68" customWidth="1"/>
    <col min="10768" max="10768" width="13" style="68" customWidth="1"/>
    <col min="10769" max="11007" width="9.140625" style="68"/>
    <col min="11008" max="11008" width="3.7109375" style="68" customWidth="1"/>
    <col min="11009" max="11009" width="4" style="68" bestFit="1" customWidth="1"/>
    <col min="11010" max="11010" width="14.5703125" style="68" customWidth="1"/>
    <col min="11011" max="11011" width="11.140625" style="68" customWidth="1"/>
    <col min="11012" max="11012" width="8.7109375" style="68" customWidth="1"/>
    <col min="11013" max="11013" width="9.7109375" style="68" bestFit="1" customWidth="1"/>
    <col min="11014" max="11014" width="10.85546875" style="68" customWidth="1"/>
    <col min="11015" max="11015" width="10.42578125" style="68" customWidth="1"/>
    <col min="11016" max="11016" width="9.7109375" style="68" bestFit="1" customWidth="1"/>
    <col min="11017" max="11019" width="9.28515625" style="68" bestFit="1" customWidth="1"/>
    <col min="11020" max="11020" width="10.7109375" style="68" bestFit="1" customWidth="1"/>
    <col min="11021" max="11021" width="11.28515625" style="68" customWidth="1"/>
    <col min="11022" max="11022" width="12.5703125" style="68" customWidth="1"/>
    <col min="11023" max="11023" width="13.5703125" style="68" customWidth="1"/>
    <col min="11024" max="11024" width="13" style="68" customWidth="1"/>
    <col min="11025" max="11263" width="9.140625" style="68"/>
    <col min="11264" max="11264" width="3.7109375" style="68" customWidth="1"/>
    <col min="11265" max="11265" width="4" style="68" bestFit="1" customWidth="1"/>
    <col min="11266" max="11266" width="14.5703125" style="68" customWidth="1"/>
    <col min="11267" max="11267" width="11.140625" style="68" customWidth="1"/>
    <col min="11268" max="11268" width="8.7109375" style="68" customWidth="1"/>
    <col min="11269" max="11269" width="9.7109375" style="68" bestFit="1" customWidth="1"/>
    <col min="11270" max="11270" width="10.85546875" style="68" customWidth="1"/>
    <col min="11271" max="11271" width="10.42578125" style="68" customWidth="1"/>
    <col min="11272" max="11272" width="9.7109375" style="68" bestFit="1" customWidth="1"/>
    <col min="11273" max="11275" width="9.28515625" style="68" bestFit="1" customWidth="1"/>
    <col min="11276" max="11276" width="10.7109375" style="68" bestFit="1" customWidth="1"/>
    <col min="11277" max="11277" width="11.28515625" style="68" customWidth="1"/>
    <col min="11278" max="11278" width="12.5703125" style="68" customWidth="1"/>
    <col min="11279" max="11279" width="13.5703125" style="68" customWidth="1"/>
    <col min="11280" max="11280" width="13" style="68" customWidth="1"/>
    <col min="11281" max="11519" width="9.140625" style="68"/>
    <col min="11520" max="11520" width="3.7109375" style="68" customWidth="1"/>
    <col min="11521" max="11521" width="4" style="68" bestFit="1" customWidth="1"/>
    <col min="11522" max="11522" width="14.5703125" style="68" customWidth="1"/>
    <col min="11523" max="11523" width="11.140625" style="68" customWidth="1"/>
    <col min="11524" max="11524" width="8.7109375" style="68" customWidth="1"/>
    <col min="11525" max="11525" width="9.7109375" style="68" bestFit="1" customWidth="1"/>
    <col min="11526" max="11526" width="10.85546875" style="68" customWidth="1"/>
    <col min="11527" max="11527" width="10.42578125" style="68" customWidth="1"/>
    <col min="11528" max="11528" width="9.7109375" style="68" bestFit="1" customWidth="1"/>
    <col min="11529" max="11531" width="9.28515625" style="68" bestFit="1" customWidth="1"/>
    <col min="11532" max="11532" width="10.7109375" style="68" bestFit="1" customWidth="1"/>
    <col min="11533" max="11533" width="11.28515625" style="68" customWidth="1"/>
    <col min="11534" max="11534" width="12.5703125" style="68" customWidth="1"/>
    <col min="11535" max="11535" width="13.5703125" style="68" customWidth="1"/>
    <col min="11536" max="11536" width="13" style="68" customWidth="1"/>
    <col min="11537" max="11775" width="9.140625" style="68"/>
    <col min="11776" max="11776" width="3.7109375" style="68" customWidth="1"/>
    <col min="11777" max="11777" width="4" style="68" bestFit="1" customWidth="1"/>
    <col min="11778" max="11778" width="14.5703125" style="68" customWidth="1"/>
    <col min="11779" max="11779" width="11.140625" style="68" customWidth="1"/>
    <col min="11780" max="11780" width="8.7109375" style="68" customWidth="1"/>
    <col min="11781" max="11781" width="9.7109375" style="68" bestFit="1" customWidth="1"/>
    <col min="11782" max="11782" width="10.85546875" style="68" customWidth="1"/>
    <col min="11783" max="11783" width="10.42578125" style="68" customWidth="1"/>
    <col min="11784" max="11784" width="9.7109375" style="68" bestFit="1" customWidth="1"/>
    <col min="11785" max="11787" width="9.28515625" style="68" bestFit="1" customWidth="1"/>
    <col min="11788" max="11788" width="10.7109375" style="68" bestFit="1" customWidth="1"/>
    <col min="11789" max="11789" width="11.28515625" style="68" customWidth="1"/>
    <col min="11790" max="11790" width="12.5703125" style="68" customWidth="1"/>
    <col min="11791" max="11791" width="13.5703125" style="68" customWidth="1"/>
    <col min="11792" max="11792" width="13" style="68" customWidth="1"/>
    <col min="11793" max="12031" width="9.140625" style="68"/>
    <col min="12032" max="12032" width="3.7109375" style="68" customWidth="1"/>
    <col min="12033" max="12033" width="4" style="68" bestFit="1" customWidth="1"/>
    <col min="12034" max="12034" width="14.5703125" style="68" customWidth="1"/>
    <col min="12035" max="12035" width="11.140625" style="68" customWidth="1"/>
    <col min="12036" max="12036" width="8.7109375" style="68" customWidth="1"/>
    <col min="12037" max="12037" width="9.7109375" style="68" bestFit="1" customWidth="1"/>
    <col min="12038" max="12038" width="10.85546875" style="68" customWidth="1"/>
    <col min="12039" max="12039" width="10.42578125" style="68" customWidth="1"/>
    <col min="12040" max="12040" width="9.7109375" style="68" bestFit="1" customWidth="1"/>
    <col min="12041" max="12043" width="9.28515625" style="68" bestFit="1" customWidth="1"/>
    <col min="12044" max="12044" width="10.7109375" style="68" bestFit="1" customWidth="1"/>
    <col min="12045" max="12045" width="11.28515625" style="68" customWidth="1"/>
    <col min="12046" max="12046" width="12.5703125" style="68" customWidth="1"/>
    <col min="12047" max="12047" width="13.5703125" style="68" customWidth="1"/>
    <col min="12048" max="12048" width="13" style="68" customWidth="1"/>
    <col min="12049" max="12287" width="9.140625" style="68"/>
    <col min="12288" max="12288" width="3.7109375" style="68" customWidth="1"/>
    <col min="12289" max="12289" width="4" style="68" bestFit="1" customWidth="1"/>
    <col min="12290" max="12290" width="14.5703125" style="68" customWidth="1"/>
    <col min="12291" max="12291" width="11.140625" style="68" customWidth="1"/>
    <col min="12292" max="12292" width="8.7109375" style="68" customWidth="1"/>
    <col min="12293" max="12293" width="9.7109375" style="68" bestFit="1" customWidth="1"/>
    <col min="12294" max="12294" width="10.85546875" style="68" customWidth="1"/>
    <col min="12295" max="12295" width="10.42578125" style="68" customWidth="1"/>
    <col min="12296" max="12296" width="9.7109375" style="68" bestFit="1" customWidth="1"/>
    <col min="12297" max="12299" width="9.28515625" style="68" bestFit="1" customWidth="1"/>
    <col min="12300" max="12300" width="10.7109375" style="68" bestFit="1" customWidth="1"/>
    <col min="12301" max="12301" width="11.28515625" style="68" customWidth="1"/>
    <col min="12302" max="12302" width="12.5703125" style="68" customWidth="1"/>
    <col min="12303" max="12303" width="13.5703125" style="68" customWidth="1"/>
    <col min="12304" max="12304" width="13" style="68" customWidth="1"/>
    <col min="12305" max="12543" width="9.140625" style="68"/>
    <col min="12544" max="12544" width="3.7109375" style="68" customWidth="1"/>
    <col min="12545" max="12545" width="4" style="68" bestFit="1" customWidth="1"/>
    <col min="12546" max="12546" width="14.5703125" style="68" customWidth="1"/>
    <col min="12547" max="12547" width="11.140625" style="68" customWidth="1"/>
    <col min="12548" max="12548" width="8.7109375" style="68" customWidth="1"/>
    <col min="12549" max="12549" width="9.7109375" style="68" bestFit="1" customWidth="1"/>
    <col min="12550" max="12550" width="10.85546875" style="68" customWidth="1"/>
    <col min="12551" max="12551" width="10.42578125" style="68" customWidth="1"/>
    <col min="12552" max="12552" width="9.7109375" style="68" bestFit="1" customWidth="1"/>
    <col min="12553" max="12555" width="9.28515625" style="68" bestFit="1" customWidth="1"/>
    <col min="12556" max="12556" width="10.7109375" style="68" bestFit="1" customWidth="1"/>
    <col min="12557" max="12557" width="11.28515625" style="68" customWidth="1"/>
    <col min="12558" max="12558" width="12.5703125" style="68" customWidth="1"/>
    <col min="12559" max="12559" width="13.5703125" style="68" customWidth="1"/>
    <col min="12560" max="12560" width="13" style="68" customWidth="1"/>
    <col min="12561" max="12799" width="9.140625" style="68"/>
    <col min="12800" max="12800" width="3.7109375" style="68" customWidth="1"/>
    <col min="12801" max="12801" width="4" style="68" bestFit="1" customWidth="1"/>
    <col min="12802" max="12802" width="14.5703125" style="68" customWidth="1"/>
    <col min="12803" max="12803" width="11.140625" style="68" customWidth="1"/>
    <col min="12804" max="12804" width="8.7109375" style="68" customWidth="1"/>
    <col min="12805" max="12805" width="9.7109375" style="68" bestFit="1" customWidth="1"/>
    <col min="12806" max="12806" width="10.85546875" style="68" customWidth="1"/>
    <col min="12807" max="12807" width="10.42578125" style="68" customWidth="1"/>
    <col min="12808" max="12808" width="9.7109375" style="68" bestFit="1" customWidth="1"/>
    <col min="12809" max="12811" width="9.28515625" style="68" bestFit="1" customWidth="1"/>
    <col min="12812" max="12812" width="10.7109375" style="68" bestFit="1" customWidth="1"/>
    <col min="12813" max="12813" width="11.28515625" style="68" customWidth="1"/>
    <col min="12814" max="12814" width="12.5703125" style="68" customWidth="1"/>
    <col min="12815" max="12815" width="13.5703125" style="68" customWidth="1"/>
    <col min="12816" max="12816" width="13" style="68" customWidth="1"/>
    <col min="12817" max="13055" width="9.140625" style="68"/>
    <col min="13056" max="13056" width="3.7109375" style="68" customWidth="1"/>
    <col min="13057" max="13057" width="4" style="68" bestFit="1" customWidth="1"/>
    <col min="13058" max="13058" width="14.5703125" style="68" customWidth="1"/>
    <col min="13059" max="13059" width="11.140625" style="68" customWidth="1"/>
    <col min="13060" max="13060" width="8.7109375" style="68" customWidth="1"/>
    <col min="13061" max="13061" width="9.7109375" style="68" bestFit="1" customWidth="1"/>
    <col min="13062" max="13062" width="10.85546875" style="68" customWidth="1"/>
    <col min="13063" max="13063" width="10.42578125" style="68" customWidth="1"/>
    <col min="13064" max="13064" width="9.7109375" style="68" bestFit="1" customWidth="1"/>
    <col min="13065" max="13067" width="9.28515625" style="68" bestFit="1" customWidth="1"/>
    <col min="13068" max="13068" width="10.7109375" style="68" bestFit="1" customWidth="1"/>
    <col min="13069" max="13069" width="11.28515625" style="68" customWidth="1"/>
    <col min="13070" max="13070" width="12.5703125" style="68" customWidth="1"/>
    <col min="13071" max="13071" width="13.5703125" style="68" customWidth="1"/>
    <col min="13072" max="13072" width="13" style="68" customWidth="1"/>
    <col min="13073" max="13311" width="9.140625" style="68"/>
    <col min="13312" max="13312" width="3.7109375" style="68" customWidth="1"/>
    <col min="13313" max="13313" width="4" style="68" bestFit="1" customWidth="1"/>
    <col min="13314" max="13314" width="14.5703125" style="68" customWidth="1"/>
    <col min="13315" max="13315" width="11.140625" style="68" customWidth="1"/>
    <col min="13316" max="13316" width="8.7109375" style="68" customWidth="1"/>
    <col min="13317" max="13317" width="9.7109375" style="68" bestFit="1" customWidth="1"/>
    <col min="13318" max="13318" width="10.85546875" style="68" customWidth="1"/>
    <col min="13319" max="13319" width="10.42578125" style="68" customWidth="1"/>
    <col min="13320" max="13320" width="9.7109375" style="68" bestFit="1" customWidth="1"/>
    <col min="13321" max="13323" width="9.28515625" style="68" bestFit="1" customWidth="1"/>
    <col min="13324" max="13324" width="10.7109375" style="68" bestFit="1" customWidth="1"/>
    <col min="13325" max="13325" width="11.28515625" style="68" customWidth="1"/>
    <col min="13326" max="13326" width="12.5703125" style="68" customWidth="1"/>
    <col min="13327" max="13327" width="13.5703125" style="68" customWidth="1"/>
    <col min="13328" max="13328" width="13" style="68" customWidth="1"/>
    <col min="13329" max="13567" width="9.140625" style="68"/>
    <col min="13568" max="13568" width="3.7109375" style="68" customWidth="1"/>
    <col min="13569" max="13569" width="4" style="68" bestFit="1" customWidth="1"/>
    <col min="13570" max="13570" width="14.5703125" style="68" customWidth="1"/>
    <col min="13571" max="13571" width="11.140625" style="68" customWidth="1"/>
    <col min="13572" max="13572" width="8.7109375" style="68" customWidth="1"/>
    <col min="13573" max="13573" width="9.7109375" style="68" bestFit="1" customWidth="1"/>
    <col min="13574" max="13574" width="10.85546875" style="68" customWidth="1"/>
    <col min="13575" max="13575" width="10.42578125" style="68" customWidth="1"/>
    <col min="13576" max="13576" width="9.7109375" style="68" bestFit="1" customWidth="1"/>
    <col min="13577" max="13579" width="9.28515625" style="68" bestFit="1" customWidth="1"/>
    <col min="13580" max="13580" width="10.7109375" style="68" bestFit="1" customWidth="1"/>
    <col min="13581" max="13581" width="11.28515625" style="68" customWidth="1"/>
    <col min="13582" max="13582" width="12.5703125" style="68" customWidth="1"/>
    <col min="13583" max="13583" width="13.5703125" style="68" customWidth="1"/>
    <col min="13584" max="13584" width="13" style="68" customWidth="1"/>
    <col min="13585" max="13823" width="9.140625" style="68"/>
    <col min="13824" max="13824" width="3.7109375" style="68" customWidth="1"/>
    <col min="13825" max="13825" width="4" style="68" bestFit="1" customWidth="1"/>
    <col min="13826" max="13826" width="14.5703125" style="68" customWidth="1"/>
    <col min="13827" max="13827" width="11.140625" style="68" customWidth="1"/>
    <col min="13828" max="13828" width="8.7109375" style="68" customWidth="1"/>
    <col min="13829" max="13829" width="9.7109375" style="68" bestFit="1" customWidth="1"/>
    <col min="13830" max="13830" width="10.85546875" style="68" customWidth="1"/>
    <col min="13831" max="13831" width="10.42578125" style="68" customWidth="1"/>
    <col min="13832" max="13832" width="9.7109375" style="68" bestFit="1" customWidth="1"/>
    <col min="13833" max="13835" width="9.28515625" style="68" bestFit="1" customWidth="1"/>
    <col min="13836" max="13836" width="10.7109375" style="68" bestFit="1" customWidth="1"/>
    <col min="13837" max="13837" width="11.28515625" style="68" customWidth="1"/>
    <col min="13838" max="13838" width="12.5703125" style="68" customWidth="1"/>
    <col min="13839" max="13839" width="13.5703125" style="68" customWidth="1"/>
    <col min="13840" max="13840" width="13" style="68" customWidth="1"/>
    <col min="13841" max="14079" width="9.140625" style="68"/>
    <col min="14080" max="14080" width="3.7109375" style="68" customWidth="1"/>
    <col min="14081" max="14081" width="4" style="68" bestFit="1" customWidth="1"/>
    <col min="14082" max="14082" width="14.5703125" style="68" customWidth="1"/>
    <col min="14083" max="14083" width="11.140625" style="68" customWidth="1"/>
    <col min="14084" max="14084" width="8.7109375" style="68" customWidth="1"/>
    <col min="14085" max="14085" width="9.7109375" style="68" bestFit="1" customWidth="1"/>
    <col min="14086" max="14086" width="10.85546875" style="68" customWidth="1"/>
    <col min="14087" max="14087" width="10.42578125" style="68" customWidth="1"/>
    <col min="14088" max="14088" width="9.7109375" style="68" bestFit="1" customWidth="1"/>
    <col min="14089" max="14091" width="9.28515625" style="68" bestFit="1" customWidth="1"/>
    <col min="14092" max="14092" width="10.7109375" style="68" bestFit="1" customWidth="1"/>
    <col min="14093" max="14093" width="11.28515625" style="68" customWidth="1"/>
    <col min="14094" max="14094" width="12.5703125" style="68" customWidth="1"/>
    <col min="14095" max="14095" width="13.5703125" style="68" customWidth="1"/>
    <col min="14096" max="14096" width="13" style="68" customWidth="1"/>
    <col min="14097" max="14335" width="9.140625" style="68"/>
    <col min="14336" max="14336" width="3.7109375" style="68" customWidth="1"/>
    <col min="14337" max="14337" width="4" style="68" bestFit="1" customWidth="1"/>
    <col min="14338" max="14338" width="14.5703125" style="68" customWidth="1"/>
    <col min="14339" max="14339" width="11.140625" style="68" customWidth="1"/>
    <col min="14340" max="14340" width="8.7109375" style="68" customWidth="1"/>
    <col min="14341" max="14341" width="9.7109375" style="68" bestFit="1" customWidth="1"/>
    <col min="14342" max="14342" width="10.85546875" style="68" customWidth="1"/>
    <col min="14343" max="14343" width="10.42578125" style="68" customWidth="1"/>
    <col min="14344" max="14344" width="9.7109375" style="68" bestFit="1" customWidth="1"/>
    <col min="14345" max="14347" width="9.28515625" style="68" bestFit="1" customWidth="1"/>
    <col min="14348" max="14348" width="10.7109375" style="68" bestFit="1" customWidth="1"/>
    <col min="14349" max="14349" width="11.28515625" style="68" customWidth="1"/>
    <col min="14350" max="14350" width="12.5703125" style="68" customWidth="1"/>
    <col min="14351" max="14351" width="13.5703125" style="68" customWidth="1"/>
    <col min="14352" max="14352" width="13" style="68" customWidth="1"/>
    <col min="14353" max="14591" width="9.140625" style="68"/>
    <col min="14592" max="14592" width="3.7109375" style="68" customWidth="1"/>
    <col min="14593" max="14593" width="4" style="68" bestFit="1" customWidth="1"/>
    <col min="14594" max="14594" width="14.5703125" style="68" customWidth="1"/>
    <col min="14595" max="14595" width="11.140625" style="68" customWidth="1"/>
    <col min="14596" max="14596" width="8.7109375" style="68" customWidth="1"/>
    <col min="14597" max="14597" width="9.7109375" style="68" bestFit="1" customWidth="1"/>
    <col min="14598" max="14598" width="10.85546875" style="68" customWidth="1"/>
    <col min="14599" max="14599" width="10.42578125" style="68" customWidth="1"/>
    <col min="14600" max="14600" width="9.7109375" style="68" bestFit="1" customWidth="1"/>
    <col min="14601" max="14603" width="9.28515625" style="68" bestFit="1" customWidth="1"/>
    <col min="14604" max="14604" width="10.7109375" style="68" bestFit="1" customWidth="1"/>
    <col min="14605" max="14605" width="11.28515625" style="68" customWidth="1"/>
    <col min="14606" max="14606" width="12.5703125" style="68" customWidth="1"/>
    <col min="14607" max="14607" width="13.5703125" style="68" customWidth="1"/>
    <col min="14608" max="14608" width="13" style="68" customWidth="1"/>
    <col min="14609" max="14847" width="9.140625" style="68"/>
    <col min="14848" max="14848" width="3.7109375" style="68" customWidth="1"/>
    <col min="14849" max="14849" width="4" style="68" bestFit="1" customWidth="1"/>
    <col min="14850" max="14850" width="14.5703125" style="68" customWidth="1"/>
    <col min="14851" max="14851" width="11.140625" style="68" customWidth="1"/>
    <col min="14852" max="14852" width="8.7109375" style="68" customWidth="1"/>
    <col min="14853" max="14853" width="9.7109375" style="68" bestFit="1" customWidth="1"/>
    <col min="14854" max="14854" width="10.85546875" style="68" customWidth="1"/>
    <col min="14855" max="14855" width="10.42578125" style="68" customWidth="1"/>
    <col min="14856" max="14856" width="9.7109375" style="68" bestFit="1" customWidth="1"/>
    <col min="14857" max="14859" width="9.28515625" style="68" bestFit="1" customWidth="1"/>
    <col min="14860" max="14860" width="10.7109375" style="68" bestFit="1" customWidth="1"/>
    <col min="14861" max="14861" width="11.28515625" style="68" customWidth="1"/>
    <col min="14862" max="14862" width="12.5703125" style="68" customWidth="1"/>
    <col min="14863" max="14863" width="13.5703125" style="68" customWidth="1"/>
    <col min="14864" max="14864" width="13" style="68" customWidth="1"/>
    <col min="14865" max="15103" width="9.140625" style="68"/>
    <col min="15104" max="15104" width="3.7109375" style="68" customWidth="1"/>
    <col min="15105" max="15105" width="4" style="68" bestFit="1" customWidth="1"/>
    <col min="15106" max="15106" width="14.5703125" style="68" customWidth="1"/>
    <col min="15107" max="15107" width="11.140625" style="68" customWidth="1"/>
    <col min="15108" max="15108" width="8.7109375" style="68" customWidth="1"/>
    <col min="15109" max="15109" width="9.7109375" style="68" bestFit="1" customWidth="1"/>
    <col min="15110" max="15110" width="10.85546875" style="68" customWidth="1"/>
    <col min="15111" max="15111" width="10.42578125" style="68" customWidth="1"/>
    <col min="15112" max="15112" width="9.7109375" style="68" bestFit="1" customWidth="1"/>
    <col min="15113" max="15115" width="9.28515625" style="68" bestFit="1" customWidth="1"/>
    <col min="15116" max="15116" width="10.7109375" style="68" bestFit="1" customWidth="1"/>
    <col min="15117" max="15117" width="11.28515625" style="68" customWidth="1"/>
    <col min="15118" max="15118" width="12.5703125" style="68" customWidth="1"/>
    <col min="15119" max="15119" width="13.5703125" style="68" customWidth="1"/>
    <col min="15120" max="15120" width="13" style="68" customWidth="1"/>
    <col min="15121" max="15359" width="9.140625" style="68"/>
    <col min="15360" max="15360" width="3.7109375" style="68" customWidth="1"/>
    <col min="15361" max="15361" width="4" style="68" bestFit="1" customWidth="1"/>
    <col min="15362" max="15362" width="14.5703125" style="68" customWidth="1"/>
    <col min="15363" max="15363" width="11.140625" style="68" customWidth="1"/>
    <col min="15364" max="15364" width="8.7109375" style="68" customWidth="1"/>
    <col min="15365" max="15365" width="9.7109375" style="68" bestFit="1" customWidth="1"/>
    <col min="15366" max="15366" width="10.85546875" style="68" customWidth="1"/>
    <col min="15367" max="15367" width="10.42578125" style="68" customWidth="1"/>
    <col min="15368" max="15368" width="9.7109375" style="68" bestFit="1" customWidth="1"/>
    <col min="15369" max="15371" width="9.28515625" style="68" bestFit="1" customWidth="1"/>
    <col min="15372" max="15372" width="10.7109375" style="68" bestFit="1" customWidth="1"/>
    <col min="15373" max="15373" width="11.28515625" style="68" customWidth="1"/>
    <col min="15374" max="15374" width="12.5703125" style="68" customWidth="1"/>
    <col min="15375" max="15375" width="13.5703125" style="68" customWidth="1"/>
    <col min="15376" max="15376" width="13" style="68" customWidth="1"/>
    <col min="15377" max="15615" width="9.140625" style="68"/>
    <col min="15616" max="15616" width="3.7109375" style="68" customWidth="1"/>
    <col min="15617" max="15617" width="4" style="68" bestFit="1" customWidth="1"/>
    <col min="15618" max="15618" width="14.5703125" style="68" customWidth="1"/>
    <col min="15619" max="15619" width="11.140625" style="68" customWidth="1"/>
    <col min="15620" max="15620" width="8.7109375" style="68" customWidth="1"/>
    <col min="15621" max="15621" width="9.7109375" style="68" bestFit="1" customWidth="1"/>
    <col min="15622" max="15622" width="10.85546875" style="68" customWidth="1"/>
    <col min="15623" max="15623" width="10.42578125" style="68" customWidth="1"/>
    <col min="15624" max="15624" width="9.7109375" style="68" bestFit="1" customWidth="1"/>
    <col min="15625" max="15627" width="9.28515625" style="68" bestFit="1" customWidth="1"/>
    <col min="15628" max="15628" width="10.7109375" style="68" bestFit="1" customWidth="1"/>
    <col min="15629" max="15629" width="11.28515625" style="68" customWidth="1"/>
    <col min="15630" max="15630" width="12.5703125" style="68" customWidth="1"/>
    <col min="15631" max="15631" width="13.5703125" style="68" customWidth="1"/>
    <col min="15632" max="15632" width="13" style="68" customWidth="1"/>
    <col min="15633" max="15871" width="9.140625" style="68"/>
    <col min="15872" max="15872" width="3.7109375" style="68" customWidth="1"/>
    <col min="15873" max="15873" width="4" style="68" bestFit="1" customWidth="1"/>
    <col min="15874" max="15874" width="14.5703125" style="68" customWidth="1"/>
    <col min="15875" max="15875" width="11.140625" style="68" customWidth="1"/>
    <col min="15876" max="15876" width="8.7109375" style="68" customWidth="1"/>
    <col min="15877" max="15877" width="9.7109375" style="68" bestFit="1" customWidth="1"/>
    <col min="15878" max="15878" width="10.85546875" style="68" customWidth="1"/>
    <col min="15879" max="15879" width="10.42578125" style="68" customWidth="1"/>
    <col min="15880" max="15880" width="9.7109375" style="68" bestFit="1" customWidth="1"/>
    <col min="15881" max="15883" width="9.28515625" style="68" bestFit="1" customWidth="1"/>
    <col min="15884" max="15884" width="10.7109375" style="68" bestFit="1" customWidth="1"/>
    <col min="15885" max="15885" width="11.28515625" style="68" customWidth="1"/>
    <col min="15886" max="15886" width="12.5703125" style="68" customWidth="1"/>
    <col min="15887" max="15887" width="13.5703125" style="68" customWidth="1"/>
    <col min="15888" max="15888" width="13" style="68" customWidth="1"/>
    <col min="15889" max="16127" width="9.140625" style="68"/>
    <col min="16128" max="16128" width="3.7109375" style="68" customWidth="1"/>
    <col min="16129" max="16129" width="4" style="68" bestFit="1" customWidth="1"/>
    <col min="16130" max="16130" width="14.5703125" style="68" customWidth="1"/>
    <col min="16131" max="16131" width="11.140625" style="68" customWidth="1"/>
    <col min="16132" max="16132" width="8.7109375" style="68" customWidth="1"/>
    <col min="16133" max="16133" width="9.7109375" style="68" bestFit="1" customWidth="1"/>
    <col min="16134" max="16134" width="10.85546875" style="68" customWidth="1"/>
    <col min="16135" max="16135" width="10.42578125" style="68" customWidth="1"/>
    <col min="16136" max="16136" width="9.7109375" style="68" bestFit="1" customWidth="1"/>
    <col min="16137" max="16139" width="9.28515625" style="68" bestFit="1" customWidth="1"/>
    <col min="16140" max="16140" width="10.7109375" style="68" bestFit="1" customWidth="1"/>
    <col min="16141" max="16141" width="11.28515625" style="68" customWidth="1"/>
    <col min="16142" max="16142" width="12.5703125" style="68" customWidth="1"/>
    <col min="16143" max="16143" width="13.5703125" style="68" customWidth="1"/>
    <col min="16144" max="16144" width="13" style="68" customWidth="1"/>
    <col min="16145" max="16384" width="9.140625" style="68"/>
  </cols>
  <sheetData>
    <row r="2" spans="2:20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0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0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315</v>
      </c>
      <c r="R4" s="67"/>
      <c r="S4" s="67"/>
    </row>
    <row r="5" spans="2:20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0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0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0" ht="14.2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T8" s="68" t="s">
        <v>241</v>
      </c>
    </row>
    <row r="9" spans="2:20" x14ac:dyDescent="0.25">
      <c r="B9" s="199">
        <v>1</v>
      </c>
      <c r="C9" s="725" t="s">
        <v>242</v>
      </c>
      <c r="D9" s="726"/>
      <c r="E9" s="74">
        <f>'22'!L9</f>
        <v>22372.640594026019</v>
      </c>
      <c r="F9" s="74">
        <f>Production2!D25</f>
        <v>3988.5600000000004</v>
      </c>
      <c r="G9" s="74">
        <f>F9+'22'!G9</f>
        <v>68496.2</v>
      </c>
      <c r="H9" s="74">
        <f>F9+'22'!H9</f>
        <v>133481.9</v>
      </c>
      <c r="I9" s="74">
        <f>Production2!E25</f>
        <v>2397</v>
      </c>
      <c r="J9" s="74">
        <f>I9+'22'!J9</f>
        <v>49861</v>
      </c>
      <c r="K9" s="74">
        <f>I9+'22'!K9</f>
        <v>116748</v>
      </c>
      <c r="L9" s="74">
        <f>E9+F9-I9-I21</f>
        <v>23532.233927749021</v>
      </c>
      <c r="M9" s="74">
        <f>I9</f>
        <v>2397</v>
      </c>
      <c r="N9" s="75">
        <f>(I9/I13)*100</f>
        <v>95.650438946528325</v>
      </c>
      <c r="O9" s="787"/>
      <c r="P9" s="286">
        <v>10</v>
      </c>
      <c r="Q9" s="261">
        <f>'Raw mill moisture content'!L35</f>
        <v>9.9999999999999922E-2</v>
      </c>
    </row>
    <row r="10" spans="2:20" ht="13.9" customHeight="1" x14ac:dyDescent="0.25">
      <c r="B10" s="79">
        <v>2</v>
      </c>
      <c r="C10" s="728" t="s">
        <v>30</v>
      </c>
      <c r="D10" s="728"/>
      <c r="E10" s="77">
        <f>'Mines (2)'!L25</f>
        <v>2773.9400000000005</v>
      </c>
      <c r="F10" s="77">
        <f>'Mines (2)'!M25</f>
        <v>0</v>
      </c>
      <c r="G10" s="74">
        <f>F10+'22'!G10</f>
        <v>3271.440000000001</v>
      </c>
      <c r="H10" s="74">
        <f>F10+'22'!H10</f>
        <v>4622.8999999999996</v>
      </c>
      <c r="I10" s="77">
        <f>'Mines (2)'!N25</f>
        <v>51</v>
      </c>
      <c r="J10" s="74">
        <f>I10+'22'!J10</f>
        <v>1495</v>
      </c>
      <c r="K10" s="74">
        <f>I10+'22'!K10</f>
        <v>2024</v>
      </c>
      <c r="L10" s="77">
        <f t="shared" ref="L10:L16" si="0">E10+F10-I10</f>
        <v>2722.9400000000005</v>
      </c>
      <c r="M10" s="74">
        <f t="shared" ref="M10:M12" si="1">I10</f>
        <v>51</v>
      </c>
      <c r="N10" s="75">
        <f>(I10/I13)*100</f>
        <v>2.0351157222665601</v>
      </c>
      <c r="O10" s="787"/>
      <c r="P10" s="53">
        <v>10</v>
      </c>
      <c r="Q10" s="262">
        <f>'Raw mill moisture content'!M35</f>
        <v>9.9999999999999867E-2</v>
      </c>
    </row>
    <row r="11" spans="2:20" x14ac:dyDescent="0.25">
      <c r="B11" s="79">
        <v>3</v>
      </c>
      <c r="C11" s="728" t="s">
        <v>32</v>
      </c>
      <c r="D11" s="728"/>
      <c r="E11" s="77">
        <f>Clinker!C25</f>
        <v>3244.92</v>
      </c>
      <c r="F11" s="77">
        <f>Clinker!D25</f>
        <v>0</v>
      </c>
      <c r="G11" s="74">
        <f>F11+'22'!G11</f>
        <v>347.58000000000004</v>
      </c>
      <c r="H11" s="74">
        <f>F11+'22'!H11</f>
        <v>417.28000000000003</v>
      </c>
      <c r="I11" s="77">
        <f>Clinker!E25</f>
        <v>58</v>
      </c>
      <c r="J11" s="74">
        <f>I11+'22'!J11</f>
        <v>1159</v>
      </c>
      <c r="K11" s="74">
        <f>I11+'22'!K11</f>
        <v>2596</v>
      </c>
      <c r="L11" s="77">
        <f>E11+F11-I11</f>
        <v>3186.92</v>
      </c>
      <c r="M11" s="74">
        <f t="shared" si="1"/>
        <v>58</v>
      </c>
      <c r="N11" s="75">
        <f>(I11/I13)*100</f>
        <v>2.3144453312051079</v>
      </c>
      <c r="O11" s="787"/>
      <c r="P11" s="53">
        <v>7</v>
      </c>
      <c r="Q11" s="262">
        <f>'Raw mill moisture content'!N35</f>
        <v>7.0000000000000076E-2</v>
      </c>
    </row>
    <row r="12" spans="2:20" ht="13.9" customHeight="1" x14ac:dyDescent="0.25">
      <c r="B12" s="79">
        <v>4</v>
      </c>
      <c r="C12" s="728" t="s">
        <v>243</v>
      </c>
      <c r="D12" s="728"/>
      <c r="E12" s="77">
        <f>'Mines (2)'!Q25</f>
        <v>3.999999999996362E-2</v>
      </c>
      <c r="F12" s="77">
        <f>'Mines (2)'!R25</f>
        <v>0</v>
      </c>
      <c r="G12" s="74">
        <f>F12+'22'!G12</f>
        <v>0</v>
      </c>
      <c r="H12" s="74">
        <f>F12+'22'!H12</f>
        <v>137.76</v>
      </c>
      <c r="I12" s="77">
        <f>'Mines (2)'!S25</f>
        <v>0</v>
      </c>
      <c r="J12" s="74">
        <f>I12+'22'!J12</f>
        <v>191</v>
      </c>
      <c r="K12" s="74">
        <f>I12+'22'!K12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0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28391.540594026017</v>
      </c>
      <c r="F13" s="127">
        <f t="shared" si="2"/>
        <v>3988.5600000000004</v>
      </c>
      <c r="G13" s="127">
        <f t="shared" si="2"/>
        <v>72115.22</v>
      </c>
      <c r="H13" s="127">
        <f t="shared" si="2"/>
        <v>138659.84</v>
      </c>
      <c r="I13" s="127">
        <f t="shared" si="2"/>
        <v>2506</v>
      </c>
      <c r="J13" s="127">
        <f t="shared" si="2"/>
        <v>52706</v>
      </c>
      <c r="K13" s="127">
        <f t="shared" si="2"/>
        <v>122106</v>
      </c>
      <c r="L13" s="127">
        <f t="shared" si="0"/>
        <v>29874.100594026018</v>
      </c>
      <c r="M13" s="128">
        <f>SUM(M9:M12)</f>
        <v>2506</v>
      </c>
      <c r="N13" s="128">
        <v>99.999999999999986</v>
      </c>
      <c r="O13" s="787"/>
      <c r="P13" s="797"/>
      <c r="Q13" s="798"/>
    </row>
    <row r="14" spans="2:20" x14ac:dyDescent="0.25">
      <c r="B14" s="763">
        <v>6</v>
      </c>
      <c r="C14" s="775" t="s">
        <v>245</v>
      </c>
      <c r="D14" s="80" t="s">
        <v>69</v>
      </c>
      <c r="E14" s="77">
        <f>Clinker!EB25</f>
        <v>5247.6769999999906</v>
      </c>
      <c r="F14" s="77">
        <f>Clinker!EC25</f>
        <v>0</v>
      </c>
      <c r="G14" s="77">
        <f>F14+'22'!G14</f>
        <v>0</v>
      </c>
      <c r="H14" s="77">
        <f>F14+'22'!H14</f>
        <v>181.5</v>
      </c>
      <c r="I14" s="77">
        <f>Clinker!ED25</f>
        <v>234.44</v>
      </c>
      <c r="J14" s="77">
        <f>I14+'22'!J14</f>
        <v>5483.78</v>
      </c>
      <c r="K14" s="77">
        <f>I14+'22'!K14</f>
        <v>12320.08</v>
      </c>
      <c r="L14" s="77">
        <f>E14+F14-I14-Clinker!N25-Clinker!Z25-Clinker!AS25-Clinker!AX25-Clinker!BC25-Clinker!BW25-Clinker!BH25-Clinker!BM25-Clinker!BR25-Clinker!CV25-Clinker!DP25</f>
        <v>5013.236999999991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0" x14ac:dyDescent="0.25">
      <c r="B15" s="763"/>
      <c r="C15" s="775"/>
      <c r="D15" s="80" t="s">
        <v>68</v>
      </c>
      <c r="E15" s="77">
        <f>Clinker!EF25</f>
        <v>6076.4999999999936</v>
      </c>
      <c r="F15" s="77">
        <f>Clinker!EG25</f>
        <v>0</v>
      </c>
      <c r="G15" s="77">
        <f>F15+'22'!G15</f>
        <v>1286.3499999999999</v>
      </c>
      <c r="H15" s="77">
        <f>F15+'22'!H15</f>
        <v>1441.4</v>
      </c>
      <c r="I15" s="77">
        <f>Clinker!EH25</f>
        <v>142</v>
      </c>
      <c r="J15" s="77">
        <f>I15+'22'!J15</f>
        <v>3106</v>
      </c>
      <c r="K15" s="77">
        <f>I15+'22'!K15</f>
        <v>6975</v>
      </c>
      <c r="L15" s="77">
        <f>E15+F15-Clinker!T25-Clinker!AE25-Clinker!AJ25-Clinker!CL25-Clinker!CQ25-Clinker!CG25</f>
        <v>5934.4999999999936</v>
      </c>
      <c r="M15" s="81"/>
      <c r="N15" s="81"/>
      <c r="O15" s="787"/>
      <c r="P15" s="82"/>
      <c r="Q15" s="82"/>
      <c r="R15" s="83"/>
      <c r="S15" s="83"/>
    </row>
    <row r="16" spans="2:20" x14ac:dyDescent="0.25">
      <c r="B16" s="763"/>
      <c r="C16" s="690"/>
      <c r="D16" s="124" t="s">
        <v>150</v>
      </c>
      <c r="E16" s="125">
        <f>E14+E15</f>
        <v>11324.176999999985</v>
      </c>
      <c r="F16" s="125">
        <f>F14+F15</f>
        <v>0</v>
      </c>
      <c r="G16" s="125">
        <f t="shared" ref="G16:K16" si="3">G14+G15</f>
        <v>1286.3499999999999</v>
      </c>
      <c r="H16" s="125">
        <f t="shared" si="3"/>
        <v>1622.9</v>
      </c>
      <c r="I16" s="125">
        <f t="shared" si="3"/>
        <v>376.44</v>
      </c>
      <c r="J16" s="125">
        <f>J14+J15</f>
        <v>8589.7799999999988</v>
      </c>
      <c r="K16" s="125">
        <f t="shared" si="3"/>
        <v>19295.080000000002</v>
      </c>
      <c r="L16" s="125">
        <f t="shared" si="0"/>
        <v>10947.736999999985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Clinker!EJ25</f>
        <v>27372.298084804748</v>
      </c>
      <c r="F18" s="74">
        <f>Clinker!EK25</f>
        <v>1340</v>
      </c>
      <c r="G18" s="74">
        <f>F18+'22'!G18</f>
        <v>30554</v>
      </c>
      <c r="H18" s="74">
        <f>F18+'22'!H18</f>
        <v>71054</v>
      </c>
      <c r="I18" s="74">
        <f>Clinker!EL25</f>
        <v>1591.9830015507</v>
      </c>
      <c r="J18" s="74">
        <f>I18+'22'!J18</f>
        <v>28353.345004486411</v>
      </c>
      <c r="K18" s="74">
        <f>I18+'22'!K18</f>
        <v>47215.225016372679</v>
      </c>
      <c r="L18" s="74">
        <f>E18+F18-I18-I20</f>
        <v>27120.315083254049</v>
      </c>
      <c r="M18" s="897">
        <f>((I18+I19)/(J40+J46))*100</f>
        <v>76.354100793798565</v>
      </c>
      <c r="N18" s="765"/>
      <c r="O18" s="767"/>
      <c r="P18" s="769"/>
      <c r="Q18" s="770"/>
      <c r="R18" s="20"/>
      <c r="S18" s="190"/>
    </row>
    <row r="19" spans="2:19" ht="45" x14ac:dyDescent="0.25">
      <c r="B19" s="763"/>
      <c r="C19" s="691"/>
      <c r="D19" s="85" t="s">
        <v>75</v>
      </c>
      <c r="E19" s="74">
        <f>Clinker!EO25</f>
        <v>5306.1090080001359</v>
      </c>
      <c r="F19" s="74">
        <f>Clinker!EP25</f>
        <v>0</v>
      </c>
      <c r="G19" s="74">
        <f>F19+'22'!G19</f>
        <v>150.78</v>
      </c>
      <c r="H19" s="74">
        <f>F19+'22'!H19</f>
        <v>13390.660000000003</v>
      </c>
      <c r="I19" s="74">
        <f>Clinker!EQ25</f>
        <v>0</v>
      </c>
      <c r="J19" s="74">
        <f>I19+'22'!J19</f>
        <v>0</v>
      </c>
      <c r="K19" s="74">
        <f>I19+'22'!K19</f>
        <v>16934.099999999999</v>
      </c>
      <c r="L19" s="74">
        <f>E19+F19-I19</f>
        <v>5306.1090080001359</v>
      </c>
      <c r="M19" s="898"/>
      <c r="N19" s="765"/>
      <c r="O19" s="767"/>
      <c r="P19" s="769"/>
      <c r="Q19" s="770"/>
      <c r="R19" s="20"/>
      <c r="S19" s="20"/>
    </row>
    <row r="20" spans="2:19" ht="30" x14ac:dyDescent="0.25">
      <c r="B20" s="763"/>
      <c r="C20" s="764"/>
      <c r="D20" s="86" t="s">
        <v>249</v>
      </c>
      <c r="E20" s="77"/>
      <c r="F20" s="77">
        <f>Clinker!EN25</f>
        <v>0</v>
      </c>
      <c r="G20" s="74">
        <f>F20+'22'!G20</f>
        <v>0</v>
      </c>
      <c r="H20" s="74">
        <f>F20+'22'!H20</f>
        <v>0</v>
      </c>
      <c r="I20" s="77">
        <f>Clinker!EN25</f>
        <v>0</v>
      </c>
      <c r="J20" s="74">
        <f>I20+'22'!J20</f>
        <v>0</v>
      </c>
      <c r="K20" s="74">
        <f>I20+'22'!K20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297</v>
      </c>
      <c r="D21" s="823"/>
      <c r="E21" s="77"/>
      <c r="F21" s="77"/>
      <c r="G21" s="74"/>
      <c r="H21" s="74"/>
      <c r="I21" s="77">
        <f>Cement!S25</f>
        <v>431.966666277</v>
      </c>
      <c r="J21" s="74">
        <f>I21+'22'!J21</f>
        <v>7674.7177768725869</v>
      </c>
      <c r="K21" s="74">
        <f>I21+'22'!K21</f>
        <v>16306.537769434824</v>
      </c>
      <c r="L21" s="74"/>
      <c r="M21" s="78">
        <f>(I21/(J40+J46))*100</f>
        <v>20.717825720719425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Cement!C25</f>
        <v>5361.5290135683863</v>
      </c>
      <c r="F22" s="77">
        <f>Cement!D25</f>
        <v>0</v>
      </c>
      <c r="G22" s="74">
        <f>F22+'22'!G22</f>
        <v>124.12</v>
      </c>
      <c r="H22" s="74">
        <f>F22+'22'!H22</f>
        <v>2095.02</v>
      </c>
      <c r="I22" s="77">
        <f>Cement!F25</f>
        <v>109.73368294736842</v>
      </c>
      <c r="J22" s="74">
        <f>I22+'22'!J22</f>
        <v>1949.4047329772632</v>
      </c>
      <c r="K22" s="74">
        <f>I22+'22'!K22</f>
        <v>4288.6047285287623</v>
      </c>
      <c r="L22" s="74">
        <f t="shared" ref="L22" si="4">E22+F22-I22</f>
        <v>5251.7953306210175</v>
      </c>
      <c r="M22" s="78">
        <f>(I22/(J40+J46))*100</f>
        <v>5.2630063763725863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Cement!H25</f>
        <v>0.23999999999796273</v>
      </c>
      <c r="F23" s="77">
        <f>Cement!I25</f>
        <v>0</v>
      </c>
      <c r="G23" s="74">
        <f>F23+'22'!G23</f>
        <v>0</v>
      </c>
      <c r="H23" s="74">
        <f>F23+'22'!H23</f>
        <v>0</v>
      </c>
      <c r="I23" s="77">
        <v>0</v>
      </c>
      <c r="J23" s="74">
        <f>I23+'22'!J23</f>
        <v>0</v>
      </c>
      <c r="K23" s="74">
        <f>I23+'22'!K23</f>
        <v>0</v>
      </c>
      <c r="L23" s="74">
        <v>0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Cement!L25</f>
        <v>0</v>
      </c>
      <c r="F24" s="77">
        <f>Cement!M25</f>
        <v>0</v>
      </c>
      <c r="G24" s="74">
        <f>F24+'22'!G24</f>
        <v>0</v>
      </c>
      <c r="H24" s="74">
        <f>F24+'22'!H24</f>
        <v>0</v>
      </c>
      <c r="I24" s="77">
        <v>0</v>
      </c>
      <c r="J24" s="74">
        <f>I24+'22'!J24</f>
        <v>0</v>
      </c>
      <c r="K24" s="74">
        <f>I24+'22'!K24</f>
        <v>0</v>
      </c>
      <c r="L24" s="74"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38040.176106373263</v>
      </c>
      <c r="F25" s="122">
        <f t="shared" ref="F25:L25" si="5">F18+F19+F21+F22+F23+F24</f>
        <v>1340</v>
      </c>
      <c r="G25" s="122">
        <f t="shared" si="5"/>
        <v>30828.899999999998</v>
      </c>
      <c r="H25" s="122">
        <f t="shared" si="5"/>
        <v>86539.680000000008</v>
      </c>
      <c r="I25" s="122">
        <f>I18+I19+I21+I22+I23+I24</f>
        <v>2133.6833507750684</v>
      </c>
      <c r="J25" s="122">
        <f t="shared" si="5"/>
        <v>37977.467514336262</v>
      </c>
      <c r="K25" s="122">
        <f t="shared" si="5"/>
        <v>84744.467514336269</v>
      </c>
      <c r="L25" s="122">
        <f t="shared" si="5"/>
        <v>37678.219421875205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Production2!C25</f>
        <v>21.13</v>
      </c>
      <c r="G30" s="75">
        <f>F30+'22'!G30</f>
        <v>386.47</v>
      </c>
      <c r="H30" s="75">
        <f>F30+'22'!H30</f>
        <v>818.95</v>
      </c>
      <c r="I30" s="74">
        <f>'Mines (2)'!C25+'Mines (2)'!H25+'Mines (2)'!V25+'Mines (2)'!Z25+'Mines (2)'!AD25</f>
        <v>22372.640594026016</v>
      </c>
      <c r="J30" s="74">
        <f>Production2!D25</f>
        <v>3988.5600000000004</v>
      </c>
      <c r="K30" s="74">
        <f>J30+'22'!K30</f>
        <v>68496.2</v>
      </c>
      <c r="L30" s="74">
        <f>J30+'22'!L30</f>
        <v>133481.9</v>
      </c>
      <c r="M30" s="74">
        <f>I9+I21</f>
        <v>2828.9666662770001</v>
      </c>
      <c r="N30" s="75">
        <f>M30+'22'!N30</f>
        <v>57535.717776872589</v>
      </c>
      <c r="O30" s="74">
        <f>M30+'22'!O30</f>
        <v>133054.53776943486</v>
      </c>
      <c r="P30" s="74">
        <f>I30+J30-M30</f>
        <v>23532.233927749017</v>
      </c>
      <c r="Q30" s="93">
        <f>J30/F30</f>
        <v>188.76289635589214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Production2!G25</f>
        <v>17.649999999999999</v>
      </c>
      <c r="G31" s="75">
        <f>F31+'22'!G31</f>
        <v>403.5</v>
      </c>
      <c r="H31" s="75">
        <f>F31+'22'!H31</f>
        <v>896.71999999999991</v>
      </c>
      <c r="I31" s="724">
        <f>Production2!H25</f>
        <v>1650.9300168375194</v>
      </c>
      <c r="J31" s="78">
        <f>Production2!N25</f>
        <v>2102</v>
      </c>
      <c r="K31" s="74">
        <f>J31+'22'!K31</f>
        <v>45876.530000000006</v>
      </c>
      <c r="L31" s="74">
        <f>J31+'22'!L31</f>
        <v>104733.68000000002</v>
      </c>
      <c r="M31" s="724">
        <f>Production2!K25</f>
        <v>2077</v>
      </c>
      <c r="N31" s="724">
        <f>M31+'22'!N31</f>
        <v>47358.7</v>
      </c>
      <c r="O31" s="724">
        <f>M31+'22'!O31</f>
        <v>110133.7</v>
      </c>
      <c r="P31" s="724">
        <f>I31+J31+J32-M31</f>
        <v>1831.0700168375192</v>
      </c>
      <c r="Q31" s="96">
        <f t="shared" ref="Q31:Q46" si="6">J31/F31</f>
        <v>119.09348441926346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Production2!P25</f>
        <v>15.5</v>
      </c>
      <c r="G32" s="75">
        <f>F32+'22'!G32</f>
        <v>175.38</v>
      </c>
      <c r="H32" s="75">
        <f>F32+'22'!H32</f>
        <v>581.66999999999996</v>
      </c>
      <c r="I32" s="712"/>
      <c r="J32" s="78">
        <f>Production2!Q25</f>
        <v>155.13999999999999</v>
      </c>
      <c r="K32" s="74">
        <f>J32+'22'!K32</f>
        <v>1595.12</v>
      </c>
      <c r="L32" s="74">
        <f>J32+'22'!L32</f>
        <v>5237.3599999999988</v>
      </c>
      <c r="M32" s="712"/>
      <c r="N32" s="712"/>
      <c r="O32" s="712"/>
      <c r="P32" s="712"/>
      <c r="Q32" s="96">
        <f>J32/F32</f>
        <v>10.009032258064515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Production2!S25</f>
        <v>14.5</v>
      </c>
      <c r="G33" s="75">
        <f>F33+'22'!G33</f>
        <v>360.1</v>
      </c>
      <c r="H33" s="75">
        <f>F33+'22'!H33</f>
        <v>806.47</v>
      </c>
      <c r="I33" s="77">
        <f>Production2!T25</f>
        <v>48.609999999999843</v>
      </c>
      <c r="J33" s="77">
        <f>Production2!U25</f>
        <v>211</v>
      </c>
      <c r="K33" s="74">
        <f>J33+'22'!K33</f>
        <v>4935.3999999999996</v>
      </c>
      <c r="L33" s="74">
        <f>J33+'22'!L33</f>
        <v>11088.1</v>
      </c>
      <c r="M33" s="77">
        <f>Production2!V25</f>
        <v>216</v>
      </c>
      <c r="N33" s="74">
        <f>M33+'22'!N33</f>
        <v>4932</v>
      </c>
      <c r="O33" s="74">
        <f>M33+'22'!O33</f>
        <v>11060</v>
      </c>
      <c r="P33" s="74">
        <f t="shared" ref="P33" si="7">I33+J33-M33</f>
        <v>43.609999999999843</v>
      </c>
      <c r="Q33" s="96">
        <f t="shared" si="6"/>
        <v>14.551724137931034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Production2!Y25</f>
        <v>20.079999999999998</v>
      </c>
      <c r="G34" s="75">
        <f>F34+'22'!G34</f>
        <v>505.48999999999995</v>
      </c>
      <c r="H34" s="75">
        <f>F34+'22'!H34</f>
        <v>1123.76</v>
      </c>
      <c r="I34" s="77">
        <f>Clinker!EJ25</f>
        <v>27372.298084804748</v>
      </c>
      <c r="J34" s="77">
        <f>Clinker!EK25</f>
        <v>1340</v>
      </c>
      <c r="K34" s="74">
        <f>J34+'22'!K34</f>
        <v>30554</v>
      </c>
      <c r="L34" s="74">
        <f>J34+'22'!L34</f>
        <v>71054</v>
      </c>
      <c r="M34" s="77">
        <f>Clinker!EL25</f>
        <v>1591.9830015507</v>
      </c>
      <c r="N34" s="74">
        <f>M34+'22'!N34</f>
        <v>28353.345004486411</v>
      </c>
      <c r="O34" s="74">
        <f>M34+'22'!O34</f>
        <v>47215.225016372679</v>
      </c>
      <c r="P34" s="74">
        <f>I34+J34-M34-I20</f>
        <v>27120.315083254049</v>
      </c>
      <c r="Q34" s="96">
        <f t="shared" si="6"/>
        <v>66.733067729083672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Production2!AE25</f>
        <v>0</v>
      </c>
      <c r="G35" s="75">
        <f>F35+'22'!G35</f>
        <v>17.899999999999999</v>
      </c>
      <c r="H35" s="75">
        <f>F35+'22'!H35</f>
        <v>26.9</v>
      </c>
      <c r="I35" s="77">
        <f>Production2!BJ25</f>
        <v>366.29999999999995</v>
      </c>
      <c r="J35" s="77">
        <f>Production2!AF25</f>
        <v>0</v>
      </c>
      <c r="K35" s="74">
        <f>J35+'22'!K35</f>
        <v>1150</v>
      </c>
      <c r="L35" s="74">
        <f>J35+'22'!L35</f>
        <v>1724</v>
      </c>
      <c r="M35" s="77">
        <f>Production2!BL25</f>
        <v>94</v>
      </c>
      <c r="N35" s="74">
        <f>M35+'22'!N35</f>
        <v>1889.5</v>
      </c>
      <c r="O35" s="74">
        <f>M35+'22'!O35</f>
        <v>4284</v>
      </c>
      <c r="P35" s="74">
        <f>I35+J35+J41-M35-F59</f>
        <v>272.29999999999995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Production2!AB25</f>
        <v>0</v>
      </c>
      <c r="G36" s="654">
        <f>F36+'22'!G36</f>
        <v>195.77999999999997</v>
      </c>
      <c r="H36" s="654">
        <f>F36+'22'!H36</f>
        <v>402.11</v>
      </c>
      <c r="I36" s="77">
        <f>Production2!BF25</f>
        <v>2690.0479999999789</v>
      </c>
      <c r="J36" s="77">
        <f>Production2!AC25</f>
        <v>0</v>
      </c>
      <c r="K36" s="74">
        <f>J36+'22'!K36</f>
        <v>12235</v>
      </c>
      <c r="L36" s="74">
        <f>J36+'22'!L36</f>
        <v>24664</v>
      </c>
      <c r="M36" s="77">
        <f>Production2!BH25</f>
        <v>1621.5</v>
      </c>
      <c r="N36" s="553">
        <f>M36+'22'!N36</f>
        <v>28864.739999999998</v>
      </c>
      <c r="O36" s="553">
        <f>M36+'22'!O36</f>
        <v>64033.010000000009</v>
      </c>
      <c r="P36" s="74">
        <f>I36+J36+J42-M36-F57</f>
        <v>2532.5479999999789</v>
      </c>
      <c r="Q36" s="96" t="e">
        <f t="shared" si="6"/>
        <v>#DIV/0!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Production2!AH25</f>
        <v>0</v>
      </c>
      <c r="G37" s="654">
        <f>F37+'22'!G37</f>
        <v>0</v>
      </c>
      <c r="H37" s="654">
        <f>F37+'22'!H37</f>
        <v>0</v>
      </c>
      <c r="I37" s="77">
        <f>Production2!BN25</f>
        <v>9.0000000000849845E-2</v>
      </c>
      <c r="J37" s="77">
        <f>Production2!AI25</f>
        <v>0</v>
      </c>
      <c r="K37" s="74">
        <f>J37+'22'!K37</f>
        <v>0</v>
      </c>
      <c r="L37" s="553">
        <f>J37+'22'!L37</f>
        <v>0</v>
      </c>
      <c r="M37" s="77">
        <f>Production2!BP25</f>
        <v>0</v>
      </c>
      <c r="N37" s="553">
        <f>M37+'22'!N37</f>
        <v>0</v>
      </c>
      <c r="O37" s="553">
        <f>M37+'22'!O37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Production2!AK25</f>
        <v>2</v>
      </c>
      <c r="G38" s="654">
        <f>F38+'22'!G38</f>
        <v>5</v>
      </c>
      <c r="H38" s="654">
        <f>F38+'22'!H38</f>
        <v>5</v>
      </c>
      <c r="I38" s="195">
        <f>Production2!BR25</f>
        <v>150.30000000000001</v>
      </c>
      <c r="J38" s="195">
        <f>Production2!AL25</f>
        <v>120</v>
      </c>
      <c r="K38" s="553">
        <f>J38+'22'!K38</f>
        <v>300</v>
      </c>
      <c r="L38" s="553">
        <f>J38+'22'!L38</f>
        <v>300</v>
      </c>
      <c r="M38" s="195">
        <f>Production2!BT25</f>
        <v>90</v>
      </c>
      <c r="N38" s="553">
        <f>M38+'22'!N38</f>
        <v>803</v>
      </c>
      <c r="O38" s="553">
        <f>M38+'22'!O38</f>
        <v>2650</v>
      </c>
      <c r="P38" s="74">
        <f>I38+J38+J44-M38-F59</f>
        <v>180.3</v>
      </c>
      <c r="Q38" s="96">
        <f t="shared" si="6"/>
        <v>60</v>
      </c>
      <c r="R38" s="94"/>
      <c r="S38" s="94"/>
    </row>
    <row r="39" spans="2:19" x14ac:dyDescent="0.25">
      <c r="B39" s="688"/>
      <c r="C39" s="691"/>
      <c r="D39" s="555" t="s">
        <v>304</v>
      </c>
      <c r="E39" s="559">
        <v>78</v>
      </c>
      <c r="F39" s="557">
        <f>Production2!AN25</f>
        <v>7</v>
      </c>
      <c r="G39" s="654">
        <f>F39+'22'!G39</f>
        <v>61.12</v>
      </c>
      <c r="H39" s="654">
        <f>F39+'22'!H39</f>
        <v>101.77000000000001</v>
      </c>
      <c r="I39" s="554">
        <f>Production2!BV25</f>
        <v>299.21000000000021</v>
      </c>
      <c r="J39" s="554">
        <f>Production2!AO25</f>
        <v>501</v>
      </c>
      <c r="K39" s="553">
        <f>J39+'22'!K39</f>
        <v>3906</v>
      </c>
      <c r="L39" s="553">
        <f>J39+'22'!L39</f>
        <v>6438</v>
      </c>
      <c r="M39" s="77">
        <f>Production2!BX25</f>
        <v>214.7</v>
      </c>
      <c r="N39" s="553">
        <f>M39+'22'!N39</f>
        <v>6135.32</v>
      </c>
      <c r="O39" s="553">
        <f>M39+'22'!O39</f>
        <v>11557.200000000003</v>
      </c>
      <c r="P39" s="553">
        <f>I39+J39+J45-M39-F61</f>
        <v>581.51000000000022</v>
      </c>
      <c r="Q39" s="96">
        <f t="shared" si="6"/>
        <v>71.571428571428569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9</v>
      </c>
      <c r="G40" s="132">
        <f t="shared" ref="G40:H40" si="8">G35+G36+G37+G38+G39</f>
        <v>279.79999999999995</v>
      </c>
      <c r="H40" s="132">
        <f t="shared" si="8"/>
        <v>535.78</v>
      </c>
      <c r="I40" s="122">
        <f>I35+I36+I37+I38+I39</f>
        <v>3505.9479999999803</v>
      </c>
      <c r="J40" s="556">
        <f t="shared" ref="J40:P40" si="9">J35+J36+J37+J38+J39</f>
        <v>621</v>
      </c>
      <c r="K40" s="556">
        <f t="shared" si="9"/>
        <v>17591</v>
      </c>
      <c r="L40" s="556">
        <f t="shared" si="9"/>
        <v>33126</v>
      </c>
      <c r="M40" s="556">
        <f t="shared" si="9"/>
        <v>2020.2</v>
      </c>
      <c r="N40" s="556">
        <f t="shared" si="9"/>
        <v>37692.559999999998</v>
      </c>
      <c r="O40" s="556">
        <f t="shared" si="9"/>
        <v>82524.060000000012</v>
      </c>
      <c r="P40" s="556">
        <f t="shared" si="9"/>
        <v>3566.7479999999805</v>
      </c>
      <c r="Q40" s="123">
        <f t="shared" si="6"/>
        <v>69</v>
      </c>
      <c r="R40" s="94"/>
      <c r="S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Production2!AT25</f>
        <v>0</v>
      </c>
      <c r="G41" s="75">
        <f>F41+'22'!G41</f>
        <v>10.129999999999999</v>
      </c>
      <c r="H41" s="75">
        <f>F41+'22'!H41</f>
        <v>43.23</v>
      </c>
      <c r="I41" s="710"/>
      <c r="J41" s="77">
        <f>Production2!AU25</f>
        <v>0</v>
      </c>
      <c r="K41" s="74">
        <f>J41+'22'!K41</f>
        <v>600</v>
      </c>
      <c r="L41" s="74">
        <f>J41+'22'!L41</f>
        <v>2600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Production2!AQ25</f>
        <v>24</v>
      </c>
      <c r="G42" s="75">
        <f>F42+'22'!G42</f>
        <v>282.07</v>
      </c>
      <c r="H42" s="654">
        <f>F42+'22'!H42</f>
        <v>698.06999999999994</v>
      </c>
      <c r="I42" s="711"/>
      <c r="J42" s="77">
        <f>Production2!AR25</f>
        <v>1464</v>
      </c>
      <c r="K42" s="74">
        <f>J42+'22'!K42</f>
        <v>16483</v>
      </c>
      <c r="L42" s="74">
        <f>J42+'22'!L42</f>
        <v>40623</v>
      </c>
      <c r="M42" s="716"/>
      <c r="N42" s="867"/>
      <c r="O42" s="867"/>
      <c r="P42" s="718"/>
      <c r="Q42" s="96">
        <f t="shared" si="6"/>
        <v>61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Production2!AW25</f>
        <v>0</v>
      </c>
      <c r="G43" s="558">
        <f>F43+'22'!G43</f>
        <v>0</v>
      </c>
      <c r="H43" s="654">
        <f>F43+'22'!H43</f>
        <v>0</v>
      </c>
      <c r="I43" s="711"/>
      <c r="J43" s="77">
        <f>Production2!AX25</f>
        <v>0</v>
      </c>
      <c r="K43" s="553">
        <f>J43+'22'!K43</f>
        <v>0</v>
      </c>
      <c r="L43" s="553">
        <f>J43+'22'!L43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Production2!AZ25</f>
        <v>0</v>
      </c>
      <c r="G44" s="558">
        <f>F44+'22'!G44</f>
        <v>9</v>
      </c>
      <c r="H44" s="654">
        <f>F44+'22'!H44</f>
        <v>41.88</v>
      </c>
      <c r="I44" s="712"/>
      <c r="J44" s="195">
        <f>Production2!BA25</f>
        <v>0</v>
      </c>
      <c r="K44" s="553">
        <f>J44+'22'!K44</f>
        <v>497</v>
      </c>
      <c r="L44" s="553">
        <f>J44+'22'!L44</f>
        <v>2317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555" t="s">
        <v>304</v>
      </c>
      <c r="E45" s="559">
        <v>70</v>
      </c>
      <c r="F45" s="557">
        <f>Production2!BC25</f>
        <v>0</v>
      </c>
      <c r="G45" s="558">
        <f>F45+'22'!G45</f>
        <v>33.769999999999996</v>
      </c>
      <c r="H45" s="654">
        <f>F45+'22'!H45</f>
        <v>88.740000000000009</v>
      </c>
      <c r="I45" s="552"/>
      <c r="J45" s="554">
        <f>Production2!BD25</f>
        <v>0</v>
      </c>
      <c r="K45" s="553">
        <f>J45+'22'!K45</f>
        <v>2059</v>
      </c>
      <c r="L45" s="553">
        <f>J45+'22'!L45</f>
        <v>5331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24</v>
      </c>
      <c r="G46" s="132">
        <f>G41+G42+G43+G44+G45</f>
        <v>334.96999999999997</v>
      </c>
      <c r="H46" s="132">
        <f>H41+H42+H43+H44+H45</f>
        <v>871.92</v>
      </c>
      <c r="I46" s="122">
        <f>I41+I42+I43+I44</f>
        <v>0</v>
      </c>
      <c r="J46" s="122">
        <f>J41+J42+J43+J44+J45</f>
        <v>1464</v>
      </c>
      <c r="K46" s="556">
        <f>K41+K42+K43+K44+K45</f>
        <v>19639</v>
      </c>
      <c r="L46" s="556">
        <f>L41+L42+L43+L44+L45</f>
        <v>50871</v>
      </c>
      <c r="M46" s="873"/>
      <c r="N46" s="874"/>
      <c r="O46" s="874"/>
      <c r="P46" s="875"/>
      <c r="Q46" s="123">
        <f t="shared" si="6"/>
        <v>61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0.95949415327837606</v>
      </c>
      <c r="F50" s="99">
        <f>F53/J31</f>
        <v>24.856327307326357</v>
      </c>
      <c r="G50" s="99">
        <f>G53/J32</f>
        <v>0</v>
      </c>
      <c r="H50" s="99">
        <f>H53/J34</f>
        <v>35.933582089552239</v>
      </c>
      <c r="I50" s="99">
        <f>I53/J33</f>
        <v>58.014218009478675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16.119402985074625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1.7163488697076623</v>
      </c>
      <c r="F51" s="102">
        <f>F50*1.55</f>
        <v>38.527307326355853</v>
      </c>
      <c r="G51" s="102">
        <f>G50*1.55</f>
        <v>0</v>
      </c>
      <c r="H51" s="102">
        <f>H50</f>
        <v>35.933582089552239</v>
      </c>
      <c r="I51" s="102">
        <f>I50*(Q50/100)</f>
        <v>9.351545589587607</v>
      </c>
      <c r="J51" s="102"/>
      <c r="K51" s="102"/>
      <c r="L51" s="102"/>
      <c r="M51" s="96"/>
      <c r="N51" s="103"/>
      <c r="O51" s="728" t="s">
        <v>277</v>
      </c>
      <c r="P51" s="728"/>
      <c r="Q51" s="104">
        <v>5214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1.3105027459498109</v>
      </c>
      <c r="F52" s="102">
        <f>F51*M18/100</f>
        <v>29.417179069102286</v>
      </c>
      <c r="G52" s="102">
        <f>G51*M18/100</f>
        <v>0</v>
      </c>
      <c r="H52" s="102">
        <f>H51*M18/100</f>
        <v>27.436763487479066</v>
      </c>
      <c r="I52" s="102">
        <f>I51*M18/100</f>
        <v>7.1402885452517459</v>
      </c>
      <c r="J52" s="99">
        <f>J53/(J40+J46)</f>
        <v>37.858513189448445</v>
      </c>
      <c r="K52" s="99">
        <f>K53/(J46+J40)</f>
        <v>0.85515587529976023</v>
      </c>
      <c r="L52" s="99">
        <f>L53/(M40)</f>
        <v>3.0016830016830016</v>
      </c>
      <c r="M52" s="96">
        <f>M53/(J46+J40)</f>
        <v>2.1601918465227818</v>
      </c>
      <c r="N52" s="307">
        <f>SUM(E52:M52)</f>
        <v>109.1802777607369</v>
      </c>
      <c r="O52" s="728" t="s">
        <v>279</v>
      </c>
      <c r="P52" s="728"/>
      <c r="Q52" s="104">
        <f>Q51*Q50/100</f>
        <v>840.465671641791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unit'!B25</f>
        <v>3827</v>
      </c>
      <c r="F53" s="118">
        <f>'Daily unit'!C25</f>
        <v>52248</v>
      </c>
      <c r="G53" s="118">
        <f>'Daily unit'!D25</f>
        <v>0</v>
      </c>
      <c r="H53" s="118">
        <f>'Daily unit'!E25</f>
        <v>48151</v>
      </c>
      <c r="I53" s="118">
        <f>'Daily unit'!F25</f>
        <v>12241</v>
      </c>
      <c r="J53" s="118">
        <f>'Daily unit'!G25</f>
        <v>78935</v>
      </c>
      <c r="K53" s="118">
        <f>'Daily unit'!H25</f>
        <v>1783</v>
      </c>
      <c r="L53" s="118">
        <f>'Daily unit'!I25</f>
        <v>6064</v>
      </c>
      <c r="M53" s="119">
        <f>'Daily unit'!J25</f>
        <v>4504</v>
      </c>
      <c r="N53" s="318">
        <f>SUM(E53:M53)</f>
        <v>207753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888" t="s">
        <v>282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9" s="110" customFormat="1" ht="14.45" customHeight="1" thickBot="1" x14ac:dyDescent="0.3">
      <c r="B56" s="214" t="s">
        <v>229</v>
      </c>
      <c r="C56" s="856" t="s">
        <v>283</v>
      </c>
      <c r="D56" s="856"/>
      <c r="E56" s="722"/>
      <c r="F56" s="150" t="s">
        <v>284</v>
      </c>
      <c r="G56" s="150" t="s">
        <v>26</v>
      </c>
      <c r="H56" s="183" t="s">
        <v>27</v>
      </c>
      <c r="I56" s="891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9" ht="14.45" customHeight="1" x14ac:dyDescent="0.25">
      <c r="B57" s="860">
        <v>1</v>
      </c>
      <c r="C57" s="859" t="s">
        <v>285</v>
      </c>
      <c r="D57" s="868"/>
      <c r="E57" s="211">
        <v>42.5</v>
      </c>
      <c r="F57" s="53">
        <f>'Internal use cement'!F25</f>
        <v>0</v>
      </c>
      <c r="G57" s="53">
        <f>F57+'22'!G57</f>
        <v>0</v>
      </c>
      <c r="H57" s="182">
        <f>F57+'22'!H57</f>
        <v>0</v>
      </c>
      <c r="I57" s="891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9" ht="14.45" customHeight="1" x14ac:dyDescent="0.25">
      <c r="B58" s="861"/>
      <c r="C58" s="896"/>
      <c r="D58" s="869"/>
      <c r="E58" s="643" t="s">
        <v>195</v>
      </c>
      <c r="F58" s="53">
        <f>'Internal use cement'!Q25</f>
        <v>0</v>
      </c>
      <c r="G58" s="53">
        <f>F58+'22'!G58</f>
        <v>2</v>
      </c>
      <c r="H58" s="182">
        <f>F58+'22'!H58</f>
        <v>2</v>
      </c>
      <c r="I58" s="891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9" ht="15" customHeight="1" x14ac:dyDescent="0.25">
      <c r="B59" s="861"/>
      <c r="C59" s="896"/>
      <c r="D59" s="869"/>
      <c r="E59" s="643">
        <v>32.5</v>
      </c>
      <c r="F59" s="645">
        <f>'Internal use cement'!Y25</f>
        <v>0</v>
      </c>
      <c r="G59" s="645">
        <f>F59+'22'!G59</f>
        <v>0</v>
      </c>
      <c r="H59" s="77">
        <f>F59+'22'!H59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9" ht="15" customHeight="1" x14ac:dyDescent="0.25">
      <c r="B60" s="861"/>
      <c r="C60" s="896"/>
      <c r="D60" s="869"/>
      <c r="E60" s="643" t="s">
        <v>175</v>
      </c>
      <c r="F60" s="645">
        <f>'Internal use cement'!AJ25</f>
        <v>0</v>
      </c>
      <c r="G60" s="645">
        <f>F60+'22'!G60</f>
        <v>0</v>
      </c>
      <c r="H60" s="77">
        <f>F60+'22'!H60</f>
        <v>0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9" ht="15.75" thickBot="1" x14ac:dyDescent="0.3">
      <c r="B61" s="862"/>
      <c r="C61" s="703"/>
      <c r="D61" s="703"/>
      <c r="E61" s="651" t="s">
        <v>350</v>
      </c>
      <c r="F61" s="81">
        <f>'Internal use cement'!AO25</f>
        <v>4</v>
      </c>
      <c r="G61" s="645">
        <f>F61+'22'!G61</f>
        <v>4</v>
      </c>
      <c r="H61" s="77">
        <f>F61+'22'!H61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94"/>
      <c r="S61" s="94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6">
    <mergeCell ref="I31:I32"/>
    <mergeCell ref="M31:M32"/>
    <mergeCell ref="N31:N32"/>
    <mergeCell ref="O31:O32"/>
    <mergeCell ref="P31:P3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41:B46"/>
    <mergeCell ref="C41:C46"/>
    <mergeCell ref="I41:I44"/>
    <mergeCell ref="M46:P46"/>
    <mergeCell ref="M41:P45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C9:D9"/>
    <mergeCell ref="B2:Q2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M18:M19"/>
    <mergeCell ref="C30:D30"/>
    <mergeCell ref="C31:D31"/>
    <mergeCell ref="C33:D33"/>
    <mergeCell ref="C34:D34"/>
    <mergeCell ref="B35:B40"/>
    <mergeCell ref="C35:C40"/>
    <mergeCell ref="C32:D32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B55:H55"/>
    <mergeCell ref="C56:E56"/>
    <mergeCell ref="I55:Q61"/>
    <mergeCell ref="C57:D61"/>
    <mergeCell ref="B57:B61"/>
  </mergeCells>
  <pageMargins left="0" right="0" top="0.5" bottom="0.5" header="0.3" footer="0.3"/>
  <pageSetup paperSize="9" scale="55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B2:U156"/>
  <sheetViews>
    <sheetView zoomScale="90" zoomScaleNormal="90" workbookViewId="0">
      <pane xSplit="4" ySplit="1" topLeftCell="E24" activePane="bottomRight" state="frozen"/>
      <selection pane="topRight" activeCell="E1" sqref="E1"/>
      <selection pane="bottomLeft" activeCell="A6" sqref="A6"/>
      <selection pane="bottomRight" activeCell="I37" sqref="I37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85546875" style="68" bestFit="1" customWidth="1"/>
    <col min="10" max="10" width="9.42578125" style="68" bestFit="1" customWidth="1"/>
    <col min="11" max="11" width="10.42578125" style="68" bestFit="1" customWidth="1"/>
    <col min="12" max="12" width="11.5703125" style="68" bestFit="1" customWidth="1"/>
    <col min="13" max="13" width="10.855468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342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6" t="s">
        <v>229</v>
      </c>
      <c r="C6" s="808" t="s">
        <v>230</v>
      </c>
      <c r="D6" s="808" t="s">
        <v>231</v>
      </c>
      <c r="E6" s="808" t="s">
        <v>232</v>
      </c>
      <c r="F6" s="900" t="s">
        <v>233</v>
      </c>
      <c r="G6" s="901"/>
      <c r="H6" s="848"/>
      <c r="I6" s="900" t="s">
        <v>234</v>
      </c>
      <c r="J6" s="901"/>
      <c r="K6" s="848"/>
      <c r="L6" s="808" t="s">
        <v>235</v>
      </c>
      <c r="M6" s="808" t="s">
        <v>236</v>
      </c>
      <c r="N6" s="808" t="s">
        <v>237</v>
      </c>
      <c r="O6" s="809"/>
      <c r="P6" s="808" t="s">
        <v>238</v>
      </c>
      <c r="Q6" s="795" t="s">
        <v>298</v>
      </c>
    </row>
    <row r="7" spans="2:21" ht="16.5" customHeight="1" thickBot="1" x14ac:dyDescent="0.3">
      <c r="B7" s="899"/>
      <c r="C7" s="747"/>
      <c r="D7" s="747"/>
      <c r="E7" s="747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747"/>
      <c r="M7" s="747"/>
      <c r="N7" s="747"/>
      <c r="O7" s="925"/>
      <c r="P7" s="747"/>
      <c r="Q7" s="752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'23'!L9</f>
        <v>23532.233927749021</v>
      </c>
      <c r="F9" s="74">
        <f>Production2!D26</f>
        <v>2740.58</v>
      </c>
      <c r="G9" s="74">
        <f>F9+'23'!G9</f>
        <v>71236.78</v>
      </c>
      <c r="H9" s="74">
        <f>F9+'23'!H9</f>
        <v>136222.47999999998</v>
      </c>
      <c r="I9" s="74">
        <f>Production2!E26</f>
        <v>3137</v>
      </c>
      <c r="J9" s="74">
        <f>I9+'23'!J9</f>
        <v>52998</v>
      </c>
      <c r="K9" s="74">
        <f>I9+'23'!K9</f>
        <v>119885</v>
      </c>
      <c r="L9" s="74">
        <f>E9+F9-I9-I21</f>
        <v>22629.813927749019</v>
      </c>
      <c r="M9" s="75">
        <f>I9</f>
        <v>3137</v>
      </c>
      <c r="N9" s="75">
        <f>(I9/I13)*100</f>
        <v>93.978430197723185</v>
      </c>
      <c r="O9" s="923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5" t="s">
        <v>30</v>
      </c>
      <c r="D10" s="726"/>
      <c r="E10" s="77">
        <f>'Mines (2)'!L26</f>
        <v>2722.9400000000005</v>
      </c>
      <c r="F10" s="77">
        <f>'Mines (2)'!M26</f>
        <v>265.27999999999997</v>
      </c>
      <c r="G10" s="74">
        <f>F10+'23'!G10</f>
        <v>3536.7200000000012</v>
      </c>
      <c r="H10" s="74">
        <f>F10+'23'!H10</f>
        <v>4888.1799999999994</v>
      </c>
      <c r="I10" s="77">
        <f>'Mines (2)'!N26</f>
        <v>107</v>
      </c>
      <c r="J10" s="74">
        <f>I10+'23'!J10</f>
        <v>1602</v>
      </c>
      <c r="K10" s="74">
        <f>I10+'23'!K10</f>
        <v>2131</v>
      </c>
      <c r="L10" s="77">
        <f t="shared" ref="L10:L16" si="0">E10+F10-I10</f>
        <v>2881.2200000000003</v>
      </c>
      <c r="M10" s="75">
        <f t="shared" ref="M10:M12" si="1">I10</f>
        <v>107</v>
      </c>
      <c r="N10" s="75">
        <f>(I10/I13)*100</f>
        <v>3.2055122828040745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5" t="s">
        <v>32</v>
      </c>
      <c r="D11" s="726"/>
      <c r="E11" s="77">
        <f>Clinker!C26</f>
        <v>3186.92</v>
      </c>
      <c r="F11" s="77">
        <f>Clinker!D26</f>
        <v>0</v>
      </c>
      <c r="G11" s="74">
        <f>F11+'23'!G11</f>
        <v>347.58000000000004</v>
      </c>
      <c r="H11" s="74">
        <f>F11+'23'!H11</f>
        <v>417.28000000000003</v>
      </c>
      <c r="I11" s="77">
        <f>Clinker!E26</f>
        <v>94</v>
      </c>
      <c r="J11" s="74">
        <f>I11+'23'!J11</f>
        <v>1253</v>
      </c>
      <c r="K11" s="74">
        <f>I11+'23'!K11</f>
        <v>2690</v>
      </c>
      <c r="L11" s="77">
        <f t="shared" si="0"/>
        <v>3092.92</v>
      </c>
      <c r="M11" s="75">
        <f t="shared" si="1"/>
        <v>94</v>
      </c>
      <c r="N11" s="75">
        <f>(I11/I13)*100</f>
        <v>2.816057519472738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5" t="s">
        <v>243</v>
      </c>
      <c r="D12" s="726"/>
      <c r="E12" s="77">
        <f>'Mines (2)'!Q26</f>
        <v>3.999999999996362E-2</v>
      </c>
      <c r="F12" s="77">
        <f>'Mines (2)'!R26</f>
        <v>0</v>
      </c>
      <c r="G12" s="74">
        <f>F12+'23'!G12</f>
        <v>0</v>
      </c>
      <c r="H12" s="74">
        <f>F12+'23'!H12</f>
        <v>137.76</v>
      </c>
      <c r="I12" s="77">
        <f>'Mines (2)'!S26</f>
        <v>0</v>
      </c>
      <c r="J12" s="74">
        <f>I12+'23'!J12</f>
        <v>191</v>
      </c>
      <c r="K12" s="74">
        <f>I12+'23'!K12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921" t="s">
        <v>244</v>
      </c>
      <c r="D13" s="922"/>
      <c r="E13" s="127">
        <f t="shared" ref="E13:K13" si="2">SUM(E9:E12)</f>
        <v>29442.133927749019</v>
      </c>
      <c r="F13" s="127">
        <f t="shared" si="2"/>
        <v>3005.8599999999997</v>
      </c>
      <c r="G13" s="127">
        <f t="shared" si="2"/>
        <v>75121.08</v>
      </c>
      <c r="H13" s="127">
        <f t="shared" si="2"/>
        <v>141665.69999999998</v>
      </c>
      <c r="I13" s="127">
        <f t="shared" si="2"/>
        <v>3338</v>
      </c>
      <c r="J13" s="127">
        <f t="shared" si="2"/>
        <v>56044</v>
      </c>
      <c r="K13" s="127">
        <f t="shared" si="2"/>
        <v>125444</v>
      </c>
      <c r="L13" s="127">
        <f t="shared" si="0"/>
        <v>29109.993927749019</v>
      </c>
      <c r="M13" s="128">
        <f>SUM(M9:M12)</f>
        <v>3338</v>
      </c>
      <c r="N13" s="128">
        <v>99.999999999999986</v>
      </c>
      <c r="O13" s="787"/>
      <c r="P13" s="797"/>
      <c r="Q13" s="798"/>
    </row>
    <row r="14" spans="2:21" x14ac:dyDescent="0.25">
      <c r="B14" s="687">
        <v>6</v>
      </c>
      <c r="C14" s="690" t="s">
        <v>245</v>
      </c>
      <c r="D14" s="80" t="s">
        <v>69</v>
      </c>
      <c r="E14" s="77">
        <f>Clinker!EB26</f>
        <v>5247.6769999999906</v>
      </c>
      <c r="F14" s="77">
        <f>Clinker!EC26</f>
        <v>0</v>
      </c>
      <c r="G14" s="77">
        <f>F14+'23'!G14</f>
        <v>0</v>
      </c>
      <c r="H14" s="77">
        <f>F14+'23'!H14</f>
        <v>181.5</v>
      </c>
      <c r="I14" s="77">
        <f>Clinker!ED26</f>
        <v>305.56</v>
      </c>
      <c r="J14" s="77">
        <f>I14+'23'!J14</f>
        <v>5789.34</v>
      </c>
      <c r="K14" s="77">
        <f>I14+'23'!K14</f>
        <v>12625.64</v>
      </c>
      <c r="L14" s="77">
        <f>E14+F14-Clinker!N26-Clinker!Z26-Clinker!AS26-Clinker!AX26-Clinker!BC26-Clinker!BW26-Clinker!BH26-Clinker!BM26-Clinker!BR26-Clinker!CV26-Clinker!DF26-Clinker!DP26</f>
        <v>5247.6769999999906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688"/>
      <c r="C15" s="691"/>
      <c r="D15" s="80" t="s">
        <v>68</v>
      </c>
      <c r="E15" s="77">
        <f>Clinker!EF26</f>
        <v>5700.059999999994</v>
      </c>
      <c r="F15" s="77">
        <f>Clinker!EG26</f>
        <v>0</v>
      </c>
      <c r="G15" s="77">
        <f>F15+'23'!G15</f>
        <v>1286.3499999999999</v>
      </c>
      <c r="H15" s="77">
        <f>F15+'23'!H15</f>
        <v>1441.4</v>
      </c>
      <c r="I15" s="77">
        <f>Clinker!EH26</f>
        <v>160</v>
      </c>
      <c r="J15" s="77">
        <f>I15+'23'!J15</f>
        <v>3266</v>
      </c>
      <c r="K15" s="77">
        <f>I15+'23'!K15</f>
        <v>7135</v>
      </c>
      <c r="L15" s="77">
        <f>E15+F15-I14-Clinker!T26-Clinker!AE26-Clinker!AJ26-Clinker!CL26-Clinker!CQ26-Clinker!CG26</f>
        <v>5234.4999999999936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917"/>
      <c r="C16" s="764"/>
      <c r="D16" s="124" t="s">
        <v>150</v>
      </c>
      <c r="E16" s="125">
        <f>E14+E15</f>
        <v>10947.736999999985</v>
      </c>
      <c r="F16" s="125">
        <f>F14+F15</f>
        <v>0</v>
      </c>
      <c r="G16" s="125">
        <f t="shared" ref="G16:K16" si="3">G14+G15</f>
        <v>1286.3499999999999</v>
      </c>
      <c r="H16" s="125">
        <f t="shared" si="3"/>
        <v>1622.9</v>
      </c>
      <c r="I16" s="125">
        <f t="shared" si="3"/>
        <v>465.56</v>
      </c>
      <c r="J16" s="125">
        <f>J14+J15</f>
        <v>9055.34</v>
      </c>
      <c r="K16" s="125">
        <f t="shared" si="3"/>
        <v>19760.64</v>
      </c>
      <c r="L16" s="125">
        <f t="shared" si="0"/>
        <v>10482.176999999985</v>
      </c>
      <c r="M16" s="126"/>
      <c r="N16" s="126"/>
      <c r="O16" s="924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687">
        <v>7</v>
      </c>
      <c r="C18" s="690" t="s">
        <v>247</v>
      </c>
      <c r="D18" s="85" t="s">
        <v>248</v>
      </c>
      <c r="E18" s="74">
        <f>Clinker!EJ26</f>
        <v>27120.315083254049</v>
      </c>
      <c r="F18" s="74">
        <f>Clinker!EK26</f>
        <v>1808</v>
      </c>
      <c r="G18" s="74">
        <f>F18+'23'!G18</f>
        <v>32362</v>
      </c>
      <c r="H18" s="74">
        <f>F18+'23'!H18</f>
        <v>72862</v>
      </c>
      <c r="I18" s="74">
        <f>Clinker!EL26</f>
        <v>1981.3500000000013</v>
      </c>
      <c r="J18" s="74">
        <f>I18+'23'!J18</f>
        <v>30334.695004486413</v>
      </c>
      <c r="K18" s="74">
        <f>I18+'23'!K18</f>
        <v>49196.575016372677</v>
      </c>
      <c r="L18" s="74">
        <f>E18+F18-I18-I20</f>
        <v>26946.965083254046</v>
      </c>
      <c r="M18" s="783">
        <f>((I18+I19)/(J40+J46))*100</f>
        <v>77.245614035087769</v>
      </c>
      <c r="N18" s="918"/>
      <c r="O18" s="920"/>
      <c r="P18" s="777"/>
      <c r="Q18" s="778"/>
      <c r="R18" s="190"/>
      <c r="S18" s="190"/>
    </row>
    <row r="19" spans="2:19" ht="45" x14ac:dyDescent="0.25">
      <c r="B19" s="688"/>
      <c r="C19" s="691"/>
      <c r="D19" s="85" t="s">
        <v>75</v>
      </c>
      <c r="E19" s="74">
        <f>Clinker!EO26</f>
        <v>5306.1090080001359</v>
      </c>
      <c r="F19" s="74">
        <f>Clinker!EP26</f>
        <v>0</v>
      </c>
      <c r="G19" s="74">
        <f>F19+'23'!G19</f>
        <v>150.78</v>
      </c>
      <c r="H19" s="74">
        <f>F19+'23'!H19</f>
        <v>13390.660000000003</v>
      </c>
      <c r="I19" s="74">
        <f>Clinker!EQ26</f>
        <v>0</v>
      </c>
      <c r="J19" s="74">
        <f>I19+'23'!J19</f>
        <v>0</v>
      </c>
      <c r="K19" s="74">
        <f>I19+'23'!K19</f>
        <v>16934.099999999999</v>
      </c>
      <c r="L19" s="74">
        <f>E19+F19-I19</f>
        <v>5306.1090080001359</v>
      </c>
      <c r="M19" s="784"/>
      <c r="N19" s="919"/>
      <c r="O19" s="767"/>
      <c r="P19" s="769"/>
      <c r="Q19" s="770"/>
      <c r="R19" s="20"/>
      <c r="S19" s="20"/>
    </row>
    <row r="20" spans="2:19" ht="30" x14ac:dyDescent="0.25">
      <c r="B20" s="917"/>
      <c r="C20" s="764"/>
      <c r="D20" s="86" t="s">
        <v>249</v>
      </c>
      <c r="E20" s="77"/>
      <c r="F20" s="77">
        <f>Clinker!EN26</f>
        <v>0</v>
      </c>
      <c r="G20" s="74">
        <f>F20+'23'!G20</f>
        <v>0</v>
      </c>
      <c r="H20" s="74">
        <f>F20+'23'!H20</f>
        <v>0</v>
      </c>
      <c r="I20" s="77">
        <f>Clinker!EN26</f>
        <v>0</v>
      </c>
      <c r="J20" s="74">
        <f>I20+'23'!J20</f>
        <v>0</v>
      </c>
      <c r="K20" s="74">
        <f>I20+'23'!K20</f>
        <v>0</v>
      </c>
      <c r="L20" s="74"/>
      <c r="M20" s="78"/>
      <c r="N20" s="765"/>
      <c r="O20" s="767"/>
      <c r="P20" s="771"/>
      <c r="Q20" s="772"/>
      <c r="R20" s="20"/>
      <c r="S20" s="20"/>
    </row>
    <row r="21" spans="2:19" x14ac:dyDescent="0.25">
      <c r="B21" s="229">
        <v>8</v>
      </c>
      <c r="C21" s="822" t="s">
        <v>242</v>
      </c>
      <c r="D21" s="823"/>
      <c r="E21" s="77"/>
      <c r="F21" s="77"/>
      <c r="G21" s="74"/>
      <c r="H21" s="74"/>
      <c r="I21" s="77">
        <f>Cement!S26</f>
        <v>505.99999999999858</v>
      </c>
      <c r="J21" s="74">
        <f>I21+'23'!J21</f>
        <v>8180.7177768725851</v>
      </c>
      <c r="K21" s="74">
        <f>I21+'23'!K21</f>
        <v>16812.537769434824</v>
      </c>
      <c r="L21" s="74"/>
      <c r="M21" s="78">
        <f>(I21/(J40+J46))*100</f>
        <v>19.727095516569147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822" t="s">
        <v>250</v>
      </c>
      <c r="D22" s="823"/>
      <c r="E22" s="77">
        <f>Cement!C26</f>
        <v>5251.7953306210175</v>
      </c>
      <c r="F22" s="77">
        <f>Cement!D26</f>
        <v>0</v>
      </c>
      <c r="G22" s="74">
        <f>F22+'23'!G22</f>
        <v>124.12</v>
      </c>
      <c r="H22" s="74">
        <f>F22+'23'!H22</f>
        <v>2095.02</v>
      </c>
      <c r="I22" s="77">
        <f>Cement!F26</f>
        <v>135</v>
      </c>
      <c r="J22" s="74">
        <f>I22+'23'!J22</f>
        <v>2084.4047329772629</v>
      </c>
      <c r="K22" s="74">
        <f>I22+'23'!K22</f>
        <v>4423.6047285287623</v>
      </c>
      <c r="L22" s="74">
        <f t="shared" ref="L22:L24" si="4">E22+F22-I22</f>
        <v>5116.7953306210175</v>
      </c>
      <c r="M22" s="78">
        <f>(I22/(J40+J46))*100</f>
        <v>5.2631578947368416</v>
      </c>
      <c r="N22" s="78"/>
      <c r="O22" s="767"/>
      <c r="P22" s="87">
        <v>5</v>
      </c>
      <c r="Q22" s="774"/>
      <c r="R22" s="20"/>
      <c r="S22" s="20"/>
    </row>
    <row r="23" spans="2:19" x14ac:dyDescent="0.25">
      <c r="B23" s="687">
        <v>10</v>
      </c>
      <c r="C23" s="690" t="s">
        <v>251</v>
      </c>
      <c r="D23" s="76" t="s">
        <v>252</v>
      </c>
      <c r="E23" s="77">
        <f>Cement!H26</f>
        <v>0.23999999999796273</v>
      </c>
      <c r="F23" s="77">
        <f>Cement!I26</f>
        <v>0</v>
      </c>
      <c r="G23" s="74">
        <f>F23+'23'!G23</f>
        <v>0</v>
      </c>
      <c r="H23" s="74">
        <f>F23+'23'!H23</f>
        <v>0</v>
      </c>
      <c r="I23" s="77">
        <f>Cement!J26</f>
        <v>0</v>
      </c>
      <c r="J23" s="74">
        <f>I23+'23'!J23</f>
        <v>0</v>
      </c>
      <c r="K23" s="74">
        <f>I23+'23'!K23</f>
        <v>0</v>
      </c>
      <c r="L23" s="74">
        <f t="shared" si="4"/>
        <v>0.23999999999796273</v>
      </c>
      <c r="M23" s="926"/>
      <c r="N23" s="927"/>
      <c r="O23" s="767"/>
      <c r="P23" s="777"/>
      <c r="Q23" s="778"/>
      <c r="R23" s="83"/>
      <c r="S23" s="83"/>
    </row>
    <row r="24" spans="2:19" x14ac:dyDescent="0.25">
      <c r="B24" s="917"/>
      <c r="C24" s="764"/>
      <c r="D24" s="76" t="s">
        <v>253</v>
      </c>
      <c r="E24" s="77">
        <f>Cement!L26</f>
        <v>0</v>
      </c>
      <c r="F24" s="77">
        <f>Cement!M26</f>
        <v>0</v>
      </c>
      <c r="G24" s="74">
        <f>F24+'23'!G24</f>
        <v>0</v>
      </c>
      <c r="H24" s="74">
        <f>F24+'23'!H24</f>
        <v>0</v>
      </c>
      <c r="I24" s="77">
        <f>Cement!N26</f>
        <v>0</v>
      </c>
      <c r="J24" s="74">
        <f>I24+'23'!J24</f>
        <v>0</v>
      </c>
      <c r="K24" s="74">
        <f>I24+'23'!K24</f>
        <v>0</v>
      </c>
      <c r="L24" s="74">
        <f t="shared" si="4"/>
        <v>0</v>
      </c>
      <c r="M24" s="928"/>
      <c r="N24" s="929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930" t="s">
        <v>254</v>
      </c>
      <c r="D25" s="931"/>
      <c r="E25" s="122">
        <f>E18+E19+E21+E22+E23+E24</f>
        <v>37678.459421875203</v>
      </c>
      <c r="F25" s="122">
        <f t="shared" ref="F25:L25" si="5">F18+F19+F21+F22+F23+F24</f>
        <v>1808</v>
      </c>
      <c r="G25" s="122">
        <f t="shared" si="5"/>
        <v>32636.899999999998</v>
      </c>
      <c r="H25" s="122">
        <f t="shared" si="5"/>
        <v>88347.680000000008</v>
      </c>
      <c r="I25" s="122">
        <f t="shared" si="5"/>
        <v>2622.35</v>
      </c>
      <c r="J25" s="122">
        <f t="shared" si="5"/>
        <v>40599.817514336268</v>
      </c>
      <c r="K25" s="122">
        <f t="shared" si="5"/>
        <v>87366.817514336261</v>
      </c>
      <c r="L25" s="122">
        <f t="shared" si="5"/>
        <v>37370.109421875197</v>
      </c>
      <c r="M25" s="932"/>
      <c r="N25" s="933"/>
      <c r="O25" s="768"/>
      <c r="P25" s="779"/>
      <c r="Q25" s="780"/>
      <c r="R25" s="83"/>
      <c r="S25" s="83"/>
    </row>
    <row r="26" spans="2:19" ht="14.45" customHeight="1" thickBot="1" x14ac:dyDescent="0.3">
      <c r="B26" s="864"/>
      <c r="C26" s="865"/>
      <c r="D26" s="865"/>
      <c r="E26" s="865"/>
      <c r="F26" s="865"/>
      <c r="G26" s="865"/>
      <c r="H26" s="865"/>
      <c r="I26" s="865"/>
      <c r="J26" s="865"/>
      <c r="K26" s="865"/>
      <c r="L26" s="865"/>
      <c r="M26" s="865"/>
      <c r="N26" s="865"/>
      <c r="O26" s="865"/>
      <c r="P26" s="865"/>
      <c r="Q26" s="866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806" t="s">
        <v>229</v>
      </c>
      <c r="C28" s="912" t="s">
        <v>256</v>
      </c>
      <c r="D28" s="913"/>
      <c r="E28" s="134" t="s">
        <v>257</v>
      </c>
      <c r="F28" s="914" t="s">
        <v>258</v>
      </c>
      <c r="G28" s="915"/>
      <c r="H28" s="916"/>
      <c r="I28" s="808" t="s">
        <v>259</v>
      </c>
      <c r="J28" s="900" t="s">
        <v>35</v>
      </c>
      <c r="K28" s="901"/>
      <c r="L28" s="848"/>
      <c r="M28" s="900" t="s">
        <v>34</v>
      </c>
      <c r="N28" s="901"/>
      <c r="O28" s="848"/>
      <c r="P28" s="808" t="s">
        <v>235</v>
      </c>
      <c r="Q28" s="795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908" t="s">
        <v>261</v>
      </c>
      <c r="D30" s="909"/>
      <c r="E30" s="92">
        <v>250</v>
      </c>
      <c r="F30" s="75">
        <f>Production2!C26</f>
        <v>20.65</v>
      </c>
      <c r="G30" s="75">
        <f>F30+'23'!G30</f>
        <v>407.12</v>
      </c>
      <c r="H30" s="75">
        <f>F30+'23'!H30</f>
        <v>839.6</v>
      </c>
      <c r="I30" s="74">
        <f>'Mines (2)'!C26+'Mines (2)'!H26+'Mines (2)'!V26+'Mines (2)'!Z26+'Mines (2)'!AD26</f>
        <v>23532.233927749017</v>
      </c>
      <c r="J30" s="74">
        <f>Production2!D26</f>
        <v>2740.58</v>
      </c>
      <c r="K30" s="74">
        <f>J30+'23'!K30</f>
        <v>71236.78</v>
      </c>
      <c r="L30" s="74">
        <f>J30+'23'!L30</f>
        <v>136222.47999999998</v>
      </c>
      <c r="M30" s="74">
        <f>I9+I21</f>
        <v>3642.9999999999986</v>
      </c>
      <c r="N30" s="74">
        <f>M30+'23'!N30</f>
        <v>61178.717776872589</v>
      </c>
      <c r="O30" s="74">
        <f>M30+'23'!O30</f>
        <v>136697.53776943486</v>
      </c>
      <c r="P30" s="74">
        <f>I30+J30-M30</f>
        <v>22629.813927749019</v>
      </c>
      <c r="Q30" s="93">
        <f t="shared" ref="Q30:Q36" si="6">J30/F30</f>
        <v>132.71573849878936</v>
      </c>
      <c r="R30" s="94"/>
      <c r="S30" s="94"/>
    </row>
    <row r="31" spans="2:19" x14ac:dyDescent="0.25">
      <c r="B31" s="79">
        <v>2</v>
      </c>
      <c r="C31" s="725" t="s">
        <v>142</v>
      </c>
      <c r="D31" s="726"/>
      <c r="E31" s="95">
        <v>120</v>
      </c>
      <c r="F31" s="78">
        <f>Production2!G26</f>
        <v>23.5</v>
      </c>
      <c r="G31" s="75">
        <f>F31+'23'!G31</f>
        <v>427</v>
      </c>
      <c r="H31" s="75">
        <f>F31+'23'!H31</f>
        <v>920.21999999999991</v>
      </c>
      <c r="I31" s="724">
        <f>Production2!H26</f>
        <v>1831.0700168375192</v>
      </c>
      <c r="J31" s="78">
        <f>Production2!N26</f>
        <v>2890</v>
      </c>
      <c r="K31" s="74">
        <f>J31+'23'!K31</f>
        <v>48766.530000000006</v>
      </c>
      <c r="L31" s="74">
        <f>J31+'23'!L31</f>
        <v>107623.68000000002</v>
      </c>
      <c r="M31" s="724">
        <f>Production2!K26</f>
        <v>2802.4</v>
      </c>
      <c r="N31" s="724">
        <f>M31+'23'!N31</f>
        <v>50161.1</v>
      </c>
      <c r="O31" s="724">
        <f>M31+'23'!O31</f>
        <v>112936.09999999999</v>
      </c>
      <c r="P31" s="724">
        <f>I31+J31+J32-M31</f>
        <v>2035.6900168375191</v>
      </c>
      <c r="Q31" s="96">
        <f t="shared" si="6"/>
        <v>122.97872340425532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Production2!P26</f>
        <v>12</v>
      </c>
      <c r="G32" s="75">
        <f>F32+'23'!G32</f>
        <v>187.38</v>
      </c>
      <c r="H32" s="75">
        <f>F32+'23'!H32</f>
        <v>593.66999999999996</v>
      </c>
      <c r="I32" s="712"/>
      <c r="J32" s="78">
        <f>Production2!Q26</f>
        <v>117.02</v>
      </c>
      <c r="K32" s="74">
        <f>J32+'23'!K32</f>
        <v>1712.1399999999999</v>
      </c>
      <c r="L32" s="74">
        <f>J32+'23'!L32</f>
        <v>5354.3799999999992</v>
      </c>
      <c r="M32" s="712"/>
      <c r="N32" s="712"/>
      <c r="O32" s="712"/>
      <c r="P32" s="712"/>
      <c r="Q32" s="96">
        <f>J32/F32</f>
        <v>9.7516666666666669</v>
      </c>
      <c r="R32" s="94"/>
      <c r="S32" s="94"/>
    </row>
    <row r="33" spans="2:21" x14ac:dyDescent="0.25">
      <c r="B33" s="79">
        <v>4</v>
      </c>
      <c r="C33" s="725" t="s">
        <v>145</v>
      </c>
      <c r="D33" s="726"/>
      <c r="E33" s="95">
        <v>10</v>
      </c>
      <c r="F33" s="78">
        <f>Production2!S26</f>
        <v>19.75</v>
      </c>
      <c r="G33" s="75">
        <f>F33+'23'!G33</f>
        <v>379.85</v>
      </c>
      <c r="H33" s="75">
        <f>F33+'23'!H33</f>
        <v>826.22</v>
      </c>
      <c r="I33" s="77">
        <f>Production2!T26</f>
        <v>43.609999999999843</v>
      </c>
      <c r="J33" s="77">
        <f>Production2!U26</f>
        <v>275</v>
      </c>
      <c r="K33" s="74">
        <f>J33+'23'!K33</f>
        <v>5210.3999999999996</v>
      </c>
      <c r="L33" s="74">
        <f>J33+'23'!L33</f>
        <v>11363.1</v>
      </c>
      <c r="M33" s="77">
        <f>Production2!V26</f>
        <v>271</v>
      </c>
      <c r="N33" s="74">
        <f>M33+'23'!N33</f>
        <v>5203</v>
      </c>
      <c r="O33" s="74">
        <f>M33+'23'!O33</f>
        <v>11331</v>
      </c>
      <c r="P33" s="74">
        <f t="shared" ref="P33:P34" si="7">I33+J33-M33</f>
        <v>47.609999999999843</v>
      </c>
      <c r="Q33" s="96">
        <f t="shared" si="6"/>
        <v>13.924050632911392</v>
      </c>
      <c r="R33" s="94"/>
      <c r="S33" s="94"/>
    </row>
    <row r="34" spans="2:21" x14ac:dyDescent="0.25">
      <c r="B34" s="91">
        <v>5</v>
      </c>
      <c r="C34" s="725" t="s">
        <v>69</v>
      </c>
      <c r="D34" s="726"/>
      <c r="E34" s="95">
        <v>50</v>
      </c>
      <c r="F34" s="78">
        <f>Production2!Y26</f>
        <v>24</v>
      </c>
      <c r="G34" s="75">
        <f>F34+'23'!G34</f>
        <v>529.49</v>
      </c>
      <c r="H34" s="75">
        <f>F34+'23'!H34</f>
        <v>1147.76</v>
      </c>
      <c r="I34" s="77">
        <f>Clinker!EJ26</f>
        <v>27120.315083254049</v>
      </c>
      <c r="J34" s="77">
        <f>Clinker!EK26</f>
        <v>1808</v>
      </c>
      <c r="K34" s="74">
        <f>J34+'23'!K34</f>
        <v>32362</v>
      </c>
      <c r="L34" s="74">
        <f>J34+'23'!L34</f>
        <v>72862</v>
      </c>
      <c r="M34" s="77">
        <f>Clinker!EL26</f>
        <v>1981.3500000000013</v>
      </c>
      <c r="N34" s="74">
        <f>M34+'23'!N34</f>
        <v>30334.695004486413</v>
      </c>
      <c r="O34" s="74">
        <f>M34+'23'!O34</f>
        <v>49196.575016372677</v>
      </c>
      <c r="P34" s="74">
        <f t="shared" si="7"/>
        <v>26946.965083254046</v>
      </c>
      <c r="Q34" s="96">
        <f t="shared" si="6"/>
        <v>75.333333333333329</v>
      </c>
      <c r="R34" s="94"/>
      <c r="S34" s="94"/>
    </row>
    <row r="35" spans="2:21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Production2!AE26</f>
        <v>0</v>
      </c>
      <c r="G35" s="75">
        <f>F35+'23'!G35</f>
        <v>17.899999999999999</v>
      </c>
      <c r="H35" s="75">
        <f>F35+'23'!H35</f>
        <v>26.9</v>
      </c>
      <c r="I35" s="77">
        <f>Production2!BJ26</f>
        <v>272.29999999999995</v>
      </c>
      <c r="J35" s="77">
        <f>Production2!AF26</f>
        <v>0</v>
      </c>
      <c r="K35" s="74">
        <f>J35+'23'!K35</f>
        <v>1150</v>
      </c>
      <c r="L35" s="74">
        <f>J35+'23'!L35</f>
        <v>1724</v>
      </c>
      <c r="M35" s="77">
        <f>Production2!BL26</f>
        <v>30</v>
      </c>
      <c r="N35" s="74">
        <f>M35+'23'!N35</f>
        <v>1919.5</v>
      </c>
      <c r="O35" s="74">
        <f>M35+'23'!O35</f>
        <v>4314</v>
      </c>
      <c r="P35" s="74">
        <f>I35+J35+J41-M35</f>
        <v>242.29999999999995</v>
      </c>
      <c r="Q35" s="96" t="e">
        <f t="shared" si="6"/>
        <v>#DIV/0!</v>
      </c>
      <c r="R35" s="94"/>
      <c r="S35" s="94"/>
    </row>
    <row r="36" spans="2:21" x14ac:dyDescent="0.25">
      <c r="B36" s="688"/>
      <c r="C36" s="691"/>
      <c r="D36" s="80" t="s">
        <v>266</v>
      </c>
      <c r="E36" s="97">
        <v>78</v>
      </c>
      <c r="F36" s="78">
        <f>Production2!AB26</f>
        <v>17.75</v>
      </c>
      <c r="G36" s="654">
        <f>F36+'23'!G36</f>
        <v>213.52999999999997</v>
      </c>
      <c r="H36" s="654">
        <f>F36+'23'!H36</f>
        <v>419.86</v>
      </c>
      <c r="I36" s="77">
        <f>Production2!BF26</f>
        <v>2532.5479999999789</v>
      </c>
      <c r="J36" s="77">
        <f>Production2!AC26</f>
        <v>1230</v>
      </c>
      <c r="K36" s="74">
        <f>J36+'23'!K36</f>
        <v>13465</v>
      </c>
      <c r="L36" s="74">
        <f>J36+'23'!L36</f>
        <v>25894</v>
      </c>
      <c r="M36" s="77">
        <f>Production2!BH26</f>
        <v>2353.9</v>
      </c>
      <c r="N36" s="581">
        <f>M36+'23'!N36</f>
        <v>31218.639999999999</v>
      </c>
      <c r="O36" s="581">
        <f>M36+'23'!O36</f>
        <v>66386.91</v>
      </c>
      <c r="P36" s="624">
        <f>I36+J36+J42-M36</f>
        <v>2443.6479999999788</v>
      </c>
      <c r="Q36" s="96">
        <f t="shared" si="6"/>
        <v>69.295774647887328</v>
      </c>
      <c r="R36" s="94"/>
      <c r="S36" s="94"/>
    </row>
    <row r="37" spans="2:21" x14ac:dyDescent="0.25">
      <c r="B37" s="688"/>
      <c r="C37" s="691"/>
      <c r="D37" s="80" t="s">
        <v>267</v>
      </c>
      <c r="E37" s="97">
        <v>78</v>
      </c>
      <c r="F37" s="78">
        <f>Production2!AH26</f>
        <v>0</v>
      </c>
      <c r="G37" s="654">
        <f>F37+'23'!G37</f>
        <v>0</v>
      </c>
      <c r="H37" s="654">
        <f>F37+'23'!H37</f>
        <v>0</v>
      </c>
      <c r="I37" s="77">
        <f>Production2!BN26</f>
        <v>9.0000000000849845E-2</v>
      </c>
      <c r="J37" s="77">
        <f>Production2!AI26</f>
        <v>0</v>
      </c>
      <c r="K37" s="74">
        <f>J37+'23'!K37</f>
        <v>0</v>
      </c>
      <c r="L37" s="74">
        <f>J37+'23'!L37</f>
        <v>0</v>
      </c>
      <c r="M37" s="77">
        <f>Production2!BP26</f>
        <v>0</v>
      </c>
      <c r="N37" s="581">
        <f>M37+'23'!N37</f>
        <v>0</v>
      </c>
      <c r="O37" s="581">
        <f>M37+'23'!O37</f>
        <v>-0.15</v>
      </c>
      <c r="P37" s="74">
        <f>I37+J37+J43-M37</f>
        <v>9.0000000000849845E-2</v>
      </c>
      <c r="Q37" s="96" t="e">
        <f t="shared" ref="Q37:Q45" si="8">J37/F37</f>
        <v>#DIV/0!</v>
      </c>
      <c r="R37" s="94"/>
      <c r="S37" s="94"/>
    </row>
    <row r="38" spans="2:21" x14ac:dyDescent="0.25">
      <c r="B38" s="688"/>
      <c r="C38" s="691"/>
      <c r="D38" s="194" t="s">
        <v>175</v>
      </c>
      <c r="E38" s="97">
        <v>65</v>
      </c>
      <c r="F38" s="84">
        <f>Production2!AK26</f>
        <v>0</v>
      </c>
      <c r="G38" s="654">
        <f>F38+'23'!G38</f>
        <v>5</v>
      </c>
      <c r="H38" s="654">
        <f>F38+'23'!H38</f>
        <v>5</v>
      </c>
      <c r="I38" s="195">
        <f>Production2!BR26</f>
        <v>180.3</v>
      </c>
      <c r="J38" s="195">
        <v>0</v>
      </c>
      <c r="K38" s="74">
        <f>J38+'23'!K38</f>
        <v>300</v>
      </c>
      <c r="L38" s="74">
        <f>J38+'23'!L38</f>
        <v>300</v>
      </c>
      <c r="M38" s="195">
        <f>Production2!BT26</f>
        <v>15</v>
      </c>
      <c r="N38" s="581">
        <f>M38+'23'!N38</f>
        <v>818</v>
      </c>
      <c r="O38" s="581">
        <f>M38+'23'!O38</f>
        <v>2665</v>
      </c>
      <c r="P38" s="74">
        <f>I38+J44-M38</f>
        <v>165.3</v>
      </c>
      <c r="Q38" s="96" t="e">
        <f t="shared" si="8"/>
        <v>#DIV/0!</v>
      </c>
      <c r="R38" s="94"/>
      <c r="S38" s="94"/>
    </row>
    <row r="39" spans="2:21" x14ac:dyDescent="0.25">
      <c r="B39" s="688"/>
      <c r="C39" s="691"/>
      <c r="D39" s="80" t="s">
        <v>304</v>
      </c>
      <c r="E39" s="97"/>
      <c r="F39" s="582">
        <f>Production2!AN26</f>
        <v>0</v>
      </c>
      <c r="G39" s="654">
        <f>F39+'23'!G39</f>
        <v>61.12</v>
      </c>
      <c r="H39" s="654">
        <f>F39+'23'!H39</f>
        <v>101.77000000000001</v>
      </c>
      <c r="I39" s="195">
        <f>Production2!BV26</f>
        <v>581.51000000000022</v>
      </c>
      <c r="J39" s="625">
        <f>Production2!AO26</f>
        <v>0</v>
      </c>
      <c r="K39" s="74">
        <f>J39+'23'!K39</f>
        <v>3906</v>
      </c>
      <c r="L39" s="74">
        <f>J39+'23'!L39</f>
        <v>6438</v>
      </c>
      <c r="M39" s="195">
        <f>Production2!BX26</f>
        <v>271.22000000000003</v>
      </c>
      <c r="N39" s="581">
        <f>M39+'23'!N39</f>
        <v>6406.54</v>
      </c>
      <c r="O39" s="581">
        <f>M39+'23'!O39</f>
        <v>11828.420000000002</v>
      </c>
      <c r="P39" s="74">
        <f>I39+J39+J45-M39-F61</f>
        <v>610.29000000000019</v>
      </c>
      <c r="Q39" s="96" t="e">
        <f t="shared" si="8"/>
        <v>#DIV/0!</v>
      </c>
      <c r="R39" s="94"/>
      <c r="S39" s="94"/>
    </row>
    <row r="40" spans="2:21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17.75</v>
      </c>
      <c r="G40" s="132">
        <f>G35+G36+G37+G38+G39</f>
        <v>297.54999999999995</v>
      </c>
      <c r="H40" s="132">
        <f t="shared" ref="H40" si="9">H35+H36+H37+H38+H39</f>
        <v>553.53</v>
      </c>
      <c r="I40" s="122">
        <f>I35+I36+I37+I38+I39</f>
        <v>3566.7479999999805</v>
      </c>
      <c r="J40" s="122">
        <f t="shared" ref="J40:O40" si="10">J35+J36+J37+J38+J39</f>
        <v>1230</v>
      </c>
      <c r="K40" s="122">
        <f>K35+K36+K37+K38+K39</f>
        <v>18821</v>
      </c>
      <c r="L40" s="122">
        <f t="shared" si="10"/>
        <v>34356</v>
      </c>
      <c r="M40" s="122">
        <f>M35+M36+M37+M38+M39</f>
        <v>2670.12</v>
      </c>
      <c r="N40" s="122">
        <f>N35+N36+N37+N38+N39</f>
        <v>40362.68</v>
      </c>
      <c r="O40" s="122">
        <f t="shared" si="10"/>
        <v>85194.180000000008</v>
      </c>
      <c r="P40" s="122">
        <f>P35+P36+P37+P38+P39</f>
        <v>3461.6279999999797</v>
      </c>
      <c r="Q40" s="122">
        <f>J40/F40</f>
        <v>69.295774647887328</v>
      </c>
      <c r="R40" s="94"/>
      <c r="S40" s="94"/>
    </row>
    <row r="41" spans="2:21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Production2!AT26</f>
        <v>0</v>
      </c>
      <c r="G41" s="75">
        <f>F41+'23'!G41</f>
        <v>10.129999999999999</v>
      </c>
      <c r="H41" s="75">
        <f>F41+'23'!H41</f>
        <v>43.23</v>
      </c>
      <c r="I41" s="710"/>
      <c r="J41" s="77">
        <f>Production2!AU26</f>
        <v>0</v>
      </c>
      <c r="K41" s="74">
        <f>J41+'23'!K41</f>
        <v>600</v>
      </c>
      <c r="L41" s="74">
        <f>J41+'23'!L41</f>
        <v>2600</v>
      </c>
      <c r="M41" s="713"/>
      <c r="N41" s="714"/>
      <c r="O41" s="714"/>
      <c r="P41" s="715"/>
      <c r="Q41" s="96" t="e">
        <f t="shared" si="8"/>
        <v>#DIV/0!</v>
      </c>
      <c r="R41" s="94"/>
      <c r="S41" s="94"/>
    </row>
    <row r="42" spans="2:21" x14ac:dyDescent="0.25">
      <c r="B42" s="688"/>
      <c r="C42" s="691"/>
      <c r="D42" s="80" t="s">
        <v>266</v>
      </c>
      <c r="E42" s="97">
        <v>70</v>
      </c>
      <c r="F42" s="78">
        <f>Production2!AQ26</f>
        <v>17.3</v>
      </c>
      <c r="G42" s="75">
        <f>F42+'23'!G42</f>
        <v>299.37</v>
      </c>
      <c r="H42" s="654">
        <f>F42+'23'!H42</f>
        <v>715.36999999999989</v>
      </c>
      <c r="I42" s="711"/>
      <c r="J42" s="77">
        <f>Production2!AR26</f>
        <v>1035</v>
      </c>
      <c r="K42" s="74">
        <f>J42+'23'!K42</f>
        <v>17518</v>
      </c>
      <c r="L42" s="74">
        <f>J42+'23'!L42</f>
        <v>41658</v>
      </c>
      <c r="M42" s="716"/>
      <c r="N42" s="717"/>
      <c r="O42" s="717"/>
      <c r="P42" s="718"/>
      <c r="Q42" s="96">
        <f t="shared" si="8"/>
        <v>59.826589595375722</v>
      </c>
      <c r="R42" s="94"/>
      <c r="S42" s="94"/>
    </row>
    <row r="43" spans="2:21" x14ac:dyDescent="0.25">
      <c r="B43" s="688"/>
      <c r="C43" s="691"/>
      <c r="D43" s="80" t="s">
        <v>267</v>
      </c>
      <c r="E43" s="97">
        <v>70</v>
      </c>
      <c r="F43" s="78">
        <f>Production2!AW26</f>
        <v>0</v>
      </c>
      <c r="G43" s="75">
        <f>F43+'23'!G43</f>
        <v>0</v>
      </c>
      <c r="H43" s="654">
        <f>F43+'23'!H43</f>
        <v>0</v>
      </c>
      <c r="I43" s="711"/>
      <c r="J43" s="77">
        <f>Production2!AX26</f>
        <v>0</v>
      </c>
      <c r="K43" s="74">
        <f>J43+'23'!K43</f>
        <v>0</v>
      </c>
      <c r="L43" s="74">
        <f>J43+'23'!L43</f>
        <v>0</v>
      </c>
      <c r="M43" s="716"/>
      <c r="N43" s="717"/>
      <c r="O43" s="717"/>
      <c r="P43" s="718"/>
      <c r="Q43" s="96" t="e">
        <f t="shared" si="8"/>
        <v>#DIV/0!</v>
      </c>
      <c r="R43" s="94"/>
      <c r="S43" s="94"/>
    </row>
    <row r="44" spans="2:21" x14ac:dyDescent="0.25">
      <c r="B44" s="688"/>
      <c r="C44" s="691"/>
      <c r="D44" s="194" t="s">
        <v>175</v>
      </c>
      <c r="E44" s="97">
        <v>60</v>
      </c>
      <c r="F44" s="84">
        <f>Production2!AZ26</f>
        <v>0</v>
      </c>
      <c r="G44" s="75">
        <f>F44+'23'!G44</f>
        <v>9</v>
      </c>
      <c r="H44" s="654">
        <f>F44+'23'!H44</f>
        <v>41.88</v>
      </c>
      <c r="I44" s="712"/>
      <c r="J44" s="195">
        <f>Production2!BA26</f>
        <v>0</v>
      </c>
      <c r="K44" s="74">
        <f>J44+'23'!K44</f>
        <v>497</v>
      </c>
      <c r="L44" s="74">
        <f>J44+'23'!L44</f>
        <v>2317</v>
      </c>
      <c r="M44" s="719"/>
      <c r="N44" s="720"/>
      <c r="O44" s="720"/>
      <c r="P44" s="721"/>
      <c r="Q44" s="96" t="e">
        <f t="shared" si="8"/>
        <v>#DIV/0!</v>
      </c>
      <c r="R44" s="94"/>
      <c r="S44" s="94"/>
    </row>
    <row r="45" spans="2:21" x14ac:dyDescent="0.25">
      <c r="B45" s="688"/>
      <c r="C45" s="691"/>
      <c r="D45" s="560" t="s">
        <v>304</v>
      </c>
      <c r="E45" s="568">
        <v>70</v>
      </c>
      <c r="F45" s="561">
        <f>Production2!BC26</f>
        <v>4.78</v>
      </c>
      <c r="G45" s="562">
        <f>F45+'22'!G45</f>
        <v>38.549999999999997</v>
      </c>
      <c r="H45" s="654">
        <f>F45+'23'!H45</f>
        <v>93.52000000000001</v>
      </c>
      <c r="I45" s="565"/>
      <c r="J45" s="563">
        <f>Production2!BD26</f>
        <v>300</v>
      </c>
      <c r="K45" s="564">
        <f>J45+'22'!K45</f>
        <v>2359</v>
      </c>
      <c r="L45" s="564">
        <f>J45+'22'!L45</f>
        <v>5631</v>
      </c>
      <c r="M45" s="566"/>
      <c r="N45" s="569"/>
      <c r="O45" s="569"/>
      <c r="P45" s="567"/>
      <c r="Q45" s="96">
        <f t="shared" si="8"/>
        <v>62.761506276150627</v>
      </c>
      <c r="R45" s="94"/>
      <c r="S45" s="94"/>
      <c r="T45" s="94"/>
      <c r="U45" s="94"/>
    </row>
    <row r="46" spans="2:21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22.080000000000002</v>
      </c>
      <c r="G46" s="132">
        <f>G41+G42+G43+G44+G45</f>
        <v>357.05</v>
      </c>
      <c r="H46" s="132">
        <f>H41+H42+H43+H44+H45</f>
        <v>893.99999999999989</v>
      </c>
      <c r="I46" s="122">
        <f t="shared" ref="I46" si="11">I41+I42+I43+I44</f>
        <v>0</v>
      </c>
      <c r="J46" s="122">
        <f>J41+J42+J43+J44+J45</f>
        <v>1335</v>
      </c>
      <c r="K46" s="122">
        <f>K41+K42+K43+K44+K45</f>
        <v>20974</v>
      </c>
      <c r="L46" s="122">
        <f>L41+L42+L43+L44</f>
        <v>46575</v>
      </c>
      <c r="M46" s="873"/>
      <c r="N46" s="874"/>
      <c r="O46" s="874"/>
      <c r="P46" s="875"/>
      <c r="Q46" s="123">
        <f>J46/F46</f>
        <v>60.461956521739125</v>
      </c>
      <c r="R46" s="94"/>
      <c r="S46" s="94"/>
    </row>
    <row r="47" spans="2:21" ht="15.75" thickBot="1" x14ac:dyDescent="0.3">
      <c r="B47" s="864"/>
      <c r="C47" s="865"/>
      <c r="D47" s="865"/>
      <c r="E47" s="865"/>
      <c r="F47" s="865"/>
      <c r="G47" s="865"/>
      <c r="H47" s="865"/>
      <c r="I47" s="865"/>
      <c r="J47" s="865"/>
      <c r="K47" s="865"/>
      <c r="L47" s="865"/>
      <c r="M47" s="865"/>
      <c r="N47" s="865"/>
      <c r="O47" s="865"/>
      <c r="P47" s="865"/>
      <c r="Q47" s="866"/>
      <c r="R47" s="94"/>
      <c r="S47" s="94"/>
    </row>
    <row r="48" spans="2:21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910" t="s">
        <v>274</v>
      </c>
      <c r="D50" s="911"/>
      <c r="E50" s="99">
        <f>E53/J30</f>
        <v>1.0516022155894007</v>
      </c>
      <c r="F50" s="99">
        <f>F53/(J31+J32)</f>
        <v>23.086311364739842</v>
      </c>
      <c r="G50" s="99">
        <f>G53/J32</f>
        <v>0</v>
      </c>
      <c r="H50" s="99">
        <f>H53/J34</f>
        <v>32.245575221238937</v>
      </c>
      <c r="I50" s="99">
        <f>I53/J33</f>
        <v>48.770909090909093</v>
      </c>
      <c r="J50" s="99"/>
      <c r="K50" s="99"/>
      <c r="L50" s="99"/>
      <c r="M50" s="100"/>
      <c r="N50" s="101"/>
      <c r="O50" s="908" t="s">
        <v>275</v>
      </c>
      <c r="P50" s="909"/>
      <c r="Q50" s="93">
        <f>(M33/J34)*100</f>
        <v>14.988938053097344</v>
      </c>
    </row>
    <row r="51" spans="2:19" ht="14.45" customHeight="1" x14ac:dyDescent="0.25">
      <c r="B51" s="79">
        <v>2</v>
      </c>
      <c r="C51" s="725" t="s">
        <v>276</v>
      </c>
      <c r="D51" s="726"/>
      <c r="E51" s="102">
        <f>E50*(I9/J34)</f>
        <v>1.8245996406548395</v>
      </c>
      <c r="F51" s="102">
        <f>F50*1.55</f>
        <v>35.783782615346759</v>
      </c>
      <c r="G51" s="102">
        <f>G50*1.55</f>
        <v>0</v>
      </c>
      <c r="H51" s="102">
        <f>H50</f>
        <v>32.245575221238937</v>
      </c>
      <c r="I51" s="102">
        <f>I50*(Q50/100)</f>
        <v>7.3102413515687852</v>
      </c>
      <c r="J51" s="102"/>
      <c r="K51" s="102"/>
      <c r="L51" s="102"/>
      <c r="M51" s="96"/>
      <c r="N51" s="307">
        <f>SUM(E51:I51)</f>
        <v>77.164198828809319</v>
      </c>
      <c r="O51" s="725" t="s">
        <v>277</v>
      </c>
      <c r="P51" s="726"/>
      <c r="Q51" s="104">
        <v>5380</v>
      </c>
    </row>
    <row r="52" spans="2:19" ht="14.45" customHeight="1" x14ac:dyDescent="0.25">
      <c r="B52" s="79">
        <v>3</v>
      </c>
      <c r="C52" s="902" t="s">
        <v>278</v>
      </c>
      <c r="D52" s="903"/>
      <c r="E52" s="102">
        <f>E51*M18/100</f>
        <v>1.4094231961058359</v>
      </c>
      <c r="F52" s="102">
        <f>F51*M18/100</f>
        <v>27.641402606205592</v>
      </c>
      <c r="G52" s="102">
        <f>G51*M18/100</f>
        <v>0</v>
      </c>
      <c r="H52" s="102">
        <f>H51*M18/100</f>
        <v>24.908292578792128</v>
      </c>
      <c r="I52" s="102">
        <f>I51*M18/100</f>
        <v>5.646840819466207</v>
      </c>
      <c r="J52" s="99">
        <f>J53/(J40+J46)</f>
        <v>40.389863547758281</v>
      </c>
      <c r="K52" s="99">
        <f>K53/(J46+J40)</f>
        <v>0.88810916179337229</v>
      </c>
      <c r="L52" s="99">
        <f>L53/(M40)</f>
        <v>2.3807918745224934</v>
      </c>
      <c r="M52" s="96">
        <f>M53/(J46+J40)</f>
        <v>1.7192982456140351</v>
      </c>
      <c r="N52" s="307">
        <f>SUM(E52:M52)</f>
        <v>104.98402203025793</v>
      </c>
      <c r="O52" s="725" t="s">
        <v>279</v>
      </c>
      <c r="P52" s="726"/>
      <c r="Q52" s="104">
        <f>Q51*Q50/100</f>
        <v>806.40486725663709</v>
      </c>
    </row>
    <row r="53" spans="2:19" ht="15" customHeight="1" thickBot="1" x14ac:dyDescent="0.3">
      <c r="B53" s="90" t="s">
        <v>241</v>
      </c>
      <c r="C53" s="906" t="s">
        <v>280</v>
      </c>
      <c r="D53" s="907"/>
      <c r="E53" s="118">
        <f>'Daily unit'!B26</f>
        <v>2882</v>
      </c>
      <c r="F53" s="118">
        <f>'Daily unit'!C26</f>
        <v>69421</v>
      </c>
      <c r="G53" s="118">
        <f>'Daily unit'!D26</f>
        <v>0</v>
      </c>
      <c r="H53" s="118">
        <f>'Daily unit'!E26</f>
        <v>58300</v>
      </c>
      <c r="I53" s="118">
        <f>'Daily unit'!F26</f>
        <v>13412</v>
      </c>
      <c r="J53" s="118">
        <f>'Daily unit'!G26</f>
        <v>103600</v>
      </c>
      <c r="K53" s="118">
        <f>'Daily unit'!H26</f>
        <v>2278</v>
      </c>
      <c r="L53" s="118">
        <f>'Daily unit'!I26</f>
        <v>6357</v>
      </c>
      <c r="M53" s="119">
        <f>'Daily unit'!J26</f>
        <v>4410</v>
      </c>
      <c r="N53" s="318">
        <f>SUM(E53:M53)</f>
        <v>260660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831"/>
      <c r="I55" s="889" t="s">
        <v>282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9" s="110" customFormat="1" ht="14.45" customHeight="1" x14ac:dyDescent="0.25">
      <c r="B56" s="149" t="s">
        <v>229</v>
      </c>
      <c r="C56" s="904" t="s">
        <v>283</v>
      </c>
      <c r="D56" s="697"/>
      <c r="E56" s="905"/>
      <c r="F56" s="150" t="s">
        <v>284</v>
      </c>
      <c r="G56" s="150" t="s">
        <v>26</v>
      </c>
      <c r="H56" s="151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9" ht="14.45" customHeight="1" x14ac:dyDescent="0.25">
      <c r="B57" s="876">
        <v>1</v>
      </c>
      <c r="C57" s="701" t="s">
        <v>285</v>
      </c>
      <c r="D57" s="701"/>
      <c r="E57" s="644" t="s">
        <v>266</v>
      </c>
      <c r="F57" s="645">
        <f>'Internal use cement'!F26</f>
        <v>0</v>
      </c>
      <c r="G57" s="645">
        <f>F57+'23'!G57</f>
        <v>0</v>
      </c>
      <c r="H57" s="96">
        <f>F57+'23'!H57</f>
        <v>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9" ht="14.45" customHeight="1" x14ac:dyDescent="0.25">
      <c r="B58" s="861"/>
      <c r="C58" s="896"/>
      <c r="D58" s="896"/>
      <c r="E58" s="644" t="s">
        <v>195</v>
      </c>
      <c r="F58" s="645">
        <f>'Internal use cement'!Q26</f>
        <v>0</v>
      </c>
      <c r="G58" s="645">
        <f>F58+'23'!G58</f>
        <v>2</v>
      </c>
      <c r="H58" s="96">
        <f>F58+'23'!H58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9" ht="15" customHeight="1" x14ac:dyDescent="0.25">
      <c r="B59" s="861"/>
      <c r="C59" s="896"/>
      <c r="D59" s="896"/>
      <c r="E59" s="644">
        <v>32.5</v>
      </c>
      <c r="F59" s="645">
        <f>'Internal use cement'!Y26</f>
        <v>0</v>
      </c>
      <c r="G59" s="645">
        <f>F59+'23'!G59</f>
        <v>0</v>
      </c>
      <c r="H59" s="96">
        <f>F59+'23'!H59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9" ht="15" customHeight="1" thickBot="1" x14ac:dyDescent="0.3">
      <c r="B60" s="861"/>
      <c r="C60" s="896"/>
      <c r="D60" s="896"/>
      <c r="E60" s="112" t="s">
        <v>175</v>
      </c>
      <c r="F60" s="648">
        <f>'Internal use cement'!AJ26</f>
        <v>0</v>
      </c>
      <c r="G60" s="645">
        <f>F60+'23'!G60</f>
        <v>0</v>
      </c>
      <c r="H60" s="96">
        <f>F60+'23'!H60</f>
        <v>0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9" ht="15" customHeight="1" thickBot="1" x14ac:dyDescent="0.3">
      <c r="B61" s="862"/>
      <c r="C61" s="703"/>
      <c r="D61" s="703"/>
      <c r="E61" s="651" t="s">
        <v>350</v>
      </c>
      <c r="F61" s="652">
        <f>'Internal use cement'!AO26</f>
        <v>0</v>
      </c>
      <c r="G61" s="645">
        <f>F61+'23'!G61</f>
        <v>4</v>
      </c>
      <c r="H61" s="96">
        <f>F61+'23'!H61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642"/>
    </row>
    <row r="62" spans="2:19" x14ac:dyDescent="0.25">
      <c r="R62" s="115"/>
      <c r="S62" s="115"/>
    </row>
    <row r="63" spans="2:19" x14ac:dyDescent="0.25">
      <c r="R63" s="116"/>
      <c r="S63" s="116"/>
    </row>
    <row r="64" spans="2:19" x14ac:dyDescent="0.25">
      <c r="R64" s="94"/>
      <c r="S64" s="94"/>
    </row>
    <row r="65" spans="2:19" x14ac:dyDescent="0.25">
      <c r="R65" s="94"/>
      <c r="S65" s="94"/>
    </row>
    <row r="66" spans="2:19" x14ac:dyDescent="0.25">
      <c r="R66" s="94"/>
      <c r="S66" s="94"/>
    </row>
    <row r="67" spans="2:19" x14ac:dyDescent="0.25">
      <c r="R67" s="109"/>
      <c r="S67" s="109"/>
    </row>
    <row r="68" spans="2:19" x14ac:dyDescent="0.25">
      <c r="R68" s="94"/>
      <c r="S68" s="94"/>
    </row>
    <row r="69" spans="2:19" x14ac:dyDescent="0.25">
      <c r="R69" s="117"/>
      <c r="S69" s="117"/>
    </row>
    <row r="70" spans="2:19" x14ac:dyDescent="0.25">
      <c r="R70" s="117"/>
      <c r="S70" s="117"/>
    </row>
    <row r="71" spans="2:19" x14ac:dyDescent="0.25">
      <c r="R71" s="117"/>
      <c r="S71" s="117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2:19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2:19" x14ac:dyDescent="0.25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</row>
  </sheetData>
  <mergeCells count="86">
    <mergeCell ref="P31:P32"/>
    <mergeCell ref="B48:N48"/>
    <mergeCell ref="O48:Q48"/>
    <mergeCell ref="C32:D32"/>
    <mergeCell ref="I31:I32"/>
    <mergeCell ref="M31:M32"/>
    <mergeCell ref="N31:N32"/>
    <mergeCell ref="O31:O32"/>
    <mergeCell ref="Q21:Q22"/>
    <mergeCell ref="C22:D22"/>
    <mergeCell ref="B23:B24"/>
    <mergeCell ref="C21:D21"/>
    <mergeCell ref="M18:M19"/>
    <mergeCell ref="C23:C24"/>
    <mergeCell ref="M23:N24"/>
    <mergeCell ref="P23:Q25"/>
    <mergeCell ref="C25:D25"/>
    <mergeCell ref="M25:N25"/>
    <mergeCell ref="B2:Q2"/>
    <mergeCell ref="B3:Q3"/>
    <mergeCell ref="B4:O4"/>
    <mergeCell ref="B14:B16"/>
    <mergeCell ref="C14:C16"/>
    <mergeCell ref="C8:Q8"/>
    <mergeCell ref="C11:D11"/>
    <mergeCell ref="C12:D12"/>
    <mergeCell ref="C13:D13"/>
    <mergeCell ref="P13:Q13"/>
    <mergeCell ref="O9:O16"/>
    <mergeCell ref="C9:D9"/>
    <mergeCell ref="C10:D10"/>
    <mergeCell ref="Q6:Q7"/>
    <mergeCell ref="P6:P7"/>
    <mergeCell ref="O6:O7"/>
    <mergeCell ref="C17:Q17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18:B20"/>
    <mergeCell ref="C18:C20"/>
    <mergeCell ref="N18:N20"/>
    <mergeCell ref="O18:O25"/>
    <mergeCell ref="P18:Q20"/>
    <mergeCell ref="C30:D30"/>
    <mergeCell ref="C31:D31"/>
    <mergeCell ref="C33:D33"/>
    <mergeCell ref="C34:D34"/>
    <mergeCell ref="C50:D50"/>
    <mergeCell ref="B47:Q47"/>
    <mergeCell ref="C49:D49"/>
    <mergeCell ref="O49:P49"/>
    <mergeCell ref="B35:B40"/>
    <mergeCell ref="C35:C40"/>
    <mergeCell ref="I41:I44"/>
    <mergeCell ref="M41:P44"/>
    <mergeCell ref="M46:P46"/>
    <mergeCell ref="O50:P50"/>
    <mergeCell ref="B41:B46"/>
    <mergeCell ref="C41:C46"/>
    <mergeCell ref="O51:P51"/>
    <mergeCell ref="C52:D52"/>
    <mergeCell ref="O52:P52"/>
    <mergeCell ref="B55:H55"/>
    <mergeCell ref="C56:E56"/>
    <mergeCell ref="B54:Q54"/>
    <mergeCell ref="C53:D53"/>
    <mergeCell ref="C51:D51"/>
    <mergeCell ref="I55:Q61"/>
    <mergeCell ref="C57:D61"/>
    <mergeCell ref="B57:B61"/>
    <mergeCell ref="N6:N7"/>
    <mergeCell ref="M6:M7"/>
    <mergeCell ref="C6:C7"/>
    <mergeCell ref="B6:B7"/>
    <mergeCell ref="L6:L7"/>
    <mergeCell ref="I6:K6"/>
    <mergeCell ref="F6:H6"/>
    <mergeCell ref="E6:E7"/>
    <mergeCell ref="D6:D7"/>
  </mergeCells>
  <pageMargins left="0" right="0" top="0.5" bottom="0.5" header="0.3" footer="0.3"/>
  <pageSetup paperSize="9" scale="55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5"/>
  <dimension ref="B2:U154"/>
  <sheetViews>
    <sheetView zoomScale="90" zoomScaleNormal="90" workbookViewId="0">
      <pane xSplit="4" ySplit="1" topLeftCell="E32" activePane="bottomRight" state="frozen"/>
      <selection pane="topRight" activeCell="E1" sqref="E1"/>
      <selection pane="bottomLeft" activeCell="A6" sqref="A6"/>
      <selection pane="bottomRight" activeCell="J41" sqref="J41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8" width="9.140625" style="68"/>
    <col min="19" max="19" width="12.7109375" style="68" bestFit="1" customWidth="1"/>
    <col min="20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343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934" t="s">
        <v>242</v>
      </c>
      <c r="D9" s="935"/>
      <c r="E9" s="74">
        <f>'24'!L9</f>
        <v>22629.813927749019</v>
      </c>
      <c r="F9" s="74">
        <f>Production2!D27</f>
        <v>2604.54</v>
      </c>
      <c r="G9" s="74">
        <f>F9+'24'!G9</f>
        <v>73841.319999999992</v>
      </c>
      <c r="H9" s="74">
        <f>F9+'24'!H9</f>
        <v>138827.01999999999</v>
      </c>
      <c r="I9" s="74">
        <f>Production2!E27</f>
        <v>2546</v>
      </c>
      <c r="J9" s="74">
        <f>I9+'24'!J9</f>
        <v>55544</v>
      </c>
      <c r="K9" s="74">
        <f>I9+'24'!K9</f>
        <v>122431</v>
      </c>
      <c r="L9" s="74">
        <f>E9+F9-I9-I21</f>
        <v>22260.376149971242</v>
      </c>
      <c r="M9" s="74">
        <f>I9</f>
        <v>2546</v>
      </c>
      <c r="N9" s="75">
        <f>(I9/I13)*100</f>
        <v>94.576523031203564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(2)'!L27</f>
        <v>2881.2200000000003</v>
      </c>
      <c r="F10" s="77">
        <f>'Mines (2)'!M27</f>
        <v>44.38</v>
      </c>
      <c r="G10" s="74">
        <f>F10+'24'!G10</f>
        <v>3581.1000000000013</v>
      </c>
      <c r="H10" s="74">
        <f>F10+'24'!H10</f>
        <v>4932.5599999999995</v>
      </c>
      <c r="I10" s="77">
        <f>'Mines (2)'!N27</f>
        <v>71</v>
      </c>
      <c r="J10" s="74">
        <f>I10+'24'!J10</f>
        <v>1673</v>
      </c>
      <c r="K10" s="74">
        <f>I10+'24'!K10</f>
        <v>2202</v>
      </c>
      <c r="L10" s="77">
        <f t="shared" ref="L10:L13" si="0">E10+F10-I10</f>
        <v>2854.6000000000004</v>
      </c>
      <c r="M10" s="74">
        <f t="shared" ref="M10:M12" si="1">I10</f>
        <v>71</v>
      </c>
      <c r="N10" s="75">
        <f>(I10/I13)*100</f>
        <v>2.637444279346211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Clinker!C27</f>
        <v>3092.92</v>
      </c>
      <c r="F11" s="77">
        <f>Clinker!D27</f>
        <v>0</v>
      </c>
      <c r="G11" s="74">
        <f>F11+'24'!G11</f>
        <v>347.58000000000004</v>
      </c>
      <c r="H11" s="74">
        <f>F11+'24'!H11</f>
        <v>417.28000000000003</v>
      </c>
      <c r="I11" s="77">
        <f>Clinker!E27</f>
        <v>75</v>
      </c>
      <c r="J11" s="74">
        <f>I11+'24'!J11</f>
        <v>1328</v>
      </c>
      <c r="K11" s="74">
        <f>I11+'24'!K11</f>
        <v>2765</v>
      </c>
      <c r="L11" s="77">
        <f t="shared" si="0"/>
        <v>3017.92</v>
      </c>
      <c r="M11" s="74">
        <f t="shared" si="1"/>
        <v>75</v>
      </c>
      <c r="N11" s="75">
        <f>(I11/I13)*100</f>
        <v>2.7860326894502232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(2)'!Q27</f>
        <v>3.999999999996362E-2</v>
      </c>
      <c r="F12" s="77">
        <f>'Mines (2)'!R27</f>
        <v>0</v>
      </c>
      <c r="G12" s="74">
        <f>F12+'24'!G12</f>
        <v>0</v>
      </c>
      <c r="H12" s="74">
        <f>F12+'24'!H12</f>
        <v>137.76</v>
      </c>
      <c r="I12" s="77">
        <f>'Mines (2)'!S27</f>
        <v>0</v>
      </c>
      <c r="J12" s="74">
        <f>I12+'24'!J12</f>
        <v>191</v>
      </c>
      <c r="K12" s="74">
        <f>I12+'24'!K12</f>
        <v>738</v>
      </c>
      <c r="L12" s="77">
        <f t="shared" si="0"/>
        <v>3.999999999996362E-2</v>
      </c>
      <c r="M12" s="74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28603.993927749019</v>
      </c>
      <c r="F13" s="127">
        <f t="shared" si="2"/>
        <v>2648.92</v>
      </c>
      <c r="G13" s="127">
        <f t="shared" si="2"/>
        <v>77770</v>
      </c>
      <c r="H13" s="127">
        <f t="shared" si="2"/>
        <v>144314.62</v>
      </c>
      <c r="I13" s="127">
        <f t="shared" si="2"/>
        <v>2692</v>
      </c>
      <c r="J13" s="127">
        <f t="shared" si="2"/>
        <v>58736</v>
      </c>
      <c r="K13" s="127">
        <f t="shared" si="2"/>
        <v>128136</v>
      </c>
      <c r="L13" s="127">
        <f t="shared" si="0"/>
        <v>28560.913927749018</v>
      </c>
      <c r="M13" s="127">
        <f>SUM(M9:M12)</f>
        <v>2692</v>
      </c>
      <c r="N13" s="128">
        <f>SUM(N9:N12)</f>
        <v>100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Clinker!EB27</f>
        <v>5247.6769999999906</v>
      </c>
      <c r="F14" s="77">
        <f>Clinker!EC27</f>
        <v>0</v>
      </c>
      <c r="G14" s="77">
        <f>F14+'24'!G14</f>
        <v>0</v>
      </c>
      <c r="H14" s="77">
        <f>F14+'24'!H14</f>
        <v>181.5</v>
      </c>
      <c r="I14" s="77">
        <f>Clinker!ED27</f>
        <v>285</v>
      </c>
      <c r="J14" s="77">
        <f>I14+'24'!J14</f>
        <v>6074.34</v>
      </c>
      <c r="K14" s="77">
        <f>I14+'24'!K14</f>
        <v>12910.64</v>
      </c>
      <c r="L14" s="77">
        <f>E14+F14-I14-Clinker!N27-Clinker!Z27-Clinker!AS27-Clinker!AX27-Clinker!BC27-Clinker!BW27-Clinker!BH27-Clinker!BM27-Clinker!BR27-Clinker!CV27-Clinker!DF27-Clinker!DP27</f>
        <v>4962.6769999999906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Clinker!EF27</f>
        <v>5234.4999999999936</v>
      </c>
      <c r="F15" s="77">
        <f>Clinker!EG27</f>
        <v>451.9</v>
      </c>
      <c r="G15" s="77">
        <f>F15+'24'!G15</f>
        <v>1738.25</v>
      </c>
      <c r="H15" s="77">
        <f>F15+'24'!H15</f>
        <v>1893.3000000000002</v>
      </c>
      <c r="I15" s="77">
        <f>Clinker!EH27</f>
        <v>144</v>
      </c>
      <c r="J15" s="77">
        <f>I15+'24'!J15</f>
        <v>3410</v>
      </c>
      <c r="K15" s="77">
        <f>I15+'24'!K15</f>
        <v>7279</v>
      </c>
      <c r="L15" s="77">
        <f>E15+F15-Clinker!T27-Clinker!AE27-Clinker!AJ27-Clinker!CL27-Clinker!CQ27-Clinker!CG27</f>
        <v>5542.3999999999933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10482.176999999985</v>
      </c>
      <c r="F16" s="125">
        <f>F14+F15</f>
        <v>451.9</v>
      </c>
      <c r="G16" s="125">
        <f t="shared" ref="G16:L16" si="3">G14+G15</f>
        <v>1738.25</v>
      </c>
      <c r="H16" s="125">
        <f t="shared" si="3"/>
        <v>2074.8000000000002</v>
      </c>
      <c r="I16" s="125">
        <f>I14+I15</f>
        <v>429</v>
      </c>
      <c r="J16" s="125">
        <f>J14+J15</f>
        <v>9484.34</v>
      </c>
      <c r="K16" s="125">
        <f t="shared" si="3"/>
        <v>20189.64</v>
      </c>
      <c r="L16" s="125">
        <f t="shared" si="3"/>
        <v>10505.076999999983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Clinker!EJ27</f>
        <v>26946.965083254046</v>
      </c>
      <c r="F18" s="74">
        <f>Clinker!EK27</f>
        <v>1890</v>
      </c>
      <c r="G18" s="74">
        <f>F18+'24'!G18</f>
        <v>34252</v>
      </c>
      <c r="H18" s="74">
        <f>F18+'24'!H18</f>
        <v>74752</v>
      </c>
      <c r="I18" s="74">
        <f>Clinker!EL27</f>
        <v>1664.920000000001</v>
      </c>
      <c r="J18" s="74">
        <f>I18+'24'!J18</f>
        <v>31999.615004486415</v>
      </c>
      <c r="K18" s="74">
        <f>I18+'24'!K18</f>
        <v>50861.495016372675</v>
      </c>
      <c r="L18" s="74">
        <f>E18+F18-I18-I20</f>
        <v>27172.045083254045</v>
      </c>
      <c r="M18" s="75">
        <f>((I18+I19)/(J40+J46))*100</f>
        <v>77.151065801668267</v>
      </c>
      <c r="N18" s="765"/>
      <c r="O18" s="767"/>
      <c r="P18" s="769"/>
      <c r="Q18" s="770"/>
      <c r="R18" s="190"/>
      <c r="S18" s="20"/>
    </row>
    <row r="19" spans="2:19" ht="45" x14ac:dyDescent="0.25">
      <c r="B19" s="763"/>
      <c r="C19" s="691"/>
      <c r="D19" s="85" t="s">
        <v>75</v>
      </c>
      <c r="E19" s="74">
        <f>Clinker!EO27</f>
        <v>5306.1090080001359</v>
      </c>
      <c r="F19" s="74">
        <f>Clinker!EP27</f>
        <v>0</v>
      </c>
      <c r="G19" s="74">
        <f>F19+'24'!G19</f>
        <v>150.78</v>
      </c>
      <c r="H19" s="74">
        <f>F19+'24'!H19</f>
        <v>13390.660000000003</v>
      </c>
      <c r="I19" s="74">
        <f>Clinker!EQ27</f>
        <v>0</v>
      </c>
      <c r="J19" s="74">
        <f>I19+'24'!J19</f>
        <v>0</v>
      </c>
      <c r="K19" s="74">
        <f>I19+'24'!K19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20"/>
      <c r="S19" s="190"/>
    </row>
    <row r="20" spans="2:19" ht="30" x14ac:dyDescent="0.25">
      <c r="B20" s="763"/>
      <c r="C20" s="764"/>
      <c r="D20" s="86" t="s">
        <v>249</v>
      </c>
      <c r="E20" s="77"/>
      <c r="F20" s="77">
        <v>0</v>
      </c>
      <c r="G20" s="74">
        <v>0</v>
      </c>
      <c r="H20" s="74">
        <f>F20+'24'!H20</f>
        <v>0</v>
      </c>
      <c r="I20" s="77">
        <f>Clinker!EN27</f>
        <v>0</v>
      </c>
      <c r="J20" s="74">
        <f>I20+'24'!J20</f>
        <v>0</v>
      </c>
      <c r="K20" s="74">
        <f>I20+'24'!K20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/>
      <c r="C21" s="822" t="s">
        <v>242</v>
      </c>
      <c r="D21" s="823"/>
      <c r="E21" s="77">
        <f>Cement!P27</f>
        <v>0</v>
      </c>
      <c r="F21" s="77">
        <f>Cement!Q27</f>
        <v>0</v>
      </c>
      <c r="G21" s="74">
        <f>F21+'24'!G21</f>
        <v>0</v>
      </c>
      <c r="H21" s="74">
        <f>F21+'24'!H21</f>
        <v>0</v>
      </c>
      <c r="I21" s="77">
        <f>Cement!S27</f>
        <v>427.97777777777668</v>
      </c>
      <c r="J21" s="74">
        <f>I21+'24'!J21</f>
        <v>8608.6955546503614</v>
      </c>
      <c r="K21" s="74">
        <f>I21+'24'!K21</f>
        <v>17240.515547212603</v>
      </c>
      <c r="L21" s="74"/>
      <c r="M21" s="78">
        <f>(I21/(J40+J46))*100</f>
        <v>19.83214910925749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Cement!C27</f>
        <v>5116.7953306210175</v>
      </c>
      <c r="F22" s="77">
        <f>Cement!D27</f>
        <v>31.6</v>
      </c>
      <c r="G22" s="74">
        <f>F22+'24'!G22</f>
        <v>155.72</v>
      </c>
      <c r="H22" s="74">
        <f>F22+'24'!H22</f>
        <v>2126.62</v>
      </c>
      <c r="I22" s="77">
        <f>Cement!F27</f>
        <v>113.57894736842107</v>
      </c>
      <c r="J22" s="74">
        <f>I22+'24'!J22</f>
        <v>2197.9836803456842</v>
      </c>
      <c r="K22" s="74">
        <f>I22+'24'!K22</f>
        <v>4537.1836758971831</v>
      </c>
      <c r="L22" s="74">
        <f t="shared" ref="L22:L24" si="4">E22+F22-I22</f>
        <v>5034.816383252597</v>
      </c>
      <c r="M22" s="78">
        <f>(I22/(J40+J46))*100</f>
        <v>5.2631578947368434</v>
      </c>
      <c r="N22" s="78"/>
      <c r="O22" s="767"/>
      <c r="P22" s="87"/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Cement!H27</f>
        <v>0.23999999999796273</v>
      </c>
      <c r="F23" s="77">
        <f>Cement!I27</f>
        <v>0</v>
      </c>
      <c r="G23" s="74">
        <f>F23+'24'!G23</f>
        <v>0</v>
      </c>
      <c r="H23" s="74">
        <f>F23+'24'!H23</f>
        <v>0</v>
      </c>
      <c r="I23" s="77">
        <f>Cement!J27</f>
        <v>0</v>
      </c>
      <c r="J23" s="74">
        <f>I23+'24'!J23</f>
        <v>0</v>
      </c>
      <c r="K23" s="74">
        <f>I23+'24'!K23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Cement!L27</f>
        <v>0</v>
      </c>
      <c r="F24" s="77">
        <f>Cement!M27</f>
        <v>0</v>
      </c>
      <c r="G24" s="74">
        <f>F24+'24'!G24</f>
        <v>0</v>
      </c>
      <c r="H24" s="74">
        <f>F24+'24'!H24</f>
        <v>0</v>
      </c>
      <c r="I24" s="77">
        <f>Cement!N27</f>
        <v>0</v>
      </c>
      <c r="J24" s="74">
        <f>I24+'24'!J24</f>
        <v>0</v>
      </c>
      <c r="K24" s="74">
        <f>I24+'24'!K24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37370.109421875197</v>
      </c>
      <c r="F25" s="122">
        <f t="shared" ref="F25:L25" si="5">F18+F19+F21+F22+F23+F24</f>
        <v>1921.6</v>
      </c>
      <c r="G25" s="122">
        <f t="shared" si="5"/>
        <v>34558.5</v>
      </c>
      <c r="H25" s="122">
        <f t="shared" si="5"/>
        <v>90269.28</v>
      </c>
      <c r="I25" s="122">
        <f t="shared" si="5"/>
        <v>2206.476725146199</v>
      </c>
      <c r="J25" s="122">
        <f t="shared" si="5"/>
        <v>42806.294239482464</v>
      </c>
      <c r="K25" s="122">
        <f t="shared" si="5"/>
        <v>89573.294239482464</v>
      </c>
      <c r="L25" s="122">
        <f t="shared" si="5"/>
        <v>37513.210474506777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Production2!C27</f>
        <v>19.12</v>
      </c>
      <c r="G30" s="75">
        <f>F30+'24'!G30</f>
        <v>426.24</v>
      </c>
      <c r="H30" s="75">
        <f>F30+'24'!H30</f>
        <v>858.72</v>
      </c>
      <c r="I30" s="74">
        <f>'Mines (2)'!C27+'Mines (2)'!H27+'Mines (2)'!V27+'Mines (2)'!Z27+'Mines (2)'!AD27</f>
        <v>22629.813927749019</v>
      </c>
      <c r="J30" s="74">
        <f>Production2!D27</f>
        <v>2604.54</v>
      </c>
      <c r="K30" s="74">
        <f>J30+'24'!K30</f>
        <v>73841.319999999992</v>
      </c>
      <c r="L30" s="74">
        <f>J30+'24'!L30</f>
        <v>138827.01999999999</v>
      </c>
      <c r="M30" s="74">
        <f>I9+I21</f>
        <v>2973.9777777777767</v>
      </c>
      <c r="N30" s="74">
        <f>M30+'24'!N30</f>
        <v>64152.695554650367</v>
      </c>
      <c r="O30" s="74">
        <f>M30+'24'!O30</f>
        <v>139671.51554721262</v>
      </c>
      <c r="P30" s="74">
        <f>I30+J30-M30</f>
        <v>22260.376149971242</v>
      </c>
      <c r="Q30" s="93">
        <f>J30/F30</f>
        <v>136.22071129707112</v>
      </c>
      <c r="R30" s="94"/>
      <c r="S30" s="94"/>
    </row>
    <row r="31" spans="2:19" x14ac:dyDescent="0.25">
      <c r="B31" s="79">
        <v>2</v>
      </c>
      <c r="C31" s="725" t="s">
        <v>142</v>
      </c>
      <c r="D31" s="726"/>
      <c r="E31" s="95">
        <v>120</v>
      </c>
      <c r="F31" s="78">
        <f>Production2!G27</f>
        <v>20.37</v>
      </c>
      <c r="G31" s="75">
        <f>F31+'24'!G31</f>
        <v>447.37</v>
      </c>
      <c r="H31" s="75">
        <f>F31+'24'!H31</f>
        <v>940.58999999999992</v>
      </c>
      <c r="I31" s="724">
        <f>Production2!H27</f>
        <v>2035.6900168375191</v>
      </c>
      <c r="J31" s="78">
        <f>Production2!N27</f>
        <v>2425.0500000000002</v>
      </c>
      <c r="K31" s="74">
        <f>J31+'24'!K31</f>
        <v>51191.580000000009</v>
      </c>
      <c r="L31" s="74">
        <f>J31+'24'!L31</f>
        <v>110048.73000000003</v>
      </c>
      <c r="M31" s="724">
        <f>Production2!K27</f>
        <v>2929.5</v>
      </c>
      <c r="N31" s="724">
        <f>M31+'24'!N31</f>
        <v>53090.6</v>
      </c>
      <c r="O31" s="724">
        <f>M31+'24'!O31</f>
        <v>115865.59999999999</v>
      </c>
      <c r="P31" s="724">
        <f>I31+J31+J32-M31</f>
        <v>1531.2400168375189</v>
      </c>
      <c r="Q31" s="96">
        <f t="shared" ref="Q31:Q46" si="6">J31/F31</f>
        <v>119.05007363770251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Production2!P27</f>
        <v>0</v>
      </c>
      <c r="G32" s="75">
        <f>F32+'24'!G32</f>
        <v>187.38</v>
      </c>
      <c r="H32" s="75">
        <f>F32+'24'!H32</f>
        <v>593.66999999999996</v>
      </c>
      <c r="I32" s="712"/>
      <c r="J32" s="78">
        <f>Production2!Q27</f>
        <v>0</v>
      </c>
      <c r="K32" s="74">
        <f>J32+'24'!K32</f>
        <v>1712.1399999999999</v>
      </c>
      <c r="L32" s="74">
        <f>J32+'24'!L32</f>
        <v>5354.3799999999992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Production2!S27</f>
        <v>18.829999999999998</v>
      </c>
      <c r="G33" s="75">
        <f>F33+'24'!G33</f>
        <v>398.68</v>
      </c>
      <c r="H33" s="75">
        <f>F33+'24'!H33</f>
        <v>845.05000000000007</v>
      </c>
      <c r="I33" s="77">
        <f>Production2!T27</f>
        <v>47.609999999999843</v>
      </c>
      <c r="J33" s="77">
        <f>Production2!U27</f>
        <v>256.5</v>
      </c>
      <c r="K33" s="74">
        <f>J33+'24'!K33</f>
        <v>5466.9</v>
      </c>
      <c r="L33" s="74">
        <f>J33+'24'!L33</f>
        <v>11619.6</v>
      </c>
      <c r="M33" s="77">
        <f>Production2!V27</f>
        <v>276</v>
      </c>
      <c r="N33" s="74">
        <f>M33+'24'!N33</f>
        <v>5479</v>
      </c>
      <c r="O33" s="74">
        <f>M33+'24'!O33</f>
        <v>11607</v>
      </c>
      <c r="P33" s="74">
        <f t="shared" ref="P33" si="7">I33+J33-M33</f>
        <v>28.109999999999843</v>
      </c>
      <c r="Q33" s="96">
        <f t="shared" si="6"/>
        <v>13.621879978757303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Production2!Y27</f>
        <v>24</v>
      </c>
      <c r="G34" s="75">
        <f>F34+'24'!G34</f>
        <v>553.49</v>
      </c>
      <c r="H34" s="75">
        <f>F34+'24'!H34</f>
        <v>1171.76</v>
      </c>
      <c r="I34" s="77">
        <f>Clinker!EJ27</f>
        <v>26946.965083254046</v>
      </c>
      <c r="J34" s="77">
        <f>Clinker!EK27</f>
        <v>1890</v>
      </c>
      <c r="K34" s="74">
        <f>J34+'24'!K34</f>
        <v>34252</v>
      </c>
      <c r="L34" s="74">
        <f>J34+'24'!L34</f>
        <v>74752</v>
      </c>
      <c r="M34" s="77">
        <f>Clinker!EL27</f>
        <v>1664.920000000001</v>
      </c>
      <c r="N34" s="74">
        <f>M34+'24'!N34</f>
        <v>31999.615004486415</v>
      </c>
      <c r="O34" s="74">
        <f>M34+'24'!O34</f>
        <v>50861.495016372675</v>
      </c>
      <c r="P34" s="74">
        <f>I34+J34-M34-I20</f>
        <v>27172.045083254045</v>
      </c>
      <c r="Q34" s="96">
        <f t="shared" si="6"/>
        <v>78.75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Production2!AE27</f>
        <v>0</v>
      </c>
      <c r="G35" s="75">
        <f>F35+'24'!G35</f>
        <v>17.899999999999999</v>
      </c>
      <c r="H35" s="75">
        <f>F35+'24'!H35</f>
        <v>26.9</v>
      </c>
      <c r="I35" s="77">
        <f>Production2!BJ27</f>
        <v>242.29999999999995</v>
      </c>
      <c r="J35" s="77">
        <f>Production2!AF27</f>
        <v>0</v>
      </c>
      <c r="K35" s="74">
        <f>J35+'24'!K35</f>
        <v>1150</v>
      </c>
      <c r="L35" s="74">
        <f>J35+'24'!L35</f>
        <v>1724</v>
      </c>
      <c r="M35" s="77">
        <f>Production2!BL27</f>
        <v>60</v>
      </c>
      <c r="N35" s="74">
        <f>M35+'24'!N35</f>
        <v>1979.5</v>
      </c>
      <c r="O35" s="74">
        <f>M35+'24'!O35</f>
        <v>4374</v>
      </c>
      <c r="P35" s="74">
        <f>I35+J35+J41-M35-F59</f>
        <v>332.29999999999995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Production2!AB27</f>
        <v>6.88</v>
      </c>
      <c r="G36" s="654">
        <f>F36+'24'!G36</f>
        <v>220.40999999999997</v>
      </c>
      <c r="H36" s="654">
        <f>F36+'24'!H36</f>
        <v>426.74</v>
      </c>
      <c r="I36" s="77">
        <f>Production2!BF27</f>
        <v>2443.6479999999788</v>
      </c>
      <c r="J36" s="77">
        <f>Production2!AC27</f>
        <v>480</v>
      </c>
      <c r="K36" s="74">
        <f>J36+'24'!K36</f>
        <v>13945</v>
      </c>
      <c r="L36" s="74">
        <f>J36+'24'!L36</f>
        <v>26374</v>
      </c>
      <c r="M36" s="77">
        <f>Production2!BH27</f>
        <v>2109.25</v>
      </c>
      <c r="N36" s="74">
        <f>M36+'24'!N36</f>
        <v>33327.89</v>
      </c>
      <c r="O36" s="581">
        <f>M36+'24'!O36</f>
        <v>68496.160000000003</v>
      </c>
      <c r="P36" s="573">
        <f>I36+J36+J42-M36-F57</f>
        <v>1822.3979999999788</v>
      </c>
      <c r="Q36" s="96">
        <f t="shared" si="6"/>
        <v>69.767441860465112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Production2!AH27</f>
        <v>0</v>
      </c>
      <c r="G37" s="654">
        <f>F37+'24'!G37</f>
        <v>0</v>
      </c>
      <c r="H37" s="654">
        <f>F37+'24'!H37</f>
        <v>0</v>
      </c>
      <c r="I37" s="77">
        <f>Production2!BN27</f>
        <v>9.0000000000849845E-2</v>
      </c>
      <c r="J37" s="77">
        <f>Production2!AI27</f>
        <v>0</v>
      </c>
      <c r="K37" s="74">
        <f>J37+'24'!K37</f>
        <v>0</v>
      </c>
      <c r="L37" s="74">
        <f>J37+'24'!L37</f>
        <v>0</v>
      </c>
      <c r="M37" s="77">
        <f>Production2!BP27</f>
        <v>0</v>
      </c>
      <c r="N37" s="581">
        <f>M37+'24'!N37</f>
        <v>0</v>
      </c>
      <c r="O37" s="581">
        <f>M37+'24'!O37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Production2!AK27</f>
        <v>0</v>
      </c>
      <c r="G38" s="654">
        <f>F38+'24'!G38</f>
        <v>5</v>
      </c>
      <c r="H38" s="654">
        <f>F38+'24'!H38</f>
        <v>5</v>
      </c>
      <c r="I38" s="195">
        <f>Production2!BR27</f>
        <v>165.3</v>
      </c>
      <c r="J38" s="195">
        <v>0</v>
      </c>
      <c r="K38" s="74">
        <f>J38+'24'!K38</f>
        <v>300</v>
      </c>
      <c r="L38" s="74">
        <f>J38+'24'!L38</f>
        <v>300</v>
      </c>
      <c r="M38" s="195">
        <f>Production2!BT27</f>
        <v>0</v>
      </c>
      <c r="N38" s="581">
        <f>M38+'24'!N38</f>
        <v>818</v>
      </c>
      <c r="O38" s="581">
        <f>M38+'24'!O38</f>
        <v>2665</v>
      </c>
      <c r="P38" s="74">
        <f>I38+J38+J44-M38-F59</f>
        <v>275.3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575" t="s">
        <v>304</v>
      </c>
      <c r="E39" s="580"/>
      <c r="F39" s="582">
        <f>Production2!AN27</f>
        <v>3</v>
      </c>
      <c r="G39" s="654">
        <f>F39+'24'!G39</f>
        <v>64.12</v>
      </c>
      <c r="H39" s="654">
        <f>F39+'24'!H39</f>
        <v>104.77000000000001</v>
      </c>
      <c r="I39" s="578">
        <f>Production2!BV27</f>
        <v>610.29000000000019</v>
      </c>
      <c r="J39" s="627">
        <f>Production2!AO27</f>
        <v>210</v>
      </c>
      <c r="K39" s="579">
        <f>J39+'23'!K39</f>
        <v>4116</v>
      </c>
      <c r="L39" s="579">
        <f>J39+'23'!L39</f>
        <v>6648</v>
      </c>
      <c r="M39" s="578">
        <f>Production2!BX27</f>
        <v>394.12</v>
      </c>
      <c r="N39" s="581">
        <f>M39+'24'!N39</f>
        <v>6800.66</v>
      </c>
      <c r="O39" s="581">
        <f>M39+'24'!O39</f>
        <v>12222.540000000003</v>
      </c>
      <c r="P39" s="579">
        <f>I39+J39+J45-M39-F61</f>
        <v>626.17000000000019</v>
      </c>
      <c r="Q39" s="96">
        <f t="shared" si="6"/>
        <v>70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9.879999999999999</v>
      </c>
      <c r="G40" s="132">
        <f t="shared" ref="G40:H40" si="8">G35+G36+G37+G38+G39</f>
        <v>307.42999999999995</v>
      </c>
      <c r="H40" s="132">
        <f t="shared" si="8"/>
        <v>563.41</v>
      </c>
      <c r="I40" s="122">
        <f>I35+I36+I37+I38+I39</f>
        <v>3461.6279999999797</v>
      </c>
      <c r="J40" s="576">
        <f t="shared" ref="J40:P40" si="9">J35+J36+J37+J38+J39</f>
        <v>690</v>
      </c>
      <c r="K40" s="576">
        <f t="shared" si="9"/>
        <v>19511</v>
      </c>
      <c r="L40" s="576">
        <f t="shared" si="9"/>
        <v>35046</v>
      </c>
      <c r="M40" s="576">
        <f t="shared" si="9"/>
        <v>2563.37</v>
      </c>
      <c r="N40" s="576">
        <f t="shared" si="9"/>
        <v>42926.05</v>
      </c>
      <c r="O40" s="576">
        <f t="shared" si="9"/>
        <v>87757.550000000017</v>
      </c>
      <c r="P40" s="576">
        <f t="shared" si="9"/>
        <v>3056.2579999999798</v>
      </c>
      <c r="Q40" s="123">
        <f t="shared" si="6"/>
        <v>69.838056680161955</v>
      </c>
      <c r="R40" s="94"/>
      <c r="S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Production2!AT27</f>
        <v>2.2000000000000002</v>
      </c>
      <c r="G41" s="75">
        <f>F41+'24'!G41</f>
        <v>12.329999999999998</v>
      </c>
      <c r="H41" s="75">
        <f>F41+'24'!H41</f>
        <v>45.43</v>
      </c>
      <c r="I41" s="710"/>
      <c r="J41" s="77">
        <f>Production2!AU27</f>
        <v>150</v>
      </c>
      <c r="K41" s="74">
        <f>J41+'24'!K41</f>
        <v>750</v>
      </c>
      <c r="L41" s="74">
        <f>J41+'24'!L41</f>
        <v>2750</v>
      </c>
      <c r="M41" s="713"/>
      <c r="N41" s="714"/>
      <c r="O41" s="714"/>
      <c r="P41" s="715"/>
      <c r="Q41" s="96">
        <f t="shared" si="6"/>
        <v>68.181818181818173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Production2!AQ27</f>
        <v>16.8</v>
      </c>
      <c r="G42" s="75">
        <f>F42+'24'!G42</f>
        <v>316.17</v>
      </c>
      <c r="H42" s="654">
        <f>F42+'24'!H42</f>
        <v>732.16999999999985</v>
      </c>
      <c r="I42" s="711"/>
      <c r="J42" s="77">
        <f>Production2!AR27</f>
        <v>1008</v>
      </c>
      <c r="K42" s="626">
        <f>J42+'24'!K42</f>
        <v>18526</v>
      </c>
      <c r="L42" s="626">
        <f>J42+'24'!L42</f>
        <v>42666</v>
      </c>
      <c r="M42" s="716"/>
      <c r="N42" s="867"/>
      <c r="O42" s="867"/>
      <c r="P42" s="718"/>
      <c r="Q42" s="96">
        <f t="shared" si="6"/>
        <v>60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Production2!AW27</f>
        <v>0</v>
      </c>
      <c r="G43" s="654">
        <f>F43+'24'!G43</f>
        <v>0</v>
      </c>
      <c r="H43" s="654">
        <f>F43+'24'!H43</f>
        <v>0</v>
      </c>
      <c r="I43" s="711"/>
      <c r="J43" s="77">
        <f>Production2!AX27</f>
        <v>0</v>
      </c>
      <c r="K43" s="626">
        <f>J43+'24'!K43</f>
        <v>0</v>
      </c>
      <c r="L43" s="626">
        <f>J43+'24'!L43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Production2!AZ27</f>
        <v>2</v>
      </c>
      <c r="G44" s="654">
        <f>F44+'24'!G44</f>
        <v>11</v>
      </c>
      <c r="H44" s="654">
        <f>F44+'24'!H44</f>
        <v>43.88</v>
      </c>
      <c r="I44" s="711"/>
      <c r="J44" s="195">
        <f>Production2!BA27</f>
        <v>110</v>
      </c>
      <c r="K44" s="626">
        <f>J44+'24'!K44</f>
        <v>607</v>
      </c>
      <c r="L44" s="626">
        <f>J44+'24'!L44</f>
        <v>2427</v>
      </c>
      <c r="M44" s="716"/>
      <c r="N44" s="867"/>
      <c r="O44" s="867"/>
      <c r="P44" s="718"/>
      <c r="Q44" s="96">
        <f t="shared" si="6"/>
        <v>55</v>
      </c>
      <c r="R44" s="94"/>
      <c r="S44" s="94"/>
    </row>
    <row r="45" spans="2:19" x14ac:dyDescent="0.25">
      <c r="B45" s="688"/>
      <c r="C45" s="691"/>
      <c r="D45" s="570" t="s">
        <v>304</v>
      </c>
      <c r="E45" s="574">
        <v>70</v>
      </c>
      <c r="F45" s="571">
        <f>Production2!BC27</f>
        <v>3</v>
      </c>
      <c r="G45" s="654">
        <f>F45+'24'!G45</f>
        <v>41.55</v>
      </c>
      <c r="H45" s="654">
        <f>F45+'24'!H45</f>
        <v>96.52000000000001</v>
      </c>
      <c r="I45" s="712"/>
      <c r="J45" s="572">
        <f>Production2!BD27</f>
        <v>200</v>
      </c>
      <c r="K45" s="626">
        <f>J45+'24'!K45</f>
        <v>2559</v>
      </c>
      <c r="L45" s="626">
        <f>J45+'24'!L45</f>
        <v>5831</v>
      </c>
      <c r="M45" s="719"/>
      <c r="N45" s="720"/>
      <c r="O45" s="720"/>
      <c r="P45" s="721"/>
      <c r="Q45" s="96">
        <f t="shared" si="6"/>
        <v>66.666666666666671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24</v>
      </c>
      <c r="G46" s="132">
        <f t="shared" ref="G46:H46" si="10">G41+G42+G43+G44+G45</f>
        <v>381.05</v>
      </c>
      <c r="H46" s="132">
        <f t="shared" si="10"/>
        <v>917.99999999999977</v>
      </c>
      <c r="I46" s="122"/>
      <c r="J46" s="122">
        <f>J41+J42+J43+J44+J45</f>
        <v>1468</v>
      </c>
      <c r="K46" s="576">
        <f t="shared" ref="K46:L46" si="11">K41+K42+K43+K44+K45</f>
        <v>22442</v>
      </c>
      <c r="L46" s="576">
        <f t="shared" si="11"/>
        <v>53674</v>
      </c>
      <c r="M46" s="873"/>
      <c r="N46" s="874"/>
      <c r="O46" s="874"/>
      <c r="P46" s="875"/>
      <c r="Q46" s="123">
        <f t="shared" si="6"/>
        <v>61.166666666666664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1.0570004684128484</v>
      </c>
      <c r="F50" s="99">
        <f>F53/(J31+J32)</f>
        <v>22.329848869095482</v>
      </c>
      <c r="G50" s="99">
        <v>0</v>
      </c>
      <c r="H50" s="99">
        <f>H53/J34</f>
        <v>31.996825396825397</v>
      </c>
      <c r="I50" s="99">
        <f>I53/J33</f>
        <v>52.44054580896686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14.603174603174605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1.4238747050683134</v>
      </c>
      <c r="F51" s="102">
        <f>F50*1.55</f>
        <v>34.611265747097995</v>
      </c>
      <c r="G51" s="102">
        <f>G50*1.55</f>
        <v>0</v>
      </c>
      <c r="H51" s="102">
        <f>H50</f>
        <v>31.996825396825397</v>
      </c>
      <c r="I51" s="102">
        <f>I50*(Q50/100)</f>
        <v>7.6579844673411923</v>
      </c>
      <c r="J51" s="102"/>
      <c r="K51" s="102"/>
      <c r="L51" s="102"/>
      <c r="M51" s="96"/>
      <c r="N51" s="307">
        <f>SUM(E51:I51)</f>
        <v>75.689950316332897</v>
      </c>
      <c r="O51" s="728" t="s">
        <v>277</v>
      </c>
      <c r="P51" s="728"/>
      <c r="Q51" s="104">
        <v>5384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1.0985345106405644</v>
      </c>
      <c r="F52" s="102">
        <f>F51*M18/100</f>
        <v>26.702960411333844</v>
      </c>
      <c r="G52" s="102">
        <f>G51*M18/100</f>
        <v>0</v>
      </c>
      <c r="H52" s="102">
        <f>H51*M18/100</f>
        <v>24.685891816349667</v>
      </c>
      <c r="I52" s="102">
        <f>I51*M18/100</f>
        <v>5.9082166354799384</v>
      </c>
      <c r="J52" s="99">
        <f>J53/(J40+J46)</f>
        <v>37.921686746987952</v>
      </c>
      <c r="K52" s="99">
        <f>K53/(J46+J40)</f>
        <v>0.92354031510658019</v>
      </c>
      <c r="L52" s="99">
        <f>L53/(M40)</f>
        <v>2.1245469830730639</v>
      </c>
      <c r="M52" s="96">
        <f>M53/(J46+J40)</f>
        <v>2.2043558850787766</v>
      </c>
      <c r="N52" s="307">
        <f>SUM(E52:M52)</f>
        <v>101.56973330405039</v>
      </c>
      <c r="O52" s="728" t="s">
        <v>279</v>
      </c>
      <c r="P52" s="728"/>
      <c r="Q52" s="104">
        <f>Q51*Q50/100</f>
        <v>786.23492063492074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unit'!B27</f>
        <v>2753</v>
      </c>
      <c r="F53" s="118">
        <f>'Daily unit'!C27</f>
        <v>54151</v>
      </c>
      <c r="G53" s="118">
        <f>'Daily unit'!D27</f>
        <v>0</v>
      </c>
      <c r="H53" s="118">
        <f>'Daily unit'!E27</f>
        <v>60474</v>
      </c>
      <c r="I53" s="118">
        <f>'Daily unit'!F27</f>
        <v>13451</v>
      </c>
      <c r="J53" s="118">
        <f>'Daily unit'!G27</f>
        <v>81835</v>
      </c>
      <c r="K53" s="118">
        <f>'Daily unit'!H27</f>
        <v>1993</v>
      </c>
      <c r="L53" s="118">
        <f>'Daily unit'!I27</f>
        <v>5446</v>
      </c>
      <c r="M53" s="119">
        <f>'Daily unit'!J27</f>
        <v>4757</v>
      </c>
      <c r="N53" s="318">
        <f>SUM(E53:M53)</f>
        <v>224860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756" t="s">
        <v>281</v>
      </c>
      <c r="C55" s="722"/>
      <c r="D55" s="722"/>
      <c r="E55" s="722"/>
      <c r="F55" s="722"/>
      <c r="G55" s="722"/>
      <c r="H55" s="757"/>
      <c r="I55" s="889" t="s">
        <v>282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224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9" ht="14.45" customHeight="1" x14ac:dyDescent="0.25">
      <c r="B57" s="876">
        <v>1</v>
      </c>
      <c r="C57" s="701" t="s">
        <v>285</v>
      </c>
      <c r="D57" s="825"/>
      <c r="E57" s="644">
        <v>42.5</v>
      </c>
      <c r="F57" s="645">
        <f>'Internal use cement'!F27</f>
        <v>0</v>
      </c>
      <c r="G57" s="645">
        <f>F57+'24'!G57</f>
        <v>0</v>
      </c>
      <c r="H57" s="77">
        <f>F57+'24'!H57</f>
        <v>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9" ht="14.45" customHeight="1" x14ac:dyDescent="0.25">
      <c r="B58" s="861"/>
      <c r="C58" s="896"/>
      <c r="D58" s="827"/>
      <c r="E58" s="644" t="s">
        <v>195</v>
      </c>
      <c r="F58" s="645">
        <f>'Internal use cement'!Q27</f>
        <v>0</v>
      </c>
      <c r="G58" s="645">
        <f>F58+'24'!G58</f>
        <v>2</v>
      </c>
      <c r="H58" s="77">
        <f>F58+'24'!H58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9" ht="15" customHeight="1" x14ac:dyDescent="0.25">
      <c r="B59" s="861"/>
      <c r="C59" s="896"/>
      <c r="D59" s="827"/>
      <c r="E59" s="644">
        <v>32.5</v>
      </c>
      <c r="F59" s="645">
        <f>'Internal use cement'!Y27</f>
        <v>0</v>
      </c>
      <c r="G59" s="645">
        <f>F59+'24'!G59</f>
        <v>0</v>
      </c>
      <c r="H59" s="77">
        <f>F59+'24'!H59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9" ht="15" customHeight="1" x14ac:dyDescent="0.25">
      <c r="B60" s="861"/>
      <c r="C60" s="896"/>
      <c r="D60" s="827"/>
      <c r="E60" s="644" t="s">
        <v>175</v>
      </c>
      <c r="F60" s="645">
        <f>'Internal use cement'!AJ27</f>
        <v>0</v>
      </c>
      <c r="G60" s="645">
        <f>F60+'24'!G60</f>
        <v>0</v>
      </c>
      <c r="H60" s="77">
        <f>F60+'24'!H60</f>
        <v>0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9" ht="15.75" thickBot="1" x14ac:dyDescent="0.3">
      <c r="B61" s="862"/>
      <c r="C61" s="703"/>
      <c r="D61" s="829"/>
      <c r="E61" s="651" t="s">
        <v>350</v>
      </c>
      <c r="F61" s="652">
        <f>'Internal use cement'!AO27</f>
        <v>0</v>
      </c>
      <c r="G61" s="645">
        <f>F61+'24'!G61</f>
        <v>4</v>
      </c>
      <c r="H61" s="77">
        <f>F61+'24'!H61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5"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M28:O28"/>
    <mergeCell ref="P28:P29"/>
    <mergeCell ref="Q28:Q29"/>
    <mergeCell ref="C25:D25"/>
    <mergeCell ref="M25:N25"/>
    <mergeCell ref="B28:B29"/>
    <mergeCell ref="C28:D29"/>
    <mergeCell ref="F28:H28"/>
    <mergeCell ref="I28:I29"/>
    <mergeCell ref="J28:L28"/>
    <mergeCell ref="P6:P7"/>
    <mergeCell ref="Q6:Q7"/>
    <mergeCell ref="P23:Q25"/>
    <mergeCell ref="B26:Q26"/>
    <mergeCell ref="B27:Q27"/>
    <mergeCell ref="C8:Q8"/>
    <mergeCell ref="C11:D11"/>
    <mergeCell ref="C12:D12"/>
    <mergeCell ref="C13:D13"/>
    <mergeCell ref="P13:Q13"/>
    <mergeCell ref="O9:O16"/>
    <mergeCell ref="C10:D10"/>
    <mergeCell ref="C9:D9"/>
    <mergeCell ref="C21:D21"/>
    <mergeCell ref="B14:B16"/>
    <mergeCell ref="C14:C16"/>
    <mergeCell ref="B35:B40"/>
    <mergeCell ref="C35:C40"/>
    <mergeCell ref="C32:D32"/>
    <mergeCell ref="I31:I32"/>
    <mergeCell ref="M31:M32"/>
    <mergeCell ref="C30:D30"/>
    <mergeCell ref="C31:D31"/>
    <mergeCell ref="C33:D33"/>
    <mergeCell ref="C34:D34"/>
    <mergeCell ref="M46:P46"/>
    <mergeCell ref="O31:O32"/>
    <mergeCell ref="P31:P32"/>
    <mergeCell ref="N31:N32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41:B46"/>
    <mergeCell ref="C41:C46"/>
    <mergeCell ref="O51:P51"/>
    <mergeCell ref="C52:D52"/>
    <mergeCell ref="O52:P52"/>
    <mergeCell ref="I55:Q61"/>
    <mergeCell ref="C57:D61"/>
    <mergeCell ref="B57:B61"/>
    <mergeCell ref="M41:P45"/>
    <mergeCell ref="I41:I45"/>
    <mergeCell ref="C53:D53"/>
    <mergeCell ref="B48:N48"/>
    <mergeCell ref="O48:Q48"/>
  </mergeCells>
  <pageMargins left="0" right="0" top="0.75" bottom="0.75" header="0.3" footer="0.3"/>
  <pageSetup paperSize="9" scale="55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6"/>
  <dimension ref="B2:U153"/>
  <sheetViews>
    <sheetView zoomScale="90" zoomScaleNormal="90" workbookViewId="0">
      <pane xSplit="4" ySplit="1" topLeftCell="E26" activePane="bottomRight" state="frozen"/>
      <selection pane="topRight" activeCell="E1" sqref="E1"/>
      <selection pane="bottomLeft" activeCell="A6" sqref="A6"/>
      <selection pane="bottomRight" activeCell="I38" sqref="I3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2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316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6" t="s">
        <v>229</v>
      </c>
      <c r="C6" s="808" t="s">
        <v>230</v>
      </c>
      <c r="D6" s="808" t="s">
        <v>231</v>
      </c>
      <c r="E6" s="808" t="s">
        <v>232</v>
      </c>
      <c r="F6" s="900" t="s">
        <v>233</v>
      </c>
      <c r="G6" s="901"/>
      <c r="H6" s="848"/>
      <c r="I6" s="900" t="s">
        <v>234</v>
      </c>
      <c r="J6" s="901"/>
      <c r="K6" s="848"/>
      <c r="L6" s="808" t="s">
        <v>235</v>
      </c>
      <c r="M6" s="808" t="s">
        <v>287</v>
      </c>
      <c r="N6" s="808" t="s">
        <v>237</v>
      </c>
      <c r="O6" s="809"/>
      <c r="P6" s="808" t="s">
        <v>238</v>
      </c>
      <c r="Q6" s="795"/>
    </row>
    <row r="7" spans="2:21" ht="15.75" thickBot="1" x14ac:dyDescent="0.3">
      <c r="B7" s="899"/>
      <c r="C7" s="747"/>
      <c r="D7" s="747"/>
      <c r="E7" s="747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747"/>
      <c r="M7" s="747"/>
      <c r="N7" s="747"/>
      <c r="O7" s="925"/>
      <c r="P7" s="747"/>
      <c r="Q7" s="752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725" t="s">
        <v>242</v>
      </c>
      <c r="D9" s="726"/>
      <c r="E9" s="74">
        <f>'25'!L9</f>
        <v>22260.376149971242</v>
      </c>
      <c r="F9" s="74">
        <f>Production2!D28</f>
        <v>3027.4399999999996</v>
      </c>
      <c r="G9" s="74">
        <f>F9+'25'!G9</f>
        <v>76868.759999999995</v>
      </c>
      <c r="H9" s="74">
        <f>F9+'25'!H9</f>
        <v>141854.46</v>
      </c>
      <c r="I9" s="74">
        <f>Production2!E28</f>
        <v>1765</v>
      </c>
      <c r="J9" s="74">
        <f>I9+'25'!J9</f>
        <v>57309</v>
      </c>
      <c r="K9" s="74">
        <f>I9+'25'!K9</f>
        <v>124196</v>
      </c>
      <c r="L9" s="74">
        <f>E9+F9-I9-I21</f>
        <v>22966.258373279241</v>
      </c>
      <c r="M9" s="75">
        <f>I9</f>
        <v>1765</v>
      </c>
      <c r="N9" s="75">
        <f>(I9/I13)*100</f>
        <v>94.536689876807714</v>
      </c>
      <c r="O9" s="923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5" t="s">
        <v>30</v>
      </c>
      <c r="D10" s="726"/>
      <c r="E10" s="77">
        <f>'Mines (2)'!L28</f>
        <v>2854.6000000000004</v>
      </c>
      <c r="F10" s="77">
        <f>'Mines (2)'!M28</f>
        <v>136.66</v>
      </c>
      <c r="G10" s="74">
        <f>F10+'25'!G10</f>
        <v>3717.7600000000011</v>
      </c>
      <c r="H10" s="74">
        <f>F10+'25'!H10</f>
        <v>5069.2199999999993</v>
      </c>
      <c r="I10" s="77">
        <f>'Mines (2)'!N28</f>
        <v>49</v>
      </c>
      <c r="J10" s="74">
        <f>I10+'25'!J10</f>
        <v>1722</v>
      </c>
      <c r="K10" s="74">
        <f>I10+'25'!K10</f>
        <v>2251</v>
      </c>
      <c r="L10" s="77">
        <f t="shared" ref="L10:L13" si="0">E10+F10-I10</f>
        <v>2942.26</v>
      </c>
      <c r="M10" s="75">
        <f t="shared" ref="M10:M12" si="1">I10</f>
        <v>49</v>
      </c>
      <c r="N10" s="75">
        <f>(I10/I13)*100</f>
        <v>2.6245313336904124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5" t="s">
        <v>32</v>
      </c>
      <c r="D11" s="726"/>
      <c r="E11" s="77">
        <f>Clinker!C28</f>
        <v>3017.92</v>
      </c>
      <c r="F11" s="77">
        <f>Clinker!D28</f>
        <v>0</v>
      </c>
      <c r="G11" s="74">
        <f>F11+'25'!G11</f>
        <v>347.58000000000004</v>
      </c>
      <c r="H11" s="74">
        <f>F11+'25'!H11</f>
        <v>417.28000000000003</v>
      </c>
      <c r="I11" s="77">
        <f>Clinker!E28</f>
        <v>53</v>
      </c>
      <c r="J11" s="74">
        <f>I11+'25'!J11</f>
        <v>1381</v>
      </c>
      <c r="K11" s="74">
        <f>I11+'25'!K11</f>
        <v>2818</v>
      </c>
      <c r="L11" s="77">
        <f t="shared" si="0"/>
        <v>2964.92</v>
      </c>
      <c r="M11" s="75">
        <f t="shared" si="1"/>
        <v>53</v>
      </c>
      <c r="N11" s="75">
        <f>(I11/I13)*100</f>
        <v>2.8387787895018746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5" t="s">
        <v>243</v>
      </c>
      <c r="D12" s="726"/>
      <c r="E12" s="77">
        <f>'Mines (2)'!Q28</f>
        <v>3.999999999996362E-2</v>
      </c>
      <c r="F12" s="77">
        <f>'Mines (2)'!R28</f>
        <v>0</v>
      </c>
      <c r="G12" s="74">
        <f>F12+'25'!G12</f>
        <v>0</v>
      </c>
      <c r="H12" s="74">
        <f>F12+'25'!H12</f>
        <v>137.76</v>
      </c>
      <c r="I12" s="77">
        <f>'Mines (2)'!S28</f>
        <v>0</v>
      </c>
      <c r="J12" s="74">
        <f>I12+'25'!J12</f>
        <v>191</v>
      </c>
      <c r="K12" s="74">
        <f>I12+'25'!K12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921" t="s">
        <v>244</v>
      </c>
      <c r="D13" s="922"/>
      <c r="E13" s="127">
        <f t="shared" ref="E13:K13" si="2">SUM(E9:E12)</f>
        <v>28132.93614997124</v>
      </c>
      <c r="F13" s="127">
        <f t="shared" si="2"/>
        <v>3164.0999999999995</v>
      </c>
      <c r="G13" s="127">
        <f t="shared" si="2"/>
        <v>80934.099999999991</v>
      </c>
      <c r="H13" s="127">
        <f t="shared" si="2"/>
        <v>147478.72</v>
      </c>
      <c r="I13" s="127">
        <f t="shared" si="2"/>
        <v>1867</v>
      </c>
      <c r="J13" s="127">
        <f t="shared" si="2"/>
        <v>60603</v>
      </c>
      <c r="K13" s="127">
        <f t="shared" si="2"/>
        <v>130003</v>
      </c>
      <c r="L13" s="127">
        <f t="shared" si="0"/>
        <v>29430.036149971238</v>
      </c>
      <c r="M13" s="128">
        <f>SUM(M9:M12)</f>
        <v>1867</v>
      </c>
      <c r="N13" s="128">
        <f>SUM(N9:N12)</f>
        <v>100</v>
      </c>
      <c r="O13" s="787"/>
      <c r="P13" s="797"/>
      <c r="Q13" s="798"/>
    </row>
    <row r="14" spans="2:21" x14ac:dyDescent="0.25">
      <c r="B14" s="687">
        <v>6</v>
      </c>
      <c r="C14" s="690" t="s">
        <v>245</v>
      </c>
      <c r="D14" s="80" t="s">
        <v>69</v>
      </c>
      <c r="E14" s="77">
        <f>Clinker!EB28</f>
        <v>5247.6769999999906</v>
      </c>
      <c r="F14" s="77">
        <f>Clinker!EC28</f>
        <v>128.22</v>
      </c>
      <c r="G14" s="77">
        <f>F14+'25'!G14</f>
        <v>128.22</v>
      </c>
      <c r="H14" s="77">
        <f>F14+'25'!H14</f>
        <v>309.72000000000003</v>
      </c>
      <c r="I14" s="77">
        <f>Clinker!ED28</f>
        <v>273.33</v>
      </c>
      <c r="J14" s="77">
        <f>I14+'25'!J14</f>
        <v>6347.67</v>
      </c>
      <c r="K14" s="77">
        <f>I14+'25'!K14</f>
        <v>13183.97</v>
      </c>
      <c r="L14" s="77">
        <f>E14+F14-Clinker!N28-Clinker!Z28-Clinker!AS28-Clinker!AX28-Clinker!BC28-Clinker!BW28-Clinker!BH28-Clinker!BM28-Clinker!BR28-Clinker!CV28</f>
        <v>5375.8969999999908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688"/>
      <c r="C15" s="691"/>
      <c r="D15" s="80" t="s">
        <v>68</v>
      </c>
      <c r="E15" s="77">
        <f>Clinker!EF28</f>
        <v>5257.3999999999933</v>
      </c>
      <c r="F15" s="77">
        <f>Clinker!EG28</f>
        <v>60.05</v>
      </c>
      <c r="G15" s="77">
        <f>F15+'25'!G15</f>
        <v>1798.3</v>
      </c>
      <c r="H15" s="77">
        <f>F15+'25'!H15</f>
        <v>1953.3500000000001</v>
      </c>
      <c r="I15" s="77">
        <f>Clinker!EH28</f>
        <v>134</v>
      </c>
      <c r="J15" s="77">
        <f>I15+'25'!J15</f>
        <v>3544</v>
      </c>
      <c r="K15" s="77">
        <f>I15+'25'!K15</f>
        <v>7413</v>
      </c>
      <c r="L15" s="77">
        <f>E15+F15-I14-Clinker!AE28-Clinker!AJ28-Clinker!CL28-Clinker!CQ28-Clinker!CG28</f>
        <v>4910.1199999999935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917"/>
      <c r="C16" s="764"/>
      <c r="D16" s="124" t="s">
        <v>150</v>
      </c>
      <c r="E16" s="125">
        <f>E14+E15</f>
        <v>10505.076999999983</v>
      </c>
      <c r="F16" s="125">
        <f>F14+F15</f>
        <v>188.26999999999998</v>
      </c>
      <c r="G16" s="125">
        <f t="shared" ref="G16:K16" si="3">G14+G15</f>
        <v>1926.52</v>
      </c>
      <c r="H16" s="125">
        <f t="shared" si="3"/>
        <v>2263.0700000000002</v>
      </c>
      <c r="I16" s="125">
        <f t="shared" si="3"/>
        <v>407.33</v>
      </c>
      <c r="J16" s="125">
        <f>J14+J15</f>
        <v>9891.67</v>
      </c>
      <c r="K16" s="125">
        <f t="shared" si="3"/>
        <v>20596.97</v>
      </c>
      <c r="L16" s="125">
        <f>E16+F16-I16</f>
        <v>10286.016999999983</v>
      </c>
      <c r="M16" s="126"/>
      <c r="N16" s="126"/>
      <c r="O16" s="924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687">
        <v>7</v>
      </c>
      <c r="C18" s="690" t="s">
        <v>247</v>
      </c>
      <c r="D18" s="85" t="s">
        <v>248</v>
      </c>
      <c r="E18" s="74">
        <f>Clinker!EJ28</f>
        <v>27172.045083254045</v>
      </c>
      <c r="F18" s="74">
        <f>Clinker!EK28</f>
        <v>1573</v>
      </c>
      <c r="G18" s="74">
        <f>F18+'25'!G18</f>
        <v>35825</v>
      </c>
      <c r="H18" s="74">
        <f>F18+'25'!H18</f>
        <v>76325</v>
      </c>
      <c r="I18" s="74">
        <f>Clinker!EL28</f>
        <v>2147.6020004236398</v>
      </c>
      <c r="J18" s="631">
        <f>I18+'25'!J18</f>
        <v>34147.217004910053</v>
      </c>
      <c r="K18" s="74">
        <f>I18+'25'!K18</f>
        <v>53009.097016796317</v>
      </c>
      <c r="L18" s="74">
        <f>E18+F18-I18-I20</f>
        <v>26597.443082830403</v>
      </c>
      <c r="M18" s="783">
        <f>((I18+I19)/(J40+J46))*100</f>
        <v>77.030200876027251</v>
      </c>
      <c r="N18" s="918"/>
      <c r="O18" s="920"/>
      <c r="P18" s="777"/>
      <c r="Q18" s="778"/>
      <c r="R18" s="190"/>
      <c r="S18" s="190"/>
    </row>
    <row r="19" spans="2:19" ht="30" x14ac:dyDescent="0.25">
      <c r="B19" s="688"/>
      <c r="C19" s="691"/>
      <c r="D19" s="85" t="s">
        <v>75</v>
      </c>
      <c r="E19" s="74">
        <f>Clinker!EO28</f>
        <v>5306.1090080001359</v>
      </c>
      <c r="F19" s="74">
        <f>Clinker!EP28</f>
        <v>0</v>
      </c>
      <c r="G19" s="74">
        <f>F19+'25'!G19</f>
        <v>150.78</v>
      </c>
      <c r="H19" s="74">
        <f>F19+'25'!H19</f>
        <v>13390.660000000003</v>
      </c>
      <c r="I19" s="74">
        <f>Clinker!EQ28</f>
        <v>0</v>
      </c>
      <c r="J19" s="74">
        <f>I19+'25'!J19</f>
        <v>0</v>
      </c>
      <c r="K19" s="74">
        <f>I19+'25'!K19</f>
        <v>16934.099999999999</v>
      </c>
      <c r="L19" s="74">
        <f>E19+F19-I19</f>
        <v>5306.1090080001359</v>
      </c>
      <c r="M19" s="784"/>
      <c r="N19" s="919"/>
      <c r="O19" s="767"/>
      <c r="P19" s="769"/>
      <c r="Q19" s="770"/>
      <c r="R19" s="190"/>
      <c r="S19" s="20"/>
    </row>
    <row r="20" spans="2:19" ht="30" x14ac:dyDescent="0.25">
      <c r="B20" s="917"/>
      <c r="C20" s="764"/>
      <c r="D20" s="86" t="s">
        <v>249</v>
      </c>
      <c r="E20" s="77"/>
      <c r="F20" s="77">
        <v>0</v>
      </c>
      <c r="G20" s="74">
        <v>0</v>
      </c>
      <c r="H20" s="74">
        <f>F20+'25'!H20</f>
        <v>0</v>
      </c>
      <c r="I20" s="77">
        <f>Clinker!EN28</f>
        <v>0</v>
      </c>
      <c r="J20" s="74">
        <f>I20+'25'!J20</f>
        <v>0</v>
      </c>
      <c r="K20" s="74">
        <f>I20+'25'!K20</f>
        <v>0</v>
      </c>
      <c r="L20" s="74"/>
      <c r="M20" s="78"/>
      <c r="N20" s="765"/>
      <c r="O20" s="767"/>
      <c r="P20" s="771"/>
      <c r="Q20" s="772"/>
      <c r="R20" s="20"/>
      <c r="S20" s="20"/>
    </row>
    <row r="21" spans="2:19" x14ac:dyDescent="0.25">
      <c r="B21" s="229">
        <v>8</v>
      </c>
      <c r="C21" s="822" t="s">
        <v>242</v>
      </c>
      <c r="D21" s="823"/>
      <c r="E21" s="77">
        <f>Cement!P28</f>
        <v>0</v>
      </c>
      <c r="F21" s="77">
        <f>Cement!Q28</f>
        <v>0</v>
      </c>
      <c r="G21" s="74">
        <f>F21+'25'!G21</f>
        <v>0</v>
      </c>
      <c r="H21" s="74">
        <f>F21+'25'!H21</f>
        <v>0</v>
      </c>
      <c r="I21" s="77">
        <f>Cement!S28</f>
        <v>556.55777669199995</v>
      </c>
      <c r="J21" s="74">
        <f>I21+'25'!J21</f>
        <v>9165.253331342361</v>
      </c>
      <c r="K21" s="74">
        <f>I21+'25'!K21</f>
        <v>17797.073323904602</v>
      </c>
      <c r="L21" s="74"/>
      <c r="M21" s="78">
        <f>(I21/(J40+J46))*100</f>
        <v>19.96261752840746</v>
      </c>
      <c r="N21" s="78"/>
      <c r="O21" s="767"/>
      <c r="P21" s="87"/>
      <c r="Q21" s="773"/>
      <c r="R21" s="20"/>
      <c r="S21" s="20"/>
    </row>
    <row r="22" spans="2:19" x14ac:dyDescent="0.25">
      <c r="B22" s="89">
        <v>9</v>
      </c>
      <c r="C22" s="822" t="s">
        <v>250</v>
      </c>
      <c r="D22" s="823"/>
      <c r="E22" s="77">
        <f>Cement!C28</f>
        <v>5034.816383252597</v>
      </c>
      <c r="F22" s="77">
        <f>Cement!D28</f>
        <v>0</v>
      </c>
      <c r="G22" s="74">
        <f>F22+'25'!G22</f>
        <v>155.72</v>
      </c>
      <c r="H22" s="74">
        <f>F22+'25'!H22</f>
        <v>2126.62</v>
      </c>
      <c r="I22" s="77">
        <f>Cement!F28</f>
        <v>146.83789531953687</v>
      </c>
      <c r="J22" s="631">
        <f>I22+'25'!J22</f>
        <v>2344.8215756652212</v>
      </c>
      <c r="K22" s="74">
        <f>I22+'25'!K22</f>
        <v>4684.0215712167201</v>
      </c>
      <c r="L22" s="74">
        <f t="shared" ref="L22:L24" si="4">E22+F22-I22</f>
        <v>4887.97848793306</v>
      </c>
      <c r="M22" s="78">
        <f>(I22/(J40+J46))*100</f>
        <v>5.2667824720063443</v>
      </c>
      <c r="N22" s="78"/>
      <c r="O22" s="767"/>
      <c r="P22" s="87"/>
      <c r="Q22" s="774"/>
      <c r="R22" s="20"/>
      <c r="S22" s="20"/>
    </row>
    <row r="23" spans="2:19" x14ac:dyDescent="0.25">
      <c r="B23" s="687">
        <v>10</v>
      </c>
      <c r="C23" s="690" t="s">
        <v>251</v>
      </c>
      <c r="D23" s="76" t="s">
        <v>252</v>
      </c>
      <c r="E23" s="77">
        <f>Cement!H28</f>
        <v>0.23999999999796273</v>
      </c>
      <c r="F23" s="77">
        <f>Cement!I28</f>
        <v>0</v>
      </c>
      <c r="G23" s="74">
        <f>F23+'25'!G23</f>
        <v>0</v>
      </c>
      <c r="H23" s="74">
        <f>F23+'25'!H23</f>
        <v>0</v>
      </c>
      <c r="I23" s="77">
        <f>Cement!J28</f>
        <v>0</v>
      </c>
      <c r="J23" s="74">
        <f>I23+'25'!J23</f>
        <v>0</v>
      </c>
      <c r="K23" s="74">
        <f>I23+'25'!K23</f>
        <v>0</v>
      </c>
      <c r="L23" s="74">
        <f t="shared" si="4"/>
        <v>0.23999999999796273</v>
      </c>
      <c r="M23" s="926"/>
      <c r="N23" s="927"/>
      <c r="O23" s="767"/>
      <c r="P23" s="777"/>
      <c r="Q23" s="778"/>
      <c r="R23" s="83"/>
      <c r="S23" s="234"/>
    </row>
    <row r="24" spans="2:19" x14ac:dyDescent="0.25">
      <c r="B24" s="917"/>
      <c r="C24" s="764"/>
      <c r="D24" s="76" t="s">
        <v>253</v>
      </c>
      <c r="E24" s="77">
        <f>Cement!L28</f>
        <v>0</v>
      </c>
      <c r="F24" s="77">
        <f>Cement!M28</f>
        <v>0</v>
      </c>
      <c r="G24" s="74">
        <f>F24+'25'!G24</f>
        <v>0</v>
      </c>
      <c r="H24" s="74">
        <f>F24+'25'!H24</f>
        <v>0</v>
      </c>
      <c r="I24" s="77">
        <f>Cement!N28</f>
        <v>0</v>
      </c>
      <c r="J24" s="74">
        <f>I24+'25'!J24</f>
        <v>0</v>
      </c>
      <c r="K24" s="74">
        <f>I24+'25'!K24</f>
        <v>0</v>
      </c>
      <c r="L24" s="74">
        <f t="shared" si="4"/>
        <v>0</v>
      </c>
      <c r="M24" s="928"/>
      <c r="N24" s="929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930" t="s">
        <v>254</v>
      </c>
      <c r="D25" s="931"/>
      <c r="E25" s="122">
        <f>E18+E19+E21+E22+E23+E24</f>
        <v>37513.210474506777</v>
      </c>
      <c r="F25" s="122">
        <f t="shared" ref="F25:H25" si="5">F18+F19+F21+F22+F23+F24</f>
        <v>1573</v>
      </c>
      <c r="G25" s="122">
        <f t="shared" si="5"/>
        <v>36131.5</v>
      </c>
      <c r="H25" s="122">
        <f t="shared" si="5"/>
        <v>91842.28</v>
      </c>
      <c r="I25" s="122">
        <f>I18+I19+I21+I22+I23+I24</f>
        <v>2850.9976724351768</v>
      </c>
      <c r="J25" s="122">
        <f>J18+J19+J21+J22+J23+J24</f>
        <v>45657.291911917637</v>
      </c>
      <c r="K25" s="122">
        <f>K18+K19+K21+K22+K23+K24</f>
        <v>92424.291911917651</v>
      </c>
      <c r="L25" s="122">
        <f>L18+L19+L21+L22+L23+L24</f>
        <v>36791.7705787636</v>
      </c>
      <c r="M25" s="932"/>
      <c r="N25" s="933"/>
      <c r="O25" s="768"/>
      <c r="P25" s="779"/>
      <c r="Q25" s="780"/>
      <c r="R25" s="83"/>
      <c r="S25" s="83"/>
    </row>
    <row r="26" spans="2:19" ht="14.45" customHeight="1" thickBot="1" x14ac:dyDescent="0.3">
      <c r="B26" s="864"/>
      <c r="C26" s="865"/>
      <c r="D26" s="865"/>
      <c r="E26" s="865"/>
      <c r="F26" s="865"/>
      <c r="G26" s="865"/>
      <c r="H26" s="865"/>
      <c r="I26" s="865"/>
      <c r="J26" s="865"/>
      <c r="K26" s="865"/>
      <c r="L26" s="865"/>
      <c r="M26" s="865"/>
      <c r="N26" s="865"/>
      <c r="O26" s="865"/>
      <c r="P26" s="865"/>
      <c r="Q26" s="866"/>
      <c r="R26" s="83"/>
      <c r="S26" s="83"/>
    </row>
    <row r="27" spans="2:19" ht="15" customHeight="1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806" t="s">
        <v>229</v>
      </c>
      <c r="C28" s="912" t="s">
        <v>256</v>
      </c>
      <c r="D28" s="913"/>
      <c r="E28" s="134" t="s">
        <v>257</v>
      </c>
      <c r="F28" s="914" t="s">
        <v>258</v>
      </c>
      <c r="G28" s="915"/>
      <c r="H28" s="916"/>
      <c r="I28" s="808" t="s">
        <v>259</v>
      </c>
      <c r="J28" s="900" t="s">
        <v>35</v>
      </c>
      <c r="K28" s="901"/>
      <c r="L28" s="848"/>
      <c r="M28" s="900" t="s">
        <v>34</v>
      </c>
      <c r="N28" s="901"/>
      <c r="O28" s="848"/>
      <c r="P28" s="808" t="s">
        <v>235</v>
      </c>
      <c r="Q28" s="795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908" t="s">
        <v>261</v>
      </c>
      <c r="D30" s="909"/>
      <c r="E30" s="92">
        <v>250</v>
      </c>
      <c r="F30" s="75">
        <f>Production2!C28</f>
        <v>17.2</v>
      </c>
      <c r="G30" s="75">
        <f>F30+'25'!G30</f>
        <v>443.44</v>
      </c>
      <c r="H30" s="75">
        <f>F30+'25'!H30</f>
        <v>875.92000000000007</v>
      </c>
      <c r="I30" s="74">
        <f>'Mines (2)'!C28+'Mines (2)'!H28+'Mines (2)'!V28+'Mines (2)'!Z28+'Mines (2)'!AD28</f>
        <v>22260.376149971242</v>
      </c>
      <c r="J30" s="74">
        <f>Production2!D28</f>
        <v>3027.4399999999996</v>
      </c>
      <c r="K30" s="74">
        <f>J30+'25'!K30</f>
        <v>76868.759999999995</v>
      </c>
      <c r="L30" s="74">
        <f>J30+'25'!L30</f>
        <v>141854.46</v>
      </c>
      <c r="M30" s="74">
        <f>I9+I21</f>
        <v>2321.5577766920001</v>
      </c>
      <c r="N30" s="631">
        <f>M30+'25'!N30</f>
        <v>66474.253331342363</v>
      </c>
      <c r="O30" s="74">
        <f>M30+'25'!O30</f>
        <v>141993.07332390462</v>
      </c>
      <c r="P30" s="74">
        <f>I30+J30-M30</f>
        <v>22966.258373279241</v>
      </c>
      <c r="Q30" s="93">
        <f>J30/F30</f>
        <v>176.01395348837207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Production2!G28</f>
        <v>14.33</v>
      </c>
      <c r="G31" s="75">
        <f>F31+'25'!G31</f>
        <v>461.7</v>
      </c>
      <c r="H31" s="75">
        <f>F31+'25'!H31</f>
        <v>954.92</v>
      </c>
      <c r="I31" s="724">
        <f>Production2!H28</f>
        <v>1531.2400168375189</v>
      </c>
      <c r="J31" s="78">
        <f>Production2!N28</f>
        <v>1681.89</v>
      </c>
      <c r="K31" s="74">
        <f>J31+'25'!K31</f>
        <v>52873.470000000008</v>
      </c>
      <c r="L31" s="74">
        <f>J31+'25'!L31</f>
        <v>111730.62000000002</v>
      </c>
      <c r="M31" s="724">
        <f>Production2!K28</f>
        <v>2438.15</v>
      </c>
      <c r="N31" s="724">
        <f>M31+'25'!N31</f>
        <v>55528.75</v>
      </c>
      <c r="O31" s="724">
        <f>M31+'25'!O31</f>
        <v>118303.74999999999</v>
      </c>
      <c r="P31" s="724">
        <f>I31+J31+J32-M31</f>
        <v>774.98001683751909</v>
      </c>
      <c r="Q31" s="96">
        <f t="shared" ref="Q31:Q46" si="6">J31/F31</f>
        <v>117.36845778087928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Production2!P28</f>
        <v>0</v>
      </c>
      <c r="G32" s="75">
        <f>F32+'25'!G32</f>
        <v>187.38</v>
      </c>
      <c r="H32" s="75">
        <f>F32+'25'!H32</f>
        <v>593.66999999999996</v>
      </c>
      <c r="I32" s="712"/>
      <c r="J32" s="78">
        <f>Production2!Q28</f>
        <v>0</v>
      </c>
      <c r="K32" s="74">
        <f>J32+'25'!K32</f>
        <v>1712.1399999999999</v>
      </c>
      <c r="L32" s="74">
        <f>J32+'25'!L32</f>
        <v>5354.3799999999992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Production2!S28</f>
        <v>16</v>
      </c>
      <c r="G33" s="75">
        <f>F33+'25'!G33</f>
        <v>414.68</v>
      </c>
      <c r="H33" s="75">
        <f>F33+'25'!H33</f>
        <v>861.05000000000007</v>
      </c>
      <c r="I33" s="77">
        <f>Production2!T28</f>
        <v>28.109999999999843</v>
      </c>
      <c r="J33" s="77">
        <f>Production2!U28</f>
        <v>246</v>
      </c>
      <c r="K33" s="74">
        <f>J33+'25'!K33</f>
        <v>5712.9</v>
      </c>
      <c r="L33" s="74">
        <f>J33+'25'!L33</f>
        <v>11865.6</v>
      </c>
      <c r="M33" s="77">
        <f>Production2!V28</f>
        <v>247</v>
      </c>
      <c r="N33" s="74">
        <f>M33+'25'!N33</f>
        <v>5726</v>
      </c>
      <c r="O33" s="74">
        <f>M33+'25'!O33</f>
        <v>11854</v>
      </c>
      <c r="P33" s="74">
        <f t="shared" ref="P33" si="7">I33+J33-M33</f>
        <v>27.109999999999843</v>
      </c>
      <c r="Q33" s="96">
        <f t="shared" si="6"/>
        <v>15.375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Production2!Y28</f>
        <v>23.05</v>
      </c>
      <c r="G34" s="75">
        <f>F34+'25'!G34</f>
        <v>576.54</v>
      </c>
      <c r="H34" s="75">
        <f>F34+'25'!H34</f>
        <v>1194.81</v>
      </c>
      <c r="I34" s="77">
        <f>Clinker!EJ28</f>
        <v>27172.045083254045</v>
      </c>
      <c r="J34" s="77">
        <f>Clinker!EK28</f>
        <v>1573</v>
      </c>
      <c r="K34" s="74">
        <f>J34+'25'!K34</f>
        <v>35825</v>
      </c>
      <c r="L34" s="74">
        <f>J34+'25'!L34</f>
        <v>76325</v>
      </c>
      <c r="M34" s="77">
        <f>Clinker!EL28</f>
        <v>2147.6020004236398</v>
      </c>
      <c r="N34" s="74">
        <f>M34+'25'!N34</f>
        <v>34147.217004910053</v>
      </c>
      <c r="O34" s="74">
        <f>M34+'25'!O34</f>
        <v>53009.097016796317</v>
      </c>
      <c r="P34" s="74">
        <f>I34+J34-M34-I20</f>
        <v>26597.443082830403</v>
      </c>
      <c r="Q34" s="96">
        <f t="shared" si="6"/>
        <v>68.242950108459866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Production2!AE28</f>
        <v>0</v>
      </c>
      <c r="G35" s="75">
        <f>F35+'25'!G35</f>
        <v>17.899999999999999</v>
      </c>
      <c r="H35" s="75">
        <f>F35+'25'!H35</f>
        <v>26.9</v>
      </c>
      <c r="I35" s="77">
        <f>Production2!BJ28</f>
        <v>332.29999999999995</v>
      </c>
      <c r="J35" s="77">
        <f>Production2!AF28</f>
        <v>0</v>
      </c>
      <c r="K35" s="74">
        <f>J35+'25'!K35</f>
        <v>1150</v>
      </c>
      <c r="L35" s="74">
        <f>J35+'25'!L35</f>
        <v>1724</v>
      </c>
      <c r="M35" s="77">
        <f>Production2!BL28</f>
        <v>214</v>
      </c>
      <c r="N35" s="74">
        <f>M35+'25'!N35</f>
        <v>2193.5</v>
      </c>
      <c r="O35" s="74">
        <f>M35+'25'!O35</f>
        <v>4588</v>
      </c>
      <c r="P35" s="74">
        <f>I35+J35+J41-M35-F59</f>
        <v>118.29999999999995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Production2!AB28</f>
        <v>20.5</v>
      </c>
      <c r="G36" s="654">
        <f>F36+'25'!G36</f>
        <v>240.90999999999997</v>
      </c>
      <c r="H36" s="654">
        <f>F36+'25'!H36</f>
        <v>447.24</v>
      </c>
      <c r="I36" s="77">
        <f>Production2!BF28</f>
        <v>1822.3979999999788</v>
      </c>
      <c r="J36" s="77">
        <f>Production2!AC28</f>
        <v>1430</v>
      </c>
      <c r="K36" s="629">
        <f>J36+'25'!K36</f>
        <v>15375</v>
      </c>
      <c r="L36" s="629">
        <f>J36+'25'!L36</f>
        <v>27804</v>
      </c>
      <c r="M36" s="77">
        <f>Production2!BH28</f>
        <v>1710.84</v>
      </c>
      <c r="N36" s="74">
        <f>M36+'25'!N36</f>
        <v>35038.729999999996</v>
      </c>
      <c r="O36" s="581">
        <f>M36+'25'!O36</f>
        <v>70207</v>
      </c>
      <c r="P36" s="74">
        <f>I36+J36+J42-M36-F57</f>
        <v>2601.5579999999791</v>
      </c>
      <c r="Q36" s="96">
        <f t="shared" si="6"/>
        <v>69.756097560975604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Production2!AH28</f>
        <v>0</v>
      </c>
      <c r="G37" s="654">
        <f>F37+'25'!G37</f>
        <v>0</v>
      </c>
      <c r="H37" s="654">
        <f>F37+'25'!H37</f>
        <v>0</v>
      </c>
      <c r="I37" s="77">
        <f>Production2!BN28</f>
        <v>9.0000000000849845E-2</v>
      </c>
      <c r="J37" s="77">
        <f>Production2!AI28</f>
        <v>0</v>
      </c>
      <c r="K37" s="629">
        <f>J37+'25'!K37</f>
        <v>0</v>
      </c>
      <c r="L37" s="629">
        <f>J37+'25'!L37</f>
        <v>0</v>
      </c>
      <c r="M37" s="77">
        <f>Production2!BP28</f>
        <v>0</v>
      </c>
      <c r="N37" s="581">
        <f>M37+'25'!N37</f>
        <v>0</v>
      </c>
      <c r="O37" s="581">
        <f>M37+'25'!O37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Production2!AK28</f>
        <v>0</v>
      </c>
      <c r="G38" s="654">
        <f>F38+'25'!G38</f>
        <v>5</v>
      </c>
      <c r="H38" s="654">
        <f>F38+'25'!H38</f>
        <v>5</v>
      </c>
      <c r="I38" s="195">
        <f>Production2!BR28</f>
        <v>275.3</v>
      </c>
      <c r="J38" s="77">
        <v>0</v>
      </c>
      <c r="K38" s="629">
        <f>J38+'25'!K38</f>
        <v>300</v>
      </c>
      <c r="L38" s="629">
        <f>J38+'25'!L38</f>
        <v>300</v>
      </c>
      <c r="M38" s="195">
        <f>Production2!BT28</f>
        <v>60</v>
      </c>
      <c r="N38" s="581">
        <f>M38+'25'!N38</f>
        <v>878</v>
      </c>
      <c r="O38" s="581">
        <f>M38+'25'!O38</f>
        <v>2725</v>
      </c>
      <c r="P38" s="74">
        <f>I38+J38+J44-M38-F59</f>
        <v>215.3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575" t="s">
        <v>304</v>
      </c>
      <c r="E39" s="580"/>
      <c r="F39" s="582">
        <f>Production2!AN28</f>
        <v>0</v>
      </c>
      <c r="G39" s="654">
        <f>F39+'25'!G39</f>
        <v>64.12</v>
      </c>
      <c r="H39" s="654">
        <f>F39+'25'!H39</f>
        <v>104.77000000000001</v>
      </c>
      <c r="I39" s="578">
        <f>Production2!BV28</f>
        <v>626.17000000000019</v>
      </c>
      <c r="J39" s="627">
        <f>Production2!AO28</f>
        <v>0</v>
      </c>
      <c r="K39" s="629">
        <f>J39+'25'!K39</f>
        <v>4116</v>
      </c>
      <c r="L39" s="629">
        <f>J39+'25'!L39</f>
        <v>6648</v>
      </c>
      <c r="M39" s="578">
        <f>Production2!BX28</f>
        <v>494.84</v>
      </c>
      <c r="N39" s="581">
        <f>M39+'25'!N39</f>
        <v>7295.5</v>
      </c>
      <c r="O39" s="581">
        <f>M39+'25'!O39</f>
        <v>12717.380000000003</v>
      </c>
      <c r="P39" s="579">
        <f>I39+J39+J45-M39-F61</f>
        <v>429.33000000000021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20.5</v>
      </c>
      <c r="G40" s="132">
        <f t="shared" ref="G40:H40" si="8">G35+G36+G37+G38+G39</f>
        <v>327.92999999999995</v>
      </c>
      <c r="H40" s="132">
        <f t="shared" si="8"/>
        <v>583.91</v>
      </c>
      <c r="I40" s="122">
        <f>I35+I36+I37+I38+I39</f>
        <v>3056.2579999999798</v>
      </c>
      <c r="J40" s="576">
        <f t="shared" ref="J40:P40" si="9">J35+J36+J37+J38+J39</f>
        <v>1430</v>
      </c>
      <c r="K40" s="576">
        <f t="shared" si="9"/>
        <v>20941</v>
      </c>
      <c r="L40" s="576">
        <f t="shared" si="9"/>
        <v>36476</v>
      </c>
      <c r="M40" s="576">
        <f t="shared" si="9"/>
        <v>2479.6799999999998</v>
      </c>
      <c r="N40" s="576">
        <f t="shared" si="9"/>
        <v>45405.729999999996</v>
      </c>
      <c r="O40" s="576">
        <f t="shared" si="9"/>
        <v>90237.23000000001</v>
      </c>
      <c r="P40" s="576">
        <f t="shared" si="9"/>
        <v>3364.5779999999809</v>
      </c>
      <c r="Q40" s="123">
        <f t="shared" si="6"/>
        <v>69.756097560975604</v>
      </c>
      <c r="R40" s="94"/>
      <c r="S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Production2!AT28</f>
        <v>0</v>
      </c>
      <c r="G41" s="75">
        <f>F41+'25'!G41</f>
        <v>12.329999999999998</v>
      </c>
      <c r="H41" s="75">
        <f>F41+'25'!H41</f>
        <v>45.43</v>
      </c>
      <c r="I41" s="710"/>
      <c r="J41" s="77">
        <f>Production2!AU28</f>
        <v>0</v>
      </c>
      <c r="K41" s="74">
        <f>J41+'25'!K41</f>
        <v>750</v>
      </c>
      <c r="L41" s="74">
        <f>J41+'25'!L41</f>
        <v>2750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Production2!AQ28</f>
        <v>17.899999999999999</v>
      </c>
      <c r="G42" s="630">
        <f>F42+'25'!G42</f>
        <v>334.07</v>
      </c>
      <c r="H42" s="654">
        <f>F42+'25'!H42</f>
        <v>750.06999999999982</v>
      </c>
      <c r="I42" s="711"/>
      <c r="J42" s="77">
        <f>Production2!AR28</f>
        <v>1060</v>
      </c>
      <c r="K42" s="629">
        <f>J42+'25'!K42</f>
        <v>19586</v>
      </c>
      <c r="L42" s="629">
        <f>J42+'25'!L42</f>
        <v>43726</v>
      </c>
      <c r="M42" s="716"/>
      <c r="N42" s="867"/>
      <c r="O42" s="867"/>
      <c r="P42" s="718"/>
      <c r="Q42" s="96">
        <f t="shared" si="6"/>
        <v>59.217877094972074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Production2!AW28</f>
        <v>0</v>
      </c>
      <c r="G43" s="654">
        <f>F43+'25'!G43</f>
        <v>0</v>
      </c>
      <c r="H43" s="654">
        <f>F43+'25'!H43</f>
        <v>0</v>
      </c>
      <c r="I43" s="711"/>
      <c r="J43" s="77">
        <f>Production2!AX28</f>
        <v>0</v>
      </c>
      <c r="K43" s="629">
        <f>J43+'25'!K43</f>
        <v>0</v>
      </c>
      <c r="L43" s="629">
        <f>J43+'25'!L43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Production2!AZ28</f>
        <v>0</v>
      </c>
      <c r="G44" s="654">
        <f>F44+'25'!G44</f>
        <v>11</v>
      </c>
      <c r="H44" s="654">
        <f>F44+'25'!H44</f>
        <v>43.88</v>
      </c>
      <c r="I44" s="711"/>
      <c r="J44" s="195">
        <f>Production2!BA28</f>
        <v>0</v>
      </c>
      <c r="K44" s="629">
        <f>J44+'25'!K44</f>
        <v>607</v>
      </c>
      <c r="L44" s="629">
        <f>J44+'25'!L44</f>
        <v>2427</v>
      </c>
      <c r="M44" s="716"/>
      <c r="N44" s="867"/>
      <c r="O44" s="86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575" t="s">
        <v>304</v>
      </c>
      <c r="E45" s="580">
        <v>70</v>
      </c>
      <c r="F45" s="577">
        <f>Production2!BC28</f>
        <v>4.8499999999999996</v>
      </c>
      <c r="G45" s="654">
        <f>F45+'25'!G45</f>
        <v>46.4</v>
      </c>
      <c r="H45" s="654">
        <f>F45+'25'!H45</f>
        <v>101.37</v>
      </c>
      <c r="I45" s="712"/>
      <c r="J45" s="578">
        <f>Production2!BD28</f>
        <v>298</v>
      </c>
      <c r="K45" s="629">
        <f>J45+'25'!K45</f>
        <v>2857</v>
      </c>
      <c r="L45" s="629">
        <f>J45+'25'!L45</f>
        <v>6129</v>
      </c>
      <c r="M45" s="719"/>
      <c r="N45" s="720"/>
      <c r="O45" s="720"/>
      <c r="P45" s="721"/>
      <c r="Q45" s="96">
        <f t="shared" si="6"/>
        <v>61.443298969072167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22.75</v>
      </c>
      <c r="G46" s="132">
        <f t="shared" ref="G46:H46" si="10">G41+G42+G43+G44+G45</f>
        <v>403.79999999999995</v>
      </c>
      <c r="H46" s="132">
        <f t="shared" si="10"/>
        <v>940.74999999999977</v>
      </c>
      <c r="I46" s="122"/>
      <c r="J46" s="122">
        <f>J41+J42+J43+J44+J45</f>
        <v>1358</v>
      </c>
      <c r="K46" s="576">
        <f>K41+K42+K43+K44+K45</f>
        <v>23800</v>
      </c>
      <c r="L46" s="576">
        <f>L41+L42+L43+L44+L45</f>
        <v>55032</v>
      </c>
      <c r="M46" s="873"/>
      <c r="N46" s="874"/>
      <c r="O46" s="874"/>
      <c r="P46" s="875"/>
      <c r="Q46" s="123">
        <f t="shared" si="6"/>
        <v>59.692307692307693</v>
      </c>
      <c r="R46" s="94"/>
      <c r="S46" s="94"/>
    </row>
    <row r="47" spans="2:19" ht="15.75" thickBot="1" x14ac:dyDescent="0.3">
      <c r="B47" s="864"/>
      <c r="C47" s="865"/>
      <c r="D47" s="865"/>
      <c r="E47" s="865"/>
      <c r="F47" s="865"/>
      <c r="G47" s="865"/>
      <c r="H47" s="865"/>
      <c r="I47" s="865"/>
      <c r="J47" s="865"/>
      <c r="K47" s="865"/>
      <c r="L47" s="865"/>
      <c r="M47" s="865"/>
      <c r="N47" s="865"/>
      <c r="O47" s="865"/>
      <c r="P47" s="865"/>
      <c r="Q47" s="866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910" t="s">
        <v>274</v>
      </c>
      <c r="D50" s="911"/>
      <c r="E50" s="99">
        <f>E53/J30</f>
        <v>0.46772190365457289</v>
      </c>
      <c r="F50" s="99">
        <f>F53/(J31+J32)</f>
        <v>24.557491869266123</v>
      </c>
      <c r="G50" s="99">
        <v>0</v>
      </c>
      <c r="H50" s="99">
        <f>H53/J34</f>
        <v>34.729179910998091</v>
      </c>
      <c r="I50" s="99">
        <f>I53/J33</f>
        <v>50.613821138211385</v>
      </c>
      <c r="J50" s="99"/>
      <c r="K50" s="99"/>
      <c r="L50" s="99"/>
      <c r="M50" s="100"/>
      <c r="N50" s="101"/>
      <c r="O50" s="908" t="s">
        <v>275</v>
      </c>
      <c r="P50" s="909"/>
      <c r="Q50" s="93">
        <f>(M33/J34)*100</f>
        <v>15.702479338842975</v>
      </c>
    </row>
    <row r="51" spans="2:19" ht="14.45" customHeight="1" x14ac:dyDescent="0.25">
      <c r="B51" s="79">
        <v>2</v>
      </c>
      <c r="C51" s="725" t="s">
        <v>276</v>
      </c>
      <c r="D51" s="726"/>
      <c r="E51" s="102">
        <f>E50*(I9/J34)</f>
        <v>0.52481192622398043</v>
      </c>
      <c r="F51" s="102">
        <f>F50*1.55</f>
        <v>38.064112397362493</v>
      </c>
      <c r="G51" s="102">
        <f>G50*1.55</f>
        <v>0</v>
      </c>
      <c r="H51" s="102">
        <f>H50</f>
        <v>34.729179910998091</v>
      </c>
      <c r="I51" s="102">
        <f>I50*(Q50/100)</f>
        <v>7.9476248068265818</v>
      </c>
      <c r="J51" s="102"/>
      <c r="K51" s="102"/>
      <c r="L51" s="102"/>
      <c r="M51" s="96"/>
      <c r="N51" s="307">
        <f>SUM(E51:I51)</f>
        <v>81.265729041411149</v>
      </c>
      <c r="O51" s="725" t="s">
        <v>277</v>
      </c>
      <c r="P51" s="726"/>
      <c r="Q51" s="104">
        <v>5378</v>
      </c>
    </row>
    <row r="52" spans="2:19" ht="14.45" customHeight="1" x14ac:dyDescent="0.25">
      <c r="B52" s="79">
        <v>3</v>
      </c>
      <c r="C52" s="902" t="s">
        <v>278</v>
      </c>
      <c r="D52" s="903"/>
      <c r="E52" s="102">
        <f>E51*M18/100</f>
        <v>0.40426368099168009</v>
      </c>
      <c r="F52" s="102">
        <f>F51*M18/100</f>
        <v>29.32086224136512</v>
      </c>
      <c r="G52" s="102">
        <f>G51*M18/100</f>
        <v>0</v>
      </c>
      <c r="H52" s="102">
        <f>H51*M18/100</f>
        <v>26.751957048038729</v>
      </c>
      <c r="I52" s="102">
        <f>I51*M18/100</f>
        <v>6.1220713535714886</v>
      </c>
      <c r="J52" s="99">
        <f>J53/(J40+J46)</f>
        <v>40.829985652797703</v>
      </c>
      <c r="K52" s="99">
        <f>K53/(J46+J40)</f>
        <v>0.7126972740315638</v>
      </c>
      <c r="L52" s="99">
        <f>L53/(M40)</f>
        <v>2.2853755323267522</v>
      </c>
      <c r="M52" s="96">
        <f>M53/(J46+J40)</f>
        <v>1.9562410329985653</v>
      </c>
      <c r="N52" s="307">
        <f>SUM(E52:M52)</f>
        <v>108.3834538161216</v>
      </c>
      <c r="O52" s="725" t="s">
        <v>279</v>
      </c>
      <c r="P52" s="726"/>
      <c r="Q52" s="104">
        <f>Q51*Q50/100</f>
        <v>844.47933884297527</v>
      </c>
    </row>
    <row r="53" spans="2:19" ht="15" customHeight="1" thickBot="1" x14ac:dyDescent="0.3">
      <c r="B53" s="90" t="s">
        <v>241</v>
      </c>
      <c r="C53" s="906" t="s">
        <v>280</v>
      </c>
      <c r="D53" s="907"/>
      <c r="E53" s="118">
        <f>'Daily unit'!B28</f>
        <v>1416</v>
      </c>
      <c r="F53" s="118">
        <f>'Daily unit'!C28</f>
        <v>41303</v>
      </c>
      <c r="G53" s="118">
        <f>'Daily unit'!D28</f>
        <v>0</v>
      </c>
      <c r="H53" s="118">
        <f>'Daily unit'!E28</f>
        <v>54629</v>
      </c>
      <c r="I53" s="118">
        <f>'Daily unit'!F28</f>
        <v>12451</v>
      </c>
      <c r="J53" s="118">
        <f>'Daily unit'!G28</f>
        <v>113834</v>
      </c>
      <c r="K53" s="118">
        <f>'Daily unit'!H28</f>
        <v>1987</v>
      </c>
      <c r="L53" s="118">
        <f>'Daily unit'!I28</f>
        <v>5667</v>
      </c>
      <c r="M53" s="119">
        <f>'Daily unit'!J28</f>
        <v>5454</v>
      </c>
      <c r="N53" s="318">
        <f>SUM(E53:M53)</f>
        <v>236741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936" t="s">
        <v>281</v>
      </c>
      <c r="C55" s="707"/>
      <c r="D55" s="707"/>
      <c r="E55" s="707"/>
      <c r="F55" s="707"/>
      <c r="G55" s="707"/>
      <c r="H55" s="879"/>
      <c r="I55" s="889" t="s">
        <v>282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224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9" ht="14.45" customHeight="1" x14ac:dyDescent="0.25">
      <c r="B57" s="876">
        <v>1</v>
      </c>
      <c r="C57" s="701" t="s">
        <v>285</v>
      </c>
      <c r="D57" s="701"/>
      <c r="E57" s="644">
        <v>42.5</v>
      </c>
      <c r="F57" s="645">
        <f>'Internal use cement'!F28</f>
        <v>0</v>
      </c>
      <c r="G57" s="645">
        <f>F57+'25'!G57</f>
        <v>0</v>
      </c>
      <c r="H57" s="104">
        <f>F57+'25'!H57</f>
        <v>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9" ht="14.45" customHeight="1" x14ac:dyDescent="0.25">
      <c r="B58" s="861"/>
      <c r="C58" s="896"/>
      <c r="D58" s="896"/>
      <c r="E58" s="644" t="s">
        <v>195</v>
      </c>
      <c r="F58" s="645">
        <f>'Internal use cement'!Q28</f>
        <v>0</v>
      </c>
      <c r="G58" s="645">
        <f>F58+'25'!G58</f>
        <v>2</v>
      </c>
      <c r="H58" s="104">
        <f>F58+'25'!H58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9" ht="15" customHeight="1" x14ac:dyDescent="0.25">
      <c r="B59" s="861"/>
      <c r="C59" s="896"/>
      <c r="D59" s="896"/>
      <c r="E59" s="644">
        <v>32.5</v>
      </c>
      <c r="F59" s="645">
        <f>'Internal use cement'!Y28</f>
        <v>0</v>
      </c>
      <c r="G59" s="645">
        <f>F59+'25'!G59</f>
        <v>0</v>
      </c>
      <c r="H59" s="104">
        <f>F59+'25'!H59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9" ht="15" customHeight="1" x14ac:dyDescent="0.25">
      <c r="B60" s="861"/>
      <c r="C60" s="896"/>
      <c r="D60" s="896"/>
      <c r="E60" s="644" t="s">
        <v>175</v>
      </c>
      <c r="F60" s="645">
        <f>'Internal use cement'!AJ28</f>
        <v>0</v>
      </c>
      <c r="G60" s="645">
        <f>F60+'25'!G60</f>
        <v>0</v>
      </c>
      <c r="H60" s="104">
        <f>F60+'25'!H60</f>
        <v>0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9" ht="15.75" thickBot="1" x14ac:dyDescent="0.3">
      <c r="B61" s="862"/>
      <c r="C61" s="703"/>
      <c r="D61" s="703"/>
      <c r="E61" s="651" t="s">
        <v>350</v>
      </c>
      <c r="F61" s="652">
        <f>'Internal use cement'!AO28</f>
        <v>0</v>
      </c>
      <c r="G61" s="645">
        <f>F61+'25'!G61</f>
        <v>4</v>
      </c>
      <c r="H61" s="104">
        <f>F61+'25'!H61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94"/>
      <c r="S61" s="94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109"/>
      <c r="S64" s="109"/>
    </row>
    <row r="65" spans="2:19" x14ac:dyDescent="0.25">
      <c r="R65" s="94"/>
      <c r="S65" s="94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</sheetData>
  <mergeCells count="86">
    <mergeCell ref="B14:B16"/>
    <mergeCell ref="C14:C16"/>
    <mergeCell ref="C17:Q17"/>
    <mergeCell ref="B18:B20"/>
    <mergeCell ref="C18:C20"/>
    <mergeCell ref="N18:N20"/>
    <mergeCell ref="O18:O25"/>
    <mergeCell ref="P23:Q25"/>
    <mergeCell ref="C25:D25"/>
    <mergeCell ref="M25:N25"/>
    <mergeCell ref="B23:B24"/>
    <mergeCell ref="C23:C24"/>
    <mergeCell ref="M23:N24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P18:Q20"/>
    <mergeCell ref="Q21:Q22"/>
    <mergeCell ref="C22:D22"/>
    <mergeCell ref="C21:D21"/>
    <mergeCell ref="M18:M19"/>
    <mergeCell ref="C9:D9"/>
    <mergeCell ref="C8:Q8"/>
    <mergeCell ref="C11:D11"/>
    <mergeCell ref="C12:D12"/>
    <mergeCell ref="C13:D13"/>
    <mergeCell ref="P13:Q13"/>
    <mergeCell ref="O9:O16"/>
    <mergeCell ref="C10:D10"/>
    <mergeCell ref="B26:Q26"/>
    <mergeCell ref="B27:Q27"/>
    <mergeCell ref="B28:B29"/>
    <mergeCell ref="C28:D29"/>
    <mergeCell ref="F28:H28"/>
    <mergeCell ref="I28:I29"/>
    <mergeCell ref="J28:L28"/>
    <mergeCell ref="C30:D30"/>
    <mergeCell ref="C31:D31"/>
    <mergeCell ref="C33:D33"/>
    <mergeCell ref="C34:D34"/>
    <mergeCell ref="O31:O32"/>
    <mergeCell ref="B2:Q2"/>
    <mergeCell ref="B3:Q3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B41:B46"/>
    <mergeCell ref="C41:C46"/>
    <mergeCell ref="M28:O28"/>
    <mergeCell ref="P28:P29"/>
    <mergeCell ref="Q28:Q29"/>
    <mergeCell ref="C35:C40"/>
    <mergeCell ref="C32:D32"/>
    <mergeCell ref="O52:P52"/>
    <mergeCell ref="C53:D53"/>
    <mergeCell ref="M46:P46"/>
    <mergeCell ref="B48:N48"/>
    <mergeCell ref="O48:Q48"/>
    <mergeCell ref="B35:B40"/>
    <mergeCell ref="P31:P32"/>
    <mergeCell ref="I41:I45"/>
    <mergeCell ref="I31:I32"/>
    <mergeCell ref="M31:M32"/>
    <mergeCell ref="N31:N32"/>
    <mergeCell ref="M41:P45"/>
    <mergeCell ref="I55:Q61"/>
    <mergeCell ref="C57:D61"/>
    <mergeCell ref="B57:B61"/>
    <mergeCell ref="O51:P51"/>
    <mergeCell ref="C52:D52"/>
  </mergeCells>
  <pageMargins left="0" right="0" top="0.75" bottom="0.75" header="0.3" footer="0.3"/>
  <pageSetup paperSize="9" scale="55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7"/>
  <dimension ref="B2:U154"/>
  <sheetViews>
    <sheetView zoomScale="90" zoomScaleNormal="90" workbookViewId="0">
      <pane xSplit="4" ySplit="1" topLeftCell="E35" activePane="bottomRight" state="frozen"/>
      <selection pane="topRight" activeCell="E1" sqref="E1"/>
      <selection pane="bottomLeft" activeCell="A6" sqref="A6"/>
      <selection pane="bottomRight" activeCell="H36" sqref="H36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344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89">
        <v>1</v>
      </c>
      <c r="C9" s="822" t="s">
        <v>242</v>
      </c>
      <c r="D9" s="823"/>
      <c r="E9" s="74">
        <f>'26'!L9</f>
        <v>22966.258373279241</v>
      </c>
      <c r="F9" s="74">
        <f>Production2!D29</f>
        <v>3067.12</v>
      </c>
      <c r="G9" s="74">
        <f>F9+'26'!G9</f>
        <v>79935.87999999999</v>
      </c>
      <c r="H9" s="74">
        <f>F9+'26'!H9</f>
        <v>144921.57999999999</v>
      </c>
      <c r="I9" s="74">
        <f>Production2!E29</f>
        <v>3083</v>
      </c>
      <c r="J9" s="74">
        <f>I9+'26'!J9</f>
        <v>60392</v>
      </c>
      <c r="K9" s="74">
        <f>I9+'26'!K9</f>
        <v>127279</v>
      </c>
      <c r="L9" s="74">
        <f>E9+F9-I9-I21</f>
        <v>22364.378373279244</v>
      </c>
      <c r="M9" s="75">
        <f>I9</f>
        <v>3083</v>
      </c>
      <c r="N9" s="75">
        <f>(I9/I13)*100</f>
        <v>96.980182447310469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(2)'!L29</f>
        <v>2942.26</v>
      </c>
      <c r="F10" s="77">
        <f>'Mines (2)'!M29</f>
        <v>0</v>
      </c>
      <c r="G10" s="74">
        <f>F10+'26'!G10</f>
        <v>3717.7600000000011</v>
      </c>
      <c r="H10" s="74">
        <f>F10+'26'!H10</f>
        <v>5069.2199999999993</v>
      </c>
      <c r="I10" s="77">
        <f>'Mines (2)'!N29</f>
        <v>32</v>
      </c>
      <c r="J10" s="74">
        <f>I10+'26'!J10</f>
        <v>1754</v>
      </c>
      <c r="K10" s="74">
        <f>I10+'26'!K10</f>
        <v>2283</v>
      </c>
      <c r="L10" s="77">
        <f t="shared" ref="L10:L13" si="0">E10+F10-I10</f>
        <v>2910.26</v>
      </c>
      <c r="M10" s="75">
        <f t="shared" ref="M10:M12" si="1">I10</f>
        <v>32</v>
      </c>
      <c r="N10" s="75">
        <f>(I10/I13)*100</f>
        <v>1.0066058508965083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Clinker!C29</f>
        <v>2964.92</v>
      </c>
      <c r="F11" s="77">
        <f>Clinker!D29</f>
        <v>0</v>
      </c>
      <c r="G11" s="74">
        <f>F11+'26'!G11</f>
        <v>347.58000000000004</v>
      </c>
      <c r="H11" s="74">
        <f>F11+'26'!H11</f>
        <v>417.28000000000003</v>
      </c>
      <c r="I11" s="77">
        <f>Clinker!E29</f>
        <v>64</v>
      </c>
      <c r="J11" s="74">
        <f>I11+'26'!J11</f>
        <v>1445</v>
      </c>
      <c r="K11" s="74">
        <f>I11+'26'!K11</f>
        <v>2882</v>
      </c>
      <c r="L11" s="77">
        <f t="shared" si="0"/>
        <v>2900.92</v>
      </c>
      <c r="M11" s="75">
        <f t="shared" si="1"/>
        <v>64</v>
      </c>
      <c r="N11" s="75">
        <f>(I11/I13)*100</f>
        <v>2.0132117017930167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(2)'!Q29</f>
        <v>3.999999999996362E-2</v>
      </c>
      <c r="F12" s="77">
        <f>'Mines (2)'!R29</f>
        <v>0</v>
      </c>
      <c r="G12" s="74">
        <f>F12+'26'!G12</f>
        <v>0</v>
      </c>
      <c r="H12" s="74">
        <f>F12+'26'!H12</f>
        <v>137.76</v>
      </c>
      <c r="I12" s="77">
        <f>'Mines (2)'!S29</f>
        <v>0</v>
      </c>
      <c r="J12" s="74">
        <f>I12+'26'!J12</f>
        <v>191</v>
      </c>
      <c r="K12" s="74">
        <f>I12+'26'!K12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28873.478373279242</v>
      </c>
      <c r="F13" s="127">
        <f t="shared" si="2"/>
        <v>3067.12</v>
      </c>
      <c r="G13" s="127">
        <f t="shared" si="2"/>
        <v>84001.219999999987</v>
      </c>
      <c r="H13" s="127">
        <f t="shared" si="2"/>
        <v>150545.84</v>
      </c>
      <c r="I13" s="127">
        <f t="shared" si="2"/>
        <v>3179</v>
      </c>
      <c r="J13" s="127">
        <f t="shared" si="2"/>
        <v>63782</v>
      </c>
      <c r="K13" s="127">
        <f t="shared" si="2"/>
        <v>133182</v>
      </c>
      <c r="L13" s="127">
        <f t="shared" si="0"/>
        <v>28761.598373279241</v>
      </c>
      <c r="M13" s="128">
        <f>SUM(M9:M12)</f>
        <v>3179</v>
      </c>
      <c r="N13" s="128">
        <f>SUM(N9:N12)</f>
        <v>99.999999999999986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Clinker!EB29</f>
        <v>5375.8969999999908</v>
      </c>
      <c r="F14" s="77">
        <f>Clinker!EC29</f>
        <v>0</v>
      </c>
      <c r="G14" s="77">
        <f>F14+'26'!G14</f>
        <v>128.22</v>
      </c>
      <c r="H14" s="77">
        <f>F14+'26'!H14</f>
        <v>309.72000000000003</v>
      </c>
      <c r="I14" s="77">
        <f>Clinker!ED29</f>
        <v>290</v>
      </c>
      <c r="J14" s="77">
        <f>I14+'26'!J14</f>
        <v>6637.67</v>
      </c>
      <c r="K14" s="77">
        <f>I14+'26'!K14</f>
        <v>13473.97</v>
      </c>
      <c r="L14" s="77">
        <f>E14+F14-Clinker!N29-Clinker!Z29-Clinker!AS29-Clinker!AX29-Clinker!BC29-Clinker!BW29-Clinker!BH29-Clinker!BM29-Clinker!BR29-Clinker!CV29-Clinker!DF29-Clinker!DP29</f>
        <v>5375.8969999999908</v>
      </c>
      <c r="M14" s="81"/>
      <c r="N14" s="81"/>
      <c r="O14" s="787"/>
      <c r="P14" s="82">
        <v>10</v>
      </c>
      <c r="Q14" s="264">
        <v>0.1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Clinker!EF29</f>
        <v>4910.1199999999935</v>
      </c>
      <c r="F15" s="77">
        <f>Clinker!EG29</f>
        <v>0</v>
      </c>
      <c r="G15" s="77">
        <f>F15+'26'!G15</f>
        <v>1798.3</v>
      </c>
      <c r="H15" s="77">
        <f>F15+'26'!H15</f>
        <v>1953.3500000000001</v>
      </c>
      <c r="I15" s="77">
        <f>Clinker!EH29</f>
        <v>148</v>
      </c>
      <c r="J15" s="77">
        <f>I15+'26'!J15</f>
        <v>3692</v>
      </c>
      <c r="K15" s="77">
        <f>I15+'26'!K15</f>
        <v>7561</v>
      </c>
      <c r="L15" s="77">
        <f>E15+F15-I14-Clinker!AE29-Clinker!AJ29-Clinker!CL29-Clinker!CQ29-Clinker!CG29</f>
        <v>4472.1199999999935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10286.016999999985</v>
      </c>
      <c r="F16" s="125">
        <f>F14+F15</f>
        <v>0</v>
      </c>
      <c r="G16" s="125">
        <f t="shared" ref="G16:L16" si="3">G14+G15</f>
        <v>1926.52</v>
      </c>
      <c r="H16" s="125">
        <f t="shared" si="3"/>
        <v>2263.0700000000002</v>
      </c>
      <c r="I16" s="125">
        <f t="shared" si="3"/>
        <v>438</v>
      </c>
      <c r="J16" s="125">
        <f>J14+J15</f>
        <v>10329.67</v>
      </c>
      <c r="K16" s="125">
        <f t="shared" si="3"/>
        <v>21034.97</v>
      </c>
      <c r="L16" s="125">
        <f t="shared" si="3"/>
        <v>9848.0169999999853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Clinker!EJ29</f>
        <v>26597.443082830403</v>
      </c>
      <c r="F18" s="74">
        <f>Clinker!EK29</f>
        <v>1660</v>
      </c>
      <c r="G18" s="74">
        <f>F18+'26'!G18</f>
        <v>37485</v>
      </c>
      <c r="H18" s="74">
        <f>F18+'26'!H18</f>
        <v>77985</v>
      </c>
      <c r="I18" s="74">
        <f>Clinker!EL29</f>
        <v>1961.6000000000017</v>
      </c>
      <c r="J18" s="74">
        <f>I18+'26'!J18</f>
        <v>36108.817004910052</v>
      </c>
      <c r="K18" s="74">
        <f>I18+'26'!K18</f>
        <v>54970.697016796315</v>
      </c>
      <c r="L18" s="74">
        <f>E18+F18-I18-I20</f>
        <v>26295.843082830401</v>
      </c>
      <c r="M18" s="783">
        <f>((I18+I19)/(J40+J46))*100</f>
        <v>74.870229007633654</v>
      </c>
      <c r="N18" s="765"/>
      <c r="O18" s="767"/>
      <c r="P18" s="769"/>
      <c r="Q18" s="770"/>
      <c r="R18" s="20"/>
      <c r="S18" s="190"/>
    </row>
    <row r="19" spans="2:19" ht="45" x14ac:dyDescent="0.25">
      <c r="B19" s="763"/>
      <c r="C19" s="691"/>
      <c r="D19" s="85" t="s">
        <v>75</v>
      </c>
      <c r="E19" s="74">
        <f>Clinker!EO29</f>
        <v>5306.1090080001359</v>
      </c>
      <c r="F19" s="74">
        <f>Clinker!EP29</f>
        <v>0</v>
      </c>
      <c r="G19" s="74">
        <f>F19+'26'!G19</f>
        <v>150.78</v>
      </c>
      <c r="H19" s="74">
        <f>F19+'26'!H19</f>
        <v>13390.660000000003</v>
      </c>
      <c r="I19" s="74">
        <f>Clinker!EQ29</f>
        <v>0</v>
      </c>
      <c r="J19" s="74">
        <f>I19+'26'!J19</f>
        <v>0</v>
      </c>
      <c r="K19" s="74">
        <f>I19+'26'!K19</f>
        <v>16934.099999999999</v>
      </c>
      <c r="L19" s="74">
        <f>E19+F19-I19</f>
        <v>5306.1090080001359</v>
      </c>
      <c r="M19" s="784"/>
      <c r="N19" s="765"/>
      <c r="O19" s="767"/>
      <c r="P19" s="769"/>
      <c r="Q19" s="770"/>
      <c r="R19" s="20"/>
      <c r="S19" s="20"/>
    </row>
    <row r="20" spans="2:19" ht="30" x14ac:dyDescent="0.25">
      <c r="B20" s="763"/>
      <c r="C20" s="764"/>
      <c r="D20" s="86" t="s">
        <v>249</v>
      </c>
      <c r="E20" s="77"/>
      <c r="F20" s="77">
        <v>0</v>
      </c>
      <c r="G20" s="74">
        <v>0</v>
      </c>
      <c r="H20" s="74">
        <f>F20+'26'!H20</f>
        <v>0</v>
      </c>
      <c r="I20" s="77">
        <f>Clinker!EN29</f>
        <v>0</v>
      </c>
      <c r="J20" s="74">
        <f>I20+'26'!J20</f>
        <v>0</v>
      </c>
      <c r="K20" s="74">
        <f>I20+'26'!K20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73" t="s">
        <v>242</v>
      </c>
      <c r="D21" s="88"/>
      <c r="E21" s="77"/>
      <c r="F21" s="77"/>
      <c r="G21" s="74"/>
      <c r="H21" s="74"/>
      <c r="I21" s="77">
        <f>Cement!S29</f>
        <v>585.99999999999807</v>
      </c>
      <c r="J21" s="74">
        <f>I21+'26'!J21</f>
        <v>9751.2533313423592</v>
      </c>
      <c r="K21" s="74">
        <f>I21+'26'!K21</f>
        <v>18383.073323904599</v>
      </c>
      <c r="L21" s="74"/>
      <c r="M21" s="78">
        <f>(I21/(J40+J46))*100</f>
        <v>22.366412213740382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Cement!C29</f>
        <v>4887.97848793306</v>
      </c>
      <c r="F22" s="77">
        <f>Cement!D29</f>
        <v>0</v>
      </c>
      <c r="G22" s="74">
        <f>F22+'26'!G22</f>
        <v>155.72</v>
      </c>
      <c r="H22" s="74">
        <f>F22+'26'!H22</f>
        <v>2126.62</v>
      </c>
      <c r="I22" s="77">
        <f>Cement!F29</f>
        <v>137.89473684210526</v>
      </c>
      <c r="J22" s="74">
        <f>I22+'26'!J22</f>
        <v>2482.7163125073266</v>
      </c>
      <c r="K22" s="74">
        <f>I22+'26'!K22</f>
        <v>4821.9163080588251</v>
      </c>
      <c r="L22" s="74">
        <f t="shared" ref="L22:L24" si="4">E22+F22-I22</f>
        <v>4750.083751090955</v>
      </c>
      <c r="M22" s="78">
        <f>(I22/(J40+J46))*100</f>
        <v>5.2631578947368416</v>
      </c>
      <c r="N22" s="78"/>
      <c r="O22" s="767"/>
      <c r="P22" s="87">
        <v>4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Cement!H29</f>
        <v>0.23999999999796273</v>
      </c>
      <c r="F23" s="77">
        <f>Cement!I29</f>
        <v>0</v>
      </c>
      <c r="G23" s="74">
        <f>F23+'26'!G23</f>
        <v>0</v>
      </c>
      <c r="H23" s="74">
        <f>F23+'26'!H23</f>
        <v>0</v>
      </c>
      <c r="I23" s="77">
        <f>Cement!J29</f>
        <v>0</v>
      </c>
      <c r="J23" s="74">
        <f>I23+'26'!J23</f>
        <v>0</v>
      </c>
      <c r="K23" s="74">
        <f>I23+'26'!K23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Cement!L29</f>
        <v>0</v>
      </c>
      <c r="F24" s="77">
        <f>Cement!M29</f>
        <v>0</v>
      </c>
      <c r="G24" s="74">
        <f>F24+'26'!G24</f>
        <v>0</v>
      </c>
      <c r="H24" s="74">
        <f>F24+'26'!H24</f>
        <v>0</v>
      </c>
      <c r="I24" s="77">
        <f>Cement!N29</f>
        <v>0</v>
      </c>
      <c r="J24" s="74">
        <f>I24+'26'!J24</f>
        <v>0</v>
      </c>
      <c r="K24" s="74">
        <f>I24+'26'!K24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36791.7705787636</v>
      </c>
      <c r="F25" s="122">
        <f t="shared" ref="F25:L25" si="5">F18+F19+F21+F22+F23+F24</f>
        <v>1660</v>
      </c>
      <c r="G25" s="122">
        <f t="shared" si="5"/>
        <v>37791.5</v>
      </c>
      <c r="H25" s="122">
        <f t="shared" si="5"/>
        <v>93502.28</v>
      </c>
      <c r="I25" s="122">
        <f t="shared" si="5"/>
        <v>2685.4947368421053</v>
      </c>
      <c r="J25" s="122">
        <f t="shared" si="5"/>
        <v>48342.786648759735</v>
      </c>
      <c r="K25" s="122">
        <f t="shared" si="5"/>
        <v>95109.78664875972</v>
      </c>
      <c r="L25" s="122">
        <f t="shared" si="5"/>
        <v>36352.275841921488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Production2!C29</f>
        <v>18.27</v>
      </c>
      <c r="G30" s="75">
        <f>F30+'26'!G30</f>
        <v>461.71</v>
      </c>
      <c r="H30" s="75">
        <f>F30+'26'!H30</f>
        <v>894.19</v>
      </c>
      <c r="I30" s="74">
        <f>'Mines (2)'!C29+'Mines (2)'!H29+'Mines (2)'!V29+'Mines (2)'!Z29+'Mines (2)'!AD29</f>
        <v>22966.258373279245</v>
      </c>
      <c r="J30" s="74">
        <f>Production2!D29</f>
        <v>3067.12</v>
      </c>
      <c r="K30" s="605">
        <f>J30+'26'!K30</f>
        <v>79935.87999999999</v>
      </c>
      <c r="L30" s="74">
        <f>J30+'26'!L30</f>
        <v>144921.57999999999</v>
      </c>
      <c r="M30" s="74">
        <f>I9+I21</f>
        <v>3668.9999999999982</v>
      </c>
      <c r="N30" s="74">
        <f>M30+'26'!N30</f>
        <v>70143.253331342363</v>
      </c>
      <c r="O30" s="74">
        <f>M30+'26'!O30</f>
        <v>145662.07332390462</v>
      </c>
      <c r="P30" s="74">
        <f>I30+J30-M30</f>
        <v>22364.378373279244</v>
      </c>
      <c r="Q30" s="93">
        <f>J30/F30</f>
        <v>167.87739463601531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Production2!G29</f>
        <v>23.25</v>
      </c>
      <c r="G31" s="75">
        <f>F31+'26'!G31</f>
        <v>484.95</v>
      </c>
      <c r="H31" s="75">
        <f>F31+'26'!H31</f>
        <v>978.17</v>
      </c>
      <c r="I31" s="724">
        <f>Production2!H29</f>
        <v>774.98001683751909</v>
      </c>
      <c r="J31" s="78">
        <f>Production2!N29</f>
        <v>2863.02</v>
      </c>
      <c r="K31" s="629">
        <f>J31+'26'!K31</f>
        <v>55736.490000000005</v>
      </c>
      <c r="L31" s="74">
        <f>J31+'26'!L31</f>
        <v>114593.64000000003</v>
      </c>
      <c r="M31" s="724">
        <f>Production2!K29</f>
        <v>2573</v>
      </c>
      <c r="N31" s="724">
        <f>M31+'26'!N31</f>
        <v>58101.75</v>
      </c>
      <c r="O31" s="724">
        <f>M31+'26'!O31</f>
        <v>120876.74999999999</v>
      </c>
      <c r="P31" s="724">
        <f>I31+J31+J32-M31</f>
        <v>1065.0000168375191</v>
      </c>
      <c r="Q31" s="96">
        <f t="shared" ref="Q31:Q45" si="6">J31/F31</f>
        <v>123.14064516129032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Production2!P29</f>
        <v>0</v>
      </c>
      <c r="G32" s="75">
        <f>F32+'26'!G32</f>
        <v>187.38</v>
      </c>
      <c r="H32" s="75">
        <f>F32+'26'!H32</f>
        <v>593.66999999999996</v>
      </c>
      <c r="I32" s="712"/>
      <c r="J32" s="78">
        <f>Production2!Q29</f>
        <v>0</v>
      </c>
      <c r="K32" s="629">
        <f>J32+'26'!K32</f>
        <v>1712.1399999999999</v>
      </c>
      <c r="L32" s="74">
        <f>J32+'26'!L32</f>
        <v>5354.3799999999992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3</v>
      </c>
      <c r="C33" s="725" t="s">
        <v>145</v>
      </c>
      <c r="D33" s="726"/>
      <c r="E33" s="95">
        <v>10</v>
      </c>
      <c r="F33" s="78">
        <f>Production2!S29</f>
        <v>17.420000000000002</v>
      </c>
      <c r="G33" s="75">
        <f>F33+'26'!G33</f>
        <v>432.1</v>
      </c>
      <c r="H33" s="75">
        <f>F33+'26'!H33</f>
        <v>878.47</v>
      </c>
      <c r="I33" s="77">
        <f>Production2!T29</f>
        <v>27.109999999999843</v>
      </c>
      <c r="J33" s="77">
        <f>Production2!U29</f>
        <v>261</v>
      </c>
      <c r="K33" s="74">
        <f>J33+'26'!K33</f>
        <v>5973.9</v>
      </c>
      <c r="L33" s="74">
        <f>J33+'26'!L33</f>
        <v>12126.6</v>
      </c>
      <c r="M33" s="77">
        <f>Production2!V29</f>
        <v>253</v>
      </c>
      <c r="N33" s="74">
        <f>M33+'26'!N33</f>
        <v>5979</v>
      </c>
      <c r="O33" s="74">
        <f>M33+'26'!O33</f>
        <v>12107</v>
      </c>
      <c r="P33" s="74">
        <f t="shared" ref="P33" si="7">I33+J33-M33</f>
        <v>35.109999999999843</v>
      </c>
      <c r="Q33" s="96">
        <f t="shared" si="6"/>
        <v>14.982778415614234</v>
      </c>
      <c r="R33" s="94"/>
      <c r="S33" s="94"/>
    </row>
    <row r="34" spans="2:19" x14ac:dyDescent="0.25">
      <c r="B34" s="79">
        <v>4</v>
      </c>
      <c r="C34" s="725" t="s">
        <v>69</v>
      </c>
      <c r="D34" s="726"/>
      <c r="E34" s="95">
        <v>50</v>
      </c>
      <c r="F34" s="78">
        <f>Production2!Y29</f>
        <v>24</v>
      </c>
      <c r="G34" s="75">
        <f>F34+'26'!G34</f>
        <v>600.54</v>
      </c>
      <c r="H34" s="75">
        <f>F34+'26'!H34</f>
        <v>1218.81</v>
      </c>
      <c r="I34" s="77">
        <f>Clinker!EJ29</f>
        <v>26597.443082830403</v>
      </c>
      <c r="J34" s="77">
        <f>Clinker!EK29</f>
        <v>1660</v>
      </c>
      <c r="K34" s="74">
        <f>J34+'26'!K34</f>
        <v>37485</v>
      </c>
      <c r="L34" s="74">
        <f>J34+'26'!L34</f>
        <v>77985</v>
      </c>
      <c r="M34" s="77">
        <f>Clinker!EL29</f>
        <v>1961.6000000000017</v>
      </c>
      <c r="N34" s="74">
        <f>M34+'26'!N34</f>
        <v>36108.817004910052</v>
      </c>
      <c r="O34" s="74">
        <f>M34+'26'!O34</f>
        <v>54970.697016796315</v>
      </c>
      <c r="P34" s="74">
        <f>I34+J34-M34-I20</f>
        <v>26295.843082830401</v>
      </c>
      <c r="Q34" s="96">
        <f t="shared" si="6"/>
        <v>69.166666666666671</v>
      </c>
      <c r="R34" s="94"/>
      <c r="S34" s="94"/>
    </row>
    <row r="35" spans="2:19" x14ac:dyDescent="0.25">
      <c r="B35" s="687">
        <v>5</v>
      </c>
      <c r="C35" s="690" t="s">
        <v>146</v>
      </c>
      <c r="D35" s="80" t="s">
        <v>265</v>
      </c>
      <c r="E35" s="97">
        <v>90</v>
      </c>
      <c r="F35" s="78">
        <f>Production2!AE29</f>
        <v>5.8</v>
      </c>
      <c r="G35" s="75">
        <f>F35+'26'!G35</f>
        <v>23.7</v>
      </c>
      <c r="H35" s="75">
        <f>F35+'26'!H35</f>
        <v>32.699999999999996</v>
      </c>
      <c r="I35" s="77">
        <f>Production2!BJ29</f>
        <v>118.29999999999995</v>
      </c>
      <c r="J35" s="77">
        <f>Production2!AF29</f>
        <v>410</v>
      </c>
      <c r="K35" s="74">
        <f>J35+'26'!K35</f>
        <v>1560</v>
      </c>
      <c r="L35" s="74">
        <f>J35+'26'!L35</f>
        <v>2134</v>
      </c>
      <c r="M35" s="77">
        <f>Production2!BL29</f>
        <v>160</v>
      </c>
      <c r="N35" s="75">
        <f>M35+'26'!N35</f>
        <v>2353.5</v>
      </c>
      <c r="O35" s="75">
        <f>M35+'26'!O35</f>
        <v>4748</v>
      </c>
      <c r="P35" s="74">
        <f>I35+J35+J41-M35-F59</f>
        <v>368.29999999999995</v>
      </c>
      <c r="Q35" s="96">
        <f t="shared" si="6"/>
        <v>70.689655172413794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Production2!AB29</f>
        <v>3.72</v>
      </c>
      <c r="G36" s="75">
        <f>F36+'26'!G36</f>
        <v>244.62999999999997</v>
      </c>
      <c r="H36" s="75">
        <f>F36+'26'!H36</f>
        <v>450.96000000000004</v>
      </c>
      <c r="I36" s="77">
        <f>Production2!BF29</f>
        <v>2601.5579999999791</v>
      </c>
      <c r="J36" s="77">
        <f>Production2!AC29</f>
        <v>260</v>
      </c>
      <c r="K36" s="629">
        <f>J36+'26'!K36</f>
        <v>15635</v>
      </c>
      <c r="L36" s="629">
        <f>J36+'26'!L36</f>
        <v>28064</v>
      </c>
      <c r="M36" s="77">
        <f>Production2!BH29</f>
        <v>2063.4</v>
      </c>
      <c r="N36" s="75">
        <f>M36+'26'!N36</f>
        <v>37102.129999999997</v>
      </c>
      <c r="O36" s="74">
        <f>M36+'26'!O36</f>
        <v>72270.399999999994</v>
      </c>
      <c r="P36" s="74">
        <f>I36+J36+J42-M36-F57</f>
        <v>2338.157999999979</v>
      </c>
      <c r="Q36" s="96">
        <f t="shared" si="6"/>
        <v>69.892473118279568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Production2!AH29</f>
        <v>0</v>
      </c>
      <c r="G37" s="654">
        <f>F37+'26'!G37</f>
        <v>0</v>
      </c>
      <c r="H37" s="654">
        <f>F37+'26'!H37</f>
        <v>0</v>
      </c>
      <c r="I37" s="77">
        <f>Production2!BN29</f>
        <v>9.0000000000849845E-2</v>
      </c>
      <c r="J37" s="77">
        <f>Production2!AI29</f>
        <v>0</v>
      </c>
      <c r="K37" s="629">
        <f>J37+'26'!K37</f>
        <v>0</v>
      </c>
      <c r="L37" s="629">
        <f>J37+'26'!L37</f>
        <v>0</v>
      </c>
      <c r="M37" s="77">
        <f>Production2!BP29</f>
        <v>0</v>
      </c>
      <c r="N37" s="75">
        <f>M37+'26'!N37</f>
        <v>0</v>
      </c>
      <c r="O37" s="74">
        <f>M37+'26'!O37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Production2!AK29</f>
        <v>0</v>
      </c>
      <c r="G38" s="654">
        <f>F38+'26'!G38</f>
        <v>5</v>
      </c>
      <c r="H38" s="654">
        <f>F38+'26'!H38</f>
        <v>5</v>
      </c>
      <c r="I38" s="77">
        <f>Production2!BR29</f>
        <v>215.3</v>
      </c>
      <c r="J38" s="195">
        <v>0</v>
      </c>
      <c r="K38" s="629">
        <f>J38+'26'!K38</f>
        <v>300</v>
      </c>
      <c r="L38" s="629">
        <f>J38+'26'!L38</f>
        <v>300</v>
      </c>
      <c r="M38" s="77">
        <f>Production2!BT29</f>
        <v>0</v>
      </c>
      <c r="N38" s="75">
        <f>M38+'26'!N38</f>
        <v>878</v>
      </c>
      <c r="O38" s="74">
        <f>M38+'26'!O38</f>
        <v>2725</v>
      </c>
      <c r="P38" s="74">
        <f>I38+J44+J38-M38-F60</f>
        <v>215.3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80" t="s">
        <v>304</v>
      </c>
      <c r="E39" s="97"/>
      <c r="F39" s="84">
        <f>Production2!AN29</f>
        <v>5.8</v>
      </c>
      <c r="G39" s="654">
        <f>F39+'26'!G39</f>
        <v>69.92</v>
      </c>
      <c r="H39" s="654">
        <f>F39+'26'!H39</f>
        <v>110.57000000000001</v>
      </c>
      <c r="I39" s="195">
        <f>Production2!BV29</f>
        <v>429.33000000000021</v>
      </c>
      <c r="J39" s="195">
        <f>Production2!AO29</f>
        <v>410</v>
      </c>
      <c r="K39" s="629">
        <f>J39+'26'!K39</f>
        <v>4526</v>
      </c>
      <c r="L39" s="629">
        <f>J39+'26'!L39</f>
        <v>7058</v>
      </c>
      <c r="M39" s="77">
        <f>Production2!BX29</f>
        <v>281.74</v>
      </c>
      <c r="N39" s="74">
        <f>M39+'26'!N39</f>
        <v>7577.24</v>
      </c>
      <c r="O39" s="74">
        <f>M39+'26'!O39</f>
        <v>12999.120000000003</v>
      </c>
      <c r="P39" s="74">
        <f>I39+J45+J39-M39-F61</f>
        <v>557.59000000000015</v>
      </c>
      <c r="Q39" s="96">
        <f t="shared" si="6"/>
        <v>70.689655172413794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15.32</v>
      </c>
      <c r="G40" s="132">
        <f t="shared" ref="G40:O40" si="8">G35+G36+G37+G38+G39</f>
        <v>343.25</v>
      </c>
      <c r="H40" s="132">
        <f>H35+H36+H37+H38+H39</f>
        <v>599.23</v>
      </c>
      <c r="I40" s="122">
        <f>I35+I36+I37+I38+I39</f>
        <v>3364.5779999999809</v>
      </c>
      <c r="J40" s="122">
        <f>J35+J36+J37+J38+J39</f>
        <v>1080</v>
      </c>
      <c r="K40" s="122">
        <f>K35+K36+K37+K38+K39</f>
        <v>22021</v>
      </c>
      <c r="L40" s="122">
        <f t="shared" si="8"/>
        <v>37556</v>
      </c>
      <c r="M40" s="122">
        <f t="shared" si="8"/>
        <v>2505.1400000000003</v>
      </c>
      <c r="N40" s="122">
        <f t="shared" si="8"/>
        <v>47910.869999999995</v>
      </c>
      <c r="O40" s="122">
        <f t="shared" si="8"/>
        <v>92742.37</v>
      </c>
      <c r="P40" s="122">
        <f>P35+P36+P37+P38+P39</f>
        <v>3479.4379999999801</v>
      </c>
      <c r="Q40" s="123">
        <f>J40/F40</f>
        <v>70.496083550913838</v>
      </c>
      <c r="R40" s="94"/>
      <c r="S40" s="94"/>
    </row>
    <row r="41" spans="2:19" ht="15" customHeight="1" x14ac:dyDescent="0.25">
      <c r="B41" s="880">
        <v>5</v>
      </c>
      <c r="C41" s="881" t="s">
        <v>268</v>
      </c>
      <c r="D41" s="80" t="s">
        <v>265</v>
      </c>
      <c r="E41" s="97">
        <v>75</v>
      </c>
      <c r="F41" s="78">
        <f>Production2!AT29</f>
        <v>0</v>
      </c>
      <c r="G41" s="75">
        <f>F41+'26'!G41</f>
        <v>12.329999999999998</v>
      </c>
      <c r="H41" s="75">
        <f>F41+'26'!H41</f>
        <v>45.43</v>
      </c>
      <c r="I41" s="710"/>
      <c r="J41" s="77">
        <f>Production2!AU29</f>
        <v>0</v>
      </c>
      <c r="K41" s="74">
        <f>J41+'26'!K41</f>
        <v>750</v>
      </c>
      <c r="L41" s="74">
        <f>J41+'26'!L41</f>
        <v>2750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Production2!AQ29</f>
        <v>24</v>
      </c>
      <c r="G42" s="75">
        <f>F42+'26'!G42</f>
        <v>358.07</v>
      </c>
      <c r="H42" s="654">
        <f>F42+'26'!H42</f>
        <v>774.06999999999982</v>
      </c>
      <c r="I42" s="711"/>
      <c r="J42" s="77">
        <f>Production2!AR29</f>
        <v>1540</v>
      </c>
      <c r="K42" s="629">
        <f>J42+'26'!K42</f>
        <v>21126</v>
      </c>
      <c r="L42" s="629">
        <f>J42+'26'!L42</f>
        <v>45266</v>
      </c>
      <c r="M42" s="716"/>
      <c r="N42" s="717"/>
      <c r="O42" s="717"/>
      <c r="P42" s="718"/>
      <c r="Q42" s="96">
        <f t="shared" si="6"/>
        <v>64.166666666666671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Production2!AW29</f>
        <v>0</v>
      </c>
      <c r="G43" s="654">
        <f>F43+'26'!G43</f>
        <v>0</v>
      </c>
      <c r="H43" s="654">
        <f>F43+'26'!H43</f>
        <v>0</v>
      </c>
      <c r="I43" s="711"/>
      <c r="J43" s="77">
        <f>Production2!AX29</f>
        <v>0</v>
      </c>
      <c r="K43" s="629">
        <f>J43+'26'!K43</f>
        <v>0</v>
      </c>
      <c r="L43" s="629">
        <f>J43+'26'!L43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Production2!AZ29</f>
        <v>0</v>
      </c>
      <c r="G44" s="654">
        <f>F44+'26'!G44</f>
        <v>11</v>
      </c>
      <c r="H44" s="654">
        <f>F44+'26'!H44</f>
        <v>43.88</v>
      </c>
      <c r="I44" s="711"/>
      <c r="J44" s="195">
        <f>Production2!BA29</f>
        <v>0</v>
      </c>
      <c r="K44" s="629">
        <f>J44+'26'!K44</f>
        <v>607</v>
      </c>
      <c r="L44" s="629">
        <f>J44+'26'!L44</f>
        <v>2427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586" t="s">
        <v>304</v>
      </c>
      <c r="E45" s="589">
        <v>70</v>
      </c>
      <c r="F45" s="588">
        <f>Production2!BC29</f>
        <v>0</v>
      </c>
      <c r="G45" s="654">
        <f>F45+'26'!G45</f>
        <v>46.4</v>
      </c>
      <c r="H45" s="654">
        <f>F45+'26'!H45</f>
        <v>101.37</v>
      </c>
      <c r="I45" s="712"/>
      <c r="J45" s="585">
        <f>Production2!BD29</f>
        <v>0</v>
      </c>
      <c r="K45" s="629">
        <f>J45+'26'!K45</f>
        <v>2857</v>
      </c>
      <c r="L45" s="629">
        <f>J45+'26'!L45</f>
        <v>6129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24</v>
      </c>
      <c r="G46" s="132">
        <f>G41+G42+G43+G44+G45</f>
        <v>427.79999999999995</v>
      </c>
      <c r="H46" s="132">
        <f>H41+H42+H43+H44+H45</f>
        <v>964.74999999999977</v>
      </c>
      <c r="I46" s="122">
        <f t="shared" ref="I46" si="9">I41+I42+I43+I44</f>
        <v>0</v>
      </c>
      <c r="J46" s="122">
        <f>J41+J42+J43+J44+J45</f>
        <v>1540</v>
      </c>
      <c r="K46" s="583">
        <f t="shared" ref="K46:L46" si="10">K41+K42+K43+K44+K45</f>
        <v>25340</v>
      </c>
      <c r="L46" s="583">
        <f t="shared" si="10"/>
        <v>56572</v>
      </c>
      <c r="M46" s="873"/>
      <c r="N46" s="874"/>
      <c r="O46" s="874"/>
      <c r="P46" s="875"/>
      <c r="Q46" s="123">
        <f>J46/F46</f>
        <v>64.166666666666671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0.46264899971308593</v>
      </c>
      <c r="F50" s="99">
        <f>F53/(J31+J32)</f>
        <v>22.21116164050548</v>
      </c>
      <c r="G50" s="99">
        <v>0</v>
      </c>
      <c r="H50" s="99">
        <f>H53/J34</f>
        <v>33.209036144578313</v>
      </c>
      <c r="I50" s="99">
        <f>I53/J33</f>
        <v>45.892720306513411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15.240963855421688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0.85924510006954458</v>
      </c>
      <c r="F51" s="102">
        <f>F50*1.55</f>
        <v>34.427300542783499</v>
      </c>
      <c r="G51" s="102">
        <f>G50*1.55</f>
        <v>0</v>
      </c>
      <c r="H51" s="102">
        <f>H50</f>
        <v>33.209036144578313</v>
      </c>
      <c r="I51" s="102">
        <f>I50*(Q50/100)</f>
        <v>6.9944929141854786</v>
      </c>
      <c r="J51" s="102"/>
      <c r="K51" s="102"/>
      <c r="L51" s="102"/>
      <c r="M51" s="96"/>
      <c r="N51" s="307">
        <f>SUM(E51:I51)</f>
        <v>75.490074701616834</v>
      </c>
      <c r="O51" s="728" t="s">
        <v>277</v>
      </c>
      <c r="P51" s="728"/>
      <c r="Q51" s="104">
        <v>5439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0.64331877415893901</v>
      </c>
      <c r="F52" s="102">
        <f>F51*M18/100</f>
        <v>25.77579875752831</v>
      </c>
      <c r="G52" s="102">
        <f>G51*M18/100</f>
        <v>0</v>
      </c>
      <c r="H52" s="102">
        <f>H51*M18/100</f>
        <v>24.863681412673618</v>
      </c>
      <c r="I52" s="102">
        <f>I51*M18/100</f>
        <v>5.2367928627733775</v>
      </c>
      <c r="J52" s="99">
        <f>J53/(J40+J46)</f>
        <v>38.290458015267177</v>
      </c>
      <c r="K52" s="99">
        <f>K53/(J46+J40)</f>
        <v>0.80038167938931293</v>
      </c>
      <c r="L52" s="99">
        <f>L53/(M40)</f>
        <v>2.5902743958421484</v>
      </c>
      <c r="M52" s="96">
        <f>M53/(J46+J40)</f>
        <v>1.7293893129770992</v>
      </c>
      <c r="N52" s="307">
        <f>SUM(E52:M52)</f>
        <v>99.930095210609991</v>
      </c>
      <c r="O52" s="728" t="s">
        <v>279</v>
      </c>
      <c r="P52" s="728"/>
      <c r="Q52" s="104">
        <f>Q51*Q50/100</f>
        <v>828.9560240963857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unit'!B29</f>
        <v>1419</v>
      </c>
      <c r="F53" s="118">
        <f>'Daily unit'!C29</f>
        <v>63591</v>
      </c>
      <c r="G53" s="118">
        <f>'Daily unit'!D29</f>
        <v>0</v>
      </c>
      <c r="H53" s="118">
        <f>'Daily unit'!E29</f>
        <v>55127</v>
      </c>
      <c r="I53" s="118">
        <f>'Daily unit'!F29</f>
        <v>11978</v>
      </c>
      <c r="J53" s="118">
        <f>'Daily unit'!G29</f>
        <v>100321</v>
      </c>
      <c r="K53" s="118">
        <f>'Daily unit'!H29</f>
        <v>2097</v>
      </c>
      <c r="L53" s="118">
        <f>'Daily unit'!I29</f>
        <v>6489</v>
      </c>
      <c r="M53" s="119">
        <f>'Daily unit'!J29</f>
        <v>4531</v>
      </c>
      <c r="N53" s="318">
        <f>SUM(E53:M53)</f>
        <v>245553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x14ac:dyDescent="0.25">
      <c r="B55" s="756" t="s">
        <v>281</v>
      </c>
      <c r="C55" s="722"/>
      <c r="D55" s="722"/>
      <c r="E55" s="722"/>
      <c r="F55" s="722"/>
      <c r="G55" s="722"/>
      <c r="H55" s="757"/>
      <c r="I55" s="889" t="s">
        <v>282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9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224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9" ht="14.45" customHeight="1" x14ac:dyDescent="0.25">
      <c r="B57" s="876">
        <v>1</v>
      </c>
      <c r="C57" s="701" t="s">
        <v>285</v>
      </c>
      <c r="D57" s="825"/>
      <c r="E57" s="644">
        <v>42.5</v>
      </c>
      <c r="F57" s="645">
        <f>'Internal use cement'!F29</f>
        <v>0</v>
      </c>
      <c r="G57" s="645">
        <f>F57+'26'!G57</f>
        <v>0</v>
      </c>
      <c r="H57" s="104">
        <f>F57+'26'!H57</f>
        <v>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9" ht="14.45" customHeight="1" x14ac:dyDescent="0.25">
      <c r="B58" s="861"/>
      <c r="C58" s="896"/>
      <c r="D58" s="827"/>
      <c r="E58" s="644" t="s">
        <v>195</v>
      </c>
      <c r="F58" s="645">
        <f>'Internal use cement'!Q29</f>
        <v>0</v>
      </c>
      <c r="G58" s="645">
        <f>F58+'26'!G58</f>
        <v>2</v>
      </c>
      <c r="H58" s="104">
        <f>F58+'26'!H58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9" ht="15" customHeight="1" x14ac:dyDescent="0.25">
      <c r="B59" s="861"/>
      <c r="C59" s="896"/>
      <c r="D59" s="827"/>
      <c r="E59" s="644">
        <v>32.5</v>
      </c>
      <c r="F59" s="645">
        <f>'Internal use cement'!Y29</f>
        <v>0</v>
      </c>
      <c r="G59" s="645">
        <f>F59+'26'!G59</f>
        <v>0</v>
      </c>
      <c r="H59" s="285">
        <f>F59+'26'!H59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9" ht="15" customHeight="1" x14ac:dyDescent="0.25">
      <c r="B60" s="861"/>
      <c r="C60" s="896"/>
      <c r="D60" s="827"/>
      <c r="E60" s="644" t="s">
        <v>175</v>
      </c>
      <c r="F60" s="645">
        <f>'Internal use cement'!AJ29</f>
        <v>0</v>
      </c>
      <c r="G60" s="645">
        <f>F60+'26'!G60</f>
        <v>0</v>
      </c>
      <c r="H60" s="285">
        <f>F60+'26'!H60</f>
        <v>0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9" ht="15.75" thickBot="1" x14ac:dyDescent="0.3">
      <c r="B61" s="862"/>
      <c r="C61" s="703"/>
      <c r="D61" s="829"/>
      <c r="E61" s="651" t="s">
        <v>350</v>
      </c>
      <c r="F61" s="652">
        <f>'Internal use cement'!AO29</f>
        <v>0</v>
      </c>
      <c r="G61" s="645">
        <f>F61+'26'!G61</f>
        <v>4</v>
      </c>
      <c r="H61" s="285">
        <f>F61+'26'!H61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116"/>
      <c r="S61" s="116"/>
    </row>
    <row r="62" spans="2:19" x14ac:dyDescent="0.25">
      <c r="R62" s="94"/>
      <c r="S62" s="94"/>
    </row>
    <row r="63" spans="2:19" x14ac:dyDescent="0.25">
      <c r="R63" s="94"/>
      <c r="S63" s="94"/>
    </row>
    <row r="64" spans="2:19" x14ac:dyDescent="0.25">
      <c r="R64" s="94"/>
      <c r="S64" s="94"/>
    </row>
    <row r="65" spans="2:19" x14ac:dyDescent="0.25">
      <c r="R65" s="109"/>
      <c r="S65" s="109"/>
    </row>
    <row r="66" spans="2:19" x14ac:dyDescent="0.25">
      <c r="R66" s="94"/>
      <c r="S66" s="94"/>
    </row>
    <row r="67" spans="2:19" x14ac:dyDescent="0.25">
      <c r="R67" s="117"/>
      <c r="S67" s="117"/>
    </row>
    <row r="68" spans="2:19" x14ac:dyDescent="0.25">
      <c r="R68" s="117"/>
      <c r="S68" s="117"/>
    </row>
    <row r="69" spans="2:19" x14ac:dyDescent="0.25">
      <c r="R69" s="117"/>
      <c r="S69" s="117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  <row r="153" spans="2:19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</row>
    <row r="154" spans="2:19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</row>
  </sheetData>
  <mergeCells count="85">
    <mergeCell ref="C49:D49"/>
    <mergeCell ref="O49:P49"/>
    <mergeCell ref="C50:D50"/>
    <mergeCell ref="O50:P50"/>
    <mergeCell ref="C51:D51"/>
    <mergeCell ref="B14:B16"/>
    <mergeCell ref="C14:C16"/>
    <mergeCell ref="C17:Q17"/>
    <mergeCell ref="P18:Q20"/>
    <mergeCell ref="Q21:Q22"/>
    <mergeCell ref="C22:D22"/>
    <mergeCell ref="M18:M19"/>
    <mergeCell ref="B23:B24"/>
    <mergeCell ref="C23:C24"/>
    <mergeCell ref="M23:N24"/>
    <mergeCell ref="P23:Q25"/>
    <mergeCell ref="C25:D25"/>
    <mergeCell ref="M25:N25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13:D13"/>
    <mergeCell ref="P6:P7"/>
    <mergeCell ref="Q6:Q7"/>
    <mergeCell ref="C8:Q8"/>
    <mergeCell ref="C11:D11"/>
    <mergeCell ref="C12:D12"/>
    <mergeCell ref="P13:Q13"/>
    <mergeCell ref="O9:O16"/>
    <mergeCell ref="C10:D10"/>
    <mergeCell ref="C9:D9"/>
    <mergeCell ref="B2:Q2"/>
    <mergeCell ref="B3:Q3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18:B20"/>
    <mergeCell ref="C18:C20"/>
    <mergeCell ref="N18:N20"/>
    <mergeCell ref="O18:O25"/>
    <mergeCell ref="B48:N48"/>
    <mergeCell ref="O48:Q48"/>
    <mergeCell ref="C32:D32"/>
    <mergeCell ref="I31:I32"/>
    <mergeCell ref="M31:M32"/>
    <mergeCell ref="N31:N32"/>
    <mergeCell ref="O31:O32"/>
    <mergeCell ref="B35:B40"/>
    <mergeCell ref="C35:C40"/>
    <mergeCell ref="M41:P45"/>
    <mergeCell ref="I41:I45"/>
    <mergeCell ref="B41:B46"/>
    <mergeCell ref="C41:C46"/>
    <mergeCell ref="M46:P46"/>
    <mergeCell ref="B47:Q47"/>
    <mergeCell ref="C30:D30"/>
    <mergeCell ref="C31:D31"/>
    <mergeCell ref="C33:D33"/>
    <mergeCell ref="C34:D34"/>
    <mergeCell ref="P31:P32"/>
    <mergeCell ref="I55:Q61"/>
    <mergeCell ref="C57:D61"/>
    <mergeCell ref="B57:B61"/>
    <mergeCell ref="O51:P51"/>
    <mergeCell ref="C52:D52"/>
    <mergeCell ref="O52:P52"/>
    <mergeCell ref="C53:D53"/>
    <mergeCell ref="B55:H55"/>
    <mergeCell ref="C56:E56"/>
    <mergeCell ref="B54:Q54"/>
  </mergeCells>
  <pageMargins left="0.25" right="0.25" top="0.75" bottom="0.75" header="0.3" footer="0.3"/>
  <pageSetup paperSize="9" scale="55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8"/>
  <dimension ref="B2:U152"/>
  <sheetViews>
    <sheetView zoomScale="90" zoomScaleNormal="90" zoomScaleSheetLayoutView="90" workbookViewId="0">
      <pane xSplit="4" ySplit="1" topLeftCell="E29" activePane="bottomRight" state="frozen"/>
      <selection pane="topRight" activeCell="E1" sqref="E1"/>
      <selection pane="bottomLeft" activeCell="A6" sqref="A6"/>
      <selection pane="bottomRight" activeCell="J38" sqref="J3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1" width="10.42578125" style="68" bestFit="1" customWidth="1"/>
    <col min="12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6" width="9.140625" style="68"/>
    <col min="257" max="257" width="3.7109375" style="68" customWidth="1"/>
    <col min="258" max="258" width="4" style="68" bestFit="1" customWidth="1"/>
    <col min="259" max="259" width="14.5703125" style="68" customWidth="1"/>
    <col min="260" max="260" width="11.140625" style="68" customWidth="1"/>
    <col min="261" max="261" width="8.7109375" style="68" customWidth="1"/>
    <col min="262" max="262" width="9.7109375" style="68" bestFit="1" customWidth="1"/>
    <col min="263" max="263" width="10.85546875" style="68" customWidth="1"/>
    <col min="264" max="264" width="10.42578125" style="68" customWidth="1"/>
    <col min="265" max="265" width="9.7109375" style="68" bestFit="1" customWidth="1"/>
    <col min="266" max="268" width="9.28515625" style="68" bestFit="1" customWidth="1"/>
    <col min="269" max="269" width="10.7109375" style="68" bestFit="1" customWidth="1"/>
    <col min="270" max="270" width="11.28515625" style="68" customWidth="1"/>
    <col min="271" max="271" width="12.5703125" style="68" customWidth="1"/>
    <col min="272" max="272" width="13.5703125" style="68" customWidth="1"/>
    <col min="273" max="273" width="13" style="68" customWidth="1"/>
    <col min="274" max="512" width="9.140625" style="68"/>
    <col min="513" max="513" width="3.7109375" style="68" customWidth="1"/>
    <col min="514" max="514" width="4" style="68" bestFit="1" customWidth="1"/>
    <col min="515" max="515" width="14.5703125" style="68" customWidth="1"/>
    <col min="516" max="516" width="11.140625" style="68" customWidth="1"/>
    <col min="517" max="517" width="8.7109375" style="68" customWidth="1"/>
    <col min="518" max="518" width="9.7109375" style="68" bestFit="1" customWidth="1"/>
    <col min="519" max="519" width="10.85546875" style="68" customWidth="1"/>
    <col min="520" max="520" width="10.42578125" style="68" customWidth="1"/>
    <col min="521" max="521" width="9.7109375" style="68" bestFit="1" customWidth="1"/>
    <col min="522" max="524" width="9.28515625" style="68" bestFit="1" customWidth="1"/>
    <col min="525" max="525" width="10.7109375" style="68" bestFit="1" customWidth="1"/>
    <col min="526" max="526" width="11.28515625" style="68" customWidth="1"/>
    <col min="527" max="527" width="12.5703125" style="68" customWidth="1"/>
    <col min="528" max="528" width="13.5703125" style="68" customWidth="1"/>
    <col min="529" max="529" width="13" style="68" customWidth="1"/>
    <col min="530" max="768" width="9.140625" style="68"/>
    <col min="769" max="769" width="3.7109375" style="68" customWidth="1"/>
    <col min="770" max="770" width="4" style="68" bestFit="1" customWidth="1"/>
    <col min="771" max="771" width="14.5703125" style="68" customWidth="1"/>
    <col min="772" max="772" width="11.140625" style="68" customWidth="1"/>
    <col min="773" max="773" width="8.7109375" style="68" customWidth="1"/>
    <col min="774" max="774" width="9.7109375" style="68" bestFit="1" customWidth="1"/>
    <col min="775" max="775" width="10.85546875" style="68" customWidth="1"/>
    <col min="776" max="776" width="10.42578125" style="68" customWidth="1"/>
    <col min="777" max="777" width="9.7109375" style="68" bestFit="1" customWidth="1"/>
    <col min="778" max="780" width="9.28515625" style="68" bestFit="1" customWidth="1"/>
    <col min="781" max="781" width="10.7109375" style="68" bestFit="1" customWidth="1"/>
    <col min="782" max="782" width="11.28515625" style="68" customWidth="1"/>
    <col min="783" max="783" width="12.5703125" style="68" customWidth="1"/>
    <col min="784" max="784" width="13.5703125" style="68" customWidth="1"/>
    <col min="785" max="785" width="13" style="68" customWidth="1"/>
    <col min="786" max="1024" width="9.140625" style="68"/>
    <col min="1025" max="1025" width="3.7109375" style="68" customWidth="1"/>
    <col min="1026" max="1026" width="4" style="68" bestFit="1" customWidth="1"/>
    <col min="1027" max="1027" width="14.5703125" style="68" customWidth="1"/>
    <col min="1028" max="1028" width="11.140625" style="68" customWidth="1"/>
    <col min="1029" max="1029" width="8.7109375" style="68" customWidth="1"/>
    <col min="1030" max="1030" width="9.7109375" style="68" bestFit="1" customWidth="1"/>
    <col min="1031" max="1031" width="10.85546875" style="68" customWidth="1"/>
    <col min="1032" max="1032" width="10.42578125" style="68" customWidth="1"/>
    <col min="1033" max="1033" width="9.7109375" style="68" bestFit="1" customWidth="1"/>
    <col min="1034" max="1036" width="9.28515625" style="68" bestFit="1" customWidth="1"/>
    <col min="1037" max="1037" width="10.7109375" style="68" bestFit="1" customWidth="1"/>
    <col min="1038" max="1038" width="11.28515625" style="68" customWidth="1"/>
    <col min="1039" max="1039" width="12.5703125" style="68" customWidth="1"/>
    <col min="1040" max="1040" width="13.5703125" style="68" customWidth="1"/>
    <col min="1041" max="1041" width="13" style="68" customWidth="1"/>
    <col min="1042" max="1280" width="9.140625" style="68"/>
    <col min="1281" max="1281" width="3.7109375" style="68" customWidth="1"/>
    <col min="1282" max="1282" width="4" style="68" bestFit="1" customWidth="1"/>
    <col min="1283" max="1283" width="14.5703125" style="68" customWidth="1"/>
    <col min="1284" max="1284" width="11.140625" style="68" customWidth="1"/>
    <col min="1285" max="1285" width="8.7109375" style="68" customWidth="1"/>
    <col min="1286" max="1286" width="9.7109375" style="68" bestFit="1" customWidth="1"/>
    <col min="1287" max="1287" width="10.85546875" style="68" customWidth="1"/>
    <col min="1288" max="1288" width="10.42578125" style="68" customWidth="1"/>
    <col min="1289" max="1289" width="9.7109375" style="68" bestFit="1" customWidth="1"/>
    <col min="1290" max="1292" width="9.28515625" style="68" bestFit="1" customWidth="1"/>
    <col min="1293" max="1293" width="10.7109375" style="68" bestFit="1" customWidth="1"/>
    <col min="1294" max="1294" width="11.28515625" style="68" customWidth="1"/>
    <col min="1295" max="1295" width="12.5703125" style="68" customWidth="1"/>
    <col min="1296" max="1296" width="13.5703125" style="68" customWidth="1"/>
    <col min="1297" max="1297" width="13" style="68" customWidth="1"/>
    <col min="1298" max="1536" width="9.140625" style="68"/>
    <col min="1537" max="1537" width="3.7109375" style="68" customWidth="1"/>
    <col min="1538" max="1538" width="4" style="68" bestFit="1" customWidth="1"/>
    <col min="1539" max="1539" width="14.5703125" style="68" customWidth="1"/>
    <col min="1540" max="1540" width="11.140625" style="68" customWidth="1"/>
    <col min="1541" max="1541" width="8.7109375" style="68" customWidth="1"/>
    <col min="1542" max="1542" width="9.7109375" style="68" bestFit="1" customWidth="1"/>
    <col min="1543" max="1543" width="10.85546875" style="68" customWidth="1"/>
    <col min="1544" max="1544" width="10.42578125" style="68" customWidth="1"/>
    <col min="1545" max="1545" width="9.7109375" style="68" bestFit="1" customWidth="1"/>
    <col min="1546" max="1548" width="9.28515625" style="68" bestFit="1" customWidth="1"/>
    <col min="1549" max="1549" width="10.7109375" style="68" bestFit="1" customWidth="1"/>
    <col min="1550" max="1550" width="11.28515625" style="68" customWidth="1"/>
    <col min="1551" max="1551" width="12.5703125" style="68" customWidth="1"/>
    <col min="1552" max="1552" width="13.5703125" style="68" customWidth="1"/>
    <col min="1553" max="1553" width="13" style="68" customWidth="1"/>
    <col min="1554" max="1792" width="9.140625" style="68"/>
    <col min="1793" max="1793" width="3.7109375" style="68" customWidth="1"/>
    <col min="1794" max="1794" width="4" style="68" bestFit="1" customWidth="1"/>
    <col min="1795" max="1795" width="14.5703125" style="68" customWidth="1"/>
    <col min="1796" max="1796" width="11.140625" style="68" customWidth="1"/>
    <col min="1797" max="1797" width="8.7109375" style="68" customWidth="1"/>
    <col min="1798" max="1798" width="9.7109375" style="68" bestFit="1" customWidth="1"/>
    <col min="1799" max="1799" width="10.85546875" style="68" customWidth="1"/>
    <col min="1800" max="1800" width="10.42578125" style="68" customWidth="1"/>
    <col min="1801" max="1801" width="9.7109375" style="68" bestFit="1" customWidth="1"/>
    <col min="1802" max="1804" width="9.28515625" style="68" bestFit="1" customWidth="1"/>
    <col min="1805" max="1805" width="10.7109375" style="68" bestFit="1" customWidth="1"/>
    <col min="1806" max="1806" width="11.28515625" style="68" customWidth="1"/>
    <col min="1807" max="1807" width="12.5703125" style="68" customWidth="1"/>
    <col min="1808" max="1808" width="13.5703125" style="68" customWidth="1"/>
    <col min="1809" max="1809" width="13" style="68" customWidth="1"/>
    <col min="1810" max="2048" width="9.140625" style="68"/>
    <col min="2049" max="2049" width="3.7109375" style="68" customWidth="1"/>
    <col min="2050" max="2050" width="4" style="68" bestFit="1" customWidth="1"/>
    <col min="2051" max="2051" width="14.5703125" style="68" customWidth="1"/>
    <col min="2052" max="2052" width="11.140625" style="68" customWidth="1"/>
    <col min="2053" max="2053" width="8.7109375" style="68" customWidth="1"/>
    <col min="2054" max="2054" width="9.7109375" style="68" bestFit="1" customWidth="1"/>
    <col min="2055" max="2055" width="10.85546875" style="68" customWidth="1"/>
    <col min="2056" max="2056" width="10.42578125" style="68" customWidth="1"/>
    <col min="2057" max="2057" width="9.7109375" style="68" bestFit="1" customWidth="1"/>
    <col min="2058" max="2060" width="9.28515625" style="68" bestFit="1" customWidth="1"/>
    <col min="2061" max="2061" width="10.7109375" style="68" bestFit="1" customWidth="1"/>
    <col min="2062" max="2062" width="11.28515625" style="68" customWidth="1"/>
    <col min="2063" max="2063" width="12.5703125" style="68" customWidth="1"/>
    <col min="2064" max="2064" width="13.5703125" style="68" customWidth="1"/>
    <col min="2065" max="2065" width="13" style="68" customWidth="1"/>
    <col min="2066" max="2304" width="9.140625" style="68"/>
    <col min="2305" max="2305" width="3.7109375" style="68" customWidth="1"/>
    <col min="2306" max="2306" width="4" style="68" bestFit="1" customWidth="1"/>
    <col min="2307" max="2307" width="14.5703125" style="68" customWidth="1"/>
    <col min="2308" max="2308" width="11.140625" style="68" customWidth="1"/>
    <col min="2309" max="2309" width="8.7109375" style="68" customWidth="1"/>
    <col min="2310" max="2310" width="9.7109375" style="68" bestFit="1" customWidth="1"/>
    <col min="2311" max="2311" width="10.85546875" style="68" customWidth="1"/>
    <col min="2312" max="2312" width="10.42578125" style="68" customWidth="1"/>
    <col min="2313" max="2313" width="9.7109375" style="68" bestFit="1" customWidth="1"/>
    <col min="2314" max="2316" width="9.28515625" style="68" bestFit="1" customWidth="1"/>
    <col min="2317" max="2317" width="10.7109375" style="68" bestFit="1" customWidth="1"/>
    <col min="2318" max="2318" width="11.28515625" style="68" customWidth="1"/>
    <col min="2319" max="2319" width="12.5703125" style="68" customWidth="1"/>
    <col min="2320" max="2320" width="13.5703125" style="68" customWidth="1"/>
    <col min="2321" max="2321" width="13" style="68" customWidth="1"/>
    <col min="2322" max="2560" width="9.140625" style="68"/>
    <col min="2561" max="2561" width="3.7109375" style="68" customWidth="1"/>
    <col min="2562" max="2562" width="4" style="68" bestFit="1" customWidth="1"/>
    <col min="2563" max="2563" width="14.5703125" style="68" customWidth="1"/>
    <col min="2564" max="2564" width="11.140625" style="68" customWidth="1"/>
    <col min="2565" max="2565" width="8.7109375" style="68" customWidth="1"/>
    <col min="2566" max="2566" width="9.7109375" style="68" bestFit="1" customWidth="1"/>
    <col min="2567" max="2567" width="10.85546875" style="68" customWidth="1"/>
    <col min="2568" max="2568" width="10.42578125" style="68" customWidth="1"/>
    <col min="2569" max="2569" width="9.7109375" style="68" bestFit="1" customWidth="1"/>
    <col min="2570" max="2572" width="9.28515625" style="68" bestFit="1" customWidth="1"/>
    <col min="2573" max="2573" width="10.7109375" style="68" bestFit="1" customWidth="1"/>
    <col min="2574" max="2574" width="11.28515625" style="68" customWidth="1"/>
    <col min="2575" max="2575" width="12.5703125" style="68" customWidth="1"/>
    <col min="2576" max="2576" width="13.5703125" style="68" customWidth="1"/>
    <col min="2577" max="2577" width="13" style="68" customWidth="1"/>
    <col min="2578" max="2816" width="9.140625" style="68"/>
    <col min="2817" max="2817" width="3.7109375" style="68" customWidth="1"/>
    <col min="2818" max="2818" width="4" style="68" bestFit="1" customWidth="1"/>
    <col min="2819" max="2819" width="14.5703125" style="68" customWidth="1"/>
    <col min="2820" max="2820" width="11.140625" style="68" customWidth="1"/>
    <col min="2821" max="2821" width="8.7109375" style="68" customWidth="1"/>
    <col min="2822" max="2822" width="9.7109375" style="68" bestFit="1" customWidth="1"/>
    <col min="2823" max="2823" width="10.85546875" style="68" customWidth="1"/>
    <col min="2824" max="2824" width="10.42578125" style="68" customWidth="1"/>
    <col min="2825" max="2825" width="9.7109375" style="68" bestFit="1" customWidth="1"/>
    <col min="2826" max="2828" width="9.28515625" style="68" bestFit="1" customWidth="1"/>
    <col min="2829" max="2829" width="10.7109375" style="68" bestFit="1" customWidth="1"/>
    <col min="2830" max="2830" width="11.28515625" style="68" customWidth="1"/>
    <col min="2831" max="2831" width="12.5703125" style="68" customWidth="1"/>
    <col min="2832" max="2832" width="13.5703125" style="68" customWidth="1"/>
    <col min="2833" max="2833" width="13" style="68" customWidth="1"/>
    <col min="2834" max="3072" width="9.140625" style="68"/>
    <col min="3073" max="3073" width="3.7109375" style="68" customWidth="1"/>
    <col min="3074" max="3074" width="4" style="68" bestFit="1" customWidth="1"/>
    <col min="3075" max="3075" width="14.5703125" style="68" customWidth="1"/>
    <col min="3076" max="3076" width="11.140625" style="68" customWidth="1"/>
    <col min="3077" max="3077" width="8.7109375" style="68" customWidth="1"/>
    <col min="3078" max="3078" width="9.7109375" style="68" bestFit="1" customWidth="1"/>
    <col min="3079" max="3079" width="10.85546875" style="68" customWidth="1"/>
    <col min="3080" max="3080" width="10.42578125" style="68" customWidth="1"/>
    <col min="3081" max="3081" width="9.7109375" style="68" bestFit="1" customWidth="1"/>
    <col min="3082" max="3084" width="9.28515625" style="68" bestFit="1" customWidth="1"/>
    <col min="3085" max="3085" width="10.7109375" style="68" bestFit="1" customWidth="1"/>
    <col min="3086" max="3086" width="11.28515625" style="68" customWidth="1"/>
    <col min="3087" max="3087" width="12.5703125" style="68" customWidth="1"/>
    <col min="3088" max="3088" width="13.5703125" style="68" customWidth="1"/>
    <col min="3089" max="3089" width="13" style="68" customWidth="1"/>
    <col min="3090" max="3328" width="9.140625" style="68"/>
    <col min="3329" max="3329" width="3.7109375" style="68" customWidth="1"/>
    <col min="3330" max="3330" width="4" style="68" bestFit="1" customWidth="1"/>
    <col min="3331" max="3331" width="14.5703125" style="68" customWidth="1"/>
    <col min="3332" max="3332" width="11.140625" style="68" customWidth="1"/>
    <col min="3333" max="3333" width="8.7109375" style="68" customWidth="1"/>
    <col min="3334" max="3334" width="9.7109375" style="68" bestFit="1" customWidth="1"/>
    <col min="3335" max="3335" width="10.85546875" style="68" customWidth="1"/>
    <col min="3336" max="3336" width="10.42578125" style="68" customWidth="1"/>
    <col min="3337" max="3337" width="9.7109375" style="68" bestFit="1" customWidth="1"/>
    <col min="3338" max="3340" width="9.28515625" style="68" bestFit="1" customWidth="1"/>
    <col min="3341" max="3341" width="10.7109375" style="68" bestFit="1" customWidth="1"/>
    <col min="3342" max="3342" width="11.28515625" style="68" customWidth="1"/>
    <col min="3343" max="3343" width="12.5703125" style="68" customWidth="1"/>
    <col min="3344" max="3344" width="13.5703125" style="68" customWidth="1"/>
    <col min="3345" max="3345" width="13" style="68" customWidth="1"/>
    <col min="3346" max="3584" width="9.140625" style="68"/>
    <col min="3585" max="3585" width="3.7109375" style="68" customWidth="1"/>
    <col min="3586" max="3586" width="4" style="68" bestFit="1" customWidth="1"/>
    <col min="3587" max="3587" width="14.5703125" style="68" customWidth="1"/>
    <col min="3588" max="3588" width="11.140625" style="68" customWidth="1"/>
    <col min="3589" max="3589" width="8.7109375" style="68" customWidth="1"/>
    <col min="3590" max="3590" width="9.7109375" style="68" bestFit="1" customWidth="1"/>
    <col min="3591" max="3591" width="10.85546875" style="68" customWidth="1"/>
    <col min="3592" max="3592" width="10.42578125" style="68" customWidth="1"/>
    <col min="3593" max="3593" width="9.7109375" style="68" bestFit="1" customWidth="1"/>
    <col min="3594" max="3596" width="9.28515625" style="68" bestFit="1" customWidth="1"/>
    <col min="3597" max="3597" width="10.7109375" style="68" bestFit="1" customWidth="1"/>
    <col min="3598" max="3598" width="11.28515625" style="68" customWidth="1"/>
    <col min="3599" max="3599" width="12.5703125" style="68" customWidth="1"/>
    <col min="3600" max="3600" width="13.5703125" style="68" customWidth="1"/>
    <col min="3601" max="3601" width="13" style="68" customWidth="1"/>
    <col min="3602" max="3840" width="9.140625" style="68"/>
    <col min="3841" max="3841" width="3.7109375" style="68" customWidth="1"/>
    <col min="3842" max="3842" width="4" style="68" bestFit="1" customWidth="1"/>
    <col min="3843" max="3843" width="14.5703125" style="68" customWidth="1"/>
    <col min="3844" max="3844" width="11.140625" style="68" customWidth="1"/>
    <col min="3845" max="3845" width="8.7109375" style="68" customWidth="1"/>
    <col min="3846" max="3846" width="9.7109375" style="68" bestFit="1" customWidth="1"/>
    <col min="3847" max="3847" width="10.85546875" style="68" customWidth="1"/>
    <col min="3848" max="3848" width="10.42578125" style="68" customWidth="1"/>
    <col min="3849" max="3849" width="9.7109375" style="68" bestFit="1" customWidth="1"/>
    <col min="3850" max="3852" width="9.28515625" style="68" bestFit="1" customWidth="1"/>
    <col min="3853" max="3853" width="10.7109375" style="68" bestFit="1" customWidth="1"/>
    <col min="3854" max="3854" width="11.28515625" style="68" customWidth="1"/>
    <col min="3855" max="3855" width="12.5703125" style="68" customWidth="1"/>
    <col min="3856" max="3856" width="13.5703125" style="68" customWidth="1"/>
    <col min="3857" max="3857" width="13" style="68" customWidth="1"/>
    <col min="3858" max="4096" width="9.140625" style="68"/>
    <col min="4097" max="4097" width="3.7109375" style="68" customWidth="1"/>
    <col min="4098" max="4098" width="4" style="68" bestFit="1" customWidth="1"/>
    <col min="4099" max="4099" width="14.5703125" style="68" customWidth="1"/>
    <col min="4100" max="4100" width="11.140625" style="68" customWidth="1"/>
    <col min="4101" max="4101" width="8.7109375" style="68" customWidth="1"/>
    <col min="4102" max="4102" width="9.7109375" style="68" bestFit="1" customWidth="1"/>
    <col min="4103" max="4103" width="10.85546875" style="68" customWidth="1"/>
    <col min="4104" max="4104" width="10.42578125" style="68" customWidth="1"/>
    <col min="4105" max="4105" width="9.7109375" style="68" bestFit="1" customWidth="1"/>
    <col min="4106" max="4108" width="9.28515625" style="68" bestFit="1" customWidth="1"/>
    <col min="4109" max="4109" width="10.7109375" style="68" bestFit="1" customWidth="1"/>
    <col min="4110" max="4110" width="11.28515625" style="68" customWidth="1"/>
    <col min="4111" max="4111" width="12.5703125" style="68" customWidth="1"/>
    <col min="4112" max="4112" width="13.5703125" style="68" customWidth="1"/>
    <col min="4113" max="4113" width="13" style="68" customWidth="1"/>
    <col min="4114" max="4352" width="9.140625" style="68"/>
    <col min="4353" max="4353" width="3.7109375" style="68" customWidth="1"/>
    <col min="4354" max="4354" width="4" style="68" bestFit="1" customWidth="1"/>
    <col min="4355" max="4355" width="14.5703125" style="68" customWidth="1"/>
    <col min="4356" max="4356" width="11.140625" style="68" customWidth="1"/>
    <col min="4357" max="4357" width="8.7109375" style="68" customWidth="1"/>
    <col min="4358" max="4358" width="9.7109375" style="68" bestFit="1" customWidth="1"/>
    <col min="4359" max="4359" width="10.85546875" style="68" customWidth="1"/>
    <col min="4360" max="4360" width="10.42578125" style="68" customWidth="1"/>
    <col min="4361" max="4361" width="9.7109375" style="68" bestFit="1" customWidth="1"/>
    <col min="4362" max="4364" width="9.28515625" style="68" bestFit="1" customWidth="1"/>
    <col min="4365" max="4365" width="10.7109375" style="68" bestFit="1" customWidth="1"/>
    <col min="4366" max="4366" width="11.28515625" style="68" customWidth="1"/>
    <col min="4367" max="4367" width="12.5703125" style="68" customWidth="1"/>
    <col min="4368" max="4368" width="13.5703125" style="68" customWidth="1"/>
    <col min="4369" max="4369" width="13" style="68" customWidth="1"/>
    <col min="4370" max="4608" width="9.140625" style="68"/>
    <col min="4609" max="4609" width="3.7109375" style="68" customWidth="1"/>
    <col min="4610" max="4610" width="4" style="68" bestFit="1" customWidth="1"/>
    <col min="4611" max="4611" width="14.5703125" style="68" customWidth="1"/>
    <col min="4612" max="4612" width="11.140625" style="68" customWidth="1"/>
    <col min="4613" max="4613" width="8.7109375" style="68" customWidth="1"/>
    <col min="4614" max="4614" width="9.7109375" style="68" bestFit="1" customWidth="1"/>
    <col min="4615" max="4615" width="10.85546875" style="68" customWidth="1"/>
    <col min="4616" max="4616" width="10.42578125" style="68" customWidth="1"/>
    <col min="4617" max="4617" width="9.7109375" style="68" bestFit="1" customWidth="1"/>
    <col min="4618" max="4620" width="9.28515625" style="68" bestFit="1" customWidth="1"/>
    <col min="4621" max="4621" width="10.7109375" style="68" bestFit="1" customWidth="1"/>
    <col min="4622" max="4622" width="11.28515625" style="68" customWidth="1"/>
    <col min="4623" max="4623" width="12.5703125" style="68" customWidth="1"/>
    <col min="4624" max="4624" width="13.5703125" style="68" customWidth="1"/>
    <col min="4625" max="4625" width="13" style="68" customWidth="1"/>
    <col min="4626" max="4864" width="9.140625" style="68"/>
    <col min="4865" max="4865" width="3.7109375" style="68" customWidth="1"/>
    <col min="4866" max="4866" width="4" style="68" bestFit="1" customWidth="1"/>
    <col min="4867" max="4867" width="14.5703125" style="68" customWidth="1"/>
    <col min="4868" max="4868" width="11.140625" style="68" customWidth="1"/>
    <col min="4869" max="4869" width="8.7109375" style="68" customWidth="1"/>
    <col min="4870" max="4870" width="9.7109375" style="68" bestFit="1" customWidth="1"/>
    <col min="4871" max="4871" width="10.85546875" style="68" customWidth="1"/>
    <col min="4872" max="4872" width="10.42578125" style="68" customWidth="1"/>
    <col min="4873" max="4873" width="9.7109375" style="68" bestFit="1" customWidth="1"/>
    <col min="4874" max="4876" width="9.28515625" style="68" bestFit="1" customWidth="1"/>
    <col min="4877" max="4877" width="10.7109375" style="68" bestFit="1" customWidth="1"/>
    <col min="4878" max="4878" width="11.28515625" style="68" customWidth="1"/>
    <col min="4879" max="4879" width="12.5703125" style="68" customWidth="1"/>
    <col min="4880" max="4880" width="13.5703125" style="68" customWidth="1"/>
    <col min="4881" max="4881" width="13" style="68" customWidth="1"/>
    <col min="4882" max="5120" width="9.140625" style="68"/>
    <col min="5121" max="5121" width="3.7109375" style="68" customWidth="1"/>
    <col min="5122" max="5122" width="4" style="68" bestFit="1" customWidth="1"/>
    <col min="5123" max="5123" width="14.5703125" style="68" customWidth="1"/>
    <col min="5124" max="5124" width="11.140625" style="68" customWidth="1"/>
    <col min="5125" max="5125" width="8.7109375" style="68" customWidth="1"/>
    <col min="5126" max="5126" width="9.7109375" style="68" bestFit="1" customWidth="1"/>
    <col min="5127" max="5127" width="10.85546875" style="68" customWidth="1"/>
    <col min="5128" max="5128" width="10.42578125" style="68" customWidth="1"/>
    <col min="5129" max="5129" width="9.7109375" style="68" bestFit="1" customWidth="1"/>
    <col min="5130" max="5132" width="9.28515625" style="68" bestFit="1" customWidth="1"/>
    <col min="5133" max="5133" width="10.7109375" style="68" bestFit="1" customWidth="1"/>
    <col min="5134" max="5134" width="11.28515625" style="68" customWidth="1"/>
    <col min="5135" max="5135" width="12.5703125" style="68" customWidth="1"/>
    <col min="5136" max="5136" width="13.5703125" style="68" customWidth="1"/>
    <col min="5137" max="5137" width="13" style="68" customWidth="1"/>
    <col min="5138" max="5376" width="9.140625" style="68"/>
    <col min="5377" max="5377" width="3.7109375" style="68" customWidth="1"/>
    <col min="5378" max="5378" width="4" style="68" bestFit="1" customWidth="1"/>
    <col min="5379" max="5379" width="14.5703125" style="68" customWidth="1"/>
    <col min="5380" max="5380" width="11.140625" style="68" customWidth="1"/>
    <col min="5381" max="5381" width="8.7109375" style="68" customWidth="1"/>
    <col min="5382" max="5382" width="9.7109375" style="68" bestFit="1" customWidth="1"/>
    <col min="5383" max="5383" width="10.85546875" style="68" customWidth="1"/>
    <col min="5384" max="5384" width="10.42578125" style="68" customWidth="1"/>
    <col min="5385" max="5385" width="9.7109375" style="68" bestFit="1" customWidth="1"/>
    <col min="5386" max="5388" width="9.28515625" style="68" bestFit="1" customWidth="1"/>
    <col min="5389" max="5389" width="10.7109375" style="68" bestFit="1" customWidth="1"/>
    <col min="5390" max="5390" width="11.28515625" style="68" customWidth="1"/>
    <col min="5391" max="5391" width="12.5703125" style="68" customWidth="1"/>
    <col min="5392" max="5392" width="13.5703125" style="68" customWidth="1"/>
    <col min="5393" max="5393" width="13" style="68" customWidth="1"/>
    <col min="5394" max="5632" width="9.140625" style="68"/>
    <col min="5633" max="5633" width="3.7109375" style="68" customWidth="1"/>
    <col min="5634" max="5634" width="4" style="68" bestFit="1" customWidth="1"/>
    <col min="5635" max="5635" width="14.5703125" style="68" customWidth="1"/>
    <col min="5636" max="5636" width="11.140625" style="68" customWidth="1"/>
    <col min="5637" max="5637" width="8.7109375" style="68" customWidth="1"/>
    <col min="5638" max="5638" width="9.7109375" style="68" bestFit="1" customWidth="1"/>
    <col min="5639" max="5639" width="10.85546875" style="68" customWidth="1"/>
    <col min="5640" max="5640" width="10.42578125" style="68" customWidth="1"/>
    <col min="5641" max="5641" width="9.7109375" style="68" bestFit="1" customWidth="1"/>
    <col min="5642" max="5644" width="9.28515625" style="68" bestFit="1" customWidth="1"/>
    <col min="5645" max="5645" width="10.7109375" style="68" bestFit="1" customWidth="1"/>
    <col min="5646" max="5646" width="11.28515625" style="68" customWidth="1"/>
    <col min="5647" max="5647" width="12.5703125" style="68" customWidth="1"/>
    <col min="5648" max="5648" width="13.5703125" style="68" customWidth="1"/>
    <col min="5649" max="5649" width="13" style="68" customWidth="1"/>
    <col min="5650" max="5888" width="9.140625" style="68"/>
    <col min="5889" max="5889" width="3.7109375" style="68" customWidth="1"/>
    <col min="5890" max="5890" width="4" style="68" bestFit="1" customWidth="1"/>
    <col min="5891" max="5891" width="14.5703125" style="68" customWidth="1"/>
    <col min="5892" max="5892" width="11.140625" style="68" customWidth="1"/>
    <col min="5893" max="5893" width="8.7109375" style="68" customWidth="1"/>
    <col min="5894" max="5894" width="9.7109375" style="68" bestFit="1" customWidth="1"/>
    <col min="5895" max="5895" width="10.85546875" style="68" customWidth="1"/>
    <col min="5896" max="5896" width="10.42578125" style="68" customWidth="1"/>
    <col min="5897" max="5897" width="9.7109375" style="68" bestFit="1" customWidth="1"/>
    <col min="5898" max="5900" width="9.28515625" style="68" bestFit="1" customWidth="1"/>
    <col min="5901" max="5901" width="10.7109375" style="68" bestFit="1" customWidth="1"/>
    <col min="5902" max="5902" width="11.28515625" style="68" customWidth="1"/>
    <col min="5903" max="5903" width="12.5703125" style="68" customWidth="1"/>
    <col min="5904" max="5904" width="13.5703125" style="68" customWidth="1"/>
    <col min="5905" max="5905" width="13" style="68" customWidth="1"/>
    <col min="5906" max="6144" width="9.140625" style="68"/>
    <col min="6145" max="6145" width="3.7109375" style="68" customWidth="1"/>
    <col min="6146" max="6146" width="4" style="68" bestFit="1" customWidth="1"/>
    <col min="6147" max="6147" width="14.5703125" style="68" customWidth="1"/>
    <col min="6148" max="6148" width="11.140625" style="68" customWidth="1"/>
    <col min="6149" max="6149" width="8.7109375" style="68" customWidth="1"/>
    <col min="6150" max="6150" width="9.7109375" style="68" bestFit="1" customWidth="1"/>
    <col min="6151" max="6151" width="10.85546875" style="68" customWidth="1"/>
    <col min="6152" max="6152" width="10.42578125" style="68" customWidth="1"/>
    <col min="6153" max="6153" width="9.7109375" style="68" bestFit="1" customWidth="1"/>
    <col min="6154" max="6156" width="9.28515625" style="68" bestFit="1" customWidth="1"/>
    <col min="6157" max="6157" width="10.7109375" style="68" bestFit="1" customWidth="1"/>
    <col min="6158" max="6158" width="11.28515625" style="68" customWidth="1"/>
    <col min="6159" max="6159" width="12.5703125" style="68" customWidth="1"/>
    <col min="6160" max="6160" width="13.5703125" style="68" customWidth="1"/>
    <col min="6161" max="6161" width="13" style="68" customWidth="1"/>
    <col min="6162" max="6400" width="9.140625" style="68"/>
    <col min="6401" max="6401" width="3.7109375" style="68" customWidth="1"/>
    <col min="6402" max="6402" width="4" style="68" bestFit="1" customWidth="1"/>
    <col min="6403" max="6403" width="14.5703125" style="68" customWidth="1"/>
    <col min="6404" max="6404" width="11.140625" style="68" customWidth="1"/>
    <col min="6405" max="6405" width="8.7109375" style="68" customWidth="1"/>
    <col min="6406" max="6406" width="9.7109375" style="68" bestFit="1" customWidth="1"/>
    <col min="6407" max="6407" width="10.85546875" style="68" customWidth="1"/>
    <col min="6408" max="6408" width="10.42578125" style="68" customWidth="1"/>
    <col min="6409" max="6409" width="9.7109375" style="68" bestFit="1" customWidth="1"/>
    <col min="6410" max="6412" width="9.28515625" style="68" bestFit="1" customWidth="1"/>
    <col min="6413" max="6413" width="10.7109375" style="68" bestFit="1" customWidth="1"/>
    <col min="6414" max="6414" width="11.28515625" style="68" customWidth="1"/>
    <col min="6415" max="6415" width="12.5703125" style="68" customWidth="1"/>
    <col min="6416" max="6416" width="13.5703125" style="68" customWidth="1"/>
    <col min="6417" max="6417" width="13" style="68" customWidth="1"/>
    <col min="6418" max="6656" width="9.140625" style="68"/>
    <col min="6657" max="6657" width="3.7109375" style="68" customWidth="1"/>
    <col min="6658" max="6658" width="4" style="68" bestFit="1" customWidth="1"/>
    <col min="6659" max="6659" width="14.5703125" style="68" customWidth="1"/>
    <col min="6660" max="6660" width="11.140625" style="68" customWidth="1"/>
    <col min="6661" max="6661" width="8.7109375" style="68" customWidth="1"/>
    <col min="6662" max="6662" width="9.7109375" style="68" bestFit="1" customWidth="1"/>
    <col min="6663" max="6663" width="10.85546875" style="68" customWidth="1"/>
    <col min="6664" max="6664" width="10.42578125" style="68" customWidth="1"/>
    <col min="6665" max="6665" width="9.7109375" style="68" bestFit="1" customWidth="1"/>
    <col min="6666" max="6668" width="9.28515625" style="68" bestFit="1" customWidth="1"/>
    <col min="6669" max="6669" width="10.7109375" style="68" bestFit="1" customWidth="1"/>
    <col min="6670" max="6670" width="11.28515625" style="68" customWidth="1"/>
    <col min="6671" max="6671" width="12.5703125" style="68" customWidth="1"/>
    <col min="6672" max="6672" width="13.5703125" style="68" customWidth="1"/>
    <col min="6673" max="6673" width="13" style="68" customWidth="1"/>
    <col min="6674" max="6912" width="9.140625" style="68"/>
    <col min="6913" max="6913" width="3.7109375" style="68" customWidth="1"/>
    <col min="6914" max="6914" width="4" style="68" bestFit="1" customWidth="1"/>
    <col min="6915" max="6915" width="14.5703125" style="68" customWidth="1"/>
    <col min="6916" max="6916" width="11.140625" style="68" customWidth="1"/>
    <col min="6917" max="6917" width="8.7109375" style="68" customWidth="1"/>
    <col min="6918" max="6918" width="9.7109375" style="68" bestFit="1" customWidth="1"/>
    <col min="6919" max="6919" width="10.85546875" style="68" customWidth="1"/>
    <col min="6920" max="6920" width="10.42578125" style="68" customWidth="1"/>
    <col min="6921" max="6921" width="9.7109375" style="68" bestFit="1" customWidth="1"/>
    <col min="6922" max="6924" width="9.28515625" style="68" bestFit="1" customWidth="1"/>
    <col min="6925" max="6925" width="10.7109375" style="68" bestFit="1" customWidth="1"/>
    <col min="6926" max="6926" width="11.28515625" style="68" customWidth="1"/>
    <col min="6927" max="6927" width="12.5703125" style="68" customWidth="1"/>
    <col min="6928" max="6928" width="13.5703125" style="68" customWidth="1"/>
    <col min="6929" max="6929" width="13" style="68" customWidth="1"/>
    <col min="6930" max="7168" width="9.140625" style="68"/>
    <col min="7169" max="7169" width="3.7109375" style="68" customWidth="1"/>
    <col min="7170" max="7170" width="4" style="68" bestFit="1" customWidth="1"/>
    <col min="7171" max="7171" width="14.5703125" style="68" customWidth="1"/>
    <col min="7172" max="7172" width="11.140625" style="68" customWidth="1"/>
    <col min="7173" max="7173" width="8.7109375" style="68" customWidth="1"/>
    <col min="7174" max="7174" width="9.7109375" style="68" bestFit="1" customWidth="1"/>
    <col min="7175" max="7175" width="10.85546875" style="68" customWidth="1"/>
    <col min="7176" max="7176" width="10.42578125" style="68" customWidth="1"/>
    <col min="7177" max="7177" width="9.7109375" style="68" bestFit="1" customWidth="1"/>
    <col min="7178" max="7180" width="9.28515625" style="68" bestFit="1" customWidth="1"/>
    <col min="7181" max="7181" width="10.7109375" style="68" bestFit="1" customWidth="1"/>
    <col min="7182" max="7182" width="11.28515625" style="68" customWidth="1"/>
    <col min="7183" max="7183" width="12.5703125" style="68" customWidth="1"/>
    <col min="7184" max="7184" width="13.5703125" style="68" customWidth="1"/>
    <col min="7185" max="7185" width="13" style="68" customWidth="1"/>
    <col min="7186" max="7424" width="9.140625" style="68"/>
    <col min="7425" max="7425" width="3.7109375" style="68" customWidth="1"/>
    <col min="7426" max="7426" width="4" style="68" bestFit="1" customWidth="1"/>
    <col min="7427" max="7427" width="14.5703125" style="68" customWidth="1"/>
    <col min="7428" max="7428" width="11.140625" style="68" customWidth="1"/>
    <col min="7429" max="7429" width="8.7109375" style="68" customWidth="1"/>
    <col min="7430" max="7430" width="9.7109375" style="68" bestFit="1" customWidth="1"/>
    <col min="7431" max="7431" width="10.85546875" style="68" customWidth="1"/>
    <col min="7432" max="7432" width="10.42578125" style="68" customWidth="1"/>
    <col min="7433" max="7433" width="9.7109375" style="68" bestFit="1" customWidth="1"/>
    <col min="7434" max="7436" width="9.28515625" style="68" bestFit="1" customWidth="1"/>
    <col min="7437" max="7437" width="10.7109375" style="68" bestFit="1" customWidth="1"/>
    <col min="7438" max="7438" width="11.28515625" style="68" customWidth="1"/>
    <col min="7439" max="7439" width="12.5703125" style="68" customWidth="1"/>
    <col min="7440" max="7440" width="13.5703125" style="68" customWidth="1"/>
    <col min="7441" max="7441" width="13" style="68" customWidth="1"/>
    <col min="7442" max="7680" width="9.140625" style="68"/>
    <col min="7681" max="7681" width="3.7109375" style="68" customWidth="1"/>
    <col min="7682" max="7682" width="4" style="68" bestFit="1" customWidth="1"/>
    <col min="7683" max="7683" width="14.5703125" style="68" customWidth="1"/>
    <col min="7684" max="7684" width="11.140625" style="68" customWidth="1"/>
    <col min="7685" max="7685" width="8.7109375" style="68" customWidth="1"/>
    <col min="7686" max="7686" width="9.7109375" style="68" bestFit="1" customWidth="1"/>
    <col min="7687" max="7687" width="10.85546875" style="68" customWidth="1"/>
    <col min="7688" max="7688" width="10.42578125" style="68" customWidth="1"/>
    <col min="7689" max="7689" width="9.7109375" style="68" bestFit="1" customWidth="1"/>
    <col min="7690" max="7692" width="9.28515625" style="68" bestFit="1" customWidth="1"/>
    <col min="7693" max="7693" width="10.7109375" style="68" bestFit="1" customWidth="1"/>
    <col min="7694" max="7694" width="11.28515625" style="68" customWidth="1"/>
    <col min="7695" max="7695" width="12.5703125" style="68" customWidth="1"/>
    <col min="7696" max="7696" width="13.5703125" style="68" customWidth="1"/>
    <col min="7697" max="7697" width="13" style="68" customWidth="1"/>
    <col min="7698" max="7936" width="9.140625" style="68"/>
    <col min="7937" max="7937" width="3.7109375" style="68" customWidth="1"/>
    <col min="7938" max="7938" width="4" style="68" bestFit="1" customWidth="1"/>
    <col min="7939" max="7939" width="14.5703125" style="68" customWidth="1"/>
    <col min="7940" max="7940" width="11.140625" style="68" customWidth="1"/>
    <col min="7941" max="7941" width="8.7109375" style="68" customWidth="1"/>
    <col min="7942" max="7942" width="9.7109375" style="68" bestFit="1" customWidth="1"/>
    <col min="7943" max="7943" width="10.85546875" style="68" customWidth="1"/>
    <col min="7944" max="7944" width="10.42578125" style="68" customWidth="1"/>
    <col min="7945" max="7945" width="9.7109375" style="68" bestFit="1" customWidth="1"/>
    <col min="7946" max="7948" width="9.28515625" style="68" bestFit="1" customWidth="1"/>
    <col min="7949" max="7949" width="10.7109375" style="68" bestFit="1" customWidth="1"/>
    <col min="7950" max="7950" width="11.28515625" style="68" customWidth="1"/>
    <col min="7951" max="7951" width="12.5703125" style="68" customWidth="1"/>
    <col min="7952" max="7952" width="13.5703125" style="68" customWidth="1"/>
    <col min="7953" max="7953" width="13" style="68" customWidth="1"/>
    <col min="7954" max="8192" width="9.140625" style="68"/>
    <col min="8193" max="8193" width="3.7109375" style="68" customWidth="1"/>
    <col min="8194" max="8194" width="4" style="68" bestFit="1" customWidth="1"/>
    <col min="8195" max="8195" width="14.5703125" style="68" customWidth="1"/>
    <col min="8196" max="8196" width="11.140625" style="68" customWidth="1"/>
    <col min="8197" max="8197" width="8.7109375" style="68" customWidth="1"/>
    <col min="8198" max="8198" width="9.7109375" style="68" bestFit="1" customWidth="1"/>
    <col min="8199" max="8199" width="10.85546875" style="68" customWidth="1"/>
    <col min="8200" max="8200" width="10.42578125" style="68" customWidth="1"/>
    <col min="8201" max="8201" width="9.7109375" style="68" bestFit="1" customWidth="1"/>
    <col min="8202" max="8204" width="9.28515625" style="68" bestFit="1" customWidth="1"/>
    <col min="8205" max="8205" width="10.7109375" style="68" bestFit="1" customWidth="1"/>
    <col min="8206" max="8206" width="11.28515625" style="68" customWidth="1"/>
    <col min="8207" max="8207" width="12.5703125" style="68" customWidth="1"/>
    <col min="8208" max="8208" width="13.5703125" style="68" customWidth="1"/>
    <col min="8209" max="8209" width="13" style="68" customWidth="1"/>
    <col min="8210" max="8448" width="9.140625" style="68"/>
    <col min="8449" max="8449" width="3.7109375" style="68" customWidth="1"/>
    <col min="8450" max="8450" width="4" style="68" bestFit="1" customWidth="1"/>
    <col min="8451" max="8451" width="14.5703125" style="68" customWidth="1"/>
    <col min="8452" max="8452" width="11.140625" style="68" customWidth="1"/>
    <col min="8453" max="8453" width="8.7109375" style="68" customWidth="1"/>
    <col min="8454" max="8454" width="9.7109375" style="68" bestFit="1" customWidth="1"/>
    <col min="8455" max="8455" width="10.85546875" style="68" customWidth="1"/>
    <col min="8456" max="8456" width="10.42578125" style="68" customWidth="1"/>
    <col min="8457" max="8457" width="9.7109375" style="68" bestFit="1" customWidth="1"/>
    <col min="8458" max="8460" width="9.28515625" style="68" bestFit="1" customWidth="1"/>
    <col min="8461" max="8461" width="10.7109375" style="68" bestFit="1" customWidth="1"/>
    <col min="8462" max="8462" width="11.28515625" style="68" customWidth="1"/>
    <col min="8463" max="8463" width="12.5703125" style="68" customWidth="1"/>
    <col min="8464" max="8464" width="13.5703125" style="68" customWidth="1"/>
    <col min="8465" max="8465" width="13" style="68" customWidth="1"/>
    <col min="8466" max="8704" width="9.140625" style="68"/>
    <col min="8705" max="8705" width="3.7109375" style="68" customWidth="1"/>
    <col min="8706" max="8706" width="4" style="68" bestFit="1" customWidth="1"/>
    <col min="8707" max="8707" width="14.5703125" style="68" customWidth="1"/>
    <col min="8708" max="8708" width="11.140625" style="68" customWidth="1"/>
    <col min="8709" max="8709" width="8.7109375" style="68" customWidth="1"/>
    <col min="8710" max="8710" width="9.7109375" style="68" bestFit="1" customWidth="1"/>
    <col min="8711" max="8711" width="10.85546875" style="68" customWidth="1"/>
    <col min="8712" max="8712" width="10.42578125" style="68" customWidth="1"/>
    <col min="8713" max="8713" width="9.7109375" style="68" bestFit="1" customWidth="1"/>
    <col min="8714" max="8716" width="9.28515625" style="68" bestFit="1" customWidth="1"/>
    <col min="8717" max="8717" width="10.7109375" style="68" bestFit="1" customWidth="1"/>
    <col min="8718" max="8718" width="11.28515625" style="68" customWidth="1"/>
    <col min="8719" max="8719" width="12.5703125" style="68" customWidth="1"/>
    <col min="8720" max="8720" width="13.5703125" style="68" customWidth="1"/>
    <col min="8721" max="8721" width="13" style="68" customWidth="1"/>
    <col min="8722" max="8960" width="9.140625" style="68"/>
    <col min="8961" max="8961" width="3.7109375" style="68" customWidth="1"/>
    <col min="8962" max="8962" width="4" style="68" bestFit="1" customWidth="1"/>
    <col min="8963" max="8963" width="14.5703125" style="68" customWidth="1"/>
    <col min="8964" max="8964" width="11.140625" style="68" customWidth="1"/>
    <col min="8965" max="8965" width="8.7109375" style="68" customWidth="1"/>
    <col min="8966" max="8966" width="9.7109375" style="68" bestFit="1" customWidth="1"/>
    <col min="8967" max="8967" width="10.85546875" style="68" customWidth="1"/>
    <col min="8968" max="8968" width="10.42578125" style="68" customWidth="1"/>
    <col min="8969" max="8969" width="9.7109375" style="68" bestFit="1" customWidth="1"/>
    <col min="8970" max="8972" width="9.28515625" style="68" bestFit="1" customWidth="1"/>
    <col min="8973" max="8973" width="10.7109375" style="68" bestFit="1" customWidth="1"/>
    <col min="8974" max="8974" width="11.28515625" style="68" customWidth="1"/>
    <col min="8975" max="8975" width="12.5703125" style="68" customWidth="1"/>
    <col min="8976" max="8976" width="13.5703125" style="68" customWidth="1"/>
    <col min="8977" max="8977" width="13" style="68" customWidth="1"/>
    <col min="8978" max="9216" width="9.140625" style="68"/>
    <col min="9217" max="9217" width="3.7109375" style="68" customWidth="1"/>
    <col min="9218" max="9218" width="4" style="68" bestFit="1" customWidth="1"/>
    <col min="9219" max="9219" width="14.5703125" style="68" customWidth="1"/>
    <col min="9220" max="9220" width="11.140625" style="68" customWidth="1"/>
    <col min="9221" max="9221" width="8.7109375" style="68" customWidth="1"/>
    <col min="9222" max="9222" width="9.7109375" style="68" bestFit="1" customWidth="1"/>
    <col min="9223" max="9223" width="10.85546875" style="68" customWidth="1"/>
    <col min="9224" max="9224" width="10.42578125" style="68" customWidth="1"/>
    <col min="9225" max="9225" width="9.7109375" style="68" bestFit="1" customWidth="1"/>
    <col min="9226" max="9228" width="9.28515625" style="68" bestFit="1" customWidth="1"/>
    <col min="9229" max="9229" width="10.7109375" style="68" bestFit="1" customWidth="1"/>
    <col min="9230" max="9230" width="11.28515625" style="68" customWidth="1"/>
    <col min="9231" max="9231" width="12.5703125" style="68" customWidth="1"/>
    <col min="9232" max="9232" width="13.5703125" style="68" customWidth="1"/>
    <col min="9233" max="9233" width="13" style="68" customWidth="1"/>
    <col min="9234" max="9472" width="9.140625" style="68"/>
    <col min="9473" max="9473" width="3.7109375" style="68" customWidth="1"/>
    <col min="9474" max="9474" width="4" style="68" bestFit="1" customWidth="1"/>
    <col min="9475" max="9475" width="14.5703125" style="68" customWidth="1"/>
    <col min="9476" max="9476" width="11.140625" style="68" customWidth="1"/>
    <col min="9477" max="9477" width="8.7109375" style="68" customWidth="1"/>
    <col min="9478" max="9478" width="9.7109375" style="68" bestFit="1" customWidth="1"/>
    <col min="9479" max="9479" width="10.85546875" style="68" customWidth="1"/>
    <col min="9480" max="9480" width="10.42578125" style="68" customWidth="1"/>
    <col min="9481" max="9481" width="9.7109375" style="68" bestFit="1" customWidth="1"/>
    <col min="9482" max="9484" width="9.28515625" style="68" bestFit="1" customWidth="1"/>
    <col min="9485" max="9485" width="10.7109375" style="68" bestFit="1" customWidth="1"/>
    <col min="9486" max="9486" width="11.28515625" style="68" customWidth="1"/>
    <col min="9487" max="9487" width="12.5703125" style="68" customWidth="1"/>
    <col min="9488" max="9488" width="13.5703125" style="68" customWidth="1"/>
    <col min="9489" max="9489" width="13" style="68" customWidth="1"/>
    <col min="9490" max="9728" width="9.140625" style="68"/>
    <col min="9729" max="9729" width="3.7109375" style="68" customWidth="1"/>
    <col min="9730" max="9730" width="4" style="68" bestFit="1" customWidth="1"/>
    <col min="9731" max="9731" width="14.5703125" style="68" customWidth="1"/>
    <col min="9732" max="9732" width="11.140625" style="68" customWidth="1"/>
    <col min="9733" max="9733" width="8.7109375" style="68" customWidth="1"/>
    <col min="9734" max="9734" width="9.7109375" style="68" bestFit="1" customWidth="1"/>
    <col min="9735" max="9735" width="10.85546875" style="68" customWidth="1"/>
    <col min="9736" max="9736" width="10.42578125" style="68" customWidth="1"/>
    <col min="9737" max="9737" width="9.7109375" style="68" bestFit="1" customWidth="1"/>
    <col min="9738" max="9740" width="9.28515625" style="68" bestFit="1" customWidth="1"/>
    <col min="9741" max="9741" width="10.7109375" style="68" bestFit="1" customWidth="1"/>
    <col min="9742" max="9742" width="11.28515625" style="68" customWidth="1"/>
    <col min="9743" max="9743" width="12.5703125" style="68" customWidth="1"/>
    <col min="9744" max="9744" width="13.5703125" style="68" customWidth="1"/>
    <col min="9745" max="9745" width="13" style="68" customWidth="1"/>
    <col min="9746" max="9984" width="9.140625" style="68"/>
    <col min="9985" max="9985" width="3.7109375" style="68" customWidth="1"/>
    <col min="9986" max="9986" width="4" style="68" bestFit="1" customWidth="1"/>
    <col min="9987" max="9987" width="14.5703125" style="68" customWidth="1"/>
    <col min="9988" max="9988" width="11.140625" style="68" customWidth="1"/>
    <col min="9989" max="9989" width="8.7109375" style="68" customWidth="1"/>
    <col min="9990" max="9990" width="9.7109375" style="68" bestFit="1" customWidth="1"/>
    <col min="9991" max="9991" width="10.85546875" style="68" customWidth="1"/>
    <col min="9992" max="9992" width="10.42578125" style="68" customWidth="1"/>
    <col min="9993" max="9993" width="9.7109375" style="68" bestFit="1" customWidth="1"/>
    <col min="9994" max="9996" width="9.28515625" style="68" bestFit="1" customWidth="1"/>
    <col min="9997" max="9997" width="10.7109375" style="68" bestFit="1" customWidth="1"/>
    <col min="9998" max="9998" width="11.28515625" style="68" customWidth="1"/>
    <col min="9999" max="9999" width="12.5703125" style="68" customWidth="1"/>
    <col min="10000" max="10000" width="13.5703125" style="68" customWidth="1"/>
    <col min="10001" max="10001" width="13" style="68" customWidth="1"/>
    <col min="10002" max="10240" width="9.140625" style="68"/>
    <col min="10241" max="10241" width="3.7109375" style="68" customWidth="1"/>
    <col min="10242" max="10242" width="4" style="68" bestFit="1" customWidth="1"/>
    <col min="10243" max="10243" width="14.5703125" style="68" customWidth="1"/>
    <col min="10244" max="10244" width="11.140625" style="68" customWidth="1"/>
    <col min="10245" max="10245" width="8.7109375" style="68" customWidth="1"/>
    <col min="10246" max="10246" width="9.7109375" style="68" bestFit="1" customWidth="1"/>
    <col min="10247" max="10247" width="10.85546875" style="68" customWidth="1"/>
    <col min="10248" max="10248" width="10.42578125" style="68" customWidth="1"/>
    <col min="10249" max="10249" width="9.7109375" style="68" bestFit="1" customWidth="1"/>
    <col min="10250" max="10252" width="9.28515625" style="68" bestFit="1" customWidth="1"/>
    <col min="10253" max="10253" width="10.7109375" style="68" bestFit="1" customWidth="1"/>
    <col min="10254" max="10254" width="11.28515625" style="68" customWidth="1"/>
    <col min="10255" max="10255" width="12.5703125" style="68" customWidth="1"/>
    <col min="10256" max="10256" width="13.5703125" style="68" customWidth="1"/>
    <col min="10257" max="10257" width="13" style="68" customWidth="1"/>
    <col min="10258" max="10496" width="9.140625" style="68"/>
    <col min="10497" max="10497" width="3.7109375" style="68" customWidth="1"/>
    <col min="10498" max="10498" width="4" style="68" bestFit="1" customWidth="1"/>
    <col min="10499" max="10499" width="14.5703125" style="68" customWidth="1"/>
    <col min="10500" max="10500" width="11.140625" style="68" customWidth="1"/>
    <col min="10501" max="10501" width="8.7109375" style="68" customWidth="1"/>
    <col min="10502" max="10502" width="9.7109375" style="68" bestFit="1" customWidth="1"/>
    <col min="10503" max="10503" width="10.85546875" style="68" customWidth="1"/>
    <col min="10504" max="10504" width="10.42578125" style="68" customWidth="1"/>
    <col min="10505" max="10505" width="9.7109375" style="68" bestFit="1" customWidth="1"/>
    <col min="10506" max="10508" width="9.28515625" style="68" bestFit="1" customWidth="1"/>
    <col min="10509" max="10509" width="10.7109375" style="68" bestFit="1" customWidth="1"/>
    <col min="10510" max="10510" width="11.28515625" style="68" customWidth="1"/>
    <col min="10511" max="10511" width="12.5703125" style="68" customWidth="1"/>
    <col min="10512" max="10512" width="13.5703125" style="68" customWidth="1"/>
    <col min="10513" max="10513" width="13" style="68" customWidth="1"/>
    <col min="10514" max="10752" width="9.140625" style="68"/>
    <col min="10753" max="10753" width="3.7109375" style="68" customWidth="1"/>
    <col min="10754" max="10754" width="4" style="68" bestFit="1" customWidth="1"/>
    <col min="10755" max="10755" width="14.5703125" style="68" customWidth="1"/>
    <col min="10756" max="10756" width="11.140625" style="68" customWidth="1"/>
    <col min="10757" max="10757" width="8.7109375" style="68" customWidth="1"/>
    <col min="10758" max="10758" width="9.7109375" style="68" bestFit="1" customWidth="1"/>
    <col min="10759" max="10759" width="10.85546875" style="68" customWidth="1"/>
    <col min="10760" max="10760" width="10.42578125" style="68" customWidth="1"/>
    <col min="10761" max="10761" width="9.7109375" style="68" bestFit="1" customWidth="1"/>
    <col min="10762" max="10764" width="9.28515625" style="68" bestFit="1" customWidth="1"/>
    <col min="10765" max="10765" width="10.7109375" style="68" bestFit="1" customWidth="1"/>
    <col min="10766" max="10766" width="11.28515625" style="68" customWidth="1"/>
    <col min="10767" max="10767" width="12.5703125" style="68" customWidth="1"/>
    <col min="10768" max="10768" width="13.5703125" style="68" customWidth="1"/>
    <col min="10769" max="10769" width="13" style="68" customWidth="1"/>
    <col min="10770" max="11008" width="9.140625" style="68"/>
    <col min="11009" max="11009" width="3.7109375" style="68" customWidth="1"/>
    <col min="11010" max="11010" width="4" style="68" bestFit="1" customWidth="1"/>
    <col min="11011" max="11011" width="14.5703125" style="68" customWidth="1"/>
    <col min="11012" max="11012" width="11.140625" style="68" customWidth="1"/>
    <col min="11013" max="11013" width="8.7109375" style="68" customWidth="1"/>
    <col min="11014" max="11014" width="9.7109375" style="68" bestFit="1" customWidth="1"/>
    <col min="11015" max="11015" width="10.85546875" style="68" customWidth="1"/>
    <col min="11016" max="11016" width="10.42578125" style="68" customWidth="1"/>
    <col min="11017" max="11017" width="9.7109375" style="68" bestFit="1" customWidth="1"/>
    <col min="11018" max="11020" width="9.28515625" style="68" bestFit="1" customWidth="1"/>
    <col min="11021" max="11021" width="10.7109375" style="68" bestFit="1" customWidth="1"/>
    <col min="11022" max="11022" width="11.28515625" style="68" customWidth="1"/>
    <col min="11023" max="11023" width="12.5703125" style="68" customWidth="1"/>
    <col min="11024" max="11024" width="13.5703125" style="68" customWidth="1"/>
    <col min="11025" max="11025" width="13" style="68" customWidth="1"/>
    <col min="11026" max="11264" width="9.140625" style="68"/>
    <col min="11265" max="11265" width="3.7109375" style="68" customWidth="1"/>
    <col min="11266" max="11266" width="4" style="68" bestFit="1" customWidth="1"/>
    <col min="11267" max="11267" width="14.5703125" style="68" customWidth="1"/>
    <col min="11268" max="11268" width="11.140625" style="68" customWidth="1"/>
    <col min="11269" max="11269" width="8.7109375" style="68" customWidth="1"/>
    <col min="11270" max="11270" width="9.7109375" style="68" bestFit="1" customWidth="1"/>
    <col min="11271" max="11271" width="10.85546875" style="68" customWidth="1"/>
    <col min="11272" max="11272" width="10.42578125" style="68" customWidth="1"/>
    <col min="11273" max="11273" width="9.7109375" style="68" bestFit="1" customWidth="1"/>
    <col min="11274" max="11276" width="9.28515625" style="68" bestFit="1" customWidth="1"/>
    <col min="11277" max="11277" width="10.7109375" style="68" bestFit="1" customWidth="1"/>
    <col min="11278" max="11278" width="11.28515625" style="68" customWidth="1"/>
    <col min="11279" max="11279" width="12.5703125" style="68" customWidth="1"/>
    <col min="11280" max="11280" width="13.5703125" style="68" customWidth="1"/>
    <col min="11281" max="11281" width="13" style="68" customWidth="1"/>
    <col min="11282" max="11520" width="9.140625" style="68"/>
    <col min="11521" max="11521" width="3.7109375" style="68" customWidth="1"/>
    <col min="11522" max="11522" width="4" style="68" bestFit="1" customWidth="1"/>
    <col min="11523" max="11523" width="14.5703125" style="68" customWidth="1"/>
    <col min="11524" max="11524" width="11.140625" style="68" customWidth="1"/>
    <col min="11525" max="11525" width="8.7109375" style="68" customWidth="1"/>
    <col min="11526" max="11526" width="9.7109375" style="68" bestFit="1" customWidth="1"/>
    <col min="11527" max="11527" width="10.85546875" style="68" customWidth="1"/>
    <col min="11528" max="11528" width="10.42578125" style="68" customWidth="1"/>
    <col min="11529" max="11529" width="9.7109375" style="68" bestFit="1" customWidth="1"/>
    <col min="11530" max="11532" width="9.28515625" style="68" bestFit="1" customWidth="1"/>
    <col min="11533" max="11533" width="10.7109375" style="68" bestFit="1" customWidth="1"/>
    <col min="11534" max="11534" width="11.28515625" style="68" customWidth="1"/>
    <col min="11535" max="11535" width="12.5703125" style="68" customWidth="1"/>
    <col min="11536" max="11536" width="13.5703125" style="68" customWidth="1"/>
    <col min="11537" max="11537" width="13" style="68" customWidth="1"/>
    <col min="11538" max="11776" width="9.140625" style="68"/>
    <col min="11777" max="11777" width="3.7109375" style="68" customWidth="1"/>
    <col min="11778" max="11778" width="4" style="68" bestFit="1" customWidth="1"/>
    <col min="11779" max="11779" width="14.5703125" style="68" customWidth="1"/>
    <col min="11780" max="11780" width="11.140625" style="68" customWidth="1"/>
    <col min="11781" max="11781" width="8.7109375" style="68" customWidth="1"/>
    <col min="11782" max="11782" width="9.7109375" style="68" bestFit="1" customWidth="1"/>
    <col min="11783" max="11783" width="10.85546875" style="68" customWidth="1"/>
    <col min="11784" max="11784" width="10.42578125" style="68" customWidth="1"/>
    <col min="11785" max="11785" width="9.7109375" style="68" bestFit="1" customWidth="1"/>
    <col min="11786" max="11788" width="9.28515625" style="68" bestFit="1" customWidth="1"/>
    <col min="11789" max="11789" width="10.7109375" style="68" bestFit="1" customWidth="1"/>
    <col min="11790" max="11790" width="11.28515625" style="68" customWidth="1"/>
    <col min="11791" max="11791" width="12.5703125" style="68" customWidth="1"/>
    <col min="11792" max="11792" width="13.5703125" style="68" customWidth="1"/>
    <col min="11793" max="11793" width="13" style="68" customWidth="1"/>
    <col min="11794" max="12032" width="9.140625" style="68"/>
    <col min="12033" max="12033" width="3.7109375" style="68" customWidth="1"/>
    <col min="12034" max="12034" width="4" style="68" bestFit="1" customWidth="1"/>
    <col min="12035" max="12035" width="14.5703125" style="68" customWidth="1"/>
    <col min="12036" max="12036" width="11.140625" style="68" customWidth="1"/>
    <col min="12037" max="12037" width="8.7109375" style="68" customWidth="1"/>
    <col min="12038" max="12038" width="9.7109375" style="68" bestFit="1" customWidth="1"/>
    <col min="12039" max="12039" width="10.85546875" style="68" customWidth="1"/>
    <col min="12040" max="12040" width="10.42578125" style="68" customWidth="1"/>
    <col min="12041" max="12041" width="9.7109375" style="68" bestFit="1" customWidth="1"/>
    <col min="12042" max="12044" width="9.28515625" style="68" bestFit="1" customWidth="1"/>
    <col min="12045" max="12045" width="10.7109375" style="68" bestFit="1" customWidth="1"/>
    <col min="12046" max="12046" width="11.28515625" style="68" customWidth="1"/>
    <col min="12047" max="12047" width="12.5703125" style="68" customWidth="1"/>
    <col min="12048" max="12048" width="13.5703125" style="68" customWidth="1"/>
    <col min="12049" max="12049" width="13" style="68" customWidth="1"/>
    <col min="12050" max="12288" width="9.140625" style="68"/>
    <col min="12289" max="12289" width="3.7109375" style="68" customWidth="1"/>
    <col min="12290" max="12290" width="4" style="68" bestFit="1" customWidth="1"/>
    <col min="12291" max="12291" width="14.5703125" style="68" customWidth="1"/>
    <col min="12292" max="12292" width="11.140625" style="68" customWidth="1"/>
    <col min="12293" max="12293" width="8.7109375" style="68" customWidth="1"/>
    <col min="12294" max="12294" width="9.7109375" style="68" bestFit="1" customWidth="1"/>
    <col min="12295" max="12295" width="10.85546875" style="68" customWidth="1"/>
    <col min="12296" max="12296" width="10.42578125" style="68" customWidth="1"/>
    <col min="12297" max="12297" width="9.7109375" style="68" bestFit="1" customWidth="1"/>
    <col min="12298" max="12300" width="9.28515625" style="68" bestFit="1" customWidth="1"/>
    <col min="12301" max="12301" width="10.7109375" style="68" bestFit="1" customWidth="1"/>
    <col min="12302" max="12302" width="11.28515625" style="68" customWidth="1"/>
    <col min="12303" max="12303" width="12.5703125" style="68" customWidth="1"/>
    <col min="12304" max="12304" width="13.5703125" style="68" customWidth="1"/>
    <col min="12305" max="12305" width="13" style="68" customWidth="1"/>
    <col min="12306" max="12544" width="9.140625" style="68"/>
    <col min="12545" max="12545" width="3.7109375" style="68" customWidth="1"/>
    <col min="12546" max="12546" width="4" style="68" bestFit="1" customWidth="1"/>
    <col min="12547" max="12547" width="14.5703125" style="68" customWidth="1"/>
    <col min="12548" max="12548" width="11.140625" style="68" customWidth="1"/>
    <col min="12549" max="12549" width="8.7109375" style="68" customWidth="1"/>
    <col min="12550" max="12550" width="9.7109375" style="68" bestFit="1" customWidth="1"/>
    <col min="12551" max="12551" width="10.85546875" style="68" customWidth="1"/>
    <col min="12552" max="12552" width="10.42578125" style="68" customWidth="1"/>
    <col min="12553" max="12553" width="9.7109375" style="68" bestFit="1" customWidth="1"/>
    <col min="12554" max="12556" width="9.28515625" style="68" bestFit="1" customWidth="1"/>
    <col min="12557" max="12557" width="10.7109375" style="68" bestFit="1" customWidth="1"/>
    <col min="12558" max="12558" width="11.28515625" style="68" customWidth="1"/>
    <col min="12559" max="12559" width="12.5703125" style="68" customWidth="1"/>
    <col min="12560" max="12560" width="13.5703125" style="68" customWidth="1"/>
    <col min="12561" max="12561" width="13" style="68" customWidth="1"/>
    <col min="12562" max="12800" width="9.140625" style="68"/>
    <col min="12801" max="12801" width="3.7109375" style="68" customWidth="1"/>
    <col min="12802" max="12802" width="4" style="68" bestFit="1" customWidth="1"/>
    <col min="12803" max="12803" width="14.5703125" style="68" customWidth="1"/>
    <col min="12804" max="12804" width="11.140625" style="68" customWidth="1"/>
    <col min="12805" max="12805" width="8.7109375" style="68" customWidth="1"/>
    <col min="12806" max="12806" width="9.7109375" style="68" bestFit="1" customWidth="1"/>
    <col min="12807" max="12807" width="10.85546875" style="68" customWidth="1"/>
    <col min="12808" max="12808" width="10.42578125" style="68" customWidth="1"/>
    <col min="12809" max="12809" width="9.7109375" style="68" bestFit="1" customWidth="1"/>
    <col min="12810" max="12812" width="9.28515625" style="68" bestFit="1" customWidth="1"/>
    <col min="12813" max="12813" width="10.7109375" style="68" bestFit="1" customWidth="1"/>
    <col min="12814" max="12814" width="11.28515625" style="68" customWidth="1"/>
    <col min="12815" max="12815" width="12.5703125" style="68" customWidth="1"/>
    <col min="12816" max="12816" width="13.5703125" style="68" customWidth="1"/>
    <col min="12817" max="12817" width="13" style="68" customWidth="1"/>
    <col min="12818" max="13056" width="9.140625" style="68"/>
    <col min="13057" max="13057" width="3.7109375" style="68" customWidth="1"/>
    <col min="13058" max="13058" width="4" style="68" bestFit="1" customWidth="1"/>
    <col min="13059" max="13059" width="14.5703125" style="68" customWidth="1"/>
    <col min="13060" max="13060" width="11.140625" style="68" customWidth="1"/>
    <col min="13061" max="13061" width="8.7109375" style="68" customWidth="1"/>
    <col min="13062" max="13062" width="9.7109375" style="68" bestFit="1" customWidth="1"/>
    <col min="13063" max="13063" width="10.85546875" style="68" customWidth="1"/>
    <col min="13064" max="13064" width="10.42578125" style="68" customWidth="1"/>
    <col min="13065" max="13065" width="9.7109375" style="68" bestFit="1" customWidth="1"/>
    <col min="13066" max="13068" width="9.28515625" style="68" bestFit="1" customWidth="1"/>
    <col min="13069" max="13069" width="10.7109375" style="68" bestFit="1" customWidth="1"/>
    <col min="13070" max="13070" width="11.28515625" style="68" customWidth="1"/>
    <col min="13071" max="13071" width="12.5703125" style="68" customWidth="1"/>
    <col min="13072" max="13072" width="13.5703125" style="68" customWidth="1"/>
    <col min="13073" max="13073" width="13" style="68" customWidth="1"/>
    <col min="13074" max="13312" width="9.140625" style="68"/>
    <col min="13313" max="13313" width="3.7109375" style="68" customWidth="1"/>
    <col min="13314" max="13314" width="4" style="68" bestFit="1" customWidth="1"/>
    <col min="13315" max="13315" width="14.5703125" style="68" customWidth="1"/>
    <col min="13316" max="13316" width="11.140625" style="68" customWidth="1"/>
    <col min="13317" max="13317" width="8.7109375" style="68" customWidth="1"/>
    <col min="13318" max="13318" width="9.7109375" style="68" bestFit="1" customWidth="1"/>
    <col min="13319" max="13319" width="10.85546875" style="68" customWidth="1"/>
    <col min="13320" max="13320" width="10.42578125" style="68" customWidth="1"/>
    <col min="13321" max="13321" width="9.7109375" style="68" bestFit="1" customWidth="1"/>
    <col min="13322" max="13324" width="9.28515625" style="68" bestFit="1" customWidth="1"/>
    <col min="13325" max="13325" width="10.7109375" style="68" bestFit="1" customWidth="1"/>
    <col min="13326" max="13326" width="11.28515625" style="68" customWidth="1"/>
    <col min="13327" max="13327" width="12.5703125" style="68" customWidth="1"/>
    <col min="13328" max="13328" width="13.5703125" style="68" customWidth="1"/>
    <col min="13329" max="13329" width="13" style="68" customWidth="1"/>
    <col min="13330" max="13568" width="9.140625" style="68"/>
    <col min="13569" max="13569" width="3.7109375" style="68" customWidth="1"/>
    <col min="13570" max="13570" width="4" style="68" bestFit="1" customWidth="1"/>
    <col min="13571" max="13571" width="14.5703125" style="68" customWidth="1"/>
    <col min="13572" max="13572" width="11.140625" style="68" customWidth="1"/>
    <col min="13573" max="13573" width="8.7109375" style="68" customWidth="1"/>
    <col min="13574" max="13574" width="9.7109375" style="68" bestFit="1" customWidth="1"/>
    <col min="13575" max="13575" width="10.85546875" style="68" customWidth="1"/>
    <col min="13576" max="13576" width="10.42578125" style="68" customWidth="1"/>
    <col min="13577" max="13577" width="9.7109375" style="68" bestFit="1" customWidth="1"/>
    <col min="13578" max="13580" width="9.28515625" style="68" bestFit="1" customWidth="1"/>
    <col min="13581" max="13581" width="10.7109375" style="68" bestFit="1" customWidth="1"/>
    <col min="13582" max="13582" width="11.28515625" style="68" customWidth="1"/>
    <col min="13583" max="13583" width="12.5703125" style="68" customWidth="1"/>
    <col min="13584" max="13584" width="13.5703125" style="68" customWidth="1"/>
    <col min="13585" max="13585" width="13" style="68" customWidth="1"/>
    <col min="13586" max="13824" width="9.140625" style="68"/>
    <col min="13825" max="13825" width="3.7109375" style="68" customWidth="1"/>
    <col min="13826" max="13826" width="4" style="68" bestFit="1" customWidth="1"/>
    <col min="13827" max="13827" width="14.5703125" style="68" customWidth="1"/>
    <col min="13828" max="13828" width="11.140625" style="68" customWidth="1"/>
    <col min="13829" max="13829" width="8.7109375" style="68" customWidth="1"/>
    <col min="13830" max="13830" width="9.7109375" style="68" bestFit="1" customWidth="1"/>
    <col min="13831" max="13831" width="10.85546875" style="68" customWidth="1"/>
    <col min="13832" max="13832" width="10.42578125" style="68" customWidth="1"/>
    <col min="13833" max="13833" width="9.7109375" style="68" bestFit="1" customWidth="1"/>
    <col min="13834" max="13836" width="9.28515625" style="68" bestFit="1" customWidth="1"/>
    <col min="13837" max="13837" width="10.7109375" style="68" bestFit="1" customWidth="1"/>
    <col min="13838" max="13838" width="11.28515625" style="68" customWidth="1"/>
    <col min="13839" max="13839" width="12.5703125" style="68" customWidth="1"/>
    <col min="13840" max="13840" width="13.5703125" style="68" customWidth="1"/>
    <col min="13841" max="13841" width="13" style="68" customWidth="1"/>
    <col min="13842" max="14080" width="9.140625" style="68"/>
    <col min="14081" max="14081" width="3.7109375" style="68" customWidth="1"/>
    <col min="14082" max="14082" width="4" style="68" bestFit="1" customWidth="1"/>
    <col min="14083" max="14083" width="14.5703125" style="68" customWidth="1"/>
    <col min="14084" max="14084" width="11.140625" style="68" customWidth="1"/>
    <col min="14085" max="14085" width="8.7109375" style="68" customWidth="1"/>
    <col min="14086" max="14086" width="9.7109375" style="68" bestFit="1" customWidth="1"/>
    <col min="14087" max="14087" width="10.85546875" style="68" customWidth="1"/>
    <col min="14088" max="14088" width="10.42578125" style="68" customWidth="1"/>
    <col min="14089" max="14089" width="9.7109375" style="68" bestFit="1" customWidth="1"/>
    <col min="14090" max="14092" width="9.28515625" style="68" bestFit="1" customWidth="1"/>
    <col min="14093" max="14093" width="10.7109375" style="68" bestFit="1" customWidth="1"/>
    <col min="14094" max="14094" width="11.28515625" style="68" customWidth="1"/>
    <col min="14095" max="14095" width="12.5703125" style="68" customWidth="1"/>
    <col min="14096" max="14096" width="13.5703125" style="68" customWidth="1"/>
    <col min="14097" max="14097" width="13" style="68" customWidth="1"/>
    <col min="14098" max="14336" width="9.140625" style="68"/>
    <col min="14337" max="14337" width="3.7109375" style="68" customWidth="1"/>
    <col min="14338" max="14338" width="4" style="68" bestFit="1" customWidth="1"/>
    <col min="14339" max="14339" width="14.5703125" style="68" customWidth="1"/>
    <col min="14340" max="14340" width="11.140625" style="68" customWidth="1"/>
    <col min="14341" max="14341" width="8.7109375" style="68" customWidth="1"/>
    <col min="14342" max="14342" width="9.7109375" style="68" bestFit="1" customWidth="1"/>
    <col min="14343" max="14343" width="10.85546875" style="68" customWidth="1"/>
    <col min="14344" max="14344" width="10.42578125" style="68" customWidth="1"/>
    <col min="14345" max="14345" width="9.7109375" style="68" bestFit="1" customWidth="1"/>
    <col min="14346" max="14348" width="9.28515625" style="68" bestFit="1" customWidth="1"/>
    <col min="14349" max="14349" width="10.7109375" style="68" bestFit="1" customWidth="1"/>
    <col min="14350" max="14350" width="11.28515625" style="68" customWidth="1"/>
    <col min="14351" max="14351" width="12.5703125" style="68" customWidth="1"/>
    <col min="14352" max="14352" width="13.5703125" style="68" customWidth="1"/>
    <col min="14353" max="14353" width="13" style="68" customWidth="1"/>
    <col min="14354" max="14592" width="9.140625" style="68"/>
    <col min="14593" max="14593" width="3.7109375" style="68" customWidth="1"/>
    <col min="14594" max="14594" width="4" style="68" bestFit="1" customWidth="1"/>
    <col min="14595" max="14595" width="14.5703125" style="68" customWidth="1"/>
    <col min="14596" max="14596" width="11.140625" style="68" customWidth="1"/>
    <col min="14597" max="14597" width="8.7109375" style="68" customWidth="1"/>
    <col min="14598" max="14598" width="9.7109375" style="68" bestFit="1" customWidth="1"/>
    <col min="14599" max="14599" width="10.85546875" style="68" customWidth="1"/>
    <col min="14600" max="14600" width="10.42578125" style="68" customWidth="1"/>
    <col min="14601" max="14601" width="9.7109375" style="68" bestFit="1" customWidth="1"/>
    <col min="14602" max="14604" width="9.28515625" style="68" bestFit="1" customWidth="1"/>
    <col min="14605" max="14605" width="10.7109375" style="68" bestFit="1" customWidth="1"/>
    <col min="14606" max="14606" width="11.28515625" style="68" customWidth="1"/>
    <col min="14607" max="14607" width="12.5703125" style="68" customWidth="1"/>
    <col min="14608" max="14608" width="13.5703125" style="68" customWidth="1"/>
    <col min="14609" max="14609" width="13" style="68" customWidth="1"/>
    <col min="14610" max="14848" width="9.140625" style="68"/>
    <col min="14849" max="14849" width="3.7109375" style="68" customWidth="1"/>
    <col min="14850" max="14850" width="4" style="68" bestFit="1" customWidth="1"/>
    <col min="14851" max="14851" width="14.5703125" style="68" customWidth="1"/>
    <col min="14852" max="14852" width="11.140625" style="68" customWidth="1"/>
    <col min="14853" max="14853" width="8.7109375" style="68" customWidth="1"/>
    <col min="14854" max="14854" width="9.7109375" style="68" bestFit="1" customWidth="1"/>
    <col min="14855" max="14855" width="10.85546875" style="68" customWidth="1"/>
    <col min="14856" max="14856" width="10.42578125" style="68" customWidth="1"/>
    <col min="14857" max="14857" width="9.7109375" style="68" bestFit="1" customWidth="1"/>
    <col min="14858" max="14860" width="9.28515625" style="68" bestFit="1" customWidth="1"/>
    <col min="14861" max="14861" width="10.7109375" style="68" bestFit="1" customWidth="1"/>
    <col min="14862" max="14862" width="11.28515625" style="68" customWidth="1"/>
    <col min="14863" max="14863" width="12.5703125" style="68" customWidth="1"/>
    <col min="14864" max="14864" width="13.5703125" style="68" customWidth="1"/>
    <col min="14865" max="14865" width="13" style="68" customWidth="1"/>
    <col min="14866" max="15104" width="9.140625" style="68"/>
    <col min="15105" max="15105" width="3.7109375" style="68" customWidth="1"/>
    <col min="15106" max="15106" width="4" style="68" bestFit="1" customWidth="1"/>
    <col min="15107" max="15107" width="14.5703125" style="68" customWidth="1"/>
    <col min="15108" max="15108" width="11.140625" style="68" customWidth="1"/>
    <col min="15109" max="15109" width="8.7109375" style="68" customWidth="1"/>
    <col min="15110" max="15110" width="9.7109375" style="68" bestFit="1" customWidth="1"/>
    <col min="15111" max="15111" width="10.85546875" style="68" customWidth="1"/>
    <col min="15112" max="15112" width="10.42578125" style="68" customWidth="1"/>
    <col min="15113" max="15113" width="9.7109375" style="68" bestFit="1" customWidth="1"/>
    <col min="15114" max="15116" width="9.28515625" style="68" bestFit="1" customWidth="1"/>
    <col min="15117" max="15117" width="10.7109375" style="68" bestFit="1" customWidth="1"/>
    <col min="15118" max="15118" width="11.28515625" style="68" customWidth="1"/>
    <col min="15119" max="15119" width="12.5703125" style="68" customWidth="1"/>
    <col min="15120" max="15120" width="13.5703125" style="68" customWidth="1"/>
    <col min="15121" max="15121" width="13" style="68" customWidth="1"/>
    <col min="15122" max="15360" width="9.140625" style="68"/>
    <col min="15361" max="15361" width="3.7109375" style="68" customWidth="1"/>
    <col min="15362" max="15362" width="4" style="68" bestFit="1" customWidth="1"/>
    <col min="15363" max="15363" width="14.5703125" style="68" customWidth="1"/>
    <col min="15364" max="15364" width="11.140625" style="68" customWidth="1"/>
    <col min="15365" max="15365" width="8.7109375" style="68" customWidth="1"/>
    <col min="15366" max="15366" width="9.7109375" style="68" bestFit="1" customWidth="1"/>
    <col min="15367" max="15367" width="10.85546875" style="68" customWidth="1"/>
    <col min="15368" max="15368" width="10.42578125" style="68" customWidth="1"/>
    <col min="15369" max="15369" width="9.7109375" style="68" bestFit="1" customWidth="1"/>
    <col min="15370" max="15372" width="9.28515625" style="68" bestFit="1" customWidth="1"/>
    <col min="15373" max="15373" width="10.7109375" style="68" bestFit="1" customWidth="1"/>
    <col min="15374" max="15374" width="11.28515625" style="68" customWidth="1"/>
    <col min="15375" max="15375" width="12.5703125" style="68" customWidth="1"/>
    <col min="15376" max="15376" width="13.5703125" style="68" customWidth="1"/>
    <col min="15377" max="15377" width="13" style="68" customWidth="1"/>
    <col min="15378" max="15616" width="9.140625" style="68"/>
    <col min="15617" max="15617" width="3.7109375" style="68" customWidth="1"/>
    <col min="15618" max="15618" width="4" style="68" bestFit="1" customWidth="1"/>
    <col min="15619" max="15619" width="14.5703125" style="68" customWidth="1"/>
    <col min="15620" max="15620" width="11.140625" style="68" customWidth="1"/>
    <col min="15621" max="15621" width="8.7109375" style="68" customWidth="1"/>
    <col min="15622" max="15622" width="9.7109375" style="68" bestFit="1" customWidth="1"/>
    <col min="15623" max="15623" width="10.85546875" style="68" customWidth="1"/>
    <col min="15624" max="15624" width="10.42578125" style="68" customWidth="1"/>
    <col min="15625" max="15625" width="9.7109375" style="68" bestFit="1" customWidth="1"/>
    <col min="15626" max="15628" width="9.28515625" style="68" bestFit="1" customWidth="1"/>
    <col min="15629" max="15629" width="10.7109375" style="68" bestFit="1" customWidth="1"/>
    <col min="15630" max="15630" width="11.28515625" style="68" customWidth="1"/>
    <col min="15631" max="15631" width="12.5703125" style="68" customWidth="1"/>
    <col min="15632" max="15632" width="13.5703125" style="68" customWidth="1"/>
    <col min="15633" max="15633" width="13" style="68" customWidth="1"/>
    <col min="15634" max="15872" width="9.140625" style="68"/>
    <col min="15873" max="15873" width="3.7109375" style="68" customWidth="1"/>
    <col min="15874" max="15874" width="4" style="68" bestFit="1" customWidth="1"/>
    <col min="15875" max="15875" width="14.5703125" style="68" customWidth="1"/>
    <col min="15876" max="15876" width="11.140625" style="68" customWidth="1"/>
    <col min="15877" max="15877" width="8.7109375" style="68" customWidth="1"/>
    <col min="15878" max="15878" width="9.7109375" style="68" bestFit="1" customWidth="1"/>
    <col min="15879" max="15879" width="10.85546875" style="68" customWidth="1"/>
    <col min="15880" max="15880" width="10.42578125" style="68" customWidth="1"/>
    <col min="15881" max="15881" width="9.7109375" style="68" bestFit="1" customWidth="1"/>
    <col min="15882" max="15884" width="9.28515625" style="68" bestFit="1" customWidth="1"/>
    <col min="15885" max="15885" width="10.7109375" style="68" bestFit="1" customWidth="1"/>
    <col min="15886" max="15886" width="11.28515625" style="68" customWidth="1"/>
    <col min="15887" max="15887" width="12.5703125" style="68" customWidth="1"/>
    <col min="15888" max="15888" width="13.5703125" style="68" customWidth="1"/>
    <col min="15889" max="15889" width="13" style="68" customWidth="1"/>
    <col min="15890" max="16128" width="9.140625" style="68"/>
    <col min="16129" max="16129" width="3.7109375" style="68" customWidth="1"/>
    <col min="16130" max="16130" width="4" style="68" bestFit="1" customWidth="1"/>
    <col min="16131" max="16131" width="14.5703125" style="68" customWidth="1"/>
    <col min="16132" max="16132" width="11.140625" style="68" customWidth="1"/>
    <col min="16133" max="16133" width="8.7109375" style="68" customWidth="1"/>
    <col min="16134" max="16134" width="9.7109375" style="68" bestFit="1" customWidth="1"/>
    <col min="16135" max="16135" width="10.85546875" style="68" customWidth="1"/>
    <col min="16136" max="16136" width="10.42578125" style="68" customWidth="1"/>
    <col min="16137" max="16137" width="9.7109375" style="68" bestFit="1" customWidth="1"/>
    <col min="16138" max="16140" width="9.28515625" style="68" bestFit="1" customWidth="1"/>
    <col min="16141" max="16141" width="10.7109375" style="68" bestFit="1" customWidth="1"/>
    <col min="16142" max="16142" width="11.28515625" style="68" customWidth="1"/>
    <col min="16143" max="16143" width="12.5703125" style="68" customWidth="1"/>
    <col min="16144" max="16144" width="13.5703125" style="68" customWidth="1"/>
    <col min="16145" max="16145" width="13" style="68" customWidth="1"/>
    <col min="16146" max="16384" width="9.140625" style="68"/>
  </cols>
  <sheetData>
    <row r="2" spans="2:21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1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1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345</v>
      </c>
      <c r="R4" s="67"/>
      <c r="S4" s="67"/>
    </row>
    <row r="5" spans="2:21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  <c r="S5" s="67"/>
    </row>
    <row r="6" spans="2:21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1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1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S8" s="20"/>
      <c r="U8" s="68" t="s">
        <v>241</v>
      </c>
    </row>
    <row r="9" spans="2:21" x14ac:dyDescent="0.25">
      <c r="B9" s="199">
        <v>1</v>
      </c>
      <c r="C9" s="225" t="s">
        <v>242</v>
      </c>
      <c r="D9" s="226"/>
      <c r="E9" s="74">
        <f>'27'!L9</f>
        <v>22364.378373279244</v>
      </c>
      <c r="F9" s="74">
        <f>Production2!D30</f>
        <v>3289.48</v>
      </c>
      <c r="G9" s="74">
        <f>F9+'27'!G9</f>
        <v>83225.359999999986</v>
      </c>
      <c r="H9" s="74">
        <f>F9+'27'!H9</f>
        <v>148211.06</v>
      </c>
      <c r="I9" s="74">
        <f>Production2!E30</f>
        <v>3204</v>
      </c>
      <c r="J9" s="74">
        <f>I9+'27'!J9</f>
        <v>63596</v>
      </c>
      <c r="K9" s="74">
        <f>I9+'27'!K9</f>
        <v>130483</v>
      </c>
      <c r="L9" s="74">
        <f>E9+F9-I9-I21</f>
        <v>22095.891706624323</v>
      </c>
      <c r="M9" s="75">
        <f>I9</f>
        <v>3204</v>
      </c>
      <c r="N9" s="75">
        <f>(I9/I13)*100</f>
        <v>97.002724795640333</v>
      </c>
      <c r="O9" s="787"/>
      <c r="P9" s="286">
        <v>10</v>
      </c>
      <c r="Q9" s="261">
        <f>'Raw mill moisture content'!L35</f>
        <v>9.9999999999999922E-2</v>
      </c>
    </row>
    <row r="10" spans="2:21" ht="13.9" customHeight="1" x14ac:dyDescent="0.25">
      <c r="B10" s="79">
        <v>2</v>
      </c>
      <c r="C10" s="728" t="s">
        <v>30</v>
      </c>
      <c r="D10" s="728"/>
      <c r="E10" s="77">
        <f>'Mines (2)'!L30</f>
        <v>2910.26</v>
      </c>
      <c r="F10" s="77">
        <f>'Mines (2)'!M30</f>
        <v>88</v>
      </c>
      <c r="G10" s="74">
        <f>F10+'27'!G10</f>
        <v>3805.7600000000011</v>
      </c>
      <c r="H10" s="74">
        <f>F10+'27'!H10</f>
        <v>5157.2199999999993</v>
      </c>
      <c r="I10" s="77">
        <f>'Mines (2)'!N30</f>
        <v>33</v>
      </c>
      <c r="J10" s="74">
        <f>I10+'27'!J10</f>
        <v>1787</v>
      </c>
      <c r="K10" s="74">
        <f>I10+'27'!K10</f>
        <v>2316</v>
      </c>
      <c r="L10" s="77">
        <f t="shared" ref="L10:L13" si="0">E10+F10-I10</f>
        <v>2965.26</v>
      </c>
      <c r="M10" s="75">
        <f t="shared" ref="M10:M12" si="1">I10</f>
        <v>33</v>
      </c>
      <c r="N10" s="75">
        <f>(I10/I13)*100</f>
        <v>0.99909173478655766</v>
      </c>
      <c r="O10" s="787"/>
      <c r="P10" s="53">
        <v>10</v>
      </c>
      <c r="Q10" s="262">
        <f>'Raw mill moisture content'!M35</f>
        <v>9.9999999999999867E-2</v>
      </c>
    </row>
    <row r="11" spans="2:21" x14ac:dyDescent="0.25">
      <c r="B11" s="79">
        <v>3</v>
      </c>
      <c r="C11" s="728" t="s">
        <v>32</v>
      </c>
      <c r="D11" s="728"/>
      <c r="E11" s="77">
        <f>Clinker!C30</f>
        <v>2900.92</v>
      </c>
      <c r="F11" s="77">
        <f>Clinker!D30</f>
        <v>0</v>
      </c>
      <c r="G11" s="74">
        <f>F11+'27'!G11</f>
        <v>347.58000000000004</v>
      </c>
      <c r="H11" s="74">
        <f>F11+'27'!H11</f>
        <v>417.28000000000003</v>
      </c>
      <c r="I11" s="77">
        <f>Clinker!E30</f>
        <v>66</v>
      </c>
      <c r="J11" s="74">
        <f>I11+'27'!J11</f>
        <v>1511</v>
      </c>
      <c r="K11" s="74">
        <f>I11+'27'!K11</f>
        <v>2948</v>
      </c>
      <c r="L11" s="77">
        <f t="shared" si="0"/>
        <v>2834.92</v>
      </c>
      <c r="M11" s="75">
        <f t="shared" si="1"/>
        <v>66</v>
      </c>
      <c r="N11" s="75">
        <f>(I11/I13)*100</f>
        <v>1.9981834695731153</v>
      </c>
      <c r="O11" s="787"/>
      <c r="P11" s="53">
        <v>7</v>
      </c>
      <c r="Q11" s="262">
        <f>'Raw mill moisture content'!N35</f>
        <v>7.0000000000000076E-2</v>
      </c>
    </row>
    <row r="12" spans="2:21" ht="13.9" customHeight="1" x14ac:dyDescent="0.25">
      <c r="B12" s="79">
        <v>4</v>
      </c>
      <c r="C12" s="728" t="s">
        <v>243</v>
      </c>
      <c r="D12" s="728"/>
      <c r="E12" s="77">
        <f>'Mines (2)'!Q30</f>
        <v>3.999999999996362E-2</v>
      </c>
      <c r="F12" s="77">
        <f>'Mines (2)'!R30</f>
        <v>0</v>
      </c>
      <c r="G12" s="74">
        <f>F12+'27'!G12</f>
        <v>0</v>
      </c>
      <c r="H12" s="74">
        <f>F12+'27'!H12</f>
        <v>137.76</v>
      </c>
      <c r="I12" s="77">
        <f>'Mines (2)'!S30</f>
        <v>0</v>
      </c>
      <c r="J12" s="74">
        <f>I12+'27'!J12</f>
        <v>191</v>
      </c>
      <c r="K12" s="74">
        <f>I12+'27'!K12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1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28175.598373279245</v>
      </c>
      <c r="F13" s="127">
        <f t="shared" si="2"/>
        <v>3377.48</v>
      </c>
      <c r="G13" s="127">
        <f t="shared" si="2"/>
        <v>87378.699999999983</v>
      </c>
      <c r="H13" s="127">
        <f t="shared" si="2"/>
        <v>153923.32</v>
      </c>
      <c r="I13" s="127">
        <f t="shared" si="2"/>
        <v>3303</v>
      </c>
      <c r="J13" s="127">
        <f t="shared" si="2"/>
        <v>67085</v>
      </c>
      <c r="K13" s="127">
        <f t="shared" si="2"/>
        <v>136485</v>
      </c>
      <c r="L13" s="127">
        <f t="shared" si="0"/>
        <v>28250.078373279244</v>
      </c>
      <c r="M13" s="128">
        <f>SUM(M9:M12)</f>
        <v>3303</v>
      </c>
      <c r="N13" s="128">
        <f>SUM(N9:N12)</f>
        <v>100.00000000000001</v>
      </c>
      <c r="O13" s="787"/>
      <c r="P13" s="797"/>
      <c r="Q13" s="798"/>
    </row>
    <row r="14" spans="2:21" x14ac:dyDescent="0.25">
      <c r="B14" s="763">
        <v>6</v>
      </c>
      <c r="C14" s="775" t="s">
        <v>245</v>
      </c>
      <c r="D14" s="80" t="s">
        <v>69</v>
      </c>
      <c r="E14" s="77">
        <f>Clinker!EB30</f>
        <v>5375.8969999999908</v>
      </c>
      <c r="F14" s="77">
        <f>Clinker!EC30</f>
        <v>283.52</v>
      </c>
      <c r="G14" s="77">
        <f>F14+'27'!G14</f>
        <v>411.74</v>
      </c>
      <c r="H14" s="77">
        <f>F14+'27'!H14</f>
        <v>593.24</v>
      </c>
      <c r="I14" s="77">
        <f>Clinker!ED30</f>
        <v>298.89</v>
      </c>
      <c r="J14" s="77">
        <f>I14+'27'!J14</f>
        <v>6936.56</v>
      </c>
      <c r="K14" s="77">
        <f>I14+'27'!K14</f>
        <v>13772.859999999999</v>
      </c>
      <c r="L14" s="77">
        <f>E14+F14-I14-Clinker!N30-Clinker!Z30-Clinker!AS30-Clinker!AX30-Clinker!BC30-Clinker!BW30-Clinker!BH30-Clinker!BM30-Clinker!BR30-Clinker!CV30-Clinker!DA30-Clinker!DF30-Clinker!DK30-Clinker!DP30</f>
        <v>5360.52699999999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83"/>
    </row>
    <row r="15" spans="2:21" x14ac:dyDescent="0.25">
      <c r="B15" s="763"/>
      <c r="C15" s="775"/>
      <c r="D15" s="80" t="s">
        <v>68</v>
      </c>
      <c r="E15" s="77">
        <f>Clinker!EF30</f>
        <v>4472.1199999999935</v>
      </c>
      <c r="F15" s="77">
        <f>Clinker!EG30</f>
        <v>30</v>
      </c>
      <c r="G15" s="77">
        <f>F15+'27'!G15</f>
        <v>1828.3</v>
      </c>
      <c r="H15" s="77">
        <f>F15+'27'!H15</f>
        <v>1983.3500000000001</v>
      </c>
      <c r="I15" s="77">
        <f>Clinker!EH30</f>
        <v>154</v>
      </c>
      <c r="J15" s="77">
        <f>I15+'27'!J15</f>
        <v>3846</v>
      </c>
      <c r="K15" s="77">
        <f>I15+'27'!K15</f>
        <v>7715</v>
      </c>
      <c r="L15" s="77">
        <f>E15+F15-Clinker!AE30-Clinker!AJ30-Clinker!CL30-Clinker!CQ30-Clinker!CG30</f>
        <v>4348.1199999999935</v>
      </c>
      <c r="M15" s="81"/>
      <c r="N15" s="81"/>
      <c r="O15" s="787"/>
      <c r="P15" s="82"/>
      <c r="Q15" s="82"/>
      <c r="R15" s="83"/>
      <c r="S15" s="83"/>
    </row>
    <row r="16" spans="2:21" x14ac:dyDescent="0.25">
      <c r="B16" s="763"/>
      <c r="C16" s="690"/>
      <c r="D16" s="124" t="s">
        <v>150</v>
      </c>
      <c r="E16" s="125">
        <f>E14+E15</f>
        <v>9848.0169999999853</v>
      </c>
      <c r="F16" s="125">
        <f>F14+F15</f>
        <v>313.52</v>
      </c>
      <c r="G16" s="421">
        <f t="shared" ref="G16:L16" si="3">G14+G15</f>
        <v>2240.04</v>
      </c>
      <c r="H16" s="125">
        <f t="shared" si="3"/>
        <v>2576.59</v>
      </c>
      <c r="I16" s="125">
        <f t="shared" si="3"/>
        <v>452.89</v>
      </c>
      <c r="J16" s="125">
        <f>J14+J15</f>
        <v>10782.560000000001</v>
      </c>
      <c r="K16" s="125">
        <f t="shared" si="3"/>
        <v>21487.86</v>
      </c>
      <c r="L16" s="125">
        <f t="shared" si="3"/>
        <v>9708.6469999999827</v>
      </c>
      <c r="M16" s="126"/>
      <c r="N16" s="126"/>
      <c r="O16" s="787"/>
      <c r="P16" s="84"/>
      <c r="Q16" s="131"/>
      <c r="R16" s="83"/>
      <c r="S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  <c r="S17" s="19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Clinker!EJ30</f>
        <v>26295.843082830401</v>
      </c>
      <c r="F18" s="74">
        <f>Clinker!EK30</f>
        <v>1825</v>
      </c>
      <c r="G18" s="74">
        <f>F18+'27'!G18</f>
        <v>39310</v>
      </c>
      <c r="H18" s="74">
        <f>F18+'27'!H18</f>
        <v>79810</v>
      </c>
      <c r="I18" s="74">
        <f>Clinker!EL30</f>
        <v>1383.8199998775724</v>
      </c>
      <c r="J18" s="74">
        <f>I18+'27'!J18</f>
        <v>37492.637004787626</v>
      </c>
      <c r="K18" s="74">
        <f>I18+'27'!K18</f>
        <v>56354.51701667389</v>
      </c>
      <c r="L18" s="74">
        <f>E18+F18-I18-I20</f>
        <v>26737.02308295283</v>
      </c>
      <c r="M18" s="897">
        <f>((I18+I19)/(J40+J46))*100</f>
        <v>77.222098207453811</v>
      </c>
      <c r="N18" s="765"/>
      <c r="O18" s="767"/>
      <c r="P18" s="769"/>
      <c r="Q18" s="770"/>
      <c r="R18" s="190"/>
      <c r="S18" s="190"/>
    </row>
    <row r="19" spans="2:19" ht="45" x14ac:dyDescent="0.25">
      <c r="B19" s="763"/>
      <c r="C19" s="691"/>
      <c r="D19" s="85" t="s">
        <v>75</v>
      </c>
      <c r="E19" s="74">
        <f>Clinker!EO30</f>
        <v>5306.1090080001359</v>
      </c>
      <c r="F19" s="74">
        <f>Clinker!EP30</f>
        <v>0</v>
      </c>
      <c r="G19" s="74">
        <f>F19+'27'!G19</f>
        <v>150.78</v>
      </c>
      <c r="H19" s="74">
        <f>F19+'27'!H19</f>
        <v>13390.660000000003</v>
      </c>
      <c r="I19" s="74">
        <f>Clinker!EQ30</f>
        <v>0</v>
      </c>
      <c r="J19" s="74">
        <f>I19+'27'!J19</f>
        <v>0</v>
      </c>
      <c r="K19" s="74">
        <f>I19+'27'!K19</f>
        <v>16934.099999999999</v>
      </c>
      <c r="L19" s="74">
        <f>E19+F19-I19</f>
        <v>5306.1090080001359</v>
      </c>
      <c r="M19" s="898"/>
      <c r="N19" s="765"/>
      <c r="O19" s="767"/>
      <c r="P19" s="769"/>
      <c r="Q19" s="770"/>
      <c r="R19" s="190"/>
      <c r="S19" s="20"/>
    </row>
    <row r="20" spans="2:19" ht="30" x14ac:dyDescent="0.25">
      <c r="B20" s="763"/>
      <c r="C20" s="764"/>
      <c r="D20" s="86" t="s">
        <v>249</v>
      </c>
      <c r="E20" s="77"/>
      <c r="F20" s="77">
        <v>0</v>
      </c>
      <c r="G20" s="74">
        <v>0</v>
      </c>
      <c r="H20" s="74">
        <v>0</v>
      </c>
      <c r="I20" s="77">
        <f>Clinker!EN30</f>
        <v>0</v>
      </c>
      <c r="J20" s="74">
        <f>I20+'27'!J20</f>
        <v>0</v>
      </c>
      <c r="K20" s="74">
        <f>I20+'27'!K20</f>
        <v>0</v>
      </c>
      <c r="L20" s="74"/>
      <c r="M20" s="78"/>
      <c r="N20" s="766"/>
      <c r="O20" s="767"/>
      <c r="P20" s="771"/>
      <c r="Q20" s="772"/>
      <c r="R20" s="20"/>
      <c r="S20" s="20"/>
    </row>
    <row r="21" spans="2:19" x14ac:dyDescent="0.25">
      <c r="B21" s="89">
        <v>8</v>
      </c>
      <c r="C21" s="73" t="s">
        <v>242</v>
      </c>
      <c r="D21" s="88"/>
      <c r="E21" s="77"/>
      <c r="F21" s="77"/>
      <c r="G21" s="74"/>
      <c r="H21" s="74"/>
      <c r="I21" s="77">
        <f>Cement!S30</f>
        <v>353.96666665491944</v>
      </c>
      <c r="J21" s="75">
        <f>I21+'27'!J21</f>
        <v>10105.219997997279</v>
      </c>
      <c r="K21" s="74">
        <f>I21+'27'!K21</f>
        <v>18737.039990559519</v>
      </c>
      <c r="L21" s="74"/>
      <c r="M21" s="78">
        <f>(I21/(J40+J46))*100</f>
        <v>19.752604166011128</v>
      </c>
      <c r="N21" s="78"/>
      <c r="O21" s="767"/>
      <c r="P21" s="87">
        <v>10</v>
      </c>
      <c r="Q21" s="773"/>
      <c r="R21" s="20"/>
      <c r="S21" s="20"/>
    </row>
    <row r="22" spans="2:19" x14ac:dyDescent="0.25">
      <c r="B22" s="89">
        <v>9</v>
      </c>
      <c r="C22" s="775" t="s">
        <v>250</v>
      </c>
      <c r="D22" s="775"/>
      <c r="E22" s="77">
        <f>Cement!C30</f>
        <v>4750.083751090955</v>
      </c>
      <c r="F22" s="77">
        <f>Cement!D30</f>
        <v>0</v>
      </c>
      <c r="G22" s="74">
        <f>F22+'27'!G22</f>
        <v>155.72</v>
      </c>
      <c r="H22" s="74">
        <f>F22+'27'!H22</f>
        <v>2126.62</v>
      </c>
      <c r="I22" s="77">
        <f>Cement!F30</f>
        <v>94.326315929473694</v>
      </c>
      <c r="J22" s="75">
        <f>I22+'27'!J22</f>
        <v>2577.0426284368004</v>
      </c>
      <c r="K22" s="74">
        <f>I22+'27'!K22</f>
        <v>4916.2426239882989</v>
      </c>
      <c r="L22" s="74">
        <f t="shared" ref="L22:L24" si="4">E22+F22-I22</f>
        <v>4655.7574351614812</v>
      </c>
      <c r="M22" s="78">
        <f>(I22/(J40+J46))*100</f>
        <v>5.2637453085643804</v>
      </c>
      <c r="N22" s="78"/>
      <c r="O22" s="767"/>
      <c r="P22" s="87">
        <v>5</v>
      </c>
      <c r="Q22" s="774"/>
      <c r="R22" s="20"/>
      <c r="S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Cement!H30</f>
        <v>0.23999999999796273</v>
      </c>
      <c r="F23" s="77">
        <f>Cement!I30</f>
        <v>0</v>
      </c>
      <c r="G23" s="74">
        <f>F23+'27'!G23</f>
        <v>0</v>
      </c>
      <c r="H23" s="74">
        <f>F23+'27'!H23</f>
        <v>0</v>
      </c>
      <c r="I23" s="77">
        <f>Cement!J30</f>
        <v>0</v>
      </c>
      <c r="J23" s="74">
        <f>I23+'27'!J23</f>
        <v>0</v>
      </c>
      <c r="K23" s="74">
        <f>I23+'27'!K23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  <c r="S23" s="83"/>
    </row>
    <row r="24" spans="2:19" x14ac:dyDescent="0.25">
      <c r="B24" s="763"/>
      <c r="C24" s="764"/>
      <c r="D24" s="76" t="s">
        <v>253</v>
      </c>
      <c r="E24" s="77">
        <f>Cement!L30</f>
        <v>0</v>
      </c>
      <c r="F24" s="77">
        <f>Cement!M30</f>
        <v>0</v>
      </c>
      <c r="G24" s="74">
        <f>F24+'27'!G24</f>
        <v>0</v>
      </c>
      <c r="H24" s="74">
        <f>F24+'27'!H24</f>
        <v>0</v>
      </c>
      <c r="I24" s="77">
        <f>Cement!N30</f>
        <v>0</v>
      </c>
      <c r="J24" s="74">
        <f>I24+'27'!J24</f>
        <v>0</v>
      </c>
      <c r="K24" s="74">
        <f>I24+'27'!K24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  <c r="S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36352.275841921488</v>
      </c>
      <c r="F25" s="122">
        <f t="shared" ref="F25:L25" si="5">F18+F19+F21+F22+F23+F24</f>
        <v>1825</v>
      </c>
      <c r="G25" s="122">
        <f t="shared" si="5"/>
        <v>39616.5</v>
      </c>
      <c r="H25" s="122">
        <f t="shared" si="5"/>
        <v>95327.28</v>
      </c>
      <c r="I25" s="122">
        <f t="shared" si="5"/>
        <v>1832.1129824619654</v>
      </c>
      <c r="J25" s="122">
        <f t="shared" si="5"/>
        <v>50174.899631221706</v>
      </c>
      <c r="K25" s="122">
        <f t="shared" si="5"/>
        <v>96941.89963122172</v>
      </c>
      <c r="L25" s="122">
        <f t="shared" si="5"/>
        <v>36699.129526114448</v>
      </c>
      <c r="M25" s="782"/>
      <c r="N25" s="782"/>
      <c r="O25" s="768"/>
      <c r="P25" s="779"/>
      <c r="Q25" s="780"/>
      <c r="R25" s="83"/>
      <c r="S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  <c r="S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  <c r="S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  <c r="S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  <c r="S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Production2!C30</f>
        <v>19.02</v>
      </c>
      <c r="G30" s="75">
        <f>F30+'27'!G30</f>
        <v>480.72999999999996</v>
      </c>
      <c r="H30" s="74">
        <f>F30+'27'!H30</f>
        <v>913.21</v>
      </c>
      <c r="I30" s="74">
        <f>'Mines (2)'!C30+'Mines (2)'!H30+'Mines (2)'!V30+'Mines (2)'!Z30+'Mines (2)'!AD30</f>
        <v>22364.378373279247</v>
      </c>
      <c r="J30" s="74">
        <f>Production2!D30</f>
        <v>3289.48</v>
      </c>
      <c r="K30" s="74">
        <f>J30+'27'!K30</f>
        <v>83225.359999999986</v>
      </c>
      <c r="L30" s="74">
        <f>J30+'27'!L30</f>
        <v>148211.06</v>
      </c>
      <c r="M30" s="74">
        <f>I9+I21</f>
        <v>3557.9666666549192</v>
      </c>
      <c r="N30" s="75">
        <f>M30+'27'!N30</f>
        <v>73701.219997997279</v>
      </c>
      <c r="O30" s="74">
        <f>M30+'27'!O30</f>
        <v>149220.03999055954</v>
      </c>
      <c r="P30" s="74">
        <f>I30+J30-M30</f>
        <v>22095.891706624327</v>
      </c>
      <c r="Q30" s="93">
        <f>J30/F30</f>
        <v>172.94847528916929</v>
      </c>
      <c r="R30" s="94"/>
      <c r="S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Production2!G30</f>
        <v>24</v>
      </c>
      <c r="G31" s="75">
        <f>F31+'27'!G31</f>
        <v>508.95</v>
      </c>
      <c r="H31" s="75">
        <f>F31+'27'!H31</f>
        <v>1002.17</v>
      </c>
      <c r="I31" s="724">
        <f>Production2!H30</f>
        <v>1065.0000168375191</v>
      </c>
      <c r="J31" s="77">
        <f>Production2!N30</f>
        <v>2974.68</v>
      </c>
      <c r="K31" s="584">
        <f>J31+'27'!K31</f>
        <v>58711.170000000006</v>
      </c>
      <c r="L31" s="74">
        <f>J31+'27'!L31</f>
        <v>117568.32000000002</v>
      </c>
      <c r="M31" s="724">
        <f>Production2!K30</f>
        <v>2828.75</v>
      </c>
      <c r="N31" s="724">
        <f>M31+'27'!N31</f>
        <v>60930.5</v>
      </c>
      <c r="O31" s="724">
        <f>M31+'27'!O31</f>
        <v>123705.49999999999</v>
      </c>
      <c r="P31" s="724">
        <f>I31+J31+J32-M31</f>
        <v>1210.9300168375189</v>
      </c>
      <c r="Q31" s="96">
        <f t="shared" ref="Q31:Q46" si="6">J31/F31</f>
        <v>123.94499999999999</v>
      </c>
      <c r="R31" s="94"/>
      <c r="S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Production2!P30</f>
        <v>0</v>
      </c>
      <c r="G32" s="75">
        <f>F32+'27'!G32</f>
        <v>187.38</v>
      </c>
      <c r="H32" s="75">
        <f>F32+'27'!H32</f>
        <v>593.66999999999996</v>
      </c>
      <c r="I32" s="712"/>
      <c r="J32" s="78">
        <f>Production2!Q30</f>
        <v>0</v>
      </c>
      <c r="K32" s="584">
        <f>J32+'27'!K32</f>
        <v>1712.1399999999999</v>
      </c>
      <c r="L32" s="74">
        <f>J32+'27'!L32</f>
        <v>5354.3799999999992</v>
      </c>
      <c r="M32" s="712"/>
      <c r="N32" s="712"/>
      <c r="O32" s="712"/>
      <c r="P32" s="712"/>
      <c r="Q32" s="96" t="e">
        <f>J32/F32</f>
        <v>#DIV/0!</v>
      </c>
      <c r="R32" s="94"/>
      <c r="S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Production2!S30</f>
        <v>18.059999999999999</v>
      </c>
      <c r="G33" s="75">
        <f>F33+'27'!G33</f>
        <v>450.16</v>
      </c>
      <c r="H33" s="75">
        <f>F33+'27'!H33</f>
        <v>896.53</v>
      </c>
      <c r="I33" s="77">
        <f>Production2!T30</f>
        <v>35.109999999999843</v>
      </c>
      <c r="J33" s="77">
        <f>Production2!U30</f>
        <v>269</v>
      </c>
      <c r="K33" s="584">
        <f>J33+'27'!K33</f>
        <v>6242.9</v>
      </c>
      <c r="L33" s="74">
        <f>J33+'27'!L33</f>
        <v>12395.6</v>
      </c>
      <c r="M33" s="77">
        <f>Production2!V30</f>
        <v>271</v>
      </c>
      <c r="N33" s="74">
        <f>M33+'27'!N33</f>
        <v>6250</v>
      </c>
      <c r="O33" s="74">
        <f>M33+'27'!O33</f>
        <v>12378</v>
      </c>
      <c r="P33" s="74">
        <f t="shared" ref="P33" si="7">I33+J33-M33</f>
        <v>33.109999999999843</v>
      </c>
      <c r="Q33" s="96">
        <f t="shared" si="6"/>
        <v>14.894795127353268</v>
      </c>
      <c r="R33" s="94"/>
      <c r="S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Production2!Y30</f>
        <v>24</v>
      </c>
      <c r="G34" s="75">
        <f>F34+'27'!G34</f>
        <v>624.54</v>
      </c>
      <c r="H34" s="75">
        <f>F34+'27'!H34</f>
        <v>1242.81</v>
      </c>
      <c r="I34" s="77">
        <f>Clinker!EJ30</f>
        <v>26295.843082830401</v>
      </c>
      <c r="J34" s="77">
        <f>Clinker!EK30</f>
        <v>1825</v>
      </c>
      <c r="K34" s="74">
        <f>J34+'27'!K34</f>
        <v>39310</v>
      </c>
      <c r="L34" s="74">
        <f>J34+'27'!L34</f>
        <v>79810</v>
      </c>
      <c r="M34" s="77">
        <f>Clinker!EL30</f>
        <v>1383.8199998775724</v>
      </c>
      <c r="N34" s="74">
        <f>M34+'27'!N34</f>
        <v>37492.637004787626</v>
      </c>
      <c r="O34" s="74">
        <f>M34+'27'!O34</f>
        <v>56354.51701667389</v>
      </c>
      <c r="P34" s="74">
        <f>I34+J34-M34-I20</f>
        <v>26737.02308295283</v>
      </c>
      <c r="Q34" s="96">
        <f t="shared" si="6"/>
        <v>76.041666666666671</v>
      </c>
      <c r="R34" s="94"/>
      <c r="S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Production2!AE30</f>
        <v>0</v>
      </c>
      <c r="G35" s="75">
        <f>F35+'27'!G35</f>
        <v>23.7</v>
      </c>
      <c r="H35" s="75">
        <f>F35+'27'!H35</f>
        <v>32.699999999999996</v>
      </c>
      <c r="I35" s="77">
        <f>Production2!BJ30</f>
        <v>368.29999999999995</v>
      </c>
      <c r="J35" s="77">
        <f>Production2!AF30</f>
        <v>0</v>
      </c>
      <c r="K35" s="74">
        <f>J35+'27'!K35</f>
        <v>1560</v>
      </c>
      <c r="L35" s="74">
        <f>J35+'27'!L35</f>
        <v>2134</v>
      </c>
      <c r="M35" s="77">
        <f>Production2!BL30</f>
        <v>95</v>
      </c>
      <c r="N35" s="595">
        <f>M35+'27'!N35</f>
        <v>2448.5</v>
      </c>
      <c r="O35" s="74">
        <f>M35+'27'!O35</f>
        <v>4843</v>
      </c>
      <c r="P35" s="74">
        <f>I35+J35+J41-M35-F59</f>
        <v>273.29999999999995</v>
      </c>
      <c r="Q35" s="96" t="e">
        <f t="shared" si="6"/>
        <v>#DIV/0!</v>
      </c>
      <c r="R35" s="94"/>
      <c r="S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Production2!AB30</f>
        <v>4.38</v>
      </c>
      <c r="G36" s="654">
        <f>F36+'27'!G36</f>
        <v>249.00999999999996</v>
      </c>
      <c r="H36" s="654">
        <f>F36+'27'!H36</f>
        <v>455.34000000000003</v>
      </c>
      <c r="I36" s="77">
        <f>Production2!BF30</f>
        <v>2338.157999999979</v>
      </c>
      <c r="J36" s="77">
        <f>Production2!AC30</f>
        <v>306</v>
      </c>
      <c r="K36" s="74">
        <f>J36+'27'!K36</f>
        <v>15941</v>
      </c>
      <c r="L36" s="74">
        <f>J36+'27'!L36</f>
        <v>28370</v>
      </c>
      <c r="M36" s="77">
        <f>Production2!BH30</f>
        <v>1904.5</v>
      </c>
      <c r="N36" s="74">
        <f>M36+'27'!N36</f>
        <v>39006.629999999997</v>
      </c>
      <c r="O36" s="595">
        <f>M36+'27'!O36</f>
        <v>74174.899999999994</v>
      </c>
      <c r="P36" s="74">
        <f>I36+J36+J42-M36-F57</f>
        <v>1939.657999999979</v>
      </c>
      <c r="Q36" s="96">
        <f t="shared" si="6"/>
        <v>69.863013698630141</v>
      </c>
      <c r="R36" s="94"/>
      <c r="S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Production2!AH30</f>
        <v>0</v>
      </c>
      <c r="G37" s="654">
        <f>F37+'27'!G37</f>
        <v>0</v>
      </c>
      <c r="H37" s="654">
        <f>F37+'27'!H37</f>
        <v>0</v>
      </c>
      <c r="I37" s="77">
        <f>Production2!BN30</f>
        <v>9.0000000000849845E-2</v>
      </c>
      <c r="J37" s="77">
        <f>Production2!AI30</f>
        <v>0</v>
      </c>
      <c r="K37" s="595">
        <f>J37+'27'!K37</f>
        <v>0</v>
      </c>
      <c r="L37" s="596">
        <f>J37+'27'!L37</f>
        <v>0</v>
      </c>
      <c r="M37" s="77">
        <f>Production2!BP30</f>
        <v>0</v>
      </c>
      <c r="N37" s="595">
        <f>M37+'27'!N37</f>
        <v>0</v>
      </c>
      <c r="O37" s="595">
        <f>M37+'27'!O37</f>
        <v>-0.15</v>
      </c>
      <c r="P37" s="74">
        <f>I37+J37+J43-M37-F58</f>
        <v>9.0000000000849845E-2</v>
      </c>
      <c r="Q37" s="96" t="e">
        <f t="shared" si="6"/>
        <v>#DIV/0!</v>
      </c>
      <c r="R37" s="94"/>
      <c r="S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Production2!AK30</f>
        <v>0</v>
      </c>
      <c r="G38" s="654">
        <f>F38+'27'!G38</f>
        <v>5</v>
      </c>
      <c r="H38" s="654">
        <f>F38+'27'!H38</f>
        <v>5</v>
      </c>
      <c r="I38" s="195">
        <f>Production2!BR30</f>
        <v>215.3</v>
      </c>
      <c r="J38" s="195">
        <v>0</v>
      </c>
      <c r="K38" s="595">
        <f>J38+'27'!K38</f>
        <v>300</v>
      </c>
      <c r="L38" s="596">
        <f>J38+'27'!L38</f>
        <v>300</v>
      </c>
      <c r="M38" s="77">
        <f>Production2!BT30</f>
        <v>37.5</v>
      </c>
      <c r="N38" s="595">
        <f>M38+'27'!N38</f>
        <v>915.5</v>
      </c>
      <c r="O38" s="595">
        <f>M38+'27'!O38</f>
        <v>2762.5</v>
      </c>
      <c r="P38" s="584">
        <f>I38+J38+J44-M38-F60</f>
        <v>177.8</v>
      </c>
      <c r="Q38" s="96" t="e">
        <f t="shared" si="6"/>
        <v>#DIV/0!</v>
      </c>
      <c r="R38" s="94"/>
      <c r="S38" s="94"/>
    </row>
    <row r="39" spans="2:19" x14ac:dyDescent="0.25">
      <c r="B39" s="688"/>
      <c r="C39" s="691"/>
      <c r="D39" s="586" t="s">
        <v>304</v>
      </c>
      <c r="E39" s="589"/>
      <c r="F39" s="588">
        <f>Production2!AN30</f>
        <v>0</v>
      </c>
      <c r="G39" s="654">
        <f>F39+'27'!G39</f>
        <v>69.92</v>
      </c>
      <c r="H39" s="654">
        <f>F39+'27'!H39</f>
        <v>110.57000000000001</v>
      </c>
      <c r="I39" s="585">
        <f>Production2!BV30</f>
        <v>557.59000000000015</v>
      </c>
      <c r="J39" s="585">
        <f>Production2!AO30</f>
        <v>0</v>
      </c>
      <c r="K39" s="595">
        <f>J39+'27'!K39</f>
        <v>4526</v>
      </c>
      <c r="L39" s="596">
        <f>J39+'27'!L39</f>
        <v>7058</v>
      </c>
      <c r="M39" s="77">
        <f>Production2!BX30</f>
        <v>336.78</v>
      </c>
      <c r="N39" s="595">
        <f>M39+'27'!N39</f>
        <v>7914.0199999999995</v>
      </c>
      <c r="O39" s="595">
        <f>M39+'27'!O39</f>
        <v>13335.900000000003</v>
      </c>
      <c r="P39" s="584">
        <f>I39+J45+J39-M39-F61</f>
        <v>506.81000000000017</v>
      </c>
      <c r="Q39" s="96" t="e">
        <f t="shared" si="6"/>
        <v>#DIV/0!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4.38</v>
      </c>
      <c r="G40" s="132">
        <f t="shared" ref="G40:H40" si="8">G35+G36+G37+G38+G39</f>
        <v>347.63</v>
      </c>
      <c r="H40" s="132">
        <f t="shared" si="8"/>
        <v>603.61</v>
      </c>
      <c r="I40" s="122">
        <f>I35+I36+I37+I38+I39</f>
        <v>3479.4379999999801</v>
      </c>
      <c r="J40" s="587">
        <f t="shared" ref="J40:P40" si="9">J35+J36+J37+J38+J39</f>
        <v>306</v>
      </c>
      <c r="K40" s="587">
        <f t="shared" si="9"/>
        <v>22327</v>
      </c>
      <c r="L40" s="587">
        <f t="shared" si="9"/>
        <v>37862</v>
      </c>
      <c r="M40" s="587">
        <f t="shared" si="9"/>
        <v>2373.7799999999997</v>
      </c>
      <c r="N40" s="594">
        <f t="shared" si="9"/>
        <v>50284.649999999994</v>
      </c>
      <c r="O40" s="594">
        <f t="shared" si="9"/>
        <v>95116.150000000009</v>
      </c>
      <c r="P40" s="587">
        <f t="shared" si="9"/>
        <v>2897.6579999999803</v>
      </c>
      <c r="Q40" s="123">
        <f t="shared" si="6"/>
        <v>69.863013698630141</v>
      </c>
      <c r="R40" s="94"/>
      <c r="S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Production2!AT30</f>
        <v>0</v>
      </c>
      <c r="G41" s="75">
        <f>F41+'27'!G41</f>
        <v>12.329999999999998</v>
      </c>
      <c r="H41" s="75">
        <f>F41+'27'!H41</f>
        <v>45.43</v>
      </c>
      <c r="I41" s="710"/>
      <c r="J41" s="77">
        <f>Production2!AU30</f>
        <v>0</v>
      </c>
      <c r="K41" s="74">
        <f>J41+'27'!K41</f>
        <v>750</v>
      </c>
      <c r="L41" s="74">
        <f>J41+'27'!L41</f>
        <v>2750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Production2!AQ30</f>
        <v>18.93</v>
      </c>
      <c r="G42" s="75">
        <f>F42+'27'!G42</f>
        <v>377</v>
      </c>
      <c r="H42" s="654">
        <f>F42+'27'!H42</f>
        <v>792.99999999999977</v>
      </c>
      <c r="I42" s="711"/>
      <c r="J42" s="77">
        <f>Production2!AR30</f>
        <v>1200</v>
      </c>
      <c r="K42" s="74">
        <f>J42+'27'!K42</f>
        <v>22326</v>
      </c>
      <c r="L42" s="74">
        <f>J42+'27'!L42</f>
        <v>46466</v>
      </c>
      <c r="M42" s="716"/>
      <c r="N42" s="717"/>
      <c r="O42" s="717"/>
      <c r="P42" s="718"/>
      <c r="Q42" s="96">
        <f t="shared" si="6"/>
        <v>63.391442155309036</v>
      </c>
      <c r="R42" s="94"/>
      <c r="S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Production2!AW30</f>
        <v>0</v>
      </c>
      <c r="G43" s="654">
        <f>F43+'27'!G43</f>
        <v>0</v>
      </c>
      <c r="H43" s="654">
        <f>F43+'27'!H43</f>
        <v>0</v>
      </c>
      <c r="I43" s="711"/>
      <c r="J43" s="77">
        <f>Production2!AX30</f>
        <v>0</v>
      </c>
      <c r="K43" s="584">
        <f>J43+'27'!K43</f>
        <v>0</v>
      </c>
      <c r="L43" s="595">
        <f>J43+'27'!L43</f>
        <v>0</v>
      </c>
      <c r="M43" s="716"/>
      <c r="N43" s="717"/>
      <c r="O43" s="717"/>
      <c r="P43" s="718"/>
      <c r="Q43" s="96" t="e">
        <f t="shared" si="6"/>
        <v>#DIV/0!</v>
      </c>
      <c r="R43" s="94"/>
      <c r="S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Production2!AZ30</f>
        <v>0</v>
      </c>
      <c r="G44" s="654">
        <f>F44+'27'!G44</f>
        <v>11</v>
      </c>
      <c r="H44" s="654">
        <f>F44+'27'!H44</f>
        <v>43.88</v>
      </c>
      <c r="I44" s="711"/>
      <c r="J44" s="195">
        <f>Production2!BA30</f>
        <v>0</v>
      </c>
      <c r="K44" s="595">
        <f>J44+'27'!K44</f>
        <v>607</v>
      </c>
      <c r="L44" s="595">
        <f>J44+'27'!L44</f>
        <v>2427</v>
      </c>
      <c r="M44" s="716"/>
      <c r="N44" s="717"/>
      <c r="O44" s="717"/>
      <c r="P44" s="718"/>
      <c r="Q44" s="96" t="e">
        <f t="shared" si="6"/>
        <v>#DIV/0!</v>
      </c>
      <c r="R44" s="94"/>
      <c r="S44" s="94"/>
    </row>
    <row r="45" spans="2:19" x14ac:dyDescent="0.25">
      <c r="B45" s="688"/>
      <c r="C45" s="691"/>
      <c r="D45" s="586" t="s">
        <v>304</v>
      </c>
      <c r="E45" s="589">
        <v>70</v>
      </c>
      <c r="F45" s="588">
        <f>Production2!BC30</f>
        <v>4.3</v>
      </c>
      <c r="G45" s="654">
        <f>F45+'27'!G45</f>
        <v>50.699999999999996</v>
      </c>
      <c r="H45" s="654">
        <f>F45+'27'!H45</f>
        <v>105.67</v>
      </c>
      <c r="I45" s="712"/>
      <c r="J45" s="585">
        <f>Production2!BD30</f>
        <v>286</v>
      </c>
      <c r="K45" s="595">
        <f>J45+'27'!K45</f>
        <v>3143</v>
      </c>
      <c r="L45" s="595">
        <f>J45+'27'!L45</f>
        <v>6415</v>
      </c>
      <c r="M45" s="719"/>
      <c r="N45" s="720"/>
      <c r="O45" s="720"/>
      <c r="P45" s="721"/>
      <c r="Q45" s="96">
        <f t="shared" si="6"/>
        <v>66.511627906976742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23.23</v>
      </c>
      <c r="G46" s="132">
        <f t="shared" ref="G46:H46" si="10">G41+G42+G43+G44+G45</f>
        <v>451.03</v>
      </c>
      <c r="H46" s="132">
        <f t="shared" si="10"/>
        <v>987.97999999999968</v>
      </c>
      <c r="I46" s="122">
        <f>I41+I42+I43+I44</f>
        <v>0</v>
      </c>
      <c r="J46" s="122">
        <f>J41+J42+J43+J44+J45</f>
        <v>1486</v>
      </c>
      <c r="K46" s="587">
        <f>K41+K42+K43+K44+K45</f>
        <v>26826</v>
      </c>
      <c r="L46" s="587">
        <f t="shared" ref="L46" si="11">L41+L42+L43+L44+L45</f>
        <v>58058</v>
      </c>
      <c r="M46" s="873"/>
      <c r="N46" s="874"/>
      <c r="O46" s="874"/>
      <c r="P46" s="875"/>
      <c r="Q46" s="123">
        <f t="shared" si="6"/>
        <v>63.969005596211794</v>
      </c>
      <c r="R46" s="94"/>
      <c r="S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  <c r="S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9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9" ht="14.45" customHeight="1" x14ac:dyDescent="0.25">
      <c r="B50" s="91">
        <v>1</v>
      </c>
      <c r="C50" s="709" t="s">
        <v>274</v>
      </c>
      <c r="D50" s="709"/>
      <c r="E50" s="99">
        <f>E53/J30</f>
        <v>0.576990892177487</v>
      </c>
      <c r="F50" s="99">
        <f>F53/(J31+J32)</f>
        <v>22.382911775384244</v>
      </c>
      <c r="G50" s="99">
        <v>0</v>
      </c>
      <c r="H50" s="99">
        <f>H53/J34</f>
        <v>32.660273972602738</v>
      </c>
      <c r="I50" s="99">
        <f>I53/J33</f>
        <v>50.460966542750931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14.849315068493151</v>
      </c>
    </row>
    <row r="51" spans="2:19" ht="14.45" customHeight="1" x14ac:dyDescent="0.25">
      <c r="B51" s="79">
        <v>2</v>
      </c>
      <c r="C51" s="728" t="s">
        <v>276</v>
      </c>
      <c r="D51" s="728"/>
      <c r="E51" s="102">
        <f>E50*(I9/J34)</f>
        <v>1.0129746950885854</v>
      </c>
      <c r="F51" s="102">
        <f>F50*1.55</f>
        <v>34.69351325184558</v>
      </c>
      <c r="G51" s="102">
        <f>G50*1.55</f>
        <v>0</v>
      </c>
      <c r="H51" s="102">
        <f>H50</f>
        <v>32.660273972602738</v>
      </c>
      <c r="I51" s="102">
        <f>I50*(Q50/100)</f>
        <v>7.4931079085400016</v>
      </c>
      <c r="J51" s="102"/>
      <c r="K51" s="102"/>
      <c r="L51" s="102"/>
      <c r="M51" s="96"/>
      <c r="N51" s="307">
        <f>SUM(E51:I51)</f>
        <v>75.85986982807691</v>
      </c>
      <c r="O51" s="728" t="s">
        <v>277</v>
      </c>
      <c r="P51" s="728"/>
      <c r="Q51" s="104">
        <v>5448</v>
      </c>
    </row>
    <row r="52" spans="2:19" ht="14.45" customHeight="1" x14ac:dyDescent="0.25">
      <c r="B52" s="79">
        <v>3</v>
      </c>
      <c r="C52" s="729" t="s">
        <v>278</v>
      </c>
      <c r="D52" s="729"/>
      <c r="E52" s="102">
        <f>E51*M18/100</f>
        <v>0.78224031385796322</v>
      </c>
      <c r="F52" s="102">
        <f>F51*M18/100</f>
        <v>26.791058874956196</v>
      </c>
      <c r="G52" s="102">
        <f>G51*M18/100</f>
        <v>0</v>
      </c>
      <c r="H52" s="102">
        <f>H51*M18/100</f>
        <v>25.220948841946761</v>
      </c>
      <c r="I52" s="102">
        <f>I51*M18/100</f>
        <v>5.7863351479232481</v>
      </c>
      <c r="J52" s="99">
        <f>J53/(J40+J46)</f>
        <v>35.663504464285715</v>
      </c>
      <c r="K52" s="99">
        <f>K53/(J46+J40)</f>
        <v>1.05859375</v>
      </c>
      <c r="L52" s="99">
        <f>L53/(M40)</f>
        <v>2.7268744365526714</v>
      </c>
      <c r="M52" s="96">
        <f>M53/(J46+J40)</f>
        <v>2.8950892857142856</v>
      </c>
      <c r="N52" s="307">
        <f>SUM(E52:M52)</f>
        <v>100.92464511523684</v>
      </c>
      <c r="O52" s="728" t="s">
        <v>279</v>
      </c>
      <c r="P52" s="728"/>
      <c r="Q52" s="104">
        <f>Q51*Q50/100</f>
        <v>808.99068493150685</v>
      </c>
    </row>
    <row r="53" spans="2:19" ht="15" customHeight="1" thickBot="1" x14ac:dyDescent="0.3">
      <c r="B53" s="90" t="s">
        <v>241</v>
      </c>
      <c r="C53" s="723" t="s">
        <v>280</v>
      </c>
      <c r="D53" s="723"/>
      <c r="E53" s="118">
        <f>'Daily unit'!B30</f>
        <v>1898</v>
      </c>
      <c r="F53" s="118">
        <f>'Daily unit'!C30</f>
        <v>66582</v>
      </c>
      <c r="G53" s="118">
        <f>'Daily unit'!D30</f>
        <v>0</v>
      </c>
      <c r="H53" s="118">
        <f>'Daily unit'!E30</f>
        <v>59605</v>
      </c>
      <c r="I53" s="118">
        <f>'Daily unit'!F30</f>
        <v>13574</v>
      </c>
      <c r="J53" s="118">
        <f>'Daily unit'!G30</f>
        <v>63909</v>
      </c>
      <c r="K53" s="118">
        <f>'Daily unit'!H30</f>
        <v>1897</v>
      </c>
      <c r="L53" s="118">
        <f>'Daily unit'!I30</f>
        <v>6473</v>
      </c>
      <c r="M53" s="119">
        <f>'Daily unit'!J30</f>
        <v>5188</v>
      </c>
      <c r="N53" s="318">
        <f>SUM(E53:M53)</f>
        <v>219126</v>
      </c>
      <c r="O53" s="106"/>
      <c r="P53" s="107"/>
      <c r="Q53" s="108"/>
    </row>
    <row r="54" spans="2:19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9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937" t="s">
        <v>282</v>
      </c>
      <c r="J55" s="937"/>
      <c r="K55" s="937"/>
      <c r="L55" s="937"/>
      <c r="M55" s="937"/>
      <c r="N55" s="937"/>
      <c r="O55" s="937"/>
      <c r="P55" s="937"/>
      <c r="Q55" s="938"/>
      <c r="R55" s="109"/>
    </row>
    <row r="56" spans="2:19" s="110" customFormat="1" ht="14.45" customHeight="1" thickBot="1" x14ac:dyDescent="0.3">
      <c r="B56" s="214" t="s">
        <v>229</v>
      </c>
      <c r="C56" s="856" t="s">
        <v>283</v>
      </c>
      <c r="D56" s="856"/>
      <c r="E56" s="722"/>
      <c r="F56" s="150" t="s">
        <v>284</v>
      </c>
      <c r="G56" s="150" t="s">
        <v>26</v>
      </c>
      <c r="H56" s="183" t="s">
        <v>27</v>
      </c>
      <c r="I56" s="939"/>
      <c r="J56" s="939"/>
      <c r="K56" s="939"/>
      <c r="L56" s="939"/>
      <c r="M56" s="939"/>
      <c r="N56" s="939"/>
      <c r="O56" s="939"/>
      <c r="P56" s="939"/>
      <c r="Q56" s="940"/>
      <c r="R56" s="111"/>
    </row>
    <row r="57" spans="2:19" ht="14.45" customHeight="1" x14ac:dyDescent="0.25">
      <c r="B57" s="860">
        <v>1</v>
      </c>
      <c r="C57" s="859" t="s">
        <v>285</v>
      </c>
      <c r="D57" s="943"/>
      <c r="E57" s="644">
        <v>42.5</v>
      </c>
      <c r="F57" s="645">
        <f>'Internal use cement'!F30</f>
        <v>0</v>
      </c>
      <c r="G57" s="645">
        <f>F57+'27'!G57</f>
        <v>0</v>
      </c>
      <c r="H57" s="77">
        <f>F57+'27'!H57</f>
        <v>0</v>
      </c>
      <c r="I57" s="939"/>
      <c r="J57" s="939"/>
      <c r="K57" s="939"/>
      <c r="L57" s="939"/>
      <c r="M57" s="939"/>
      <c r="N57" s="939"/>
      <c r="O57" s="939"/>
      <c r="P57" s="939"/>
      <c r="Q57" s="940"/>
      <c r="R57" s="109"/>
    </row>
    <row r="58" spans="2:19" ht="14.45" customHeight="1" x14ac:dyDescent="0.25">
      <c r="B58" s="861"/>
      <c r="C58" s="896"/>
      <c r="D58" s="827"/>
      <c r="E58" s="644" t="s">
        <v>195</v>
      </c>
      <c r="F58" s="645">
        <f>'Internal use cement'!Q30</f>
        <v>0</v>
      </c>
      <c r="G58" s="645">
        <f>F58+'27'!G58</f>
        <v>2</v>
      </c>
      <c r="H58" s="77">
        <f>F58+'27'!H58</f>
        <v>2</v>
      </c>
      <c r="I58" s="939"/>
      <c r="J58" s="939"/>
      <c r="K58" s="939"/>
      <c r="L58" s="939"/>
      <c r="M58" s="939"/>
      <c r="N58" s="939"/>
      <c r="O58" s="939"/>
      <c r="P58" s="939"/>
      <c r="Q58" s="940"/>
      <c r="R58" s="109"/>
    </row>
    <row r="59" spans="2:19" ht="15" customHeight="1" x14ac:dyDescent="0.25">
      <c r="B59" s="861"/>
      <c r="C59" s="896"/>
      <c r="D59" s="827"/>
      <c r="E59" s="644">
        <v>32.5</v>
      </c>
      <c r="F59" s="645">
        <f>'Internal use cement'!Y30</f>
        <v>0</v>
      </c>
      <c r="G59" s="645">
        <f>F59+'27'!G59</f>
        <v>0</v>
      </c>
      <c r="H59" s="77">
        <f>F59+'27'!H59</f>
        <v>0</v>
      </c>
      <c r="I59" s="939"/>
      <c r="J59" s="939"/>
      <c r="K59" s="939"/>
      <c r="L59" s="939"/>
      <c r="M59" s="939"/>
      <c r="N59" s="939"/>
      <c r="O59" s="939"/>
      <c r="P59" s="939"/>
      <c r="Q59" s="940"/>
      <c r="R59" s="109"/>
    </row>
    <row r="60" spans="2:19" ht="15" customHeight="1" x14ac:dyDescent="0.25">
      <c r="B60" s="861"/>
      <c r="C60" s="896"/>
      <c r="D60" s="827"/>
      <c r="E60" s="644" t="s">
        <v>175</v>
      </c>
      <c r="F60" s="645">
        <f>'Internal use cement'!AJ30</f>
        <v>0</v>
      </c>
      <c r="G60" s="645">
        <f>F60+'27'!G60</f>
        <v>0</v>
      </c>
      <c r="H60" s="77">
        <f>F60+'27'!H60</f>
        <v>0</v>
      </c>
      <c r="I60" s="939"/>
      <c r="J60" s="939"/>
      <c r="K60" s="939"/>
      <c r="L60" s="939"/>
      <c r="M60" s="939"/>
      <c r="N60" s="939"/>
      <c r="O60" s="939"/>
      <c r="P60" s="939"/>
      <c r="Q60" s="940"/>
      <c r="R60" s="109"/>
    </row>
    <row r="61" spans="2:19" ht="15.75" thickBot="1" x14ac:dyDescent="0.3">
      <c r="B61" s="862"/>
      <c r="C61" s="703"/>
      <c r="D61" s="829"/>
      <c r="E61" s="651" t="s">
        <v>350</v>
      </c>
      <c r="F61" s="652">
        <f>'Internal use cement'!AO30</f>
        <v>0</v>
      </c>
      <c r="G61" s="645">
        <f>F61+'27'!G61</f>
        <v>4</v>
      </c>
      <c r="H61" s="77">
        <f>F61+'27'!H61</f>
        <v>4</v>
      </c>
      <c r="I61" s="941"/>
      <c r="J61" s="941"/>
      <c r="K61" s="941"/>
      <c r="L61" s="941"/>
      <c r="M61" s="941"/>
      <c r="N61" s="941"/>
      <c r="O61" s="941"/>
      <c r="P61" s="941"/>
      <c r="Q61" s="942"/>
      <c r="R61" s="94"/>
      <c r="S61" s="94"/>
    </row>
    <row r="62" spans="2:19" x14ac:dyDescent="0.25">
      <c r="R62" s="94"/>
      <c r="S62" s="94"/>
    </row>
    <row r="63" spans="2:19" x14ac:dyDescent="0.25">
      <c r="R63" s="109"/>
      <c r="S63" s="109"/>
    </row>
    <row r="64" spans="2:19" x14ac:dyDescent="0.25">
      <c r="R64" s="94"/>
      <c r="S64" s="94"/>
    </row>
    <row r="65" spans="2:19" x14ac:dyDescent="0.25">
      <c r="R65" s="117"/>
      <c r="S65" s="117"/>
    </row>
    <row r="66" spans="2:19" x14ac:dyDescent="0.25">
      <c r="R66" s="117"/>
      <c r="S66" s="117"/>
    </row>
    <row r="67" spans="2:19" x14ac:dyDescent="0.25">
      <c r="R67" s="117"/>
      <c r="S67" s="117"/>
    </row>
    <row r="68" spans="2:19" x14ac:dyDescent="0.25"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</row>
    <row r="69" spans="2:19" x14ac:dyDescent="0.25"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</row>
    <row r="70" spans="2:19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</row>
    <row r="71" spans="2:19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</row>
    <row r="72" spans="2:19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2:19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</row>
    <row r="74" spans="2:19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2:19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</row>
    <row r="76" spans="2:19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</row>
    <row r="77" spans="2:19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</row>
    <row r="78" spans="2:19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</row>
    <row r="79" spans="2:19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</row>
    <row r="80" spans="2:19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</row>
    <row r="81" spans="2:19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</row>
    <row r="82" spans="2:19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2:19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</row>
    <row r="84" spans="2:19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</row>
    <row r="85" spans="2:19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</row>
    <row r="86" spans="2:19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</row>
    <row r="87" spans="2:19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</row>
    <row r="88" spans="2:19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</row>
    <row r="89" spans="2:19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2:19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2:19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</row>
    <row r="92" spans="2:19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</row>
    <row r="93" spans="2:19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</row>
    <row r="94" spans="2:19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2:19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</row>
    <row r="96" spans="2:19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</row>
    <row r="97" spans="2:19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</row>
    <row r="98" spans="2:19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2:19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</row>
    <row r="100" spans="2:19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2:19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2:19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</row>
    <row r="103" spans="2:19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2:19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2:19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2:19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2:19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2:19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</row>
    <row r="109" spans="2:19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</row>
    <row r="110" spans="2:19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2:19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2:19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</row>
    <row r="113" spans="2:19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2:19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2:19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</row>
    <row r="116" spans="2:19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</row>
    <row r="117" spans="2:19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2:19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2:19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</row>
    <row r="120" spans="2:19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</row>
    <row r="121" spans="2:19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</row>
    <row r="122" spans="2:19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</row>
    <row r="123" spans="2:19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</row>
    <row r="124" spans="2:19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</row>
    <row r="125" spans="2:19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</row>
    <row r="126" spans="2:19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</row>
    <row r="127" spans="2:19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2:19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</row>
    <row r="129" spans="2:19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</row>
    <row r="130" spans="2:19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</row>
    <row r="131" spans="2:19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2:19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</row>
    <row r="133" spans="2:19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2:19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</row>
    <row r="135" spans="2:19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</row>
    <row r="136" spans="2:19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</row>
    <row r="137" spans="2:19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</row>
    <row r="138" spans="2:19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</row>
    <row r="139" spans="2:19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2:19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</row>
    <row r="141" spans="2:19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2:19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2:19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</row>
    <row r="144" spans="2:19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</row>
    <row r="145" spans="2:19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2:19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</row>
    <row r="147" spans="2:19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2:19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</row>
    <row r="149" spans="2:19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2:19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2:19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</row>
    <row r="152" spans="2:19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</row>
  </sheetData>
  <mergeCells count="84">
    <mergeCell ref="I31:I32"/>
    <mergeCell ref="M31:M32"/>
    <mergeCell ref="N31:N32"/>
    <mergeCell ref="O31:O32"/>
    <mergeCell ref="P31:P32"/>
    <mergeCell ref="B41:B46"/>
    <mergeCell ref="C41:C46"/>
    <mergeCell ref="M46:P46"/>
    <mergeCell ref="M41:P45"/>
    <mergeCell ref="I41:I45"/>
    <mergeCell ref="B55:H55"/>
    <mergeCell ref="C56:E56"/>
    <mergeCell ref="I55:Q61"/>
    <mergeCell ref="C57:D61"/>
    <mergeCell ref="B57:B61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C30:D30"/>
    <mergeCell ref="C31:D31"/>
    <mergeCell ref="C33:D33"/>
    <mergeCell ref="C34:D34"/>
    <mergeCell ref="B35:B40"/>
    <mergeCell ref="C35:C40"/>
    <mergeCell ref="C32:D32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  <mergeCell ref="P23:Q25"/>
    <mergeCell ref="C25:D25"/>
    <mergeCell ref="M25:N25"/>
    <mergeCell ref="M18:M19"/>
    <mergeCell ref="O6:O7"/>
    <mergeCell ref="P6:P7"/>
    <mergeCell ref="Q6:Q7"/>
    <mergeCell ref="C17:Q17"/>
    <mergeCell ref="E6:E7"/>
    <mergeCell ref="F6:H6"/>
    <mergeCell ref="I6:K6"/>
    <mergeCell ref="L6:L7"/>
    <mergeCell ref="M6:M7"/>
    <mergeCell ref="B2:Q2"/>
    <mergeCell ref="B3:Q3"/>
    <mergeCell ref="B14:B16"/>
    <mergeCell ref="C14:C16"/>
    <mergeCell ref="C8:Q8"/>
    <mergeCell ref="C11:D11"/>
    <mergeCell ref="C12:D12"/>
    <mergeCell ref="C13:D13"/>
    <mergeCell ref="P13:Q13"/>
    <mergeCell ref="O9:O16"/>
    <mergeCell ref="C10:D10"/>
    <mergeCell ref="B4:O4"/>
    <mergeCell ref="B6:B7"/>
    <mergeCell ref="C6:C7"/>
    <mergeCell ref="D6:D7"/>
    <mergeCell ref="N6:N7"/>
  </mergeCells>
  <pageMargins left="0.45" right="0" top="0.75" bottom="0.75" header="0.3" footer="0.3"/>
  <pageSetup paperSize="9" scale="55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9"/>
  <dimension ref="B2:T155"/>
  <sheetViews>
    <sheetView zoomScale="90" zoomScaleNormal="90" workbookViewId="0">
      <pane xSplit="4" ySplit="1" topLeftCell="E28" activePane="bottomRight" state="frozen"/>
      <selection pane="topRight" activeCell="E1" sqref="E1"/>
      <selection pane="bottomLeft" activeCell="A6" sqref="A6"/>
      <selection pane="bottomRight" activeCell="I38" sqref="I38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2" width="9.285156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5" width="9.140625" style="68"/>
    <col min="256" max="256" width="3.7109375" style="68" customWidth="1"/>
    <col min="257" max="257" width="4" style="68" bestFit="1" customWidth="1"/>
    <col min="258" max="258" width="14.5703125" style="68" customWidth="1"/>
    <col min="259" max="259" width="11.140625" style="68" customWidth="1"/>
    <col min="260" max="260" width="8.7109375" style="68" customWidth="1"/>
    <col min="261" max="261" width="9.7109375" style="68" bestFit="1" customWidth="1"/>
    <col min="262" max="262" width="10.85546875" style="68" customWidth="1"/>
    <col min="263" max="263" width="10.42578125" style="68" customWidth="1"/>
    <col min="264" max="264" width="9.7109375" style="68" bestFit="1" customWidth="1"/>
    <col min="265" max="267" width="9.28515625" style="68" bestFit="1" customWidth="1"/>
    <col min="268" max="268" width="10.7109375" style="68" bestFit="1" customWidth="1"/>
    <col min="269" max="269" width="11.28515625" style="68" customWidth="1"/>
    <col min="270" max="270" width="12.5703125" style="68" customWidth="1"/>
    <col min="271" max="271" width="13.5703125" style="68" customWidth="1"/>
    <col min="272" max="272" width="13" style="68" customWidth="1"/>
    <col min="273" max="511" width="9.140625" style="68"/>
    <col min="512" max="512" width="3.7109375" style="68" customWidth="1"/>
    <col min="513" max="513" width="4" style="68" bestFit="1" customWidth="1"/>
    <col min="514" max="514" width="14.5703125" style="68" customWidth="1"/>
    <col min="515" max="515" width="11.140625" style="68" customWidth="1"/>
    <col min="516" max="516" width="8.7109375" style="68" customWidth="1"/>
    <col min="517" max="517" width="9.7109375" style="68" bestFit="1" customWidth="1"/>
    <col min="518" max="518" width="10.85546875" style="68" customWidth="1"/>
    <col min="519" max="519" width="10.42578125" style="68" customWidth="1"/>
    <col min="520" max="520" width="9.7109375" style="68" bestFit="1" customWidth="1"/>
    <col min="521" max="523" width="9.28515625" style="68" bestFit="1" customWidth="1"/>
    <col min="524" max="524" width="10.7109375" style="68" bestFit="1" customWidth="1"/>
    <col min="525" max="525" width="11.28515625" style="68" customWidth="1"/>
    <col min="526" max="526" width="12.5703125" style="68" customWidth="1"/>
    <col min="527" max="527" width="13.5703125" style="68" customWidth="1"/>
    <col min="528" max="528" width="13" style="68" customWidth="1"/>
    <col min="529" max="767" width="9.140625" style="68"/>
    <col min="768" max="768" width="3.7109375" style="68" customWidth="1"/>
    <col min="769" max="769" width="4" style="68" bestFit="1" customWidth="1"/>
    <col min="770" max="770" width="14.5703125" style="68" customWidth="1"/>
    <col min="771" max="771" width="11.140625" style="68" customWidth="1"/>
    <col min="772" max="772" width="8.7109375" style="68" customWidth="1"/>
    <col min="773" max="773" width="9.7109375" style="68" bestFit="1" customWidth="1"/>
    <col min="774" max="774" width="10.85546875" style="68" customWidth="1"/>
    <col min="775" max="775" width="10.42578125" style="68" customWidth="1"/>
    <col min="776" max="776" width="9.7109375" style="68" bestFit="1" customWidth="1"/>
    <col min="777" max="779" width="9.28515625" style="68" bestFit="1" customWidth="1"/>
    <col min="780" max="780" width="10.7109375" style="68" bestFit="1" customWidth="1"/>
    <col min="781" max="781" width="11.28515625" style="68" customWidth="1"/>
    <col min="782" max="782" width="12.5703125" style="68" customWidth="1"/>
    <col min="783" max="783" width="13.5703125" style="68" customWidth="1"/>
    <col min="784" max="784" width="13" style="68" customWidth="1"/>
    <col min="785" max="1023" width="9.140625" style="68"/>
    <col min="1024" max="1024" width="3.7109375" style="68" customWidth="1"/>
    <col min="1025" max="1025" width="4" style="68" bestFit="1" customWidth="1"/>
    <col min="1026" max="1026" width="14.5703125" style="68" customWidth="1"/>
    <col min="1027" max="1027" width="11.140625" style="68" customWidth="1"/>
    <col min="1028" max="1028" width="8.7109375" style="68" customWidth="1"/>
    <col min="1029" max="1029" width="9.7109375" style="68" bestFit="1" customWidth="1"/>
    <col min="1030" max="1030" width="10.85546875" style="68" customWidth="1"/>
    <col min="1031" max="1031" width="10.42578125" style="68" customWidth="1"/>
    <col min="1032" max="1032" width="9.7109375" style="68" bestFit="1" customWidth="1"/>
    <col min="1033" max="1035" width="9.28515625" style="68" bestFit="1" customWidth="1"/>
    <col min="1036" max="1036" width="10.7109375" style="68" bestFit="1" customWidth="1"/>
    <col min="1037" max="1037" width="11.28515625" style="68" customWidth="1"/>
    <col min="1038" max="1038" width="12.5703125" style="68" customWidth="1"/>
    <col min="1039" max="1039" width="13.5703125" style="68" customWidth="1"/>
    <col min="1040" max="1040" width="13" style="68" customWidth="1"/>
    <col min="1041" max="1279" width="9.140625" style="68"/>
    <col min="1280" max="1280" width="3.7109375" style="68" customWidth="1"/>
    <col min="1281" max="1281" width="4" style="68" bestFit="1" customWidth="1"/>
    <col min="1282" max="1282" width="14.5703125" style="68" customWidth="1"/>
    <col min="1283" max="1283" width="11.140625" style="68" customWidth="1"/>
    <col min="1284" max="1284" width="8.7109375" style="68" customWidth="1"/>
    <col min="1285" max="1285" width="9.7109375" style="68" bestFit="1" customWidth="1"/>
    <col min="1286" max="1286" width="10.85546875" style="68" customWidth="1"/>
    <col min="1287" max="1287" width="10.42578125" style="68" customWidth="1"/>
    <col min="1288" max="1288" width="9.7109375" style="68" bestFit="1" customWidth="1"/>
    <col min="1289" max="1291" width="9.28515625" style="68" bestFit="1" customWidth="1"/>
    <col min="1292" max="1292" width="10.7109375" style="68" bestFit="1" customWidth="1"/>
    <col min="1293" max="1293" width="11.28515625" style="68" customWidth="1"/>
    <col min="1294" max="1294" width="12.5703125" style="68" customWidth="1"/>
    <col min="1295" max="1295" width="13.5703125" style="68" customWidth="1"/>
    <col min="1296" max="1296" width="13" style="68" customWidth="1"/>
    <col min="1297" max="1535" width="9.140625" style="68"/>
    <col min="1536" max="1536" width="3.7109375" style="68" customWidth="1"/>
    <col min="1537" max="1537" width="4" style="68" bestFit="1" customWidth="1"/>
    <col min="1538" max="1538" width="14.5703125" style="68" customWidth="1"/>
    <col min="1539" max="1539" width="11.140625" style="68" customWidth="1"/>
    <col min="1540" max="1540" width="8.7109375" style="68" customWidth="1"/>
    <col min="1541" max="1541" width="9.7109375" style="68" bestFit="1" customWidth="1"/>
    <col min="1542" max="1542" width="10.85546875" style="68" customWidth="1"/>
    <col min="1543" max="1543" width="10.42578125" style="68" customWidth="1"/>
    <col min="1544" max="1544" width="9.7109375" style="68" bestFit="1" customWidth="1"/>
    <col min="1545" max="1547" width="9.28515625" style="68" bestFit="1" customWidth="1"/>
    <col min="1548" max="1548" width="10.7109375" style="68" bestFit="1" customWidth="1"/>
    <col min="1549" max="1549" width="11.28515625" style="68" customWidth="1"/>
    <col min="1550" max="1550" width="12.5703125" style="68" customWidth="1"/>
    <col min="1551" max="1551" width="13.5703125" style="68" customWidth="1"/>
    <col min="1552" max="1552" width="13" style="68" customWidth="1"/>
    <col min="1553" max="1791" width="9.140625" style="68"/>
    <col min="1792" max="1792" width="3.7109375" style="68" customWidth="1"/>
    <col min="1793" max="1793" width="4" style="68" bestFit="1" customWidth="1"/>
    <col min="1794" max="1794" width="14.5703125" style="68" customWidth="1"/>
    <col min="1795" max="1795" width="11.140625" style="68" customWidth="1"/>
    <col min="1796" max="1796" width="8.7109375" style="68" customWidth="1"/>
    <col min="1797" max="1797" width="9.7109375" style="68" bestFit="1" customWidth="1"/>
    <col min="1798" max="1798" width="10.85546875" style="68" customWidth="1"/>
    <col min="1799" max="1799" width="10.42578125" style="68" customWidth="1"/>
    <col min="1800" max="1800" width="9.7109375" style="68" bestFit="1" customWidth="1"/>
    <col min="1801" max="1803" width="9.28515625" style="68" bestFit="1" customWidth="1"/>
    <col min="1804" max="1804" width="10.7109375" style="68" bestFit="1" customWidth="1"/>
    <col min="1805" max="1805" width="11.28515625" style="68" customWidth="1"/>
    <col min="1806" max="1806" width="12.5703125" style="68" customWidth="1"/>
    <col min="1807" max="1807" width="13.5703125" style="68" customWidth="1"/>
    <col min="1808" max="1808" width="13" style="68" customWidth="1"/>
    <col min="1809" max="2047" width="9.140625" style="68"/>
    <col min="2048" max="2048" width="3.7109375" style="68" customWidth="1"/>
    <col min="2049" max="2049" width="4" style="68" bestFit="1" customWidth="1"/>
    <col min="2050" max="2050" width="14.5703125" style="68" customWidth="1"/>
    <col min="2051" max="2051" width="11.140625" style="68" customWidth="1"/>
    <col min="2052" max="2052" width="8.7109375" style="68" customWidth="1"/>
    <col min="2053" max="2053" width="9.7109375" style="68" bestFit="1" customWidth="1"/>
    <col min="2054" max="2054" width="10.85546875" style="68" customWidth="1"/>
    <col min="2055" max="2055" width="10.42578125" style="68" customWidth="1"/>
    <col min="2056" max="2056" width="9.7109375" style="68" bestFit="1" customWidth="1"/>
    <col min="2057" max="2059" width="9.28515625" style="68" bestFit="1" customWidth="1"/>
    <col min="2060" max="2060" width="10.7109375" style="68" bestFit="1" customWidth="1"/>
    <col min="2061" max="2061" width="11.28515625" style="68" customWidth="1"/>
    <col min="2062" max="2062" width="12.5703125" style="68" customWidth="1"/>
    <col min="2063" max="2063" width="13.5703125" style="68" customWidth="1"/>
    <col min="2064" max="2064" width="13" style="68" customWidth="1"/>
    <col min="2065" max="2303" width="9.140625" style="68"/>
    <col min="2304" max="2304" width="3.7109375" style="68" customWidth="1"/>
    <col min="2305" max="2305" width="4" style="68" bestFit="1" customWidth="1"/>
    <col min="2306" max="2306" width="14.5703125" style="68" customWidth="1"/>
    <col min="2307" max="2307" width="11.140625" style="68" customWidth="1"/>
    <col min="2308" max="2308" width="8.7109375" style="68" customWidth="1"/>
    <col min="2309" max="2309" width="9.7109375" style="68" bestFit="1" customWidth="1"/>
    <col min="2310" max="2310" width="10.85546875" style="68" customWidth="1"/>
    <col min="2311" max="2311" width="10.42578125" style="68" customWidth="1"/>
    <col min="2312" max="2312" width="9.7109375" style="68" bestFit="1" customWidth="1"/>
    <col min="2313" max="2315" width="9.28515625" style="68" bestFit="1" customWidth="1"/>
    <col min="2316" max="2316" width="10.7109375" style="68" bestFit="1" customWidth="1"/>
    <col min="2317" max="2317" width="11.28515625" style="68" customWidth="1"/>
    <col min="2318" max="2318" width="12.5703125" style="68" customWidth="1"/>
    <col min="2319" max="2319" width="13.5703125" style="68" customWidth="1"/>
    <col min="2320" max="2320" width="13" style="68" customWidth="1"/>
    <col min="2321" max="2559" width="9.140625" style="68"/>
    <col min="2560" max="2560" width="3.7109375" style="68" customWidth="1"/>
    <col min="2561" max="2561" width="4" style="68" bestFit="1" customWidth="1"/>
    <col min="2562" max="2562" width="14.5703125" style="68" customWidth="1"/>
    <col min="2563" max="2563" width="11.140625" style="68" customWidth="1"/>
    <col min="2564" max="2564" width="8.7109375" style="68" customWidth="1"/>
    <col min="2565" max="2565" width="9.7109375" style="68" bestFit="1" customWidth="1"/>
    <col min="2566" max="2566" width="10.85546875" style="68" customWidth="1"/>
    <col min="2567" max="2567" width="10.42578125" style="68" customWidth="1"/>
    <col min="2568" max="2568" width="9.7109375" style="68" bestFit="1" customWidth="1"/>
    <col min="2569" max="2571" width="9.28515625" style="68" bestFit="1" customWidth="1"/>
    <col min="2572" max="2572" width="10.7109375" style="68" bestFit="1" customWidth="1"/>
    <col min="2573" max="2573" width="11.28515625" style="68" customWidth="1"/>
    <col min="2574" max="2574" width="12.5703125" style="68" customWidth="1"/>
    <col min="2575" max="2575" width="13.5703125" style="68" customWidth="1"/>
    <col min="2576" max="2576" width="13" style="68" customWidth="1"/>
    <col min="2577" max="2815" width="9.140625" style="68"/>
    <col min="2816" max="2816" width="3.7109375" style="68" customWidth="1"/>
    <col min="2817" max="2817" width="4" style="68" bestFit="1" customWidth="1"/>
    <col min="2818" max="2818" width="14.5703125" style="68" customWidth="1"/>
    <col min="2819" max="2819" width="11.140625" style="68" customWidth="1"/>
    <col min="2820" max="2820" width="8.7109375" style="68" customWidth="1"/>
    <col min="2821" max="2821" width="9.7109375" style="68" bestFit="1" customWidth="1"/>
    <col min="2822" max="2822" width="10.85546875" style="68" customWidth="1"/>
    <col min="2823" max="2823" width="10.42578125" style="68" customWidth="1"/>
    <col min="2824" max="2824" width="9.7109375" style="68" bestFit="1" customWidth="1"/>
    <col min="2825" max="2827" width="9.28515625" style="68" bestFit="1" customWidth="1"/>
    <col min="2828" max="2828" width="10.7109375" style="68" bestFit="1" customWidth="1"/>
    <col min="2829" max="2829" width="11.28515625" style="68" customWidth="1"/>
    <col min="2830" max="2830" width="12.5703125" style="68" customWidth="1"/>
    <col min="2831" max="2831" width="13.5703125" style="68" customWidth="1"/>
    <col min="2832" max="2832" width="13" style="68" customWidth="1"/>
    <col min="2833" max="3071" width="9.140625" style="68"/>
    <col min="3072" max="3072" width="3.7109375" style="68" customWidth="1"/>
    <col min="3073" max="3073" width="4" style="68" bestFit="1" customWidth="1"/>
    <col min="3074" max="3074" width="14.5703125" style="68" customWidth="1"/>
    <col min="3075" max="3075" width="11.140625" style="68" customWidth="1"/>
    <col min="3076" max="3076" width="8.7109375" style="68" customWidth="1"/>
    <col min="3077" max="3077" width="9.7109375" style="68" bestFit="1" customWidth="1"/>
    <col min="3078" max="3078" width="10.85546875" style="68" customWidth="1"/>
    <col min="3079" max="3079" width="10.42578125" style="68" customWidth="1"/>
    <col min="3080" max="3080" width="9.7109375" style="68" bestFit="1" customWidth="1"/>
    <col min="3081" max="3083" width="9.28515625" style="68" bestFit="1" customWidth="1"/>
    <col min="3084" max="3084" width="10.7109375" style="68" bestFit="1" customWidth="1"/>
    <col min="3085" max="3085" width="11.28515625" style="68" customWidth="1"/>
    <col min="3086" max="3086" width="12.5703125" style="68" customWidth="1"/>
    <col min="3087" max="3087" width="13.5703125" style="68" customWidth="1"/>
    <col min="3088" max="3088" width="13" style="68" customWidth="1"/>
    <col min="3089" max="3327" width="9.140625" style="68"/>
    <col min="3328" max="3328" width="3.7109375" style="68" customWidth="1"/>
    <col min="3329" max="3329" width="4" style="68" bestFit="1" customWidth="1"/>
    <col min="3330" max="3330" width="14.5703125" style="68" customWidth="1"/>
    <col min="3331" max="3331" width="11.140625" style="68" customWidth="1"/>
    <col min="3332" max="3332" width="8.7109375" style="68" customWidth="1"/>
    <col min="3333" max="3333" width="9.7109375" style="68" bestFit="1" customWidth="1"/>
    <col min="3334" max="3334" width="10.85546875" style="68" customWidth="1"/>
    <col min="3335" max="3335" width="10.42578125" style="68" customWidth="1"/>
    <col min="3336" max="3336" width="9.7109375" style="68" bestFit="1" customWidth="1"/>
    <col min="3337" max="3339" width="9.28515625" style="68" bestFit="1" customWidth="1"/>
    <col min="3340" max="3340" width="10.7109375" style="68" bestFit="1" customWidth="1"/>
    <col min="3341" max="3341" width="11.28515625" style="68" customWidth="1"/>
    <col min="3342" max="3342" width="12.5703125" style="68" customWidth="1"/>
    <col min="3343" max="3343" width="13.5703125" style="68" customWidth="1"/>
    <col min="3344" max="3344" width="13" style="68" customWidth="1"/>
    <col min="3345" max="3583" width="9.140625" style="68"/>
    <col min="3584" max="3584" width="3.7109375" style="68" customWidth="1"/>
    <col min="3585" max="3585" width="4" style="68" bestFit="1" customWidth="1"/>
    <col min="3586" max="3586" width="14.5703125" style="68" customWidth="1"/>
    <col min="3587" max="3587" width="11.140625" style="68" customWidth="1"/>
    <col min="3588" max="3588" width="8.7109375" style="68" customWidth="1"/>
    <col min="3589" max="3589" width="9.7109375" style="68" bestFit="1" customWidth="1"/>
    <col min="3590" max="3590" width="10.85546875" style="68" customWidth="1"/>
    <col min="3591" max="3591" width="10.42578125" style="68" customWidth="1"/>
    <col min="3592" max="3592" width="9.7109375" style="68" bestFit="1" customWidth="1"/>
    <col min="3593" max="3595" width="9.28515625" style="68" bestFit="1" customWidth="1"/>
    <col min="3596" max="3596" width="10.7109375" style="68" bestFit="1" customWidth="1"/>
    <col min="3597" max="3597" width="11.28515625" style="68" customWidth="1"/>
    <col min="3598" max="3598" width="12.5703125" style="68" customWidth="1"/>
    <col min="3599" max="3599" width="13.5703125" style="68" customWidth="1"/>
    <col min="3600" max="3600" width="13" style="68" customWidth="1"/>
    <col min="3601" max="3839" width="9.140625" style="68"/>
    <col min="3840" max="3840" width="3.7109375" style="68" customWidth="1"/>
    <col min="3841" max="3841" width="4" style="68" bestFit="1" customWidth="1"/>
    <col min="3842" max="3842" width="14.5703125" style="68" customWidth="1"/>
    <col min="3843" max="3843" width="11.140625" style="68" customWidth="1"/>
    <col min="3844" max="3844" width="8.7109375" style="68" customWidth="1"/>
    <col min="3845" max="3845" width="9.7109375" style="68" bestFit="1" customWidth="1"/>
    <col min="3846" max="3846" width="10.85546875" style="68" customWidth="1"/>
    <col min="3847" max="3847" width="10.42578125" style="68" customWidth="1"/>
    <col min="3848" max="3848" width="9.7109375" style="68" bestFit="1" customWidth="1"/>
    <col min="3849" max="3851" width="9.28515625" style="68" bestFit="1" customWidth="1"/>
    <col min="3852" max="3852" width="10.7109375" style="68" bestFit="1" customWidth="1"/>
    <col min="3853" max="3853" width="11.28515625" style="68" customWidth="1"/>
    <col min="3854" max="3854" width="12.5703125" style="68" customWidth="1"/>
    <col min="3855" max="3855" width="13.5703125" style="68" customWidth="1"/>
    <col min="3856" max="3856" width="13" style="68" customWidth="1"/>
    <col min="3857" max="4095" width="9.140625" style="68"/>
    <col min="4096" max="4096" width="3.7109375" style="68" customWidth="1"/>
    <col min="4097" max="4097" width="4" style="68" bestFit="1" customWidth="1"/>
    <col min="4098" max="4098" width="14.5703125" style="68" customWidth="1"/>
    <col min="4099" max="4099" width="11.140625" style="68" customWidth="1"/>
    <col min="4100" max="4100" width="8.7109375" style="68" customWidth="1"/>
    <col min="4101" max="4101" width="9.7109375" style="68" bestFit="1" customWidth="1"/>
    <col min="4102" max="4102" width="10.85546875" style="68" customWidth="1"/>
    <col min="4103" max="4103" width="10.42578125" style="68" customWidth="1"/>
    <col min="4104" max="4104" width="9.7109375" style="68" bestFit="1" customWidth="1"/>
    <col min="4105" max="4107" width="9.28515625" style="68" bestFit="1" customWidth="1"/>
    <col min="4108" max="4108" width="10.7109375" style="68" bestFit="1" customWidth="1"/>
    <col min="4109" max="4109" width="11.28515625" style="68" customWidth="1"/>
    <col min="4110" max="4110" width="12.5703125" style="68" customWidth="1"/>
    <col min="4111" max="4111" width="13.5703125" style="68" customWidth="1"/>
    <col min="4112" max="4112" width="13" style="68" customWidth="1"/>
    <col min="4113" max="4351" width="9.140625" style="68"/>
    <col min="4352" max="4352" width="3.7109375" style="68" customWidth="1"/>
    <col min="4353" max="4353" width="4" style="68" bestFit="1" customWidth="1"/>
    <col min="4354" max="4354" width="14.5703125" style="68" customWidth="1"/>
    <col min="4355" max="4355" width="11.140625" style="68" customWidth="1"/>
    <col min="4356" max="4356" width="8.7109375" style="68" customWidth="1"/>
    <col min="4357" max="4357" width="9.7109375" style="68" bestFit="1" customWidth="1"/>
    <col min="4358" max="4358" width="10.85546875" style="68" customWidth="1"/>
    <col min="4359" max="4359" width="10.42578125" style="68" customWidth="1"/>
    <col min="4360" max="4360" width="9.7109375" style="68" bestFit="1" customWidth="1"/>
    <col min="4361" max="4363" width="9.28515625" style="68" bestFit="1" customWidth="1"/>
    <col min="4364" max="4364" width="10.7109375" style="68" bestFit="1" customWidth="1"/>
    <col min="4365" max="4365" width="11.28515625" style="68" customWidth="1"/>
    <col min="4366" max="4366" width="12.5703125" style="68" customWidth="1"/>
    <col min="4367" max="4367" width="13.5703125" style="68" customWidth="1"/>
    <col min="4368" max="4368" width="13" style="68" customWidth="1"/>
    <col min="4369" max="4607" width="9.140625" style="68"/>
    <col min="4608" max="4608" width="3.7109375" style="68" customWidth="1"/>
    <col min="4609" max="4609" width="4" style="68" bestFit="1" customWidth="1"/>
    <col min="4610" max="4610" width="14.5703125" style="68" customWidth="1"/>
    <col min="4611" max="4611" width="11.140625" style="68" customWidth="1"/>
    <col min="4612" max="4612" width="8.7109375" style="68" customWidth="1"/>
    <col min="4613" max="4613" width="9.7109375" style="68" bestFit="1" customWidth="1"/>
    <col min="4614" max="4614" width="10.85546875" style="68" customWidth="1"/>
    <col min="4615" max="4615" width="10.42578125" style="68" customWidth="1"/>
    <col min="4616" max="4616" width="9.7109375" style="68" bestFit="1" customWidth="1"/>
    <col min="4617" max="4619" width="9.28515625" style="68" bestFit="1" customWidth="1"/>
    <col min="4620" max="4620" width="10.7109375" style="68" bestFit="1" customWidth="1"/>
    <col min="4621" max="4621" width="11.28515625" style="68" customWidth="1"/>
    <col min="4622" max="4622" width="12.5703125" style="68" customWidth="1"/>
    <col min="4623" max="4623" width="13.5703125" style="68" customWidth="1"/>
    <col min="4624" max="4624" width="13" style="68" customWidth="1"/>
    <col min="4625" max="4863" width="9.140625" style="68"/>
    <col min="4864" max="4864" width="3.7109375" style="68" customWidth="1"/>
    <col min="4865" max="4865" width="4" style="68" bestFit="1" customWidth="1"/>
    <col min="4866" max="4866" width="14.5703125" style="68" customWidth="1"/>
    <col min="4867" max="4867" width="11.140625" style="68" customWidth="1"/>
    <col min="4868" max="4868" width="8.7109375" style="68" customWidth="1"/>
    <col min="4869" max="4869" width="9.7109375" style="68" bestFit="1" customWidth="1"/>
    <col min="4870" max="4870" width="10.85546875" style="68" customWidth="1"/>
    <col min="4871" max="4871" width="10.42578125" style="68" customWidth="1"/>
    <col min="4872" max="4872" width="9.7109375" style="68" bestFit="1" customWidth="1"/>
    <col min="4873" max="4875" width="9.28515625" style="68" bestFit="1" customWidth="1"/>
    <col min="4876" max="4876" width="10.7109375" style="68" bestFit="1" customWidth="1"/>
    <col min="4877" max="4877" width="11.28515625" style="68" customWidth="1"/>
    <col min="4878" max="4878" width="12.5703125" style="68" customWidth="1"/>
    <col min="4879" max="4879" width="13.5703125" style="68" customWidth="1"/>
    <col min="4880" max="4880" width="13" style="68" customWidth="1"/>
    <col min="4881" max="5119" width="9.140625" style="68"/>
    <col min="5120" max="5120" width="3.7109375" style="68" customWidth="1"/>
    <col min="5121" max="5121" width="4" style="68" bestFit="1" customWidth="1"/>
    <col min="5122" max="5122" width="14.5703125" style="68" customWidth="1"/>
    <col min="5123" max="5123" width="11.140625" style="68" customWidth="1"/>
    <col min="5124" max="5124" width="8.7109375" style="68" customWidth="1"/>
    <col min="5125" max="5125" width="9.7109375" style="68" bestFit="1" customWidth="1"/>
    <col min="5126" max="5126" width="10.85546875" style="68" customWidth="1"/>
    <col min="5127" max="5127" width="10.42578125" style="68" customWidth="1"/>
    <col min="5128" max="5128" width="9.7109375" style="68" bestFit="1" customWidth="1"/>
    <col min="5129" max="5131" width="9.28515625" style="68" bestFit="1" customWidth="1"/>
    <col min="5132" max="5132" width="10.7109375" style="68" bestFit="1" customWidth="1"/>
    <col min="5133" max="5133" width="11.28515625" style="68" customWidth="1"/>
    <col min="5134" max="5134" width="12.5703125" style="68" customWidth="1"/>
    <col min="5135" max="5135" width="13.5703125" style="68" customWidth="1"/>
    <col min="5136" max="5136" width="13" style="68" customWidth="1"/>
    <col min="5137" max="5375" width="9.140625" style="68"/>
    <col min="5376" max="5376" width="3.7109375" style="68" customWidth="1"/>
    <col min="5377" max="5377" width="4" style="68" bestFit="1" customWidth="1"/>
    <col min="5378" max="5378" width="14.5703125" style="68" customWidth="1"/>
    <col min="5379" max="5379" width="11.140625" style="68" customWidth="1"/>
    <col min="5380" max="5380" width="8.7109375" style="68" customWidth="1"/>
    <col min="5381" max="5381" width="9.7109375" style="68" bestFit="1" customWidth="1"/>
    <col min="5382" max="5382" width="10.85546875" style="68" customWidth="1"/>
    <col min="5383" max="5383" width="10.42578125" style="68" customWidth="1"/>
    <col min="5384" max="5384" width="9.7109375" style="68" bestFit="1" customWidth="1"/>
    <col min="5385" max="5387" width="9.28515625" style="68" bestFit="1" customWidth="1"/>
    <col min="5388" max="5388" width="10.7109375" style="68" bestFit="1" customWidth="1"/>
    <col min="5389" max="5389" width="11.28515625" style="68" customWidth="1"/>
    <col min="5390" max="5390" width="12.5703125" style="68" customWidth="1"/>
    <col min="5391" max="5391" width="13.5703125" style="68" customWidth="1"/>
    <col min="5392" max="5392" width="13" style="68" customWidth="1"/>
    <col min="5393" max="5631" width="9.140625" style="68"/>
    <col min="5632" max="5632" width="3.7109375" style="68" customWidth="1"/>
    <col min="5633" max="5633" width="4" style="68" bestFit="1" customWidth="1"/>
    <col min="5634" max="5634" width="14.5703125" style="68" customWidth="1"/>
    <col min="5635" max="5635" width="11.140625" style="68" customWidth="1"/>
    <col min="5636" max="5636" width="8.7109375" style="68" customWidth="1"/>
    <col min="5637" max="5637" width="9.7109375" style="68" bestFit="1" customWidth="1"/>
    <col min="5638" max="5638" width="10.85546875" style="68" customWidth="1"/>
    <col min="5639" max="5639" width="10.42578125" style="68" customWidth="1"/>
    <col min="5640" max="5640" width="9.7109375" style="68" bestFit="1" customWidth="1"/>
    <col min="5641" max="5643" width="9.28515625" style="68" bestFit="1" customWidth="1"/>
    <col min="5644" max="5644" width="10.7109375" style="68" bestFit="1" customWidth="1"/>
    <col min="5645" max="5645" width="11.28515625" style="68" customWidth="1"/>
    <col min="5646" max="5646" width="12.5703125" style="68" customWidth="1"/>
    <col min="5647" max="5647" width="13.5703125" style="68" customWidth="1"/>
    <col min="5648" max="5648" width="13" style="68" customWidth="1"/>
    <col min="5649" max="5887" width="9.140625" style="68"/>
    <col min="5888" max="5888" width="3.7109375" style="68" customWidth="1"/>
    <col min="5889" max="5889" width="4" style="68" bestFit="1" customWidth="1"/>
    <col min="5890" max="5890" width="14.5703125" style="68" customWidth="1"/>
    <col min="5891" max="5891" width="11.140625" style="68" customWidth="1"/>
    <col min="5892" max="5892" width="8.7109375" style="68" customWidth="1"/>
    <col min="5893" max="5893" width="9.7109375" style="68" bestFit="1" customWidth="1"/>
    <col min="5894" max="5894" width="10.85546875" style="68" customWidth="1"/>
    <col min="5895" max="5895" width="10.42578125" style="68" customWidth="1"/>
    <col min="5896" max="5896" width="9.7109375" style="68" bestFit="1" customWidth="1"/>
    <col min="5897" max="5899" width="9.28515625" style="68" bestFit="1" customWidth="1"/>
    <col min="5900" max="5900" width="10.7109375" style="68" bestFit="1" customWidth="1"/>
    <col min="5901" max="5901" width="11.28515625" style="68" customWidth="1"/>
    <col min="5902" max="5902" width="12.5703125" style="68" customWidth="1"/>
    <col min="5903" max="5903" width="13.5703125" style="68" customWidth="1"/>
    <col min="5904" max="5904" width="13" style="68" customWidth="1"/>
    <col min="5905" max="6143" width="9.140625" style="68"/>
    <col min="6144" max="6144" width="3.7109375" style="68" customWidth="1"/>
    <col min="6145" max="6145" width="4" style="68" bestFit="1" customWidth="1"/>
    <col min="6146" max="6146" width="14.5703125" style="68" customWidth="1"/>
    <col min="6147" max="6147" width="11.140625" style="68" customWidth="1"/>
    <col min="6148" max="6148" width="8.7109375" style="68" customWidth="1"/>
    <col min="6149" max="6149" width="9.7109375" style="68" bestFit="1" customWidth="1"/>
    <col min="6150" max="6150" width="10.85546875" style="68" customWidth="1"/>
    <col min="6151" max="6151" width="10.42578125" style="68" customWidth="1"/>
    <col min="6152" max="6152" width="9.7109375" style="68" bestFit="1" customWidth="1"/>
    <col min="6153" max="6155" width="9.28515625" style="68" bestFit="1" customWidth="1"/>
    <col min="6156" max="6156" width="10.7109375" style="68" bestFit="1" customWidth="1"/>
    <col min="6157" max="6157" width="11.28515625" style="68" customWidth="1"/>
    <col min="6158" max="6158" width="12.5703125" style="68" customWidth="1"/>
    <col min="6159" max="6159" width="13.5703125" style="68" customWidth="1"/>
    <col min="6160" max="6160" width="13" style="68" customWidth="1"/>
    <col min="6161" max="6399" width="9.140625" style="68"/>
    <col min="6400" max="6400" width="3.7109375" style="68" customWidth="1"/>
    <col min="6401" max="6401" width="4" style="68" bestFit="1" customWidth="1"/>
    <col min="6402" max="6402" width="14.5703125" style="68" customWidth="1"/>
    <col min="6403" max="6403" width="11.140625" style="68" customWidth="1"/>
    <col min="6404" max="6404" width="8.7109375" style="68" customWidth="1"/>
    <col min="6405" max="6405" width="9.7109375" style="68" bestFit="1" customWidth="1"/>
    <col min="6406" max="6406" width="10.85546875" style="68" customWidth="1"/>
    <col min="6407" max="6407" width="10.42578125" style="68" customWidth="1"/>
    <col min="6408" max="6408" width="9.7109375" style="68" bestFit="1" customWidth="1"/>
    <col min="6409" max="6411" width="9.28515625" style="68" bestFit="1" customWidth="1"/>
    <col min="6412" max="6412" width="10.7109375" style="68" bestFit="1" customWidth="1"/>
    <col min="6413" max="6413" width="11.28515625" style="68" customWidth="1"/>
    <col min="6414" max="6414" width="12.5703125" style="68" customWidth="1"/>
    <col min="6415" max="6415" width="13.5703125" style="68" customWidth="1"/>
    <col min="6416" max="6416" width="13" style="68" customWidth="1"/>
    <col min="6417" max="6655" width="9.140625" style="68"/>
    <col min="6656" max="6656" width="3.7109375" style="68" customWidth="1"/>
    <col min="6657" max="6657" width="4" style="68" bestFit="1" customWidth="1"/>
    <col min="6658" max="6658" width="14.5703125" style="68" customWidth="1"/>
    <col min="6659" max="6659" width="11.140625" style="68" customWidth="1"/>
    <col min="6660" max="6660" width="8.7109375" style="68" customWidth="1"/>
    <col min="6661" max="6661" width="9.7109375" style="68" bestFit="1" customWidth="1"/>
    <col min="6662" max="6662" width="10.85546875" style="68" customWidth="1"/>
    <col min="6663" max="6663" width="10.42578125" style="68" customWidth="1"/>
    <col min="6664" max="6664" width="9.7109375" style="68" bestFit="1" customWidth="1"/>
    <col min="6665" max="6667" width="9.28515625" style="68" bestFit="1" customWidth="1"/>
    <col min="6668" max="6668" width="10.7109375" style="68" bestFit="1" customWidth="1"/>
    <col min="6669" max="6669" width="11.28515625" style="68" customWidth="1"/>
    <col min="6670" max="6670" width="12.5703125" style="68" customWidth="1"/>
    <col min="6671" max="6671" width="13.5703125" style="68" customWidth="1"/>
    <col min="6672" max="6672" width="13" style="68" customWidth="1"/>
    <col min="6673" max="6911" width="9.140625" style="68"/>
    <col min="6912" max="6912" width="3.7109375" style="68" customWidth="1"/>
    <col min="6913" max="6913" width="4" style="68" bestFit="1" customWidth="1"/>
    <col min="6914" max="6914" width="14.5703125" style="68" customWidth="1"/>
    <col min="6915" max="6915" width="11.140625" style="68" customWidth="1"/>
    <col min="6916" max="6916" width="8.7109375" style="68" customWidth="1"/>
    <col min="6917" max="6917" width="9.7109375" style="68" bestFit="1" customWidth="1"/>
    <col min="6918" max="6918" width="10.85546875" style="68" customWidth="1"/>
    <col min="6919" max="6919" width="10.42578125" style="68" customWidth="1"/>
    <col min="6920" max="6920" width="9.7109375" style="68" bestFit="1" customWidth="1"/>
    <col min="6921" max="6923" width="9.28515625" style="68" bestFit="1" customWidth="1"/>
    <col min="6924" max="6924" width="10.7109375" style="68" bestFit="1" customWidth="1"/>
    <col min="6925" max="6925" width="11.28515625" style="68" customWidth="1"/>
    <col min="6926" max="6926" width="12.5703125" style="68" customWidth="1"/>
    <col min="6927" max="6927" width="13.5703125" style="68" customWidth="1"/>
    <col min="6928" max="6928" width="13" style="68" customWidth="1"/>
    <col min="6929" max="7167" width="9.140625" style="68"/>
    <col min="7168" max="7168" width="3.7109375" style="68" customWidth="1"/>
    <col min="7169" max="7169" width="4" style="68" bestFit="1" customWidth="1"/>
    <col min="7170" max="7170" width="14.5703125" style="68" customWidth="1"/>
    <col min="7171" max="7171" width="11.140625" style="68" customWidth="1"/>
    <col min="7172" max="7172" width="8.7109375" style="68" customWidth="1"/>
    <col min="7173" max="7173" width="9.7109375" style="68" bestFit="1" customWidth="1"/>
    <col min="7174" max="7174" width="10.85546875" style="68" customWidth="1"/>
    <col min="7175" max="7175" width="10.42578125" style="68" customWidth="1"/>
    <col min="7176" max="7176" width="9.7109375" style="68" bestFit="1" customWidth="1"/>
    <col min="7177" max="7179" width="9.28515625" style="68" bestFit="1" customWidth="1"/>
    <col min="7180" max="7180" width="10.7109375" style="68" bestFit="1" customWidth="1"/>
    <col min="7181" max="7181" width="11.28515625" style="68" customWidth="1"/>
    <col min="7182" max="7182" width="12.5703125" style="68" customWidth="1"/>
    <col min="7183" max="7183" width="13.5703125" style="68" customWidth="1"/>
    <col min="7184" max="7184" width="13" style="68" customWidth="1"/>
    <col min="7185" max="7423" width="9.140625" style="68"/>
    <col min="7424" max="7424" width="3.7109375" style="68" customWidth="1"/>
    <col min="7425" max="7425" width="4" style="68" bestFit="1" customWidth="1"/>
    <col min="7426" max="7426" width="14.5703125" style="68" customWidth="1"/>
    <col min="7427" max="7427" width="11.140625" style="68" customWidth="1"/>
    <col min="7428" max="7428" width="8.7109375" style="68" customWidth="1"/>
    <col min="7429" max="7429" width="9.7109375" style="68" bestFit="1" customWidth="1"/>
    <col min="7430" max="7430" width="10.85546875" style="68" customWidth="1"/>
    <col min="7431" max="7431" width="10.42578125" style="68" customWidth="1"/>
    <col min="7432" max="7432" width="9.7109375" style="68" bestFit="1" customWidth="1"/>
    <col min="7433" max="7435" width="9.28515625" style="68" bestFit="1" customWidth="1"/>
    <col min="7436" max="7436" width="10.7109375" style="68" bestFit="1" customWidth="1"/>
    <col min="7437" max="7437" width="11.28515625" style="68" customWidth="1"/>
    <col min="7438" max="7438" width="12.5703125" style="68" customWidth="1"/>
    <col min="7439" max="7439" width="13.5703125" style="68" customWidth="1"/>
    <col min="7440" max="7440" width="13" style="68" customWidth="1"/>
    <col min="7441" max="7679" width="9.140625" style="68"/>
    <col min="7680" max="7680" width="3.7109375" style="68" customWidth="1"/>
    <col min="7681" max="7681" width="4" style="68" bestFit="1" customWidth="1"/>
    <col min="7682" max="7682" width="14.5703125" style="68" customWidth="1"/>
    <col min="7683" max="7683" width="11.140625" style="68" customWidth="1"/>
    <col min="7684" max="7684" width="8.7109375" style="68" customWidth="1"/>
    <col min="7685" max="7685" width="9.7109375" style="68" bestFit="1" customWidth="1"/>
    <col min="7686" max="7686" width="10.85546875" style="68" customWidth="1"/>
    <col min="7687" max="7687" width="10.42578125" style="68" customWidth="1"/>
    <col min="7688" max="7688" width="9.7109375" style="68" bestFit="1" customWidth="1"/>
    <col min="7689" max="7691" width="9.28515625" style="68" bestFit="1" customWidth="1"/>
    <col min="7692" max="7692" width="10.7109375" style="68" bestFit="1" customWidth="1"/>
    <col min="7693" max="7693" width="11.28515625" style="68" customWidth="1"/>
    <col min="7694" max="7694" width="12.5703125" style="68" customWidth="1"/>
    <col min="7695" max="7695" width="13.5703125" style="68" customWidth="1"/>
    <col min="7696" max="7696" width="13" style="68" customWidth="1"/>
    <col min="7697" max="7935" width="9.140625" style="68"/>
    <col min="7936" max="7936" width="3.7109375" style="68" customWidth="1"/>
    <col min="7937" max="7937" width="4" style="68" bestFit="1" customWidth="1"/>
    <col min="7938" max="7938" width="14.5703125" style="68" customWidth="1"/>
    <col min="7939" max="7939" width="11.140625" style="68" customWidth="1"/>
    <col min="7940" max="7940" width="8.7109375" style="68" customWidth="1"/>
    <col min="7941" max="7941" width="9.7109375" style="68" bestFit="1" customWidth="1"/>
    <col min="7942" max="7942" width="10.85546875" style="68" customWidth="1"/>
    <col min="7943" max="7943" width="10.42578125" style="68" customWidth="1"/>
    <col min="7944" max="7944" width="9.7109375" style="68" bestFit="1" customWidth="1"/>
    <col min="7945" max="7947" width="9.28515625" style="68" bestFit="1" customWidth="1"/>
    <col min="7948" max="7948" width="10.7109375" style="68" bestFit="1" customWidth="1"/>
    <col min="7949" max="7949" width="11.28515625" style="68" customWidth="1"/>
    <col min="7950" max="7950" width="12.5703125" style="68" customWidth="1"/>
    <col min="7951" max="7951" width="13.5703125" style="68" customWidth="1"/>
    <col min="7952" max="7952" width="13" style="68" customWidth="1"/>
    <col min="7953" max="8191" width="9.140625" style="68"/>
    <col min="8192" max="8192" width="3.7109375" style="68" customWidth="1"/>
    <col min="8193" max="8193" width="4" style="68" bestFit="1" customWidth="1"/>
    <col min="8194" max="8194" width="14.5703125" style="68" customWidth="1"/>
    <col min="8195" max="8195" width="11.140625" style="68" customWidth="1"/>
    <col min="8196" max="8196" width="8.7109375" style="68" customWidth="1"/>
    <col min="8197" max="8197" width="9.7109375" style="68" bestFit="1" customWidth="1"/>
    <col min="8198" max="8198" width="10.85546875" style="68" customWidth="1"/>
    <col min="8199" max="8199" width="10.42578125" style="68" customWidth="1"/>
    <col min="8200" max="8200" width="9.7109375" style="68" bestFit="1" customWidth="1"/>
    <col min="8201" max="8203" width="9.28515625" style="68" bestFit="1" customWidth="1"/>
    <col min="8204" max="8204" width="10.7109375" style="68" bestFit="1" customWidth="1"/>
    <col min="8205" max="8205" width="11.28515625" style="68" customWidth="1"/>
    <col min="8206" max="8206" width="12.5703125" style="68" customWidth="1"/>
    <col min="8207" max="8207" width="13.5703125" style="68" customWidth="1"/>
    <col min="8208" max="8208" width="13" style="68" customWidth="1"/>
    <col min="8209" max="8447" width="9.140625" style="68"/>
    <col min="8448" max="8448" width="3.7109375" style="68" customWidth="1"/>
    <col min="8449" max="8449" width="4" style="68" bestFit="1" customWidth="1"/>
    <col min="8450" max="8450" width="14.5703125" style="68" customWidth="1"/>
    <col min="8451" max="8451" width="11.140625" style="68" customWidth="1"/>
    <col min="8452" max="8452" width="8.7109375" style="68" customWidth="1"/>
    <col min="8453" max="8453" width="9.7109375" style="68" bestFit="1" customWidth="1"/>
    <col min="8454" max="8454" width="10.85546875" style="68" customWidth="1"/>
    <col min="8455" max="8455" width="10.42578125" style="68" customWidth="1"/>
    <col min="8456" max="8456" width="9.7109375" style="68" bestFit="1" customWidth="1"/>
    <col min="8457" max="8459" width="9.28515625" style="68" bestFit="1" customWidth="1"/>
    <col min="8460" max="8460" width="10.7109375" style="68" bestFit="1" customWidth="1"/>
    <col min="8461" max="8461" width="11.28515625" style="68" customWidth="1"/>
    <col min="8462" max="8462" width="12.5703125" style="68" customWidth="1"/>
    <col min="8463" max="8463" width="13.5703125" style="68" customWidth="1"/>
    <col min="8464" max="8464" width="13" style="68" customWidth="1"/>
    <col min="8465" max="8703" width="9.140625" style="68"/>
    <col min="8704" max="8704" width="3.7109375" style="68" customWidth="1"/>
    <col min="8705" max="8705" width="4" style="68" bestFit="1" customWidth="1"/>
    <col min="8706" max="8706" width="14.5703125" style="68" customWidth="1"/>
    <col min="8707" max="8707" width="11.140625" style="68" customWidth="1"/>
    <col min="8708" max="8708" width="8.7109375" style="68" customWidth="1"/>
    <col min="8709" max="8709" width="9.7109375" style="68" bestFit="1" customWidth="1"/>
    <col min="8710" max="8710" width="10.85546875" style="68" customWidth="1"/>
    <col min="8711" max="8711" width="10.42578125" style="68" customWidth="1"/>
    <col min="8712" max="8712" width="9.7109375" style="68" bestFit="1" customWidth="1"/>
    <col min="8713" max="8715" width="9.28515625" style="68" bestFit="1" customWidth="1"/>
    <col min="8716" max="8716" width="10.7109375" style="68" bestFit="1" customWidth="1"/>
    <col min="8717" max="8717" width="11.28515625" style="68" customWidth="1"/>
    <col min="8718" max="8718" width="12.5703125" style="68" customWidth="1"/>
    <col min="8719" max="8719" width="13.5703125" style="68" customWidth="1"/>
    <col min="8720" max="8720" width="13" style="68" customWidth="1"/>
    <col min="8721" max="8959" width="9.140625" style="68"/>
    <col min="8960" max="8960" width="3.7109375" style="68" customWidth="1"/>
    <col min="8961" max="8961" width="4" style="68" bestFit="1" customWidth="1"/>
    <col min="8962" max="8962" width="14.5703125" style="68" customWidth="1"/>
    <col min="8963" max="8963" width="11.140625" style="68" customWidth="1"/>
    <col min="8964" max="8964" width="8.7109375" style="68" customWidth="1"/>
    <col min="8965" max="8965" width="9.7109375" style="68" bestFit="1" customWidth="1"/>
    <col min="8966" max="8966" width="10.85546875" style="68" customWidth="1"/>
    <col min="8967" max="8967" width="10.42578125" style="68" customWidth="1"/>
    <col min="8968" max="8968" width="9.7109375" style="68" bestFit="1" customWidth="1"/>
    <col min="8969" max="8971" width="9.28515625" style="68" bestFit="1" customWidth="1"/>
    <col min="8972" max="8972" width="10.7109375" style="68" bestFit="1" customWidth="1"/>
    <col min="8973" max="8973" width="11.28515625" style="68" customWidth="1"/>
    <col min="8974" max="8974" width="12.5703125" style="68" customWidth="1"/>
    <col min="8975" max="8975" width="13.5703125" style="68" customWidth="1"/>
    <col min="8976" max="8976" width="13" style="68" customWidth="1"/>
    <col min="8977" max="9215" width="9.140625" style="68"/>
    <col min="9216" max="9216" width="3.7109375" style="68" customWidth="1"/>
    <col min="9217" max="9217" width="4" style="68" bestFit="1" customWidth="1"/>
    <col min="9218" max="9218" width="14.5703125" style="68" customWidth="1"/>
    <col min="9219" max="9219" width="11.140625" style="68" customWidth="1"/>
    <col min="9220" max="9220" width="8.7109375" style="68" customWidth="1"/>
    <col min="9221" max="9221" width="9.7109375" style="68" bestFit="1" customWidth="1"/>
    <col min="9222" max="9222" width="10.85546875" style="68" customWidth="1"/>
    <col min="9223" max="9223" width="10.42578125" style="68" customWidth="1"/>
    <col min="9224" max="9224" width="9.7109375" style="68" bestFit="1" customWidth="1"/>
    <col min="9225" max="9227" width="9.28515625" style="68" bestFit="1" customWidth="1"/>
    <col min="9228" max="9228" width="10.7109375" style="68" bestFit="1" customWidth="1"/>
    <col min="9229" max="9229" width="11.28515625" style="68" customWidth="1"/>
    <col min="9230" max="9230" width="12.5703125" style="68" customWidth="1"/>
    <col min="9231" max="9231" width="13.5703125" style="68" customWidth="1"/>
    <col min="9232" max="9232" width="13" style="68" customWidth="1"/>
    <col min="9233" max="9471" width="9.140625" style="68"/>
    <col min="9472" max="9472" width="3.7109375" style="68" customWidth="1"/>
    <col min="9473" max="9473" width="4" style="68" bestFit="1" customWidth="1"/>
    <col min="9474" max="9474" width="14.5703125" style="68" customWidth="1"/>
    <col min="9475" max="9475" width="11.140625" style="68" customWidth="1"/>
    <col min="9476" max="9476" width="8.7109375" style="68" customWidth="1"/>
    <col min="9477" max="9477" width="9.7109375" style="68" bestFit="1" customWidth="1"/>
    <col min="9478" max="9478" width="10.85546875" style="68" customWidth="1"/>
    <col min="9479" max="9479" width="10.42578125" style="68" customWidth="1"/>
    <col min="9480" max="9480" width="9.7109375" style="68" bestFit="1" customWidth="1"/>
    <col min="9481" max="9483" width="9.28515625" style="68" bestFit="1" customWidth="1"/>
    <col min="9484" max="9484" width="10.7109375" style="68" bestFit="1" customWidth="1"/>
    <col min="9485" max="9485" width="11.28515625" style="68" customWidth="1"/>
    <col min="9486" max="9486" width="12.5703125" style="68" customWidth="1"/>
    <col min="9487" max="9487" width="13.5703125" style="68" customWidth="1"/>
    <col min="9488" max="9488" width="13" style="68" customWidth="1"/>
    <col min="9489" max="9727" width="9.140625" style="68"/>
    <col min="9728" max="9728" width="3.7109375" style="68" customWidth="1"/>
    <col min="9729" max="9729" width="4" style="68" bestFit="1" customWidth="1"/>
    <col min="9730" max="9730" width="14.5703125" style="68" customWidth="1"/>
    <col min="9731" max="9731" width="11.140625" style="68" customWidth="1"/>
    <col min="9732" max="9732" width="8.7109375" style="68" customWidth="1"/>
    <col min="9733" max="9733" width="9.7109375" style="68" bestFit="1" customWidth="1"/>
    <col min="9734" max="9734" width="10.85546875" style="68" customWidth="1"/>
    <col min="9735" max="9735" width="10.42578125" style="68" customWidth="1"/>
    <col min="9736" max="9736" width="9.7109375" style="68" bestFit="1" customWidth="1"/>
    <col min="9737" max="9739" width="9.28515625" style="68" bestFit="1" customWidth="1"/>
    <col min="9740" max="9740" width="10.7109375" style="68" bestFit="1" customWidth="1"/>
    <col min="9741" max="9741" width="11.28515625" style="68" customWidth="1"/>
    <col min="9742" max="9742" width="12.5703125" style="68" customWidth="1"/>
    <col min="9743" max="9743" width="13.5703125" style="68" customWidth="1"/>
    <col min="9744" max="9744" width="13" style="68" customWidth="1"/>
    <col min="9745" max="9983" width="9.140625" style="68"/>
    <col min="9984" max="9984" width="3.7109375" style="68" customWidth="1"/>
    <col min="9985" max="9985" width="4" style="68" bestFit="1" customWidth="1"/>
    <col min="9986" max="9986" width="14.5703125" style="68" customWidth="1"/>
    <col min="9987" max="9987" width="11.140625" style="68" customWidth="1"/>
    <col min="9988" max="9988" width="8.7109375" style="68" customWidth="1"/>
    <col min="9989" max="9989" width="9.7109375" style="68" bestFit="1" customWidth="1"/>
    <col min="9990" max="9990" width="10.85546875" style="68" customWidth="1"/>
    <col min="9991" max="9991" width="10.42578125" style="68" customWidth="1"/>
    <col min="9992" max="9992" width="9.7109375" style="68" bestFit="1" customWidth="1"/>
    <col min="9993" max="9995" width="9.28515625" style="68" bestFit="1" customWidth="1"/>
    <col min="9996" max="9996" width="10.7109375" style="68" bestFit="1" customWidth="1"/>
    <col min="9997" max="9997" width="11.28515625" style="68" customWidth="1"/>
    <col min="9998" max="9998" width="12.5703125" style="68" customWidth="1"/>
    <col min="9999" max="9999" width="13.5703125" style="68" customWidth="1"/>
    <col min="10000" max="10000" width="13" style="68" customWidth="1"/>
    <col min="10001" max="10239" width="9.140625" style="68"/>
    <col min="10240" max="10240" width="3.7109375" style="68" customWidth="1"/>
    <col min="10241" max="10241" width="4" style="68" bestFit="1" customWidth="1"/>
    <col min="10242" max="10242" width="14.5703125" style="68" customWidth="1"/>
    <col min="10243" max="10243" width="11.140625" style="68" customWidth="1"/>
    <col min="10244" max="10244" width="8.7109375" style="68" customWidth="1"/>
    <col min="10245" max="10245" width="9.7109375" style="68" bestFit="1" customWidth="1"/>
    <col min="10246" max="10246" width="10.85546875" style="68" customWidth="1"/>
    <col min="10247" max="10247" width="10.42578125" style="68" customWidth="1"/>
    <col min="10248" max="10248" width="9.7109375" style="68" bestFit="1" customWidth="1"/>
    <col min="10249" max="10251" width="9.28515625" style="68" bestFit="1" customWidth="1"/>
    <col min="10252" max="10252" width="10.7109375" style="68" bestFit="1" customWidth="1"/>
    <col min="10253" max="10253" width="11.28515625" style="68" customWidth="1"/>
    <col min="10254" max="10254" width="12.5703125" style="68" customWidth="1"/>
    <col min="10255" max="10255" width="13.5703125" style="68" customWidth="1"/>
    <col min="10256" max="10256" width="13" style="68" customWidth="1"/>
    <col min="10257" max="10495" width="9.140625" style="68"/>
    <col min="10496" max="10496" width="3.7109375" style="68" customWidth="1"/>
    <col min="10497" max="10497" width="4" style="68" bestFit="1" customWidth="1"/>
    <col min="10498" max="10498" width="14.5703125" style="68" customWidth="1"/>
    <col min="10499" max="10499" width="11.140625" style="68" customWidth="1"/>
    <col min="10500" max="10500" width="8.7109375" style="68" customWidth="1"/>
    <col min="10501" max="10501" width="9.7109375" style="68" bestFit="1" customWidth="1"/>
    <col min="10502" max="10502" width="10.85546875" style="68" customWidth="1"/>
    <col min="10503" max="10503" width="10.42578125" style="68" customWidth="1"/>
    <col min="10504" max="10504" width="9.7109375" style="68" bestFit="1" customWidth="1"/>
    <col min="10505" max="10507" width="9.28515625" style="68" bestFit="1" customWidth="1"/>
    <col min="10508" max="10508" width="10.7109375" style="68" bestFit="1" customWidth="1"/>
    <col min="10509" max="10509" width="11.28515625" style="68" customWidth="1"/>
    <col min="10510" max="10510" width="12.5703125" style="68" customWidth="1"/>
    <col min="10511" max="10511" width="13.5703125" style="68" customWidth="1"/>
    <col min="10512" max="10512" width="13" style="68" customWidth="1"/>
    <col min="10513" max="10751" width="9.140625" style="68"/>
    <col min="10752" max="10752" width="3.7109375" style="68" customWidth="1"/>
    <col min="10753" max="10753" width="4" style="68" bestFit="1" customWidth="1"/>
    <col min="10754" max="10754" width="14.5703125" style="68" customWidth="1"/>
    <col min="10755" max="10755" width="11.140625" style="68" customWidth="1"/>
    <col min="10756" max="10756" width="8.7109375" style="68" customWidth="1"/>
    <col min="10757" max="10757" width="9.7109375" style="68" bestFit="1" customWidth="1"/>
    <col min="10758" max="10758" width="10.85546875" style="68" customWidth="1"/>
    <col min="10759" max="10759" width="10.42578125" style="68" customWidth="1"/>
    <col min="10760" max="10760" width="9.7109375" style="68" bestFit="1" customWidth="1"/>
    <col min="10761" max="10763" width="9.28515625" style="68" bestFit="1" customWidth="1"/>
    <col min="10764" max="10764" width="10.7109375" style="68" bestFit="1" customWidth="1"/>
    <col min="10765" max="10765" width="11.28515625" style="68" customWidth="1"/>
    <col min="10766" max="10766" width="12.5703125" style="68" customWidth="1"/>
    <col min="10767" max="10767" width="13.5703125" style="68" customWidth="1"/>
    <col min="10768" max="10768" width="13" style="68" customWidth="1"/>
    <col min="10769" max="11007" width="9.140625" style="68"/>
    <col min="11008" max="11008" width="3.7109375" style="68" customWidth="1"/>
    <col min="11009" max="11009" width="4" style="68" bestFit="1" customWidth="1"/>
    <col min="11010" max="11010" width="14.5703125" style="68" customWidth="1"/>
    <col min="11011" max="11011" width="11.140625" style="68" customWidth="1"/>
    <col min="11012" max="11012" width="8.7109375" style="68" customWidth="1"/>
    <col min="11013" max="11013" width="9.7109375" style="68" bestFit="1" customWidth="1"/>
    <col min="11014" max="11014" width="10.85546875" style="68" customWidth="1"/>
    <col min="11015" max="11015" width="10.42578125" style="68" customWidth="1"/>
    <col min="11016" max="11016" width="9.7109375" style="68" bestFit="1" customWidth="1"/>
    <col min="11017" max="11019" width="9.28515625" style="68" bestFit="1" customWidth="1"/>
    <col min="11020" max="11020" width="10.7109375" style="68" bestFit="1" customWidth="1"/>
    <col min="11021" max="11021" width="11.28515625" style="68" customWidth="1"/>
    <col min="11022" max="11022" width="12.5703125" style="68" customWidth="1"/>
    <col min="11023" max="11023" width="13.5703125" style="68" customWidth="1"/>
    <col min="11024" max="11024" width="13" style="68" customWidth="1"/>
    <col min="11025" max="11263" width="9.140625" style="68"/>
    <col min="11264" max="11264" width="3.7109375" style="68" customWidth="1"/>
    <col min="11265" max="11265" width="4" style="68" bestFit="1" customWidth="1"/>
    <col min="11266" max="11266" width="14.5703125" style="68" customWidth="1"/>
    <col min="11267" max="11267" width="11.140625" style="68" customWidth="1"/>
    <col min="11268" max="11268" width="8.7109375" style="68" customWidth="1"/>
    <col min="11269" max="11269" width="9.7109375" style="68" bestFit="1" customWidth="1"/>
    <col min="11270" max="11270" width="10.85546875" style="68" customWidth="1"/>
    <col min="11271" max="11271" width="10.42578125" style="68" customWidth="1"/>
    <col min="11272" max="11272" width="9.7109375" style="68" bestFit="1" customWidth="1"/>
    <col min="11273" max="11275" width="9.28515625" style="68" bestFit="1" customWidth="1"/>
    <col min="11276" max="11276" width="10.7109375" style="68" bestFit="1" customWidth="1"/>
    <col min="11277" max="11277" width="11.28515625" style="68" customWidth="1"/>
    <col min="11278" max="11278" width="12.5703125" style="68" customWidth="1"/>
    <col min="11279" max="11279" width="13.5703125" style="68" customWidth="1"/>
    <col min="11280" max="11280" width="13" style="68" customWidth="1"/>
    <col min="11281" max="11519" width="9.140625" style="68"/>
    <col min="11520" max="11520" width="3.7109375" style="68" customWidth="1"/>
    <col min="11521" max="11521" width="4" style="68" bestFit="1" customWidth="1"/>
    <col min="11522" max="11522" width="14.5703125" style="68" customWidth="1"/>
    <col min="11523" max="11523" width="11.140625" style="68" customWidth="1"/>
    <col min="11524" max="11524" width="8.7109375" style="68" customWidth="1"/>
    <col min="11525" max="11525" width="9.7109375" style="68" bestFit="1" customWidth="1"/>
    <col min="11526" max="11526" width="10.85546875" style="68" customWidth="1"/>
    <col min="11527" max="11527" width="10.42578125" style="68" customWidth="1"/>
    <col min="11528" max="11528" width="9.7109375" style="68" bestFit="1" customWidth="1"/>
    <col min="11529" max="11531" width="9.28515625" style="68" bestFit="1" customWidth="1"/>
    <col min="11532" max="11532" width="10.7109375" style="68" bestFit="1" customWidth="1"/>
    <col min="11533" max="11533" width="11.28515625" style="68" customWidth="1"/>
    <col min="11534" max="11534" width="12.5703125" style="68" customWidth="1"/>
    <col min="11535" max="11535" width="13.5703125" style="68" customWidth="1"/>
    <col min="11536" max="11536" width="13" style="68" customWidth="1"/>
    <col min="11537" max="11775" width="9.140625" style="68"/>
    <col min="11776" max="11776" width="3.7109375" style="68" customWidth="1"/>
    <col min="11777" max="11777" width="4" style="68" bestFit="1" customWidth="1"/>
    <col min="11778" max="11778" width="14.5703125" style="68" customWidth="1"/>
    <col min="11779" max="11779" width="11.140625" style="68" customWidth="1"/>
    <col min="11780" max="11780" width="8.7109375" style="68" customWidth="1"/>
    <col min="11781" max="11781" width="9.7109375" style="68" bestFit="1" customWidth="1"/>
    <col min="11782" max="11782" width="10.85546875" style="68" customWidth="1"/>
    <col min="11783" max="11783" width="10.42578125" style="68" customWidth="1"/>
    <col min="11784" max="11784" width="9.7109375" style="68" bestFit="1" customWidth="1"/>
    <col min="11785" max="11787" width="9.28515625" style="68" bestFit="1" customWidth="1"/>
    <col min="11788" max="11788" width="10.7109375" style="68" bestFit="1" customWidth="1"/>
    <col min="11789" max="11789" width="11.28515625" style="68" customWidth="1"/>
    <col min="11790" max="11790" width="12.5703125" style="68" customWidth="1"/>
    <col min="11791" max="11791" width="13.5703125" style="68" customWidth="1"/>
    <col min="11792" max="11792" width="13" style="68" customWidth="1"/>
    <col min="11793" max="12031" width="9.140625" style="68"/>
    <col min="12032" max="12032" width="3.7109375" style="68" customWidth="1"/>
    <col min="12033" max="12033" width="4" style="68" bestFit="1" customWidth="1"/>
    <col min="12034" max="12034" width="14.5703125" style="68" customWidth="1"/>
    <col min="12035" max="12035" width="11.140625" style="68" customWidth="1"/>
    <col min="12036" max="12036" width="8.7109375" style="68" customWidth="1"/>
    <col min="12037" max="12037" width="9.7109375" style="68" bestFit="1" customWidth="1"/>
    <col min="12038" max="12038" width="10.85546875" style="68" customWidth="1"/>
    <col min="12039" max="12039" width="10.42578125" style="68" customWidth="1"/>
    <col min="12040" max="12040" width="9.7109375" style="68" bestFit="1" customWidth="1"/>
    <col min="12041" max="12043" width="9.28515625" style="68" bestFit="1" customWidth="1"/>
    <col min="12044" max="12044" width="10.7109375" style="68" bestFit="1" customWidth="1"/>
    <col min="12045" max="12045" width="11.28515625" style="68" customWidth="1"/>
    <col min="12046" max="12046" width="12.5703125" style="68" customWidth="1"/>
    <col min="12047" max="12047" width="13.5703125" style="68" customWidth="1"/>
    <col min="12048" max="12048" width="13" style="68" customWidth="1"/>
    <col min="12049" max="12287" width="9.140625" style="68"/>
    <col min="12288" max="12288" width="3.7109375" style="68" customWidth="1"/>
    <col min="12289" max="12289" width="4" style="68" bestFit="1" customWidth="1"/>
    <col min="12290" max="12290" width="14.5703125" style="68" customWidth="1"/>
    <col min="12291" max="12291" width="11.140625" style="68" customWidth="1"/>
    <col min="12292" max="12292" width="8.7109375" style="68" customWidth="1"/>
    <col min="12293" max="12293" width="9.7109375" style="68" bestFit="1" customWidth="1"/>
    <col min="12294" max="12294" width="10.85546875" style="68" customWidth="1"/>
    <col min="12295" max="12295" width="10.42578125" style="68" customWidth="1"/>
    <col min="12296" max="12296" width="9.7109375" style="68" bestFit="1" customWidth="1"/>
    <col min="12297" max="12299" width="9.28515625" style="68" bestFit="1" customWidth="1"/>
    <col min="12300" max="12300" width="10.7109375" style="68" bestFit="1" customWidth="1"/>
    <col min="12301" max="12301" width="11.28515625" style="68" customWidth="1"/>
    <col min="12302" max="12302" width="12.5703125" style="68" customWidth="1"/>
    <col min="12303" max="12303" width="13.5703125" style="68" customWidth="1"/>
    <col min="12304" max="12304" width="13" style="68" customWidth="1"/>
    <col min="12305" max="12543" width="9.140625" style="68"/>
    <col min="12544" max="12544" width="3.7109375" style="68" customWidth="1"/>
    <col min="12545" max="12545" width="4" style="68" bestFit="1" customWidth="1"/>
    <col min="12546" max="12546" width="14.5703125" style="68" customWidth="1"/>
    <col min="12547" max="12547" width="11.140625" style="68" customWidth="1"/>
    <col min="12548" max="12548" width="8.7109375" style="68" customWidth="1"/>
    <col min="12549" max="12549" width="9.7109375" style="68" bestFit="1" customWidth="1"/>
    <col min="12550" max="12550" width="10.85546875" style="68" customWidth="1"/>
    <col min="12551" max="12551" width="10.42578125" style="68" customWidth="1"/>
    <col min="12552" max="12552" width="9.7109375" style="68" bestFit="1" customWidth="1"/>
    <col min="12553" max="12555" width="9.28515625" style="68" bestFit="1" customWidth="1"/>
    <col min="12556" max="12556" width="10.7109375" style="68" bestFit="1" customWidth="1"/>
    <col min="12557" max="12557" width="11.28515625" style="68" customWidth="1"/>
    <col min="12558" max="12558" width="12.5703125" style="68" customWidth="1"/>
    <col min="12559" max="12559" width="13.5703125" style="68" customWidth="1"/>
    <col min="12560" max="12560" width="13" style="68" customWidth="1"/>
    <col min="12561" max="12799" width="9.140625" style="68"/>
    <col min="12800" max="12800" width="3.7109375" style="68" customWidth="1"/>
    <col min="12801" max="12801" width="4" style="68" bestFit="1" customWidth="1"/>
    <col min="12802" max="12802" width="14.5703125" style="68" customWidth="1"/>
    <col min="12803" max="12803" width="11.140625" style="68" customWidth="1"/>
    <col min="12804" max="12804" width="8.7109375" style="68" customWidth="1"/>
    <col min="12805" max="12805" width="9.7109375" style="68" bestFit="1" customWidth="1"/>
    <col min="12806" max="12806" width="10.85546875" style="68" customWidth="1"/>
    <col min="12807" max="12807" width="10.42578125" style="68" customWidth="1"/>
    <col min="12808" max="12808" width="9.7109375" style="68" bestFit="1" customWidth="1"/>
    <col min="12809" max="12811" width="9.28515625" style="68" bestFit="1" customWidth="1"/>
    <col min="12812" max="12812" width="10.7109375" style="68" bestFit="1" customWidth="1"/>
    <col min="12813" max="12813" width="11.28515625" style="68" customWidth="1"/>
    <col min="12814" max="12814" width="12.5703125" style="68" customWidth="1"/>
    <col min="12815" max="12815" width="13.5703125" style="68" customWidth="1"/>
    <col min="12816" max="12816" width="13" style="68" customWidth="1"/>
    <col min="12817" max="13055" width="9.140625" style="68"/>
    <col min="13056" max="13056" width="3.7109375" style="68" customWidth="1"/>
    <col min="13057" max="13057" width="4" style="68" bestFit="1" customWidth="1"/>
    <col min="13058" max="13058" width="14.5703125" style="68" customWidth="1"/>
    <col min="13059" max="13059" width="11.140625" style="68" customWidth="1"/>
    <col min="13060" max="13060" width="8.7109375" style="68" customWidth="1"/>
    <col min="13061" max="13061" width="9.7109375" style="68" bestFit="1" customWidth="1"/>
    <col min="13062" max="13062" width="10.85546875" style="68" customWidth="1"/>
    <col min="13063" max="13063" width="10.42578125" style="68" customWidth="1"/>
    <col min="13064" max="13064" width="9.7109375" style="68" bestFit="1" customWidth="1"/>
    <col min="13065" max="13067" width="9.28515625" style="68" bestFit="1" customWidth="1"/>
    <col min="13068" max="13068" width="10.7109375" style="68" bestFit="1" customWidth="1"/>
    <col min="13069" max="13069" width="11.28515625" style="68" customWidth="1"/>
    <col min="13070" max="13070" width="12.5703125" style="68" customWidth="1"/>
    <col min="13071" max="13071" width="13.5703125" style="68" customWidth="1"/>
    <col min="13072" max="13072" width="13" style="68" customWidth="1"/>
    <col min="13073" max="13311" width="9.140625" style="68"/>
    <col min="13312" max="13312" width="3.7109375" style="68" customWidth="1"/>
    <col min="13313" max="13313" width="4" style="68" bestFit="1" customWidth="1"/>
    <col min="13314" max="13314" width="14.5703125" style="68" customWidth="1"/>
    <col min="13315" max="13315" width="11.140625" style="68" customWidth="1"/>
    <col min="13316" max="13316" width="8.7109375" style="68" customWidth="1"/>
    <col min="13317" max="13317" width="9.7109375" style="68" bestFit="1" customWidth="1"/>
    <col min="13318" max="13318" width="10.85546875" style="68" customWidth="1"/>
    <col min="13319" max="13319" width="10.42578125" style="68" customWidth="1"/>
    <col min="13320" max="13320" width="9.7109375" style="68" bestFit="1" customWidth="1"/>
    <col min="13321" max="13323" width="9.28515625" style="68" bestFit="1" customWidth="1"/>
    <col min="13324" max="13324" width="10.7109375" style="68" bestFit="1" customWidth="1"/>
    <col min="13325" max="13325" width="11.28515625" style="68" customWidth="1"/>
    <col min="13326" max="13326" width="12.5703125" style="68" customWidth="1"/>
    <col min="13327" max="13327" width="13.5703125" style="68" customWidth="1"/>
    <col min="13328" max="13328" width="13" style="68" customWidth="1"/>
    <col min="13329" max="13567" width="9.140625" style="68"/>
    <col min="13568" max="13568" width="3.7109375" style="68" customWidth="1"/>
    <col min="13569" max="13569" width="4" style="68" bestFit="1" customWidth="1"/>
    <col min="13570" max="13570" width="14.5703125" style="68" customWidth="1"/>
    <col min="13571" max="13571" width="11.140625" style="68" customWidth="1"/>
    <col min="13572" max="13572" width="8.7109375" style="68" customWidth="1"/>
    <col min="13573" max="13573" width="9.7109375" style="68" bestFit="1" customWidth="1"/>
    <col min="13574" max="13574" width="10.85546875" style="68" customWidth="1"/>
    <col min="13575" max="13575" width="10.42578125" style="68" customWidth="1"/>
    <col min="13576" max="13576" width="9.7109375" style="68" bestFit="1" customWidth="1"/>
    <col min="13577" max="13579" width="9.28515625" style="68" bestFit="1" customWidth="1"/>
    <col min="13580" max="13580" width="10.7109375" style="68" bestFit="1" customWidth="1"/>
    <col min="13581" max="13581" width="11.28515625" style="68" customWidth="1"/>
    <col min="13582" max="13582" width="12.5703125" style="68" customWidth="1"/>
    <col min="13583" max="13583" width="13.5703125" style="68" customWidth="1"/>
    <col min="13584" max="13584" width="13" style="68" customWidth="1"/>
    <col min="13585" max="13823" width="9.140625" style="68"/>
    <col min="13824" max="13824" width="3.7109375" style="68" customWidth="1"/>
    <col min="13825" max="13825" width="4" style="68" bestFit="1" customWidth="1"/>
    <col min="13826" max="13826" width="14.5703125" style="68" customWidth="1"/>
    <col min="13827" max="13827" width="11.140625" style="68" customWidth="1"/>
    <col min="13828" max="13828" width="8.7109375" style="68" customWidth="1"/>
    <col min="13829" max="13829" width="9.7109375" style="68" bestFit="1" customWidth="1"/>
    <col min="13830" max="13830" width="10.85546875" style="68" customWidth="1"/>
    <col min="13831" max="13831" width="10.42578125" style="68" customWidth="1"/>
    <col min="13832" max="13832" width="9.7109375" style="68" bestFit="1" customWidth="1"/>
    <col min="13833" max="13835" width="9.28515625" style="68" bestFit="1" customWidth="1"/>
    <col min="13836" max="13836" width="10.7109375" style="68" bestFit="1" customWidth="1"/>
    <col min="13837" max="13837" width="11.28515625" style="68" customWidth="1"/>
    <col min="13838" max="13838" width="12.5703125" style="68" customWidth="1"/>
    <col min="13839" max="13839" width="13.5703125" style="68" customWidth="1"/>
    <col min="13840" max="13840" width="13" style="68" customWidth="1"/>
    <col min="13841" max="14079" width="9.140625" style="68"/>
    <col min="14080" max="14080" width="3.7109375" style="68" customWidth="1"/>
    <col min="14081" max="14081" width="4" style="68" bestFit="1" customWidth="1"/>
    <col min="14082" max="14082" width="14.5703125" style="68" customWidth="1"/>
    <col min="14083" max="14083" width="11.140625" style="68" customWidth="1"/>
    <col min="14084" max="14084" width="8.7109375" style="68" customWidth="1"/>
    <col min="14085" max="14085" width="9.7109375" style="68" bestFit="1" customWidth="1"/>
    <col min="14086" max="14086" width="10.85546875" style="68" customWidth="1"/>
    <col min="14087" max="14087" width="10.42578125" style="68" customWidth="1"/>
    <col min="14088" max="14088" width="9.7109375" style="68" bestFit="1" customWidth="1"/>
    <col min="14089" max="14091" width="9.28515625" style="68" bestFit="1" customWidth="1"/>
    <col min="14092" max="14092" width="10.7109375" style="68" bestFit="1" customWidth="1"/>
    <col min="14093" max="14093" width="11.28515625" style="68" customWidth="1"/>
    <col min="14094" max="14094" width="12.5703125" style="68" customWidth="1"/>
    <col min="14095" max="14095" width="13.5703125" style="68" customWidth="1"/>
    <col min="14096" max="14096" width="13" style="68" customWidth="1"/>
    <col min="14097" max="14335" width="9.140625" style="68"/>
    <col min="14336" max="14336" width="3.7109375" style="68" customWidth="1"/>
    <col min="14337" max="14337" width="4" style="68" bestFit="1" customWidth="1"/>
    <col min="14338" max="14338" width="14.5703125" style="68" customWidth="1"/>
    <col min="14339" max="14339" width="11.140625" style="68" customWidth="1"/>
    <col min="14340" max="14340" width="8.7109375" style="68" customWidth="1"/>
    <col min="14341" max="14341" width="9.7109375" style="68" bestFit="1" customWidth="1"/>
    <col min="14342" max="14342" width="10.85546875" style="68" customWidth="1"/>
    <col min="14343" max="14343" width="10.42578125" style="68" customWidth="1"/>
    <col min="14344" max="14344" width="9.7109375" style="68" bestFit="1" customWidth="1"/>
    <col min="14345" max="14347" width="9.28515625" style="68" bestFit="1" customWidth="1"/>
    <col min="14348" max="14348" width="10.7109375" style="68" bestFit="1" customWidth="1"/>
    <col min="14349" max="14349" width="11.28515625" style="68" customWidth="1"/>
    <col min="14350" max="14350" width="12.5703125" style="68" customWidth="1"/>
    <col min="14351" max="14351" width="13.5703125" style="68" customWidth="1"/>
    <col min="14352" max="14352" width="13" style="68" customWidth="1"/>
    <col min="14353" max="14591" width="9.140625" style="68"/>
    <col min="14592" max="14592" width="3.7109375" style="68" customWidth="1"/>
    <col min="14593" max="14593" width="4" style="68" bestFit="1" customWidth="1"/>
    <col min="14594" max="14594" width="14.5703125" style="68" customWidth="1"/>
    <col min="14595" max="14595" width="11.140625" style="68" customWidth="1"/>
    <col min="14596" max="14596" width="8.7109375" style="68" customWidth="1"/>
    <col min="14597" max="14597" width="9.7109375" style="68" bestFit="1" customWidth="1"/>
    <col min="14598" max="14598" width="10.85546875" style="68" customWidth="1"/>
    <col min="14599" max="14599" width="10.42578125" style="68" customWidth="1"/>
    <col min="14600" max="14600" width="9.7109375" style="68" bestFit="1" customWidth="1"/>
    <col min="14601" max="14603" width="9.28515625" style="68" bestFit="1" customWidth="1"/>
    <col min="14604" max="14604" width="10.7109375" style="68" bestFit="1" customWidth="1"/>
    <col min="14605" max="14605" width="11.28515625" style="68" customWidth="1"/>
    <col min="14606" max="14606" width="12.5703125" style="68" customWidth="1"/>
    <col min="14607" max="14607" width="13.5703125" style="68" customWidth="1"/>
    <col min="14608" max="14608" width="13" style="68" customWidth="1"/>
    <col min="14609" max="14847" width="9.140625" style="68"/>
    <col min="14848" max="14848" width="3.7109375" style="68" customWidth="1"/>
    <col min="14849" max="14849" width="4" style="68" bestFit="1" customWidth="1"/>
    <col min="14850" max="14850" width="14.5703125" style="68" customWidth="1"/>
    <col min="14851" max="14851" width="11.140625" style="68" customWidth="1"/>
    <col min="14852" max="14852" width="8.7109375" style="68" customWidth="1"/>
    <col min="14853" max="14853" width="9.7109375" style="68" bestFit="1" customWidth="1"/>
    <col min="14854" max="14854" width="10.85546875" style="68" customWidth="1"/>
    <col min="14855" max="14855" width="10.42578125" style="68" customWidth="1"/>
    <col min="14856" max="14856" width="9.7109375" style="68" bestFit="1" customWidth="1"/>
    <col min="14857" max="14859" width="9.28515625" style="68" bestFit="1" customWidth="1"/>
    <col min="14860" max="14860" width="10.7109375" style="68" bestFit="1" customWidth="1"/>
    <col min="14861" max="14861" width="11.28515625" style="68" customWidth="1"/>
    <col min="14862" max="14862" width="12.5703125" style="68" customWidth="1"/>
    <col min="14863" max="14863" width="13.5703125" style="68" customWidth="1"/>
    <col min="14864" max="14864" width="13" style="68" customWidth="1"/>
    <col min="14865" max="15103" width="9.140625" style="68"/>
    <col min="15104" max="15104" width="3.7109375" style="68" customWidth="1"/>
    <col min="15105" max="15105" width="4" style="68" bestFit="1" customWidth="1"/>
    <col min="15106" max="15106" width="14.5703125" style="68" customWidth="1"/>
    <col min="15107" max="15107" width="11.140625" style="68" customWidth="1"/>
    <col min="15108" max="15108" width="8.7109375" style="68" customWidth="1"/>
    <col min="15109" max="15109" width="9.7109375" style="68" bestFit="1" customWidth="1"/>
    <col min="15110" max="15110" width="10.85546875" style="68" customWidth="1"/>
    <col min="15111" max="15111" width="10.42578125" style="68" customWidth="1"/>
    <col min="15112" max="15112" width="9.7109375" style="68" bestFit="1" customWidth="1"/>
    <col min="15113" max="15115" width="9.28515625" style="68" bestFit="1" customWidth="1"/>
    <col min="15116" max="15116" width="10.7109375" style="68" bestFit="1" customWidth="1"/>
    <col min="15117" max="15117" width="11.28515625" style="68" customWidth="1"/>
    <col min="15118" max="15118" width="12.5703125" style="68" customWidth="1"/>
    <col min="15119" max="15119" width="13.5703125" style="68" customWidth="1"/>
    <col min="15120" max="15120" width="13" style="68" customWidth="1"/>
    <col min="15121" max="15359" width="9.140625" style="68"/>
    <col min="15360" max="15360" width="3.7109375" style="68" customWidth="1"/>
    <col min="15361" max="15361" width="4" style="68" bestFit="1" customWidth="1"/>
    <col min="15362" max="15362" width="14.5703125" style="68" customWidth="1"/>
    <col min="15363" max="15363" width="11.140625" style="68" customWidth="1"/>
    <col min="15364" max="15364" width="8.7109375" style="68" customWidth="1"/>
    <col min="15365" max="15365" width="9.7109375" style="68" bestFit="1" customWidth="1"/>
    <col min="15366" max="15366" width="10.85546875" style="68" customWidth="1"/>
    <col min="15367" max="15367" width="10.42578125" style="68" customWidth="1"/>
    <col min="15368" max="15368" width="9.7109375" style="68" bestFit="1" customWidth="1"/>
    <col min="15369" max="15371" width="9.28515625" style="68" bestFit="1" customWidth="1"/>
    <col min="15372" max="15372" width="10.7109375" style="68" bestFit="1" customWidth="1"/>
    <col min="15373" max="15373" width="11.28515625" style="68" customWidth="1"/>
    <col min="15374" max="15374" width="12.5703125" style="68" customWidth="1"/>
    <col min="15375" max="15375" width="13.5703125" style="68" customWidth="1"/>
    <col min="15376" max="15376" width="13" style="68" customWidth="1"/>
    <col min="15377" max="15615" width="9.140625" style="68"/>
    <col min="15616" max="15616" width="3.7109375" style="68" customWidth="1"/>
    <col min="15617" max="15617" width="4" style="68" bestFit="1" customWidth="1"/>
    <col min="15618" max="15618" width="14.5703125" style="68" customWidth="1"/>
    <col min="15619" max="15619" width="11.140625" style="68" customWidth="1"/>
    <col min="15620" max="15620" width="8.7109375" style="68" customWidth="1"/>
    <col min="15621" max="15621" width="9.7109375" style="68" bestFit="1" customWidth="1"/>
    <col min="15622" max="15622" width="10.85546875" style="68" customWidth="1"/>
    <col min="15623" max="15623" width="10.42578125" style="68" customWidth="1"/>
    <col min="15624" max="15624" width="9.7109375" style="68" bestFit="1" customWidth="1"/>
    <col min="15625" max="15627" width="9.28515625" style="68" bestFit="1" customWidth="1"/>
    <col min="15628" max="15628" width="10.7109375" style="68" bestFit="1" customWidth="1"/>
    <col min="15629" max="15629" width="11.28515625" style="68" customWidth="1"/>
    <col min="15630" max="15630" width="12.5703125" style="68" customWidth="1"/>
    <col min="15631" max="15631" width="13.5703125" style="68" customWidth="1"/>
    <col min="15632" max="15632" width="13" style="68" customWidth="1"/>
    <col min="15633" max="15871" width="9.140625" style="68"/>
    <col min="15872" max="15872" width="3.7109375" style="68" customWidth="1"/>
    <col min="15873" max="15873" width="4" style="68" bestFit="1" customWidth="1"/>
    <col min="15874" max="15874" width="14.5703125" style="68" customWidth="1"/>
    <col min="15875" max="15875" width="11.140625" style="68" customWidth="1"/>
    <col min="15876" max="15876" width="8.7109375" style="68" customWidth="1"/>
    <col min="15877" max="15877" width="9.7109375" style="68" bestFit="1" customWidth="1"/>
    <col min="15878" max="15878" width="10.85546875" style="68" customWidth="1"/>
    <col min="15879" max="15879" width="10.42578125" style="68" customWidth="1"/>
    <col min="15880" max="15880" width="9.7109375" style="68" bestFit="1" customWidth="1"/>
    <col min="15881" max="15883" width="9.28515625" style="68" bestFit="1" customWidth="1"/>
    <col min="15884" max="15884" width="10.7109375" style="68" bestFit="1" customWidth="1"/>
    <col min="15885" max="15885" width="11.28515625" style="68" customWidth="1"/>
    <col min="15886" max="15886" width="12.5703125" style="68" customWidth="1"/>
    <col min="15887" max="15887" width="13.5703125" style="68" customWidth="1"/>
    <col min="15888" max="15888" width="13" style="68" customWidth="1"/>
    <col min="15889" max="16127" width="9.140625" style="68"/>
    <col min="16128" max="16128" width="3.7109375" style="68" customWidth="1"/>
    <col min="16129" max="16129" width="4" style="68" bestFit="1" customWidth="1"/>
    <col min="16130" max="16130" width="14.5703125" style="68" customWidth="1"/>
    <col min="16131" max="16131" width="11.140625" style="68" customWidth="1"/>
    <col min="16132" max="16132" width="8.7109375" style="68" customWidth="1"/>
    <col min="16133" max="16133" width="9.7109375" style="68" bestFit="1" customWidth="1"/>
    <col min="16134" max="16134" width="10.85546875" style="68" customWidth="1"/>
    <col min="16135" max="16135" width="10.42578125" style="68" customWidth="1"/>
    <col min="16136" max="16136" width="9.7109375" style="68" bestFit="1" customWidth="1"/>
    <col min="16137" max="16139" width="9.28515625" style="68" bestFit="1" customWidth="1"/>
    <col min="16140" max="16140" width="10.7109375" style="68" bestFit="1" customWidth="1"/>
    <col min="16141" max="16141" width="11.28515625" style="68" customWidth="1"/>
    <col min="16142" max="16142" width="12.5703125" style="68" customWidth="1"/>
    <col min="16143" max="16143" width="13.5703125" style="68" customWidth="1"/>
    <col min="16144" max="16144" width="13" style="68" customWidth="1"/>
    <col min="16145" max="16384" width="9.140625" style="68"/>
  </cols>
  <sheetData>
    <row r="2" spans="2:20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0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</row>
    <row r="4" spans="2:20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346</v>
      </c>
      <c r="R4" s="67"/>
    </row>
    <row r="5" spans="2:20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20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20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20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T8" s="68" t="s">
        <v>241</v>
      </c>
    </row>
    <row r="9" spans="2:20" x14ac:dyDescent="0.25">
      <c r="B9" s="89">
        <v>1</v>
      </c>
      <c r="C9" s="822" t="s">
        <v>242</v>
      </c>
      <c r="D9" s="823"/>
      <c r="E9" s="74">
        <f>'28'!L9</f>
        <v>22095.891706624323</v>
      </c>
      <c r="F9" s="74">
        <f>Production2!D31</f>
        <v>4072.2200000000012</v>
      </c>
      <c r="G9" s="74">
        <f>F9+'28'!G9</f>
        <v>87297.579999999987</v>
      </c>
      <c r="H9" s="74">
        <f>F9+'28'!H9</f>
        <v>152283.28</v>
      </c>
      <c r="I9" s="74">
        <f>Production2!E31</f>
        <v>2856</v>
      </c>
      <c r="J9" s="74">
        <f>I9+'28'!J9</f>
        <v>66452</v>
      </c>
      <c r="K9" s="74">
        <f>I9+'28'!K9</f>
        <v>133339</v>
      </c>
      <c r="L9" s="74">
        <f>E9+F9-I9-I21</f>
        <v>22892.010595675325</v>
      </c>
      <c r="M9" s="75">
        <f>I9</f>
        <v>2856</v>
      </c>
      <c r="N9" s="75">
        <f>(I9/I13)*100</f>
        <v>96.977928692699493</v>
      </c>
      <c r="O9" s="787"/>
      <c r="P9" s="286">
        <v>10</v>
      </c>
      <c r="Q9" s="261">
        <f>'Raw mill moisture content'!L35</f>
        <v>9.9999999999999922E-2</v>
      </c>
    </row>
    <row r="10" spans="2:20" ht="13.9" customHeight="1" x14ac:dyDescent="0.25">
      <c r="B10" s="79">
        <v>2</v>
      </c>
      <c r="C10" s="728" t="s">
        <v>30</v>
      </c>
      <c r="D10" s="728"/>
      <c r="E10" s="77">
        <f>'Mines (2)'!L31</f>
        <v>2965.26</v>
      </c>
      <c r="F10" s="77">
        <f>'Mines (2)'!M31</f>
        <v>112.18</v>
      </c>
      <c r="G10" s="74">
        <f>F10+'28'!G10</f>
        <v>3917.940000000001</v>
      </c>
      <c r="H10" s="74">
        <f>F10+'28'!H10</f>
        <v>5269.4</v>
      </c>
      <c r="I10" s="77">
        <f>'Mines (2)'!N31</f>
        <v>30</v>
      </c>
      <c r="J10" s="74">
        <f>I10+'28'!J10</f>
        <v>1817</v>
      </c>
      <c r="K10" s="74">
        <f>I10+'28'!K10</f>
        <v>2346</v>
      </c>
      <c r="L10" s="77">
        <f t="shared" ref="L10:L13" si="0">E10+F10-I10</f>
        <v>3047.44</v>
      </c>
      <c r="M10" s="75">
        <f t="shared" ref="M10:M12" si="1">I10</f>
        <v>30</v>
      </c>
      <c r="N10" s="75">
        <f>(I10/I13)*100</f>
        <v>1.0186757215619695</v>
      </c>
      <c r="O10" s="787"/>
      <c r="P10" s="53">
        <v>10</v>
      </c>
      <c r="Q10" s="262">
        <f>'Raw mill moisture content'!M35</f>
        <v>9.9999999999999867E-2</v>
      </c>
    </row>
    <row r="11" spans="2:20" x14ac:dyDescent="0.25">
      <c r="B11" s="79">
        <v>3</v>
      </c>
      <c r="C11" s="728" t="s">
        <v>32</v>
      </c>
      <c r="D11" s="728"/>
      <c r="E11" s="77">
        <f>Clinker!C31</f>
        <v>2834.92</v>
      </c>
      <c r="F11" s="77">
        <f>Clinker!D31</f>
        <v>0</v>
      </c>
      <c r="G11" s="74">
        <f>F11+'28'!G11</f>
        <v>347.58000000000004</v>
      </c>
      <c r="H11" s="74">
        <f>F11+'28'!H11</f>
        <v>417.28000000000003</v>
      </c>
      <c r="I11" s="77">
        <f>Clinker!E31</f>
        <v>59</v>
      </c>
      <c r="J11" s="74">
        <f>I11+'28'!J11</f>
        <v>1570</v>
      </c>
      <c r="K11" s="74">
        <f>I11+'28'!K11</f>
        <v>3007</v>
      </c>
      <c r="L11" s="77">
        <f t="shared" si="0"/>
        <v>2775.92</v>
      </c>
      <c r="M11" s="75">
        <f t="shared" si="1"/>
        <v>59</v>
      </c>
      <c r="N11" s="75">
        <f>(I11/I13)*100</f>
        <v>2.0033955857385397</v>
      </c>
      <c r="O11" s="787"/>
      <c r="P11" s="53">
        <v>7</v>
      </c>
      <c r="Q11" s="262">
        <f>'Raw mill moisture content'!N35</f>
        <v>7.0000000000000076E-2</v>
      </c>
    </row>
    <row r="12" spans="2:20" ht="13.9" customHeight="1" x14ac:dyDescent="0.25">
      <c r="B12" s="79">
        <v>4</v>
      </c>
      <c r="C12" s="728" t="s">
        <v>243</v>
      </c>
      <c r="D12" s="728"/>
      <c r="E12" s="77">
        <f>'Mines (2)'!Q31</f>
        <v>3.999999999996362E-2</v>
      </c>
      <c r="F12" s="77">
        <f>'Mines (2)'!R31</f>
        <v>0</v>
      </c>
      <c r="G12" s="74">
        <f>F12+'28'!G12</f>
        <v>0</v>
      </c>
      <c r="H12" s="74">
        <f>F12+'28'!H12</f>
        <v>137.76</v>
      </c>
      <c r="I12" s="77">
        <f>'Mines (2)'!S31</f>
        <v>0</v>
      </c>
      <c r="J12" s="74">
        <f>I12+'28'!J12</f>
        <v>191</v>
      </c>
      <c r="K12" s="74">
        <f>I12+'28'!K12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20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27896.111706624324</v>
      </c>
      <c r="F13" s="127">
        <f t="shared" si="2"/>
        <v>4184.4000000000015</v>
      </c>
      <c r="G13" s="127">
        <f t="shared" si="2"/>
        <v>91563.099999999991</v>
      </c>
      <c r="H13" s="127">
        <f t="shared" si="2"/>
        <v>158107.72</v>
      </c>
      <c r="I13" s="127">
        <f t="shared" si="2"/>
        <v>2945</v>
      </c>
      <c r="J13" s="127">
        <f t="shared" si="2"/>
        <v>70030</v>
      </c>
      <c r="K13" s="127">
        <f t="shared" si="2"/>
        <v>139430</v>
      </c>
      <c r="L13" s="127">
        <f t="shared" si="0"/>
        <v>29135.511706624326</v>
      </c>
      <c r="M13" s="128">
        <f>SUM(M9:M12)</f>
        <v>2945</v>
      </c>
      <c r="N13" s="128">
        <v>99.999999999999986</v>
      </c>
      <c r="O13" s="787"/>
      <c r="P13" s="797"/>
      <c r="Q13" s="798"/>
    </row>
    <row r="14" spans="2:20" x14ac:dyDescent="0.25">
      <c r="B14" s="763">
        <v>6</v>
      </c>
      <c r="C14" s="775" t="s">
        <v>245</v>
      </c>
      <c r="D14" s="80" t="s">
        <v>69</v>
      </c>
      <c r="E14" s="77">
        <f>Clinker!EB31</f>
        <v>5360.5269999999909</v>
      </c>
      <c r="F14" s="77">
        <f>Clinker!EC31</f>
        <v>122</v>
      </c>
      <c r="G14" s="77">
        <f>F14+'28'!G14</f>
        <v>533.74</v>
      </c>
      <c r="H14" s="77">
        <f>F14+'28'!H14</f>
        <v>715.24</v>
      </c>
      <c r="I14" s="77">
        <f>Clinker!ED31</f>
        <v>306.67</v>
      </c>
      <c r="J14" s="77">
        <f>I14+'28'!J14</f>
        <v>7243.2300000000005</v>
      </c>
      <c r="K14" s="77">
        <f>I14+'28'!K14</f>
        <v>14079.529999999999</v>
      </c>
      <c r="L14" s="77">
        <f>E14+F14-I14-Clinker!N31-Clinker!Z31-Clinker!AS31-Clinker!AX31-Clinker!BC31-Clinker!BW31-Clinker!BH31-Clinker!BM31-Clinker!BR31-Clinker!CV31-Clinker!DP31-Clinker!DF31</f>
        <v>5175.8569999999909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</row>
    <row r="15" spans="2:20" x14ac:dyDescent="0.25">
      <c r="B15" s="763"/>
      <c r="C15" s="775"/>
      <c r="D15" s="80" t="s">
        <v>68</v>
      </c>
      <c r="E15" s="77">
        <f>Clinker!EF31</f>
        <v>4348.1199999999935</v>
      </c>
      <c r="F15" s="77">
        <f>Clinker!EG31</f>
        <v>64.55</v>
      </c>
      <c r="G15" s="77">
        <f>F15+'28'!G15</f>
        <v>1892.85</v>
      </c>
      <c r="H15" s="77">
        <f>F15+'28'!H15</f>
        <v>2047.9</v>
      </c>
      <c r="I15" s="77">
        <f>Clinker!EH31</f>
        <v>142</v>
      </c>
      <c r="J15" s="77">
        <f>I15+'28'!J15</f>
        <v>3988</v>
      </c>
      <c r="K15" s="77">
        <f>I15+'28'!K15</f>
        <v>7857</v>
      </c>
      <c r="L15" s="77">
        <f>E15+F15-Clinker!AE31-Clinker!AJ31-Clinker!CL31-Clinker!CQ31-Clinker!CG31</f>
        <v>4270.6699999999937</v>
      </c>
      <c r="M15" s="81"/>
      <c r="N15" s="81"/>
      <c r="O15" s="787"/>
      <c r="P15" s="82"/>
      <c r="Q15" s="82"/>
      <c r="R15" s="83"/>
    </row>
    <row r="16" spans="2:20" x14ac:dyDescent="0.25">
      <c r="B16" s="763"/>
      <c r="C16" s="690"/>
      <c r="D16" s="124" t="s">
        <v>150</v>
      </c>
      <c r="E16" s="125">
        <f>E14+E15</f>
        <v>9708.6469999999845</v>
      </c>
      <c r="F16" s="125">
        <f>F14+F15</f>
        <v>186.55</v>
      </c>
      <c r="G16" s="125">
        <f t="shared" ref="G16:L16" si="3">G14+G15</f>
        <v>2426.59</v>
      </c>
      <c r="H16" s="125">
        <f t="shared" si="3"/>
        <v>2763.1400000000003</v>
      </c>
      <c r="I16" s="125">
        <f t="shared" si="3"/>
        <v>448.67</v>
      </c>
      <c r="J16" s="125">
        <f>J14+J15</f>
        <v>11231.23</v>
      </c>
      <c r="K16" s="125">
        <f t="shared" si="3"/>
        <v>21936.53</v>
      </c>
      <c r="L16" s="125">
        <f t="shared" si="3"/>
        <v>9446.5269999999837</v>
      </c>
      <c r="M16" s="126"/>
      <c r="N16" s="126"/>
      <c r="O16" s="787"/>
      <c r="P16" s="84"/>
      <c r="Q16" s="131"/>
      <c r="R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19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Clinker!EJ31</f>
        <v>26737.02308295283</v>
      </c>
      <c r="F18" s="74">
        <f>Clinker!EK31</f>
        <v>1850</v>
      </c>
      <c r="G18" s="74">
        <f>F18+'28'!G18</f>
        <v>41160</v>
      </c>
      <c r="H18" s="74">
        <f>F18+'28'!H18</f>
        <v>81660</v>
      </c>
      <c r="I18" s="74">
        <f>Clinker!EL31</f>
        <v>1717.2739972009001</v>
      </c>
      <c r="J18" s="634">
        <f>I18+'28'!J18</f>
        <v>39209.911001988527</v>
      </c>
      <c r="K18" s="74">
        <f>I18+'28'!K18</f>
        <v>58071.79101387479</v>
      </c>
      <c r="L18" s="74">
        <f>E18+F18-I18-I20</f>
        <v>26869.74908575193</v>
      </c>
      <c r="M18" s="75">
        <f>((I18+I19)/(J40+J46))*100</f>
        <v>77.845602774292843</v>
      </c>
      <c r="N18" s="765"/>
      <c r="O18" s="767"/>
      <c r="P18" s="769"/>
      <c r="Q18" s="770"/>
      <c r="R18" s="237"/>
    </row>
    <row r="19" spans="2:19" ht="45" x14ac:dyDescent="0.25">
      <c r="B19" s="763"/>
      <c r="C19" s="691"/>
      <c r="D19" s="85" t="s">
        <v>75</v>
      </c>
      <c r="E19" s="74">
        <f>Clinker!EO31</f>
        <v>5306.1090080001359</v>
      </c>
      <c r="F19" s="74">
        <f>Clinker!EP31</f>
        <v>0</v>
      </c>
      <c r="G19" s="74">
        <f>F19+'28'!G19</f>
        <v>150.78</v>
      </c>
      <c r="H19" s="74">
        <f>F19+'28'!H19</f>
        <v>13390.660000000003</v>
      </c>
      <c r="I19" s="74">
        <f>Clinker!EQ31</f>
        <v>0</v>
      </c>
      <c r="J19" s="75">
        <f>I19+'28'!J19</f>
        <v>0</v>
      </c>
      <c r="K19" s="74">
        <f>I19+'28'!K19</f>
        <v>16934.099999999999</v>
      </c>
      <c r="L19" s="74">
        <f>E19+F19-I19</f>
        <v>5306.1090080001359</v>
      </c>
      <c r="M19" s="75"/>
      <c r="N19" s="765"/>
      <c r="O19" s="767"/>
      <c r="P19" s="769"/>
      <c r="Q19" s="770"/>
      <c r="R19" s="190"/>
    </row>
    <row r="20" spans="2:19" ht="30" x14ac:dyDescent="0.25">
      <c r="B20" s="763"/>
      <c r="C20" s="764"/>
      <c r="D20" s="86" t="s">
        <v>249</v>
      </c>
      <c r="E20" s="77"/>
      <c r="F20" s="77">
        <v>0</v>
      </c>
      <c r="G20" s="74">
        <f>F20+'28'!G20</f>
        <v>0</v>
      </c>
      <c r="H20" s="74">
        <f>F20+'28'!H20</f>
        <v>0</v>
      </c>
      <c r="I20" s="77">
        <f>Clinker!EN31</f>
        <v>0</v>
      </c>
      <c r="J20" s="74">
        <f>I20+'28'!J20</f>
        <v>0</v>
      </c>
      <c r="K20" s="74">
        <f>I20+'28'!K20</f>
        <v>0</v>
      </c>
      <c r="L20" s="74"/>
      <c r="M20" s="78"/>
      <c r="N20" s="766"/>
      <c r="O20" s="767"/>
      <c r="P20" s="771"/>
      <c r="Q20" s="772"/>
      <c r="R20" s="20"/>
    </row>
    <row r="21" spans="2:19" x14ac:dyDescent="0.25">
      <c r="B21" s="89"/>
      <c r="C21" s="73" t="s">
        <v>242</v>
      </c>
      <c r="D21" s="88"/>
      <c r="E21" s="77"/>
      <c r="F21" s="77"/>
      <c r="G21" s="75"/>
      <c r="H21" s="74"/>
      <c r="I21" s="77">
        <f>Cement!S31</f>
        <v>420.10111094899997</v>
      </c>
      <c r="J21" s="74">
        <f>I21+'28'!J21</f>
        <v>10525.321108946278</v>
      </c>
      <c r="K21" s="74">
        <f>I21+'28'!K21</f>
        <v>19157.141101508518</v>
      </c>
      <c r="L21" s="74"/>
      <c r="M21" s="78">
        <f>(I21/(J40+J46))*100</f>
        <v>19.043568039392564</v>
      </c>
      <c r="N21" s="78"/>
      <c r="O21" s="767"/>
      <c r="P21" s="87"/>
      <c r="Q21" s="773"/>
      <c r="R21" s="20"/>
    </row>
    <row r="22" spans="2:19" x14ac:dyDescent="0.25">
      <c r="B22" s="89">
        <v>9</v>
      </c>
      <c r="C22" s="775" t="s">
        <v>250</v>
      </c>
      <c r="D22" s="775"/>
      <c r="E22" s="77">
        <f>Cement!C31</f>
        <v>4655.7574351614812</v>
      </c>
      <c r="F22" s="77">
        <f>Cement!D31</f>
        <v>0</v>
      </c>
      <c r="G22" s="74">
        <f>F22+'28'!G22</f>
        <v>155.72</v>
      </c>
      <c r="H22" s="74">
        <f>F22+'28'!H22</f>
        <v>2126.62</v>
      </c>
      <c r="I22" s="77">
        <f>Cement!F31</f>
        <v>116.45789783684211</v>
      </c>
      <c r="J22" s="74">
        <f>I22+'28'!J22</f>
        <v>2693.5005262736427</v>
      </c>
      <c r="K22" s="74">
        <f>I22+'28'!K22</f>
        <v>5032.7005218251406</v>
      </c>
      <c r="L22" s="74">
        <f t="shared" ref="L22:L24" si="4">E22+F22-I22</f>
        <v>4539.2995373246395</v>
      </c>
      <c r="M22" s="78">
        <f>(I22/(J40+J46))*100</f>
        <v>5.2791431476356347</v>
      </c>
      <c r="N22" s="78"/>
      <c r="O22" s="767"/>
      <c r="P22" s="87"/>
      <c r="Q22" s="774"/>
      <c r="R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Cement!H31</f>
        <v>0.23999999999796273</v>
      </c>
      <c r="F23" s="77">
        <f>Cement!I31</f>
        <v>0</v>
      </c>
      <c r="G23" s="74">
        <f>F23+'28'!G23</f>
        <v>0</v>
      </c>
      <c r="H23" s="74">
        <f>F23+'28'!H23</f>
        <v>0</v>
      </c>
      <c r="I23" s="77">
        <f>Cement!J31</f>
        <v>0</v>
      </c>
      <c r="J23" s="74">
        <f>I23+'28'!J23</f>
        <v>0</v>
      </c>
      <c r="K23" s="74">
        <f>I23+'28'!K23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</row>
    <row r="24" spans="2:19" x14ac:dyDescent="0.25">
      <c r="B24" s="763"/>
      <c r="C24" s="764"/>
      <c r="D24" s="76" t="s">
        <v>253</v>
      </c>
      <c r="E24" s="77">
        <f>Cement!L31</f>
        <v>0</v>
      </c>
      <c r="F24" s="77">
        <f>Cement!M31</f>
        <v>0</v>
      </c>
      <c r="G24" s="74">
        <f>F24+'28'!G24</f>
        <v>0</v>
      </c>
      <c r="H24" s="74">
        <f>F24+'28'!H24</f>
        <v>0</v>
      </c>
      <c r="I24" s="77">
        <f>Cement!N31</f>
        <v>0</v>
      </c>
      <c r="J24" s="74">
        <f>I24+'28'!J24</f>
        <v>0</v>
      </c>
      <c r="K24" s="74">
        <f>I24+'28'!K24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36699.129526114448</v>
      </c>
      <c r="F25" s="122">
        <f t="shared" ref="F25:L25" si="5">F18+F19+F21+F22+F23+F24</f>
        <v>1850</v>
      </c>
      <c r="G25" s="122">
        <f t="shared" si="5"/>
        <v>41466.5</v>
      </c>
      <c r="H25" s="122">
        <f t="shared" si="5"/>
        <v>97177.279999999999</v>
      </c>
      <c r="I25" s="122">
        <f>I18+I19+I21+I22+I23+I24</f>
        <v>2253.8330059867421</v>
      </c>
      <c r="J25" s="122">
        <f t="shared" si="5"/>
        <v>52428.73263720845</v>
      </c>
      <c r="K25" s="122">
        <f t="shared" si="5"/>
        <v>99195.73263720845</v>
      </c>
      <c r="L25" s="122">
        <f t="shared" si="5"/>
        <v>36715.397631076703</v>
      </c>
      <c r="M25" s="782"/>
      <c r="N25" s="782"/>
      <c r="O25" s="768"/>
      <c r="P25" s="779"/>
      <c r="Q25" s="780"/>
      <c r="R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Production2!C31</f>
        <v>20.58</v>
      </c>
      <c r="G30" s="75">
        <f>F30+'28'!G30</f>
        <v>501.30999999999995</v>
      </c>
      <c r="H30" s="75">
        <f>F30+'28'!H30</f>
        <v>933.79000000000008</v>
      </c>
      <c r="I30" s="74">
        <f>'Mines (2)'!C31+'Mines (2)'!H31+'Mines (2)'!V31+'Mines (2)'!Z31+'Mines (2)'!AD31</f>
        <v>22095.89170662433</v>
      </c>
      <c r="J30" s="74">
        <f>Production2!D31</f>
        <v>4072.2200000000012</v>
      </c>
      <c r="K30" s="74">
        <f>J30+'28'!K30</f>
        <v>87297.579999999987</v>
      </c>
      <c r="L30" s="74">
        <f>J30+'28'!L30</f>
        <v>152283.28</v>
      </c>
      <c r="M30" s="74">
        <f>I9+I21</f>
        <v>3276.101110949</v>
      </c>
      <c r="N30" s="74">
        <f>M30+'28'!N30</f>
        <v>76977.321108946286</v>
      </c>
      <c r="O30" s="74">
        <f>M30+'28'!O30</f>
        <v>152496.14110150855</v>
      </c>
      <c r="P30" s="74">
        <f>I30+J30-M30</f>
        <v>22892.010595675332</v>
      </c>
      <c r="Q30" s="93">
        <f>J30/F30</f>
        <v>197.87269193391649</v>
      </c>
      <c r="R30" s="94"/>
      <c r="S30" s="176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Production2!G31</f>
        <v>20.72</v>
      </c>
      <c r="G31" s="75">
        <f>F31+'28'!G31</f>
        <v>529.66999999999996</v>
      </c>
      <c r="H31" s="75">
        <f>F31+'28'!H31</f>
        <v>1022.89</v>
      </c>
      <c r="I31" s="724">
        <f>Production2!H31</f>
        <v>1210.9300168375189</v>
      </c>
      <c r="J31" s="77">
        <f>Production2!N31</f>
        <v>2652.27</v>
      </c>
      <c r="K31" s="75">
        <f>J31+'28'!K31</f>
        <v>61363.44</v>
      </c>
      <c r="L31" s="74">
        <f>J31+'28'!L31</f>
        <v>120220.59000000003</v>
      </c>
      <c r="M31" s="724">
        <f>Production2!K31</f>
        <v>2867.5</v>
      </c>
      <c r="N31" s="724">
        <f>M31+'28'!N31</f>
        <v>63798</v>
      </c>
      <c r="O31" s="724">
        <f>M31+'28'!O31</f>
        <v>126572.99999999999</v>
      </c>
      <c r="P31" s="724">
        <f>I31+J32+J31-M31</f>
        <v>995.70001683751889</v>
      </c>
      <c r="Q31" s="96">
        <f t="shared" ref="Q31:Q45" si="6">J31/F31</f>
        <v>128.00530888030889</v>
      </c>
      <c r="R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Production2!P31</f>
        <v>0</v>
      </c>
      <c r="G32" s="75">
        <f>F32+'28'!G32</f>
        <v>187.38</v>
      </c>
      <c r="H32" s="75">
        <f>F32+'28'!H32</f>
        <v>593.66999999999996</v>
      </c>
      <c r="I32" s="712"/>
      <c r="J32" s="78">
        <f>Production2!Q31</f>
        <v>0</v>
      </c>
      <c r="K32" s="75">
        <f>J32+'28'!K32</f>
        <v>1712.1399999999999</v>
      </c>
      <c r="L32" s="74">
        <f>J32+'28'!L32</f>
        <v>5354.3799999999992</v>
      </c>
      <c r="M32" s="712"/>
      <c r="N32" s="712"/>
      <c r="O32" s="712"/>
      <c r="P32" s="712"/>
      <c r="Q32" s="96" t="e">
        <f>J32/F32</f>
        <v>#DIV/0!</v>
      </c>
      <c r="R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Production2!S31</f>
        <v>19</v>
      </c>
      <c r="G33" s="75">
        <f>F33+'28'!G33</f>
        <v>469.16</v>
      </c>
      <c r="H33" s="75">
        <f>F33+'28'!H33</f>
        <v>915.53</v>
      </c>
      <c r="I33" s="77">
        <f>Production2!T31</f>
        <v>33.109999999999843</v>
      </c>
      <c r="J33" s="78">
        <f>Production2!U31</f>
        <v>276</v>
      </c>
      <c r="K33" s="74">
        <f>J33+'28'!K33</f>
        <v>6518.9</v>
      </c>
      <c r="L33" s="74">
        <f>J33+'28'!L33</f>
        <v>12671.6</v>
      </c>
      <c r="M33" s="77">
        <f>Production2!V31</f>
        <v>273</v>
      </c>
      <c r="N33" s="74">
        <f>M33+'28'!N33</f>
        <v>6523</v>
      </c>
      <c r="O33" s="74">
        <f>M33+'28'!O33</f>
        <v>12651</v>
      </c>
      <c r="P33" s="74">
        <f t="shared" ref="P33:P34" si="7">I33+J33-M33</f>
        <v>36.109999999999843</v>
      </c>
      <c r="Q33" s="96">
        <f t="shared" si="6"/>
        <v>14.526315789473685</v>
      </c>
      <c r="R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Production2!Y31</f>
        <v>24</v>
      </c>
      <c r="G34" s="75">
        <f>F34+'28'!G34</f>
        <v>648.54</v>
      </c>
      <c r="H34" s="75">
        <f>F34+'28'!H34</f>
        <v>1266.81</v>
      </c>
      <c r="I34" s="77">
        <f>Clinker!EJ31</f>
        <v>26737.02308295283</v>
      </c>
      <c r="J34" s="77">
        <f>Clinker!EK31</f>
        <v>1850</v>
      </c>
      <c r="K34" s="74">
        <f>J34+'28'!K34</f>
        <v>41160</v>
      </c>
      <c r="L34" s="74">
        <f>J34+'28'!L34</f>
        <v>81660</v>
      </c>
      <c r="M34" s="77">
        <f>Clinker!EL31</f>
        <v>1717.2739972009001</v>
      </c>
      <c r="N34" s="74">
        <f>M34+'28'!N34</f>
        <v>39209.911001988527</v>
      </c>
      <c r="O34" s="74">
        <f>M34+'28'!O34</f>
        <v>58071.79101387479</v>
      </c>
      <c r="P34" s="74">
        <f t="shared" si="7"/>
        <v>26869.74908575193</v>
      </c>
      <c r="Q34" s="96">
        <f t="shared" si="6"/>
        <v>77.083333333333329</v>
      </c>
      <c r="R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Production2!AE31</f>
        <v>0</v>
      </c>
      <c r="G35" s="75">
        <f>F35+'28'!G35</f>
        <v>23.7</v>
      </c>
      <c r="H35" s="75">
        <f>F35+'28'!H35</f>
        <v>32.699999999999996</v>
      </c>
      <c r="I35" s="77">
        <f>Production2!BJ31</f>
        <v>273.29999999999995</v>
      </c>
      <c r="J35" s="77">
        <f>Production2!AF31</f>
        <v>0</v>
      </c>
      <c r="K35" s="74">
        <f>J35+'28'!K35</f>
        <v>1560</v>
      </c>
      <c r="L35" s="74">
        <f>J35+'28'!L35</f>
        <v>2134</v>
      </c>
      <c r="M35" s="77">
        <f>Production2!BL31</f>
        <v>120</v>
      </c>
      <c r="N35" s="74">
        <f>M35+'28'!N35</f>
        <v>2568.5</v>
      </c>
      <c r="O35" s="74">
        <f>M35+'28'!O35</f>
        <v>4963</v>
      </c>
      <c r="P35" s="74">
        <f>I35+J35+J41-M35-F59</f>
        <v>153.29999999999995</v>
      </c>
      <c r="Q35" s="96" t="e">
        <f t="shared" si="6"/>
        <v>#DIV/0!</v>
      </c>
      <c r="R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Production2!AB31</f>
        <v>14.73</v>
      </c>
      <c r="G36" s="654">
        <f>F36+'28'!G36</f>
        <v>263.73999999999995</v>
      </c>
      <c r="H36" s="75">
        <f>F36+'28'!H36</f>
        <v>470.07000000000005</v>
      </c>
      <c r="I36" s="77">
        <f>Production2!BF31</f>
        <v>1939.657999999979</v>
      </c>
      <c r="J36" s="77">
        <f>Production2!AC31</f>
        <v>1015</v>
      </c>
      <c r="K36" s="74">
        <f>J36+'28'!K36</f>
        <v>16956</v>
      </c>
      <c r="L36" s="74">
        <f>J36+'28'!L36</f>
        <v>29385</v>
      </c>
      <c r="M36" s="77">
        <f>Production2!BH31</f>
        <v>1795.75</v>
      </c>
      <c r="N36" s="596">
        <f>M36+'28'!N36</f>
        <v>40802.379999999997</v>
      </c>
      <c r="O36" s="596">
        <f>M36+'28'!O36</f>
        <v>75970.649999999994</v>
      </c>
      <c r="P36" s="74">
        <f>I36+J36+J42-M36-F57</f>
        <v>2019.907999999979</v>
      </c>
      <c r="Q36" s="96">
        <f t="shared" si="6"/>
        <v>68.906992532247116</v>
      </c>
      <c r="R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Production2!AH31</f>
        <v>0</v>
      </c>
      <c r="G37" s="654">
        <f>F37+'28'!G37</f>
        <v>0</v>
      </c>
      <c r="H37" s="654">
        <f>F37+'28'!H37</f>
        <v>0</v>
      </c>
      <c r="I37" s="77">
        <f>Production2!BN31</f>
        <v>9.0000000000849845E-2</v>
      </c>
      <c r="J37" s="77">
        <f>Production2!AI31</f>
        <v>0</v>
      </c>
      <c r="K37" s="596">
        <f>J37+'28'!K37</f>
        <v>0</v>
      </c>
      <c r="L37" s="596">
        <f>J37+'28'!L37</f>
        <v>0</v>
      </c>
      <c r="M37" s="77">
        <f>Production2!BP31</f>
        <v>0</v>
      </c>
      <c r="N37" s="596">
        <f>M37+'28'!N37</f>
        <v>0</v>
      </c>
      <c r="O37" s="596">
        <f>M37+'28'!O37</f>
        <v>-0.15</v>
      </c>
      <c r="P37" s="74">
        <f>I37+J37+J43-M37-F58</f>
        <v>9.0000000000849845E-2</v>
      </c>
      <c r="Q37" s="96" t="e">
        <f t="shared" si="6"/>
        <v>#DIV/0!</v>
      </c>
      <c r="R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Production2!AK31</f>
        <v>0</v>
      </c>
      <c r="G38" s="654">
        <f>F38+'28'!G38</f>
        <v>5</v>
      </c>
      <c r="H38" s="654">
        <f>F38+'28'!H38</f>
        <v>5</v>
      </c>
      <c r="I38" s="195">
        <f>Production2!BR31</f>
        <v>177.8</v>
      </c>
      <c r="J38" s="195">
        <v>0</v>
      </c>
      <c r="K38" s="596">
        <f>J38+'28'!K38</f>
        <v>300</v>
      </c>
      <c r="L38" s="596">
        <f>J38+'28'!L38</f>
        <v>300</v>
      </c>
      <c r="M38" s="77">
        <f>Production2!BT31</f>
        <v>120</v>
      </c>
      <c r="N38" s="596">
        <f>M38+'28'!N38</f>
        <v>1035.5</v>
      </c>
      <c r="O38" s="596">
        <f>M38+'28'!O38</f>
        <v>2882.5</v>
      </c>
      <c r="P38" s="74">
        <f>I38+J38+J44-M38-F59</f>
        <v>167.8</v>
      </c>
      <c r="Q38" s="96" t="e">
        <f t="shared" si="6"/>
        <v>#DIV/0!</v>
      </c>
      <c r="R38" s="94"/>
    </row>
    <row r="39" spans="2:19" x14ac:dyDescent="0.25">
      <c r="B39" s="688"/>
      <c r="C39" s="691"/>
      <c r="D39" s="598" t="s">
        <v>304</v>
      </c>
      <c r="E39" s="602"/>
      <c r="F39" s="600">
        <f>Production2!AN31</f>
        <v>3</v>
      </c>
      <c r="G39" s="654">
        <f>F39+'28'!G39</f>
        <v>72.92</v>
      </c>
      <c r="H39" s="654">
        <f>F39+'28'!H39</f>
        <v>113.57000000000001</v>
      </c>
      <c r="I39" s="597">
        <f>Production2!BV31</f>
        <v>506.81000000000017</v>
      </c>
      <c r="J39" s="597">
        <f>Production2!AO31</f>
        <v>210</v>
      </c>
      <c r="K39" s="596">
        <f>J39+'28'!K39</f>
        <v>4736</v>
      </c>
      <c r="L39" s="596">
        <f>J39+'28'!L39</f>
        <v>7268</v>
      </c>
      <c r="M39" s="77">
        <f>Production2!BX31</f>
        <v>398.8</v>
      </c>
      <c r="N39" s="596">
        <f>M39+'28'!N39</f>
        <v>8312.82</v>
      </c>
      <c r="O39" s="596">
        <f>M39+'28'!O39</f>
        <v>13734.700000000003</v>
      </c>
      <c r="P39" s="596">
        <f>I39+J45+J39-M39-F61</f>
        <v>318.01000000000016</v>
      </c>
      <c r="Q39" s="96">
        <f t="shared" si="6"/>
        <v>70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17.73</v>
      </c>
      <c r="G40" s="132">
        <f t="shared" ref="G40:H40" si="8">G35+G36+G37+G38+G39</f>
        <v>365.35999999999996</v>
      </c>
      <c r="H40" s="132">
        <f t="shared" si="8"/>
        <v>621.34</v>
      </c>
      <c r="I40" s="122">
        <f>I35+I36+I37+I38+I39</f>
        <v>2897.6579999999803</v>
      </c>
      <c r="J40" s="599">
        <f t="shared" ref="J40:P40" si="9">J35+J36+J37+J38+J39</f>
        <v>1225</v>
      </c>
      <c r="K40" s="599">
        <f t="shared" si="9"/>
        <v>23552</v>
      </c>
      <c r="L40" s="599">
        <f t="shared" si="9"/>
        <v>39087</v>
      </c>
      <c r="M40" s="599">
        <f t="shared" si="9"/>
        <v>2434.5500000000002</v>
      </c>
      <c r="N40" s="599">
        <f t="shared" si="9"/>
        <v>52719.199999999997</v>
      </c>
      <c r="O40" s="599">
        <f t="shared" si="9"/>
        <v>97550.7</v>
      </c>
      <c r="P40" s="599">
        <f t="shared" si="9"/>
        <v>2659.1079999999802</v>
      </c>
      <c r="Q40" s="123">
        <f>J40/F40</f>
        <v>69.091934574168079</v>
      </c>
      <c r="R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Production2!AT31</f>
        <v>0</v>
      </c>
      <c r="G41" s="75">
        <f>F41+'28'!G41</f>
        <v>12.329999999999998</v>
      </c>
      <c r="H41" s="75">
        <f>F41+'28'!H41</f>
        <v>45.43</v>
      </c>
      <c r="I41" s="710"/>
      <c r="J41" s="77">
        <f>Production2!AU31</f>
        <v>0</v>
      </c>
      <c r="K41" s="74">
        <f>J41+'28'!K41</f>
        <v>750</v>
      </c>
      <c r="L41" s="74">
        <f>J41+'28'!L41</f>
        <v>2750</v>
      </c>
      <c r="M41" s="713"/>
      <c r="N41" s="714"/>
      <c r="O41" s="714"/>
      <c r="P41" s="715"/>
      <c r="Q41" s="96" t="e">
        <f t="shared" si="6"/>
        <v>#DIV/0!</v>
      </c>
      <c r="R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Production2!AQ31</f>
        <v>14.41</v>
      </c>
      <c r="G42" s="654">
        <f>F42+'28'!G42</f>
        <v>391.41</v>
      </c>
      <c r="H42" s="654">
        <f>F42+'28'!H42</f>
        <v>807.40999999999974</v>
      </c>
      <c r="I42" s="711"/>
      <c r="J42" s="77">
        <f>Production2!AR31</f>
        <v>871</v>
      </c>
      <c r="K42" s="74">
        <f>J42+'28'!K42</f>
        <v>23197</v>
      </c>
      <c r="L42" s="74">
        <f>J42+'28'!L42</f>
        <v>47337</v>
      </c>
      <c r="M42" s="716"/>
      <c r="N42" s="717"/>
      <c r="O42" s="717"/>
      <c r="P42" s="718"/>
      <c r="Q42" s="96">
        <f t="shared" si="6"/>
        <v>60.444136016655101</v>
      </c>
      <c r="R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Production2!AW31</f>
        <v>0</v>
      </c>
      <c r="G43" s="654">
        <f>F43+'28'!G43</f>
        <v>0</v>
      </c>
      <c r="H43" s="654">
        <f>F43+'28'!H43</f>
        <v>0</v>
      </c>
      <c r="I43" s="711"/>
      <c r="J43" s="77">
        <f>Production2!AX31</f>
        <v>0</v>
      </c>
      <c r="K43" s="596">
        <f>J43+'28'!K43</f>
        <v>0</v>
      </c>
      <c r="L43" s="596">
        <f>J43+'28'!L43</f>
        <v>0</v>
      </c>
      <c r="M43" s="716"/>
      <c r="N43" s="717"/>
      <c r="O43" s="717"/>
      <c r="P43" s="718"/>
      <c r="Q43" s="96" t="e">
        <f t="shared" si="6"/>
        <v>#DIV/0!</v>
      </c>
      <c r="R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Production2!AZ31</f>
        <v>2</v>
      </c>
      <c r="G44" s="654">
        <f>F44+'28'!G44</f>
        <v>13</v>
      </c>
      <c r="H44" s="654">
        <f>F44+'28'!H44</f>
        <v>45.88</v>
      </c>
      <c r="I44" s="711"/>
      <c r="J44" s="195">
        <f>Production2!BA31</f>
        <v>110</v>
      </c>
      <c r="K44" s="596">
        <f>J44+'28'!K44</f>
        <v>717</v>
      </c>
      <c r="L44" s="596">
        <f>J44+'28'!L44</f>
        <v>2537</v>
      </c>
      <c r="M44" s="716"/>
      <c r="N44" s="717"/>
      <c r="O44" s="717"/>
      <c r="P44" s="718"/>
      <c r="Q44" s="96">
        <f t="shared" si="6"/>
        <v>55</v>
      </c>
      <c r="R44" s="94"/>
    </row>
    <row r="45" spans="2:19" x14ac:dyDescent="0.25">
      <c r="B45" s="688"/>
      <c r="C45" s="691"/>
      <c r="D45" s="598" t="s">
        <v>304</v>
      </c>
      <c r="E45" s="602">
        <v>70</v>
      </c>
      <c r="F45" s="600">
        <f>Production2!BC31</f>
        <v>0</v>
      </c>
      <c r="G45" s="654">
        <f>F45+'28'!G45</f>
        <v>50.699999999999996</v>
      </c>
      <c r="H45" s="654">
        <f>F45+'28'!H45</f>
        <v>105.67</v>
      </c>
      <c r="I45" s="712"/>
      <c r="J45" s="597">
        <f>Production2!BD31</f>
        <v>0</v>
      </c>
      <c r="K45" s="596">
        <f>J45+'28'!K45</f>
        <v>3143</v>
      </c>
      <c r="L45" s="596">
        <f>J45+'28'!L45</f>
        <v>6415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16.41</v>
      </c>
      <c r="G46" s="132">
        <f t="shared" ref="G46:H46" si="10">G41+G42+G43+G44+G45</f>
        <v>467.44</v>
      </c>
      <c r="H46" s="132">
        <f t="shared" si="10"/>
        <v>1004.3899999999996</v>
      </c>
      <c r="I46" s="122">
        <f t="shared" ref="I46" si="11">I41+I42+I43+I44</f>
        <v>0</v>
      </c>
      <c r="J46" s="122">
        <f>J41+J42+J43+J44+J45</f>
        <v>981</v>
      </c>
      <c r="K46" s="599">
        <f t="shared" ref="K46:L46" si="12">K41+K42+K43+K44+K45</f>
        <v>27807</v>
      </c>
      <c r="L46" s="599">
        <f t="shared" si="12"/>
        <v>59039</v>
      </c>
      <c r="M46" s="873"/>
      <c r="N46" s="874"/>
      <c r="O46" s="874"/>
      <c r="P46" s="875"/>
      <c r="Q46" s="632">
        <f>J46/F46</f>
        <v>59.780621572212063</v>
      </c>
      <c r="R46" s="94"/>
    </row>
    <row r="47" spans="2:19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</row>
    <row r="49" spans="2:18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8" ht="14.45" customHeight="1" x14ac:dyDescent="0.25">
      <c r="B50" s="91">
        <v>1</v>
      </c>
      <c r="C50" s="709" t="s">
        <v>274</v>
      </c>
      <c r="D50" s="709"/>
      <c r="E50" s="99">
        <f>E53/J30</f>
        <v>0.56971381703346069</v>
      </c>
      <c r="F50" s="99">
        <f>(F53/(J31+J32))</f>
        <v>19.722728078212249</v>
      </c>
      <c r="G50" s="99" t="e">
        <f>G53/J32</f>
        <v>#DIV/0!</v>
      </c>
      <c r="H50" s="99">
        <f>H53/J34</f>
        <v>32.024324324324326</v>
      </c>
      <c r="I50" s="99">
        <f>I53/J33</f>
        <v>48.586956521739133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14.756756756756756</v>
      </c>
    </row>
    <row r="51" spans="2:18" ht="14.45" customHeight="1" x14ac:dyDescent="0.25">
      <c r="B51" s="79">
        <v>2</v>
      </c>
      <c r="C51" s="728" t="s">
        <v>276</v>
      </c>
      <c r="D51" s="728"/>
      <c r="E51" s="102">
        <f>E50*(I9/J34)</f>
        <v>0.87951495213381825</v>
      </c>
      <c r="F51" s="102">
        <f>F50*1.55</f>
        <v>30.570228521228987</v>
      </c>
      <c r="G51" s="102" t="e">
        <f>G50*1.55</f>
        <v>#DIV/0!</v>
      </c>
      <c r="H51" s="102">
        <f>H50</f>
        <v>32.024324324324326</v>
      </c>
      <c r="I51" s="102">
        <f>I50*(Q50/100)</f>
        <v>7.1698589894242071</v>
      </c>
      <c r="J51" s="102"/>
      <c r="K51" s="102"/>
      <c r="L51" s="102"/>
      <c r="M51" s="96"/>
      <c r="N51" s="307" t="e">
        <f>SUM(E51:I51)</f>
        <v>#DIV/0!</v>
      </c>
      <c r="O51" s="728" t="s">
        <v>277</v>
      </c>
      <c r="P51" s="728"/>
      <c r="Q51" s="104">
        <v>5400</v>
      </c>
    </row>
    <row r="52" spans="2:18" ht="14.45" customHeight="1" x14ac:dyDescent="0.25">
      <c r="B52" s="79">
        <v>3</v>
      </c>
      <c r="C52" s="729" t="s">
        <v>278</v>
      </c>
      <c r="D52" s="729"/>
      <c r="E52" s="102">
        <f>E51*M18/100</f>
        <v>0.68466371597860398</v>
      </c>
      <c r="F52" s="102">
        <f>F51*M18/100</f>
        <v>23.797578661829494</v>
      </c>
      <c r="G52" s="102" t="e">
        <f>G51*M18/100</f>
        <v>#DIV/0!</v>
      </c>
      <c r="H52" s="102">
        <f>H51*M18/100</f>
        <v>24.929528304664753</v>
      </c>
      <c r="I52" s="102">
        <f>I51*M18/100</f>
        <v>5.5814199483840961</v>
      </c>
      <c r="J52" s="99">
        <f>J53/(J40+J46)</f>
        <v>40.592928377153221</v>
      </c>
      <c r="K52" s="99">
        <f>K53/(J46+J40)</f>
        <v>0.90525838621940158</v>
      </c>
      <c r="L52" s="99">
        <f>L53/(M40)</f>
        <v>2.5400998131071448</v>
      </c>
      <c r="M52" s="96">
        <f>M53/(J46+J40)</f>
        <v>2.2048957388939256</v>
      </c>
      <c r="N52" s="307" t="e">
        <f>SUM(E52:M52)</f>
        <v>#DIV/0!</v>
      </c>
      <c r="O52" s="728" t="s">
        <v>279</v>
      </c>
      <c r="P52" s="728"/>
      <c r="Q52" s="104">
        <f>Q51*Q50/100</f>
        <v>796.86486486486478</v>
      </c>
    </row>
    <row r="53" spans="2:18" ht="15" customHeight="1" thickBot="1" x14ac:dyDescent="0.3">
      <c r="B53" s="90" t="s">
        <v>241</v>
      </c>
      <c r="C53" s="723" t="s">
        <v>280</v>
      </c>
      <c r="D53" s="723"/>
      <c r="E53" s="118">
        <f>'Daily unit'!B31</f>
        <v>2320</v>
      </c>
      <c r="F53" s="118">
        <f>'Daily unit'!C31</f>
        <v>52310</v>
      </c>
      <c r="G53" s="118">
        <f>'Daily unit'!D31</f>
        <v>0</v>
      </c>
      <c r="H53" s="118">
        <f>'Daily unit'!E31</f>
        <v>59245</v>
      </c>
      <c r="I53" s="118">
        <f>'Daily unit'!F31</f>
        <v>13410</v>
      </c>
      <c r="J53" s="118">
        <f>'Daily unit'!G31</f>
        <v>89548</v>
      </c>
      <c r="K53" s="118">
        <f>'Daily unit'!H31</f>
        <v>1997</v>
      </c>
      <c r="L53" s="118">
        <f>'Daily unit'!I31</f>
        <v>6184</v>
      </c>
      <c r="M53" s="119">
        <f>'Daily unit'!J31</f>
        <v>4864</v>
      </c>
      <c r="N53" s="318">
        <f>SUM(E53:M53)</f>
        <v>229878</v>
      </c>
      <c r="O53" s="106"/>
      <c r="P53" s="107"/>
      <c r="Q53" s="108"/>
    </row>
    <row r="54" spans="2:18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8" ht="14.45" customHeight="1" x14ac:dyDescent="0.25">
      <c r="B55" s="756" t="s">
        <v>281</v>
      </c>
      <c r="C55" s="722"/>
      <c r="D55" s="722"/>
      <c r="E55" s="722"/>
      <c r="F55" s="722"/>
      <c r="G55" s="722"/>
      <c r="H55" s="722"/>
      <c r="I55" s="889" t="s">
        <v>299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8" s="110" customFormat="1" ht="14.45" customHeight="1" x14ac:dyDescent="0.25">
      <c r="B56" s="208" t="s">
        <v>229</v>
      </c>
      <c r="C56" s="811" t="s">
        <v>283</v>
      </c>
      <c r="D56" s="811"/>
      <c r="E56" s="811"/>
      <c r="F56" s="187" t="s">
        <v>284</v>
      </c>
      <c r="G56" s="187" t="s">
        <v>26</v>
      </c>
      <c r="H56" s="187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8" ht="14.45" customHeight="1" x14ac:dyDescent="0.25">
      <c r="B57" s="876">
        <v>1</v>
      </c>
      <c r="C57" s="701" t="s">
        <v>285</v>
      </c>
      <c r="D57" s="825"/>
      <c r="E57" s="644">
        <v>42.5</v>
      </c>
      <c r="F57" s="645">
        <f>'Internal use cement'!F31</f>
        <v>10</v>
      </c>
      <c r="G57" s="645">
        <f>F57+'28'!G57</f>
        <v>10</v>
      </c>
      <c r="H57" s="77">
        <f>F57+'28'!H57</f>
        <v>10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8" ht="14.45" customHeight="1" x14ac:dyDescent="0.25">
      <c r="B58" s="861"/>
      <c r="C58" s="896"/>
      <c r="D58" s="827"/>
      <c r="E58" s="644" t="s">
        <v>195</v>
      </c>
      <c r="F58" s="645">
        <f>'Internal use cement'!Q31</f>
        <v>0</v>
      </c>
      <c r="G58" s="645">
        <f>F58+'28'!G58</f>
        <v>2</v>
      </c>
      <c r="H58" s="77">
        <f>F58+'28'!H58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8" ht="15" customHeight="1" x14ac:dyDescent="0.25">
      <c r="B59" s="861"/>
      <c r="C59" s="896"/>
      <c r="D59" s="827"/>
      <c r="E59" s="644">
        <v>32.5</v>
      </c>
      <c r="F59" s="645">
        <f>'Internal use cement'!Y31</f>
        <v>0</v>
      </c>
      <c r="G59" s="645">
        <f>F59+'28'!G59</f>
        <v>0</v>
      </c>
      <c r="H59" s="77">
        <f>F59+'28'!H59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8" ht="15" customHeight="1" x14ac:dyDescent="0.25">
      <c r="B60" s="861"/>
      <c r="C60" s="896"/>
      <c r="D60" s="827"/>
      <c r="E60" s="644" t="s">
        <v>175</v>
      </c>
      <c r="F60" s="645">
        <f>'Internal use cement'!AJ31</f>
        <v>0.1</v>
      </c>
      <c r="G60" s="645">
        <f>F60+'28'!G60</f>
        <v>0.1</v>
      </c>
      <c r="H60" s="77">
        <f>F60+'28'!H60</f>
        <v>0.1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8" ht="15.75" thickBot="1" x14ac:dyDescent="0.3">
      <c r="B61" s="862"/>
      <c r="C61" s="703"/>
      <c r="D61" s="829"/>
      <c r="E61" s="651" t="s">
        <v>350</v>
      </c>
      <c r="F61" s="652">
        <f>'Internal use cement'!AO31</f>
        <v>0</v>
      </c>
      <c r="G61" s="645">
        <f>F61+'28'!G61</f>
        <v>4</v>
      </c>
      <c r="H61" s="77">
        <f>F61+'28'!H61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115"/>
    </row>
    <row r="62" spans="2:18" x14ac:dyDescent="0.25">
      <c r="R62" s="116"/>
    </row>
    <row r="63" spans="2:18" x14ac:dyDescent="0.25">
      <c r="R63" s="94"/>
    </row>
    <row r="64" spans="2:18" x14ac:dyDescent="0.25">
      <c r="R64" s="94"/>
    </row>
    <row r="65" spans="2:18" x14ac:dyDescent="0.25">
      <c r="R65" s="94"/>
    </row>
    <row r="66" spans="2:18" x14ac:dyDescent="0.25">
      <c r="R66" s="109"/>
    </row>
    <row r="67" spans="2:18" x14ac:dyDescent="0.25">
      <c r="R67" s="94"/>
    </row>
    <row r="68" spans="2:18" x14ac:dyDescent="0.25">
      <c r="R68" s="117"/>
    </row>
    <row r="69" spans="2:18" x14ac:dyDescent="0.25">
      <c r="R69" s="117"/>
    </row>
    <row r="70" spans="2:18" x14ac:dyDescent="0.25">
      <c r="R70" s="117"/>
    </row>
    <row r="71" spans="2:18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</sheetData>
  <mergeCells count="84">
    <mergeCell ref="M41:P45"/>
    <mergeCell ref="P31:P32"/>
    <mergeCell ref="B48:N48"/>
    <mergeCell ref="O48:Q48"/>
    <mergeCell ref="C32:D32"/>
    <mergeCell ref="I31:I32"/>
    <mergeCell ref="M31:M32"/>
    <mergeCell ref="N31:N32"/>
    <mergeCell ref="O31:O32"/>
    <mergeCell ref="B41:B46"/>
    <mergeCell ref="C41:C46"/>
    <mergeCell ref="C34:D34"/>
    <mergeCell ref="M46:P46"/>
    <mergeCell ref="C35:C40"/>
    <mergeCell ref="I41:I45"/>
    <mergeCell ref="B2:Q2"/>
    <mergeCell ref="B3:Q3"/>
    <mergeCell ref="B35:B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0:D30"/>
    <mergeCell ref="C31:D31"/>
    <mergeCell ref="C33:D33"/>
    <mergeCell ref="P23:Q25"/>
    <mergeCell ref="C25:D25"/>
    <mergeCell ref="M25:N25"/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C13:D13"/>
    <mergeCell ref="P6:P7"/>
    <mergeCell ref="Q6:Q7"/>
    <mergeCell ref="C8:Q8"/>
    <mergeCell ref="C11:D11"/>
    <mergeCell ref="C12:D12"/>
    <mergeCell ref="P13:Q13"/>
    <mergeCell ref="C9:D9"/>
    <mergeCell ref="O9:O16"/>
    <mergeCell ref="C10:D10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I55:Q61"/>
    <mergeCell ref="C57:D61"/>
    <mergeCell ref="B57:B61"/>
    <mergeCell ref="B14:B16"/>
    <mergeCell ref="C14:C16"/>
    <mergeCell ref="C17:Q17"/>
    <mergeCell ref="B18:B20"/>
    <mergeCell ref="C18:C20"/>
    <mergeCell ref="N18:N20"/>
    <mergeCell ref="O18:O25"/>
    <mergeCell ref="P18:Q20"/>
    <mergeCell ref="Q21:Q22"/>
    <mergeCell ref="C22:D22"/>
    <mergeCell ref="B23:B24"/>
    <mergeCell ref="C23:C24"/>
    <mergeCell ref="M23:N24"/>
  </mergeCells>
  <pageMargins left="0.25" right="0.25" top="0.75" bottom="0.75" header="0.3" footer="0.3"/>
  <pageSetup paperSize="9" scale="55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0"/>
  <dimension ref="B2:T154"/>
  <sheetViews>
    <sheetView zoomScale="90" zoomScaleNormal="90" workbookViewId="0">
      <pane xSplit="4" ySplit="1" topLeftCell="E26" activePane="bottomRight" state="frozen"/>
      <selection pane="topRight" activeCell="E1" sqref="E1"/>
      <selection pane="bottomLeft" activeCell="A6" sqref="A6"/>
      <selection pane="bottomRight" activeCell="H35" sqref="H35:H39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0.42578125" style="68" bestFit="1" customWidth="1"/>
    <col min="11" max="11" width="9.28515625" style="68" bestFit="1" customWidth="1"/>
    <col min="12" max="12" width="10.42578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19" width="9.140625" style="68"/>
    <col min="20" max="20" width="10.42578125" style="68" bestFit="1" customWidth="1"/>
    <col min="21" max="239" width="9.140625" style="68"/>
    <col min="240" max="240" width="3.7109375" style="68" customWidth="1"/>
    <col min="241" max="241" width="4" style="68" bestFit="1" customWidth="1"/>
    <col min="242" max="242" width="14.5703125" style="68" customWidth="1"/>
    <col min="243" max="243" width="11.140625" style="68" customWidth="1"/>
    <col min="244" max="244" width="8.7109375" style="68" customWidth="1"/>
    <col min="245" max="245" width="9.7109375" style="68" bestFit="1" customWidth="1"/>
    <col min="246" max="246" width="10.85546875" style="68" customWidth="1"/>
    <col min="247" max="247" width="10.42578125" style="68" customWidth="1"/>
    <col min="248" max="248" width="9.7109375" style="68" bestFit="1" customWidth="1"/>
    <col min="249" max="251" width="9.28515625" style="68" bestFit="1" customWidth="1"/>
    <col min="252" max="252" width="10.7109375" style="68" bestFit="1" customWidth="1"/>
    <col min="253" max="253" width="11.28515625" style="68" customWidth="1"/>
    <col min="254" max="254" width="12.5703125" style="68" customWidth="1"/>
    <col min="255" max="255" width="13.5703125" style="68" customWidth="1"/>
    <col min="256" max="256" width="13" style="68" customWidth="1"/>
    <col min="257" max="495" width="9.140625" style="68"/>
    <col min="496" max="496" width="3.7109375" style="68" customWidth="1"/>
    <col min="497" max="497" width="4" style="68" bestFit="1" customWidth="1"/>
    <col min="498" max="498" width="14.5703125" style="68" customWidth="1"/>
    <col min="499" max="499" width="11.140625" style="68" customWidth="1"/>
    <col min="500" max="500" width="8.7109375" style="68" customWidth="1"/>
    <col min="501" max="501" width="9.7109375" style="68" bestFit="1" customWidth="1"/>
    <col min="502" max="502" width="10.85546875" style="68" customWidth="1"/>
    <col min="503" max="503" width="10.42578125" style="68" customWidth="1"/>
    <col min="504" max="504" width="9.7109375" style="68" bestFit="1" customWidth="1"/>
    <col min="505" max="507" width="9.28515625" style="68" bestFit="1" customWidth="1"/>
    <col min="508" max="508" width="10.7109375" style="68" bestFit="1" customWidth="1"/>
    <col min="509" max="509" width="11.28515625" style="68" customWidth="1"/>
    <col min="510" max="510" width="12.5703125" style="68" customWidth="1"/>
    <col min="511" max="511" width="13.5703125" style="68" customWidth="1"/>
    <col min="512" max="512" width="13" style="68" customWidth="1"/>
    <col min="513" max="751" width="9.140625" style="68"/>
    <col min="752" max="752" width="3.7109375" style="68" customWidth="1"/>
    <col min="753" max="753" width="4" style="68" bestFit="1" customWidth="1"/>
    <col min="754" max="754" width="14.5703125" style="68" customWidth="1"/>
    <col min="755" max="755" width="11.140625" style="68" customWidth="1"/>
    <col min="756" max="756" width="8.7109375" style="68" customWidth="1"/>
    <col min="757" max="757" width="9.7109375" style="68" bestFit="1" customWidth="1"/>
    <col min="758" max="758" width="10.85546875" style="68" customWidth="1"/>
    <col min="759" max="759" width="10.42578125" style="68" customWidth="1"/>
    <col min="760" max="760" width="9.7109375" style="68" bestFit="1" customWidth="1"/>
    <col min="761" max="763" width="9.28515625" style="68" bestFit="1" customWidth="1"/>
    <col min="764" max="764" width="10.7109375" style="68" bestFit="1" customWidth="1"/>
    <col min="765" max="765" width="11.28515625" style="68" customWidth="1"/>
    <col min="766" max="766" width="12.5703125" style="68" customWidth="1"/>
    <col min="767" max="767" width="13.5703125" style="68" customWidth="1"/>
    <col min="768" max="768" width="13" style="68" customWidth="1"/>
    <col min="769" max="1007" width="9.140625" style="68"/>
    <col min="1008" max="1008" width="3.7109375" style="68" customWidth="1"/>
    <col min="1009" max="1009" width="4" style="68" bestFit="1" customWidth="1"/>
    <col min="1010" max="1010" width="14.5703125" style="68" customWidth="1"/>
    <col min="1011" max="1011" width="11.140625" style="68" customWidth="1"/>
    <col min="1012" max="1012" width="8.7109375" style="68" customWidth="1"/>
    <col min="1013" max="1013" width="9.7109375" style="68" bestFit="1" customWidth="1"/>
    <col min="1014" max="1014" width="10.85546875" style="68" customWidth="1"/>
    <col min="1015" max="1015" width="10.42578125" style="68" customWidth="1"/>
    <col min="1016" max="1016" width="9.7109375" style="68" bestFit="1" customWidth="1"/>
    <col min="1017" max="1019" width="9.28515625" style="68" bestFit="1" customWidth="1"/>
    <col min="1020" max="1020" width="10.7109375" style="68" bestFit="1" customWidth="1"/>
    <col min="1021" max="1021" width="11.28515625" style="68" customWidth="1"/>
    <col min="1022" max="1022" width="12.5703125" style="68" customWidth="1"/>
    <col min="1023" max="1023" width="13.5703125" style="68" customWidth="1"/>
    <col min="1024" max="1024" width="13" style="68" customWidth="1"/>
    <col min="1025" max="1263" width="9.140625" style="68"/>
    <col min="1264" max="1264" width="3.7109375" style="68" customWidth="1"/>
    <col min="1265" max="1265" width="4" style="68" bestFit="1" customWidth="1"/>
    <col min="1266" max="1266" width="14.5703125" style="68" customWidth="1"/>
    <col min="1267" max="1267" width="11.140625" style="68" customWidth="1"/>
    <col min="1268" max="1268" width="8.7109375" style="68" customWidth="1"/>
    <col min="1269" max="1269" width="9.7109375" style="68" bestFit="1" customWidth="1"/>
    <col min="1270" max="1270" width="10.85546875" style="68" customWidth="1"/>
    <col min="1271" max="1271" width="10.42578125" style="68" customWidth="1"/>
    <col min="1272" max="1272" width="9.7109375" style="68" bestFit="1" customWidth="1"/>
    <col min="1273" max="1275" width="9.28515625" style="68" bestFit="1" customWidth="1"/>
    <col min="1276" max="1276" width="10.7109375" style="68" bestFit="1" customWidth="1"/>
    <col min="1277" max="1277" width="11.28515625" style="68" customWidth="1"/>
    <col min="1278" max="1278" width="12.5703125" style="68" customWidth="1"/>
    <col min="1279" max="1279" width="13.5703125" style="68" customWidth="1"/>
    <col min="1280" max="1280" width="13" style="68" customWidth="1"/>
    <col min="1281" max="1519" width="9.140625" style="68"/>
    <col min="1520" max="1520" width="3.7109375" style="68" customWidth="1"/>
    <col min="1521" max="1521" width="4" style="68" bestFit="1" customWidth="1"/>
    <col min="1522" max="1522" width="14.5703125" style="68" customWidth="1"/>
    <col min="1523" max="1523" width="11.140625" style="68" customWidth="1"/>
    <col min="1524" max="1524" width="8.7109375" style="68" customWidth="1"/>
    <col min="1525" max="1525" width="9.7109375" style="68" bestFit="1" customWidth="1"/>
    <col min="1526" max="1526" width="10.85546875" style="68" customWidth="1"/>
    <col min="1527" max="1527" width="10.42578125" style="68" customWidth="1"/>
    <col min="1528" max="1528" width="9.7109375" style="68" bestFit="1" customWidth="1"/>
    <col min="1529" max="1531" width="9.28515625" style="68" bestFit="1" customWidth="1"/>
    <col min="1532" max="1532" width="10.7109375" style="68" bestFit="1" customWidth="1"/>
    <col min="1533" max="1533" width="11.28515625" style="68" customWidth="1"/>
    <col min="1534" max="1534" width="12.5703125" style="68" customWidth="1"/>
    <col min="1535" max="1535" width="13.5703125" style="68" customWidth="1"/>
    <col min="1536" max="1536" width="13" style="68" customWidth="1"/>
    <col min="1537" max="1775" width="9.140625" style="68"/>
    <col min="1776" max="1776" width="3.7109375" style="68" customWidth="1"/>
    <col min="1777" max="1777" width="4" style="68" bestFit="1" customWidth="1"/>
    <col min="1778" max="1778" width="14.5703125" style="68" customWidth="1"/>
    <col min="1779" max="1779" width="11.140625" style="68" customWidth="1"/>
    <col min="1780" max="1780" width="8.7109375" style="68" customWidth="1"/>
    <col min="1781" max="1781" width="9.7109375" style="68" bestFit="1" customWidth="1"/>
    <col min="1782" max="1782" width="10.85546875" style="68" customWidth="1"/>
    <col min="1783" max="1783" width="10.42578125" style="68" customWidth="1"/>
    <col min="1784" max="1784" width="9.7109375" style="68" bestFit="1" customWidth="1"/>
    <col min="1785" max="1787" width="9.28515625" style="68" bestFit="1" customWidth="1"/>
    <col min="1788" max="1788" width="10.7109375" style="68" bestFit="1" customWidth="1"/>
    <col min="1789" max="1789" width="11.28515625" style="68" customWidth="1"/>
    <col min="1790" max="1790" width="12.5703125" style="68" customWidth="1"/>
    <col min="1791" max="1791" width="13.5703125" style="68" customWidth="1"/>
    <col min="1792" max="1792" width="13" style="68" customWidth="1"/>
    <col min="1793" max="2031" width="9.140625" style="68"/>
    <col min="2032" max="2032" width="3.7109375" style="68" customWidth="1"/>
    <col min="2033" max="2033" width="4" style="68" bestFit="1" customWidth="1"/>
    <col min="2034" max="2034" width="14.5703125" style="68" customWidth="1"/>
    <col min="2035" max="2035" width="11.140625" style="68" customWidth="1"/>
    <col min="2036" max="2036" width="8.7109375" style="68" customWidth="1"/>
    <col min="2037" max="2037" width="9.7109375" style="68" bestFit="1" customWidth="1"/>
    <col min="2038" max="2038" width="10.85546875" style="68" customWidth="1"/>
    <col min="2039" max="2039" width="10.42578125" style="68" customWidth="1"/>
    <col min="2040" max="2040" width="9.7109375" style="68" bestFit="1" customWidth="1"/>
    <col min="2041" max="2043" width="9.28515625" style="68" bestFit="1" customWidth="1"/>
    <col min="2044" max="2044" width="10.7109375" style="68" bestFit="1" customWidth="1"/>
    <col min="2045" max="2045" width="11.28515625" style="68" customWidth="1"/>
    <col min="2046" max="2046" width="12.5703125" style="68" customWidth="1"/>
    <col min="2047" max="2047" width="13.5703125" style="68" customWidth="1"/>
    <col min="2048" max="2048" width="13" style="68" customWidth="1"/>
    <col min="2049" max="2287" width="9.140625" style="68"/>
    <col min="2288" max="2288" width="3.7109375" style="68" customWidth="1"/>
    <col min="2289" max="2289" width="4" style="68" bestFit="1" customWidth="1"/>
    <col min="2290" max="2290" width="14.5703125" style="68" customWidth="1"/>
    <col min="2291" max="2291" width="11.140625" style="68" customWidth="1"/>
    <col min="2292" max="2292" width="8.7109375" style="68" customWidth="1"/>
    <col min="2293" max="2293" width="9.7109375" style="68" bestFit="1" customWidth="1"/>
    <col min="2294" max="2294" width="10.85546875" style="68" customWidth="1"/>
    <col min="2295" max="2295" width="10.42578125" style="68" customWidth="1"/>
    <col min="2296" max="2296" width="9.7109375" style="68" bestFit="1" customWidth="1"/>
    <col min="2297" max="2299" width="9.28515625" style="68" bestFit="1" customWidth="1"/>
    <col min="2300" max="2300" width="10.7109375" style="68" bestFit="1" customWidth="1"/>
    <col min="2301" max="2301" width="11.28515625" style="68" customWidth="1"/>
    <col min="2302" max="2302" width="12.5703125" style="68" customWidth="1"/>
    <col min="2303" max="2303" width="13.5703125" style="68" customWidth="1"/>
    <col min="2304" max="2304" width="13" style="68" customWidth="1"/>
    <col min="2305" max="2543" width="9.140625" style="68"/>
    <col min="2544" max="2544" width="3.7109375" style="68" customWidth="1"/>
    <col min="2545" max="2545" width="4" style="68" bestFit="1" customWidth="1"/>
    <col min="2546" max="2546" width="14.5703125" style="68" customWidth="1"/>
    <col min="2547" max="2547" width="11.140625" style="68" customWidth="1"/>
    <col min="2548" max="2548" width="8.7109375" style="68" customWidth="1"/>
    <col min="2549" max="2549" width="9.7109375" style="68" bestFit="1" customWidth="1"/>
    <col min="2550" max="2550" width="10.85546875" style="68" customWidth="1"/>
    <col min="2551" max="2551" width="10.42578125" style="68" customWidth="1"/>
    <col min="2552" max="2552" width="9.7109375" style="68" bestFit="1" customWidth="1"/>
    <col min="2553" max="2555" width="9.28515625" style="68" bestFit="1" customWidth="1"/>
    <col min="2556" max="2556" width="10.7109375" style="68" bestFit="1" customWidth="1"/>
    <col min="2557" max="2557" width="11.28515625" style="68" customWidth="1"/>
    <col min="2558" max="2558" width="12.5703125" style="68" customWidth="1"/>
    <col min="2559" max="2559" width="13.5703125" style="68" customWidth="1"/>
    <col min="2560" max="2560" width="13" style="68" customWidth="1"/>
    <col min="2561" max="2799" width="9.140625" style="68"/>
    <col min="2800" max="2800" width="3.7109375" style="68" customWidth="1"/>
    <col min="2801" max="2801" width="4" style="68" bestFit="1" customWidth="1"/>
    <col min="2802" max="2802" width="14.5703125" style="68" customWidth="1"/>
    <col min="2803" max="2803" width="11.140625" style="68" customWidth="1"/>
    <col min="2804" max="2804" width="8.7109375" style="68" customWidth="1"/>
    <col min="2805" max="2805" width="9.7109375" style="68" bestFit="1" customWidth="1"/>
    <col min="2806" max="2806" width="10.85546875" style="68" customWidth="1"/>
    <col min="2807" max="2807" width="10.42578125" style="68" customWidth="1"/>
    <col min="2808" max="2808" width="9.7109375" style="68" bestFit="1" customWidth="1"/>
    <col min="2809" max="2811" width="9.28515625" style="68" bestFit="1" customWidth="1"/>
    <col min="2812" max="2812" width="10.7109375" style="68" bestFit="1" customWidth="1"/>
    <col min="2813" max="2813" width="11.28515625" style="68" customWidth="1"/>
    <col min="2814" max="2814" width="12.5703125" style="68" customWidth="1"/>
    <col min="2815" max="2815" width="13.5703125" style="68" customWidth="1"/>
    <col min="2816" max="2816" width="13" style="68" customWidth="1"/>
    <col min="2817" max="3055" width="9.140625" style="68"/>
    <col min="3056" max="3056" width="3.7109375" style="68" customWidth="1"/>
    <col min="3057" max="3057" width="4" style="68" bestFit="1" customWidth="1"/>
    <col min="3058" max="3058" width="14.5703125" style="68" customWidth="1"/>
    <col min="3059" max="3059" width="11.140625" style="68" customWidth="1"/>
    <col min="3060" max="3060" width="8.7109375" style="68" customWidth="1"/>
    <col min="3061" max="3061" width="9.7109375" style="68" bestFit="1" customWidth="1"/>
    <col min="3062" max="3062" width="10.85546875" style="68" customWidth="1"/>
    <col min="3063" max="3063" width="10.42578125" style="68" customWidth="1"/>
    <col min="3064" max="3064" width="9.7109375" style="68" bestFit="1" customWidth="1"/>
    <col min="3065" max="3067" width="9.28515625" style="68" bestFit="1" customWidth="1"/>
    <col min="3068" max="3068" width="10.7109375" style="68" bestFit="1" customWidth="1"/>
    <col min="3069" max="3069" width="11.28515625" style="68" customWidth="1"/>
    <col min="3070" max="3070" width="12.5703125" style="68" customWidth="1"/>
    <col min="3071" max="3071" width="13.5703125" style="68" customWidth="1"/>
    <col min="3072" max="3072" width="13" style="68" customWidth="1"/>
    <col min="3073" max="3311" width="9.140625" style="68"/>
    <col min="3312" max="3312" width="3.7109375" style="68" customWidth="1"/>
    <col min="3313" max="3313" width="4" style="68" bestFit="1" customWidth="1"/>
    <col min="3314" max="3314" width="14.5703125" style="68" customWidth="1"/>
    <col min="3315" max="3315" width="11.140625" style="68" customWidth="1"/>
    <col min="3316" max="3316" width="8.7109375" style="68" customWidth="1"/>
    <col min="3317" max="3317" width="9.7109375" style="68" bestFit="1" customWidth="1"/>
    <col min="3318" max="3318" width="10.85546875" style="68" customWidth="1"/>
    <col min="3319" max="3319" width="10.42578125" style="68" customWidth="1"/>
    <col min="3320" max="3320" width="9.7109375" style="68" bestFit="1" customWidth="1"/>
    <col min="3321" max="3323" width="9.28515625" style="68" bestFit="1" customWidth="1"/>
    <col min="3324" max="3324" width="10.7109375" style="68" bestFit="1" customWidth="1"/>
    <col min="3325" max="3325" width="11.28515625" style="68" customWidth="1"/>
    <col min="3326" max="3326" width="12.5703125" style="68" customWidth="1"/>
    <col min="3327" max="3327" width="13.5703125" style="68" customWidth="1"/>
    <col min="3328" max="3328" width="13" style="68" customWidth="1"/>
    <col min="3329" max="3567" width="9.140625" style="68"/>
    <col min="3568" max="3568" width="3.7109375" style="68" customWidth="1"/>
    <col min="3569" max="3569" width="4" style="68" bestFit="1" customWidth="1"/>
    <col min="3570" max="3570" width="14.5703125" style="68" customWidth="1"/>
    <col min="3571" max="3571" width="11.140625" style="68" customWidth="1"/>
    <col min="3572" max="3572" width="8.7109375" style="68" customWidth="1"/>
    <col min="3573" max="3573" width="9.7109375" style="68" bestFit="1" customWidth="1"/>
    <col min="3574" max="3574" width="10.85546875" style="68" customWidth="1"/>
    <col min="3575" max="3575" width="10.42578125" style="68" customWidth="1"/>
    <col min="3576" max="3576" width="9.7109375" style="68" bestFit="1" customWidth="1"/>
    <col min="3577" max="3579" width="9.28515625" style="68" bestFit="1" customWidth="1"/>
    <col min="3580" max="3580" width="10.7109375" style="68" bestFit="1" customWidth="1"/>
    <col min="3581" max="3581" width="11.28515625" style="68" customWidth="1"/>
    <col min="3582" max="3582" width="12.5703125" style="68" customWidth="1"/>
    <col min="3583" max="3583" width="13.5703125" style="68" customWidth="1"/>
    <col min="3584" max="3584" width="13" style="68" customWidth="1"/>
    <col min="3585" max="3823" width="9.140625" style="68"/>
    <col min="3824" max="3824" width="3.7109375" style="68" customWidth="1"/>
    <col min="3825" max="3825" width="4" style="68" bestFit="1" customWidth="1"/>
    <col min="3826" max="3826" width="14.5703125" style="68" customWidth="1"/>
    <col min="3827" max="3827" width="11.140625" style="68" customWidth="1"/>
    <col min="3828" max="3828" width="8.7109375" style="68" customWidth="1"/>
    <col min="3829" max="3829" width="9.7109375" style="68" bestFit="1" customWidth="1"/>
    <col min="3830" max="3830" width="10.85546875" style="68" customWidth="1"/>
    <col min="3831" max="3831" width="10.42578125" style="68" customWidth="1"/>
    <col min="3832" max="3832" width="9.7109375" style="68" bestFit="1" customWidth="1"/>
    <col min="3833" max="3835" width="9.28515625" style="68" bestFit="1" customWidth="1"/>
    <col min="3836" max="3836" width="10.7109375" style="68" bestFit="1" customWidth="1"/>
    <col min="3837" max="3837" width="11.28515625" style="68" customWidth="1"/>
    <col min="3838" max="3838" width="12.5703125" style="68" customWidth="1"/>
    <col min="3839" max="3839" width="13.5703125" style="68" customWidth="1"/>
    <col min="3840" max="3840" width="13" style="68" customWidth="1"/>
    <col min="3841" max="4079" width="9.140625" style="68"/>
    <col min="4080" max="4080" width="3.7109375" style="68" customWidth="1"/>
    <col min="4081" max="4081" width="4" style="68" bestFit="1" customWidth="1"/>
    <col min="4082" max="4082" width="14.5703125" style="68" customWidth="1"/>
    <col min="4083" max="4083" width="11.140625" style="68" customWidth="1"/>
    <col min="4084" max="4084" width="8.7109375" style="68" customWidth="1"/>
    <col min="4085" max="4085" width="9.7109375" style="68" bestFit="1" customWidth="1"/>
    <col min="4086" max="4086" width="10.85546875" style="68" customWidth="1"/>
    <col min="4087" max="4087" width="10.42578125" style="68" customWidth="1"/>
    <col min="4088" max="4088" width="9.7109375" style="68" bestFit="1" customWidth="1"/>
    <col min="4089" max="4091" width="9.28515625" style="68" bestFit="1" customWidth="1"/>
    <col min="4092" max="4092" width="10.7109375" style="68" bestFit="1" customWidth="1"/>
    <col min="4093" max="4093" width="11.28515625" style="68" customWidth="1"/>
    <col min="4094" max="4094" width="12.5703125" style="68" customWidth="1"/>
    <col min="4095" max="4095" width="13.5703125" style="68" customWidth="1"/>
    <col min="4096" max="4096" width="13" style="68" customWidth="1"/>
    <col min="4097" max="4335" width="9.140625" style="68"/>
    <col min="4336" max="4336" width="3.7109375" style="68" customWidth="1"/>
    <col min="4337" max="4337" width="4" style="68" bestFit="1" customWidth="1"/>
    <col min="4338" max="4338" width="14.5703125" style="68" customWidth="1"/>
    <col min="4339" max="4339" width="11.140625" style="68" customWidth="1"/>
    <col min="4340" max="4340" width="8.7109375" style="68" customWidth="1"/>
    <col min="4341" max="4341" width="9.7109375" style="68" bestFit="1" customWidth="1"/>
    <col min="4342" max="4342" width="10.85546875" style="68" customWidth="1"/>
    <col min="4343" max="4343" width="10.42578125" style="68" customWidth="1"/>
    <col min="4344" max="4344" width="9.7109375" style="68" bestFit="1" customWidth="1"/>
    <col min="4345" max="4347" width="9.28515625" style="68" bestFit="1" customWidth="1"/>
    <col min="4348" max="4348" width="10.7109375" style="68" bestFit="1" customWidth="1"/>
    <col min="4349" max="4349" width="11.28515625" style="68" customWidth="1"/>
    <col min="4350" max="4350" width="12.5703125" style="68" customWidth="1"/>
    <col min="4351" max="4351" width="13.5703125" style="68" customWidth="1"/>
    <col min="4352" max="4352" width="13" style="68" customWidth="1"/>
    <col min="4353" max="4591" width="9.140625" style="68"/>
    <col min="4592" max="4592" width="3.7109375" style="68" customWidth="1"/>
    <col min="4593" max="4593" width="4" style="68" bestFit="1" customWidth="1"/>
    <col min="4594" max="4594" width="14.5703125" style="68" customWidth="1"/>
    <col min="4595" max="4595" width="11.140625" style="68" customWidth="1"/>
    <col min="4596" max="4596" width="8.7109375" style="68" customWidth="1"/>
    <col min="4597" max="4597" width="9.7109375" style="68" bestFit="1" customWidth="1"/>
    <col min="4598" max="4598" width="10.85546875" style="68" customWidth="1"/>
    <col min="4599" max="4599" width="10.42578125" style="68" customWidth="1"/>
    <col min="4600" max="4600" width="9.7109375" style="68" bestFit="1" customWidth="1"/>
    <col min="4601" max="4603" width="9.28515625" style="68" bestFit="1" customWidth="1"/>
    <col min="4604" max="4604" width="10.7109375" style="68" bestFit="1" customWidth="1"/>
    <col min="4605" max="4605" width="11.28515625" style="68" customWidth="1"/>
    <col min="4606" max="4606" width="12.5703125" style="68" customWidth="1"/>
    <col min="4607" max="4607" width="13.5703125" style="68" customWidth="1"/>
    <col min="4608" max="4608" width="13" style="68" customWidth="1"/>
    <col min="4609" max="4847" width="9.140625" style="68"/>
    <col min="4848" max="4848" width="3.7109375" style="68" customWidth="1"/>
    <col min="4849" max="4849" width="4" style="68" bestFit="1" customWidth="1"/>
    <col min="4850" max="4850" width="14.5703125" style="68" customWidth="1"/>
    <col min="4851" max="4851" width="11.140625" style="68" customWidth="1"/>
    <col min="4852" max="4852" width="8.7109375" style="68" customWidth="1"/>
    <col min="4853" max="4853" width="9.7109375" style="68" bestFit="1" customWidth="1"/>
    <col min="4854" max="4854" width="10.85546875" style="68" customWidth="1"/>
    <col min="4855" max="4855" width="10.42578125" style="68" customWidth="1"/>
    <col min="4856" max="4856" width="9.7109375" style="68" bestFit="1" customWidth="1"/>
    <col min="4857" max="4859" width="9.28515625" style="68" bestFit="1" customWidth="1"/>
    <col min="4860" max="4860" width="10.7109375" style="68" bestFit="1" customWidth="1"/>
    <col min="4861" max="4861" width="11.28515625" style="68" customWidth="1"/>
    <col min="4862" max="4862" width="12.5703125" style="68" customWidth="1"/>
    <col min="4863" max="4863" width="13.5703125" style="68" customWidth="1"/>
    <col min="4864" max="4864" width="13" style="68" customWidth="1"/>
    <col min="4865" max="5103" width="9.140625" style="68"/>
    <col min="5104" max="5104" width="3.7109375" style="68" customWidth="1"/>
    <col min="5105" max="5105" width="4" style="68" bestFit="1" customWidth="1"/>
    <col min="5106" max="5106" width="14.5703125" style="68" customWidth="1"/>
    <col min="5107" max="5107" width="11.140625" style="68" customWidth="1"/>
    <col min="5108" max="5108" width="8.7109375" style="68" customWidth="1"/>
    <col min="5109" max="5109" width="9.7109375" style="68" bestFit="1" customWidth="1"/>
    <col min="5110" max="5110" width="10.85546875" style="68" customWidth="1"/>
    <col min="5111" max="5111" width="10.42578125" style="68" customWidth="1"/>
    <col min="5112" max="5112" width="9.7109375" style="68" bestFit="1" customWidth="1"/>
    <col min="5113" max="5115" width="9.28515625" style="68" bestFit="1" customWidth="1"/>
    <col min="5116" max="5116" width="10.7109375" style="68" bestFit="1" customWidth="1"/>
    <col min="5117" max="5117" width="11.28515625" style="68" customWidth="1"/>
    <col min="5118" max="5118" width="12.5703125" style="68" customWidth="1"/>
    <col min="5119" max="5119" width="13.5703125" style="68" customWidth="1"/>
    <col min="5120" max="5120" width="13" style="68" customWidth="1"/>
    <col min="5121" max="5359" width="9.140625" style="68"/>
    <col min="5360" max="5360" width="3.7109375" style="68" customWidth="1"/>
    <col min="5361" max="5361" width="4" style="68" bestFit="1" customWidth="1"/>
    <col min="5362" max="5362" width="14.5703125" style="68" customWidth="1"/>
    <col min="5363" max="5363" width="11.140625" style="68" customWidth="1"/>
    <col min="5364" max="5364" width="8.7109375" style="68" customWidth="1"/>
    <col min="5365" max="5365" width="9.7109375" style="68" bestFit="1" customWidth="1"/>
    <col min="5366" max="5366" width="10.85546875" style="68" customWidth="1"/>
    <col min="5367" max="5367" width="10.42578125" style="68" customWidth="1"/>
    <col min="5368" max="5368" width="9.7109375" style="68" bestFit="1" customWidth="1"/>
    <col min="5369" max="5371" width="9.28515625" style="68" bestFit="1" customWidth="1"/>
    <col min="5372" max="5372" width="10.7109375" style="68" bestFit="1" customWidth="1"/>
    <col min="5373" max="5373" width="11.28515625" style="68" customWidth="1"/>
    <col min="5374" max="5374" width="12.5703125" style="68" customWidth="1"/>
    <col min="5375" max="5375" width="13.5703125" style="68" customWidth="1"/>
    <col min="5376" max="5376" width="13" style="68" customWidth="1"/>
    <col min="5377" max="5615" width="9.140625" style="68"/>
    <col min="5616" max="5616" width="3.7109375" style="68" customWidth="1"/>
    <col min="5617" max="5617" width="4" style="68" bestFit="1" customWidth="1"/>
    <col min="5618" max="5618" width="14.5703125" style="68" customWidth="1"/>
    <col min="5619" max="5619" width="11.140625" style="68" customWidth="1"/>
    <col min="5620" max="5620" width="8.7109375" style="68" customWidth="1"/>
    <col min="5621" max="5621" width="9.7109375" style="68" bestFit="1" customWidth="1"/>
    <col min="5622" max="5622" width="10.85546875" style="68" customWidth="1"/>
    <col min="5623" max="5623" width="10.42578125" style="68" customWidth="1"/>
    <col min="5624" max="5624" width="9.7109375" style="68" bestFit="1" customWidth="1"/>
    <col min="5625" max="5627" width="9.28515625" style="68" bestFit="1" customWidth="1"/>
    <col min="5628" max="5628" width="10.7109375" style="68" bestFit="1" customWidth="1"/>
    <col min="5629" max="5629" width="11.28515625" style="68" customWidth="1"/>
    <col min="5630" max="5630" width="12.5703125" style="68" customWidth="1"/>
    <col min="5631" max="5631" width="13.5703125" style="68" customWidth="1"/>
    <col min="5632" max="5632" width="13" style="68" customWidth="1"/>
    <col min="5633" max="5871" width="9.140625" style="68"/>
    <col min="5872" max="5872" width="3.7109375" style="68" customWidth="1"/>
    <col min="5873" max="5873" width="4" style="68" bestFit="1" customWidth="1"/>
    <col min="5874" max="5874" width="14.5703125" style="68" customWidth="1"/>
    <col min="5875" max="5875" width="11.140625" style="68" customWidth="1"/>
    <col min="5876" max="5876" width="8.7109375" style="68" customWidth="1"/>
    <col min="5877" max="5877" width="9.7109375" style="68" bestFit="1" customWidth="1"/>
    <col min="5878" max="5878" width="10.85546875" style="68" customWidth="1"/>
    <col min="5879" max="5879" width="10.42578125" style="68" customWidth="1"/>
    <col min="5880" max="5880" width="9.7109375" style="68" bestFit="1" customWidth="1"/>
    <col min="5881" max="5883" width="9.28515625" style="68" bestFit="1" customWidth="1"/>
    <col min="5884" max="5884" width="10.7109375" style="68" bestFit="1" customWidth="1"/>
    <col min="5885" max="5885" width="11.28515625" style="68" customWidth="1"/>
    <col min="5886" max="5886" width="12.5703125" style="68" customWidth="1"/>
    <col min="5887" max="5887" width="13.5703125" style="68" customWidth="1"/>
    <col min="5888" max="5888" width="13" style="68" customWidth="1"/>
    <col min="5889" max="6127" width="9.140625" style="68"/>
    <col min="6128" max="6128" width="3.7109375" style="68" customWidth="1"/>
    <col min="6129" max="6129" width="4" style="68" bestFit="1" customWidth="1"/>
    <col min="6130" max="6130" width="14.5703125" style="68" customWidth="1"/>
    <col min="6131" max="6131" width="11.140625" style="68" customWidth="1"/>
    <col min="6132" max="6132" width="8.7109375" style="68" customWidth="1"/>
    <col min="6133" max="6133" width="9.7109375" style="68" bestFit="1" customWidth="1"/>
    <col min="6134" max="6134" width="10.85546875" style="68" customWidth="1"/>
    <col min="6135" max="6135" width="10.42578125" style="68" customWidth="1"/>
    <col min="6136" max="6136" width="9.7109375" style="68" bestFit="1" customWidth="1"/>
    <col min="6137" max="6139" width="9.28515625" style="68" bestFit="1" customWidth="1"/>
    <col min="6140" max="6140" width="10.7109375" style="68" bestFit="1" customWidth="1"/>
    <col min="6141" max="6141" width="11.28515625" style="68" customWidth="1"/>
    <col min="6142" max="6142" width="12.5703125" style="68" customWidth="1"/>
    <col min="6143" max="6143" width="13.5703125" style="68" customWidth="1"/>
    <col min="6144" max="6144" width="13" style="68" customWidth="1"/>
    <col min="6145" max="6383" width="9.140625" style="68"/>
    <col min="6384" max="6384" width="3.7109375" style="68" customWidth="1"/>
    <col min="6385" max="6385" width="4" style="68" bestFit="1" customWidth="1"/>
    <col min="6386" max="6386" width="14.5703125" style="68" customWidth="1"/>
    <col min="6387" max="6387" width="11.140625" style="68" customWidth="1"/>
    <col min="6388" max="6388" width="8.7109375" style="68" customWidth="1"/>
    <col min="6389" max="6389" width="9.7109375" style="68" bestFit="1" customWidth="1"/>
    <col min="6390" max="6390" width="10.85546875" style="68" customWidth="1"/>
    <col min="6391" max="6391" width="10.42578125" style="68" customWidth="1"/>
    <col min="6392" max="6392" width="9.7109375" style="68" bestFit="1" customWidth="1"/>
    <col min="6393" max="6395" width="9.28515625" style="68" bestFit="1" customWidth="1"/>
    <col min="6396" max="6396" width="10.7109375" style="68" bestFit="1" customWidth="1"/>
    <col min="6397" max="6397" width="11.28515625" style="68" customWidth="1"/>
    <col min="6398" max="6398" width="12.5703125" style="68" customWidth="1"/>
    <col min="6399" max="6399" width="13.5703125" style="68" customWidth="1"/>
    <col min="6400" max="6400" width="13" style="68" customWidth="1"/>
    <col min="6401" max="6639" width="9.140625" style="68"/>
    <col min="6640" max="6640" width="3.7109375" style="68" customWidth="1"/>
    <col min="6641" max="6641" width="4" style="68" bestFit="1" customWidth="1"/>
    <col min="6642" max="6642" width="14.5703125" style="68" customWidth="1"/>
    <col min="6643" max="6643" width="11.140625" style="68" customWidth="1"/>
    <col min="6644" max="6644" width="8.7109375" style="68" customWidth="1"/>
    <col min="6645" max="6645" width="9.7109375" style="68" bestFit="1" customWidth="1"/>
    <col min="6646" max="6646" width="10.85546875" style="68" customWidth="1"/>
    <col min="6647" max="6647" width="10.42578125" style="68" customWidth="1"/>
    <col min="6648" max="6648" width="9.7109375" style="68" bestFit="1" customWidth="1"/>
    <col min="6649" max="6651" width="9.28515625" style="68" bestFit="1" customWidth="1"/>
    <col min="6652" max="6652" width="10.7109375" style="68" bestFit="1" customWidth="1"/>
    <col min="6653" max="6653" width="11.28515625" style="68" customWidth="1"/>
    <col min="6654" max="6654" width="12.5703125" style="68" customWidth="1"/>
    <col min="6655" max="6655" width="13.5703125" style="68" customWidth="1"/>
    <col min="6656" max="6656" width="13" style="68" customWidth="1"/>
    <col min="6657" max="6895" width="9.140625" style="68"/>
    <col min="6896" max="6896" width="3.7109375" style="68" customWidth="1"/>
    <col min="6897" max="6897" width="4" style="68" bestFit="1" customWidth="1"/>
    <col min="6898" max="6898" width="14.5703125" style="68" customWidth="1"/>
    <col min="6899" max="6899" width="11.140625" style="68" customWidth="1"/>
    <col min="6900" max="6900" width="8.7109375" style="68" customWidth="1"/>
    <col min="6901" max="6901" width="9.7109375" style="68" bestFit="1" customWidth="1"/>
    <col min="6902" max="6902" width="10.85546875" style="68" customWidth="1"/>
    <col min="6903" max="6903" width="10.42578125" style="68" customWidth="1"/>
    <col min="6904" max="6904" width="9.7109375" style="68" bestFit="1" customWidth="1"/>
    <col min="6905" max="6907" width="9.28515625" style="68" bestFit="1" customWidth="1"/>
    <col min="6908" max="6908" width="10.7109375" style="68" bestFit="1" customWidth="1"/>
    <col min="6909" max="6909" width="11.28515625" style="68" customWidth="1"/>
    <col min="6910" max="6910" width="12.5703125" style="68" customWidth="1"/>
    <col min="6911" max="6911" width="13.5703125" style="68" customWidth="1"/>
    <col min="6912" max="6912" width="13" style="68" customWidth="1"/>
    <col min="6913" max="7151" width="9.140625" style="68"/>
    <col min="7152" max="7152" width="3.7109375" style="68" customWidth="1"/>
    <col min="7153" max="7153" width="4" style="68" bestFit="1" customWidth="1"/>
    <col min="7154" max="7154" width="14.5703125" style="68" customWidth="1"/>
    <col min="7155" max="7155" width="11.140625" style="68" customWidth="1"/>
    <col min="7156" max="7156" width="8.7109375" style="68" customWidth="1"/>
    <col min="7157" max="7157" width="9.7109375" style="68" bestFit="1" customWidth="1"/>
    <col min="7158" max="7158" width="10.85546875" style="68" customWidth="1"/>
    <col min="7159" max="7159" width="10.42578125" style="68" customWidth="1"/>
    <col min="7160" max="7160" width="9.7109375" style="68" bestFit="1" customWidth="1"/>
    <col min="7161" max="7163" width="9.28515625" style="68" bestFit="1" customWidth="1"/>
    <col min="7164" max="7164" width="10.7109375" style="68" bestFit="1" customWidth="1"/>
    <col min="7165" max="7165" width="11.28515625" style="68" customWidth="1"/>
    <col min="7166" max="7166" width="12.5703125" style="68" customWidth="1"/>
    <col min="7167" max="7167" width="13.5703125" style="68" customWidth="1"/>
    <col min="7168" max="7168" width="13" style="68" customWidth="1"/>
    <col min="7169" max="7407" width="9.140625" style="68"/>
    <col min="7408" max="7408" width="3.7109375" style="68" customWidth="1"/>
    <col min="7409" max="7409" width="4" style="68" bestFit="1" customWidth="1"/>
    <col min="7410" max="7410" width="14.5703125" style="68" customWidth="1"/>
    <col min="7411" max="7411" width="11.140625" style="68" customWidth="1"/>
    <col min="7412" max="7412" width="8.7109375" style="68" customWidth="1"/>
    <col min="7413" max="7413" width="9.7109375" style="68" bestFit="1" customWidth="1"/>
    <col min="7414" max="7414" width="10.85546875" style="68" customWidth="1"/>
    <col min="7415" max="7415" width="10.42578125" style="68" customWidth="1"/>
    <col min="7416" max="7416" width="9.7109375" style="68" bestFit="1" customWidth="1"/>
    <col min="7417" max="7419" width="9.28515625" style="68" bestFit="1" customWidth="1"/>
    <col min="7420" max="7420" width="10.7109375" style="68" bestFit="1" customWidth="1"/>
    <col min="7421" max="7421" width="11.28515625" style="68" customWidth="1"/>
    <col min="7422" max="7422" width="12.5703125" style="68" customWidth="1"/>
    <col min="7423" max="7423" width="13.5703125" style="68" customWidth="1"/>
    <col min="7424" max="7424" width="13" style="68" customWidth="1"/>
    <col min="7425" max="7663" width="9.140625" style="68"/>
    <col min="7664" max="7664" width="3.7109375" style="68" customWidth="1"/>
    <col min="7665" max="7665" width="4" style="68" bestFit="1" customWidth="1"/>
    <col min="7666" max="7666" width="14.5703125" style="68" customWidth="1"/>
    <col min="7667" max="7667" width="11.140625" style="68" customWidth="1"/>
    <col min="7668" max="7668" width="8.7109375" style="68" customWidth="1"/>
    <col min="7669" max="7669" width="9.7109375" style="68" bestFit="1" customWidth="1"/>
    <col min="7670" max="7670" width="10.85546875" style="68" customWidth="1"/>
    <col min="7671" max="7671" width="10.42578125" style="68" customWidth="1"/>
    <col min="7672" max="7672" width="9.7109375" style="68" bestFit="1" customWidth="1"/>
    <col min="7673" max="7675" width="9.28515625" style="68" bestFit="1" customWidth="1"/>
    <col min="7676" max="7676" width="10.7109375" style="68" bestFit="1" customWidth="1"/>
    <col min="7677" max="7677" width="11.28515625" style="68" customWidth="1"/>
    <col min="7678" max="7678" width="12.5703125" style="68" customWidth="1"/>
    <col min="7679" max="7679" width="13.5703125" style="68" customWidth="1"/>
    <col min="7680" max="7680" width="13" style="68" customWidth="1"/>
    <col min="7681" max="7919" width="9.140625" style="68"/>
    <col min="7920" max="7920" width="3.7109375" style="68" customWidth="1"/>
    <col min="7921" max="7921" width="4" style="68" bestFit="1" customWidth="1"/>
    <col min="7922" max="7922" width="14.5703125" style="68" customWidth="1"/>
    <col min="7923" max="7923" width="11.140625" style="68" customWidth="1"/>
    <col min="7924" max="7924" width="8.7109375" style="68" customWidth="1"/>
    <col min="7925" max="7925" width="9.7109375" style="68" bestFit="1" customWidth="1"/>
    <col min="7926" max="7926" width="10.85546875" style="68" customWidth="1"/>
    <col min="7927" max="7927" width="10.42578125" style="68" customWidth="1"/>
    <col min="7928" max="7928" width="9.7109375" style="68" bestFit="1" customWidth="1"/>
    <col min="7929" max="7931" width="9.28515625" style="68" bestFit="1" customWidth="1"/>
    <col min="7932" max="7932" width="10.7109375" style="68" bestFit="1" customWidth="1"/>
    <col min="7933" max="7933" width="11.28515625" style="68" customWidth="1"/>
    <col min="7934" max="7934" width="12.5703125" style="68" customWidth="1"/>
    <col min="7935" max="7935" width="13.5703125" style="68" customWidth="1"/>
    <col min="7936" max="7936" width="13" style="68" customWidth="1"/>
    <col min="7937" max="8175" width="9.140625" style="68"/>
    <col min="8176" max="8176" width="3.7109375" style="68" customWidth="1"/>
    <col min="8177" max="8177" width="4" style="68" bestFit="1" customWidth="1"/>
    <col min="8178" max="8178" width="14.5703125" style="68" customWidth="1"/>
    <col min="8179" max="8179" width="11.140625" style="68" customWidth="1"/>
    <col min="8180" max="8180" width="8.7109375" style="68" customWidth="1"/>
    <col min="8181" max="8181" width="9.7109375" style="68" bestFit="1" customWidth="1"/>
    <col min="8182" max="8182" width="10.85546875" style="68" customWidth="1"/>
    <col min="8183" max="8183" width="10.42578125" style="68" customWidth="1"/>
    <col min="8184" max="8184" width="9.7109375" style="68" bestFit="1" customWidth="1"/>
    <col min="8185" max="8187" width="9.28515625" style="68" bestFit="1" customWidth="1"/>
    <col min="8188" max="8188" width="10.7109375" style="68" bestFit="1" customWidth="1"/>
    <col min="8189" max="8189" width="11.28515625" style="68" customWidth="1"/>
    <col min="8190" max="8190" width="12.5703125" style="68" customWidth="1"/>
    <col min="8191" max="8191" width="13.5703125" style="68" customWidth="1"/>
    <col min="8192" max="8192" width="13" style="68" customWidth="1"/>
    <col min="8193" max="8431" width="9.140625" style="68"/>
    <col min="8432" max="8432" width="3.7109375" style="68" customWidth="1"/>
    <col min="8433" max="8433" width="4" style="68" bestFit="1" customWidth="1"/>
    <col min="8434" max="8434" width="14.5703125" style="68" customWidth="1"/>
    <col min="8435" max="8435" width="11.140625" style="68" customWidth="1"/>
    <col min="8436" max="8436" width="8.7109375" style="68" customWidth="1"/>
    <col min="8437" max="8437" width="9.7109375" style="68" bestFit="1" customWidth="1"/>
    <col min="8438" max="8438" width="10.85546875" style="68" customWidth="1"/>
    <col min="8439" max="8439" width="10.42578125" style="68" customWidth="1"/>
    <col min="8440" max="8440" width="9.7109375" style="68" bestFit="1" customWidth="1"/>
    <col min="8441" max="8443" width="9.28515625" style="68" bestFit="1" customWidth="1"/>
    <col min="8444" max="8444" width="10.7109375" style="68" bestFit="1" customWidth="1"/>
    <col min="8445" max="8445" width="11.28515625" style="68" customWidth="1"/>
    <col min="8446" max="8446" width="12.5703125" style="68" customWidth="1"/>
    <col min="8447" max="8447" width="13.5703125" style="68" customWidth="1"/>
    <col min="8448" max="8448" width="13" style="68" customWidth="1"/>
    <col min="8449" max="8687" width="9.140625" style="68"/>
    <col min="8688" max="8688" width="3.7109375" style="68" customWidth="1"/>
    <col min="8689" max="8689" width="4" style="68" bestFit="1" customWidth="1"/>
    <col min="8690" max="8690" width="14.5703125" style="68" customWidth="1"/>
    <col min="8691" max="8691" width="11.140625" style="68" customWidth="1"/>
    <col min="8692" max="8692" width="8.7109375" style="68" customWidth="1"/>
    <col min="8693" max="8693" width="9.7109375" style="68" bestFit="1" customWidth="1"/>
    <col min="8694" max="8694" width="10.85546875" style="68" customWidth="1"/>
    <col min="8695" max="8695" width="10.42578125" style="68" customWidth="1"/>
    <col min="8696" max="8696" width="9.7109375" style="68" bestFit="1" customWidth="1"/>
    <col min="8697" max="8699" width="9.28515625" style="68" bestFit="1" customWidth="1"/>
    <col min="8700" max="8700" width="10.7109375" style="68" bestFit="1" customWidth="1"/>
    <col min="8701" max="8701" width="11.28515625" style="68" customWidth="1"/>
    <col min="8702" max="8702" width="12.5703125" style="68" customWidth="1"/>
    <col min="8703" max="8703" width="13.5703125" style="68" customWidth="1"/>
    <col min="8704" max="8704" width="13" style="68" customWidth="1"/>
    <col min="8705" max="8943" width="9.140625" style="68"/>
    <col min="8944" max="8944" width="3.7109375" style="68" customWidth="1"/>
    <col min="8945" max="8945" width="4" style="68" bestFit="1" customWidth="1"/>
    <col min="8946" max="8946" width="14.5703125" style="68" customWidth="1"/>
    <col min="8947" max="8947" width="11.140625" style="68" customWidth="1"/>
    <col min="8948" max="8948" width="8.7109375" style="68" customWidth="1"/>
    <col min="8949" max="8949" width="9.7109375" style="68" bestFit="1" customWidth="1"/>
    <col min="8950" max="8950" width="10.85546875" style="68" customWidth="1"/>
    <col min="8951" max="8951" width="10.42578125" style="68" customWidth="1"/>
    <col min="8952" max="8952" width="9.7109375" style="68" bestFit="1" customWidth="1"/>
    <col min="8953" max="8955" width="9.28515625" style="68" bestFit="1" customWidth="1"/>
    <col min="8956" max="8956" width="10.7109375" style="68" bestFit="1" customWidth="1"/>
    <col min="8957" max="8957" width="11.28515625" style="68" customWidth="1"/>
    <col min="8958" max="8958" width="12.5703125" style="68" customWidth="1"/>
    <col min="8959" max="8959" width="13.5703125" style="68" customWidth="1"/>
    <col min="8960" max="8960" width="13" style="68" customWidth="1"/>
    <col min="8961" max="9199" width="9.140625" style="68"/>
    <col min="9200" max="9200" width="3.7109375" style="68" customWidth="1"/>
    <col min="9201" max="9201" width="4" style="68" bestFit="1" customWidth="1"/>
    <col min="9202" max="9202" width="14.5703125" style="68" customWidth="1"/>
    <col min="9203" max="9203" width="11.140625" style="68" customWidth="1"/>
    <col min="9204" max="9204" width="8.7109375" style="68" customWidth="1"/>
    <col min="9205" max="9205" width="9.7109375" style="68" bestFit="1" customWidth="1"/>
    <col min="9206" max="9206" width="10.85546875" style="68" customWidth="1"/>
    <col min="9207" max="9207" width="10.42578125" style="68" customWidth="1"/>
    <col min="9208" max="9208" width="9.7109375" style="68" bestFit="1" customWidth="1"/>
    <col min="9209" max="9211" width="9.28515625" style="68" bestFit="1" customWidth="1"/>
    <col min="9212" max="9212" width="10.7109375" style="68" bestFit="1" customWidth="1"/>
    <col min="9213" max="9213" width="11.28515625" style="68" customWidth="1"/>
    <col min="9214" max="9214" width="12.5703125" style="68" customWidth="1"/>
    <col min="9215" max="9215" width="13.5703125" style="68" customWidth="1"/>
    <col min="9216" max="9216" width="13" style="68" customWidth="1"/>
    <col min="9217" max="9455" width="9.140625" style="68"/>
    <col min="9456" max="9456" width="3.7109375" style="68" customWidth="1"/>
    <col min="9457" max="9457" width="4" style="68" bestFit="1" customWidth="1"/>
    <col min="9458" max="9458" width="14.5703125" style="68" customWidth="1"/>
    <col min="9459" max="9459" width="11.140625" style="68" customWidth="1"/>
    <col min="9460" max="9460" width="8.7109375" style="68" customWidth="1"/>
    <col min="9461" max="9461" width="9.7109375" style="68" bestFit="1" customWidth="1"/>
    <col min="9462" max="9462" width="10.85546875" style="68" customWidth="1"/>
    <col min="9463" max="9463" width="10.42578125" style="68" customWidth="1"/>
    <col min="9464" max="9464" width="9.7109375" style="68" bestFit="1" customWidth="1"/>
    <col min="9465" max="9467" width="9.28515625" style="68" bestFit="1" customWidth="1"/>
    <col min="9468" max="9468" width="10.7109375" style="68" bestFit="1" customWidth="1"/>
    <col min="9469" max="9469" width="11.28515625" style="68" customWidth="1"/>
    <col min="9470" max="9470" width="12.5703125" style="68" customWidth="1"/>
    <col min="9471" max="9471" width="13.5703125" style="68" customWidth="1"/>
    <col min="9472" max="9472" width="13" style="68" customWidth="1"/>
    <col min="9473" max="9711" width="9.140625" style="68"/>
    <col min="9712" max="9712" width="3.7109375" style="68" customWidth="1"/>
    <col min="9713" max="9713" width="4" style="68" bestFit="1" customWidth="1"/>
    <col min="9714" max="9714" width="14.5703125" style="68" customWidth="1"/>
    <col min="9715" max="9715" width="11.140625" style="68" customWidth="1"/>
    <col min="9716" max="9716" width="8.7109375" style="68" customWidth="1"/>
    <col min="9717" max="9717" width="9.7109375" style="68" bestFit="1" customWidth="1"/>
    <col min="9718" max="9718" width="10.85546875" style="68" customWidth="1"/>
    <col min="9719" max="9719" width="10.42578125" style="68" customWidth="1"/>
    <col min="9720" max="9720" width="9.7109375" style="68" bestFit="1" customWidth="1"/>
    <col min="9721" max="9723" width="9.28515625" style="68" bestFit="1" customWidth="1"/>
    <col min="9724" max="9724" width="10.7109375" style="68" bestFit="1" customWidth="1"/>
    <col min="9725" max="9725" width="11.28515625" style="68" customWidth="1"/>
    <col min="9726" max="9726" width="12.5703125" style="68" customWidth="1"/>
    <col min="9727" max="9727" width="13.5703125" style="68" customWidth="1"/>
    <col min="9728" max="9728" width="13" style="68" customWidth="1"/>
    <col min="9729" max="9967" width="9.140625" style="68"/>
    <col min="9968" max="9968" width="3.7109375" style="68" customWidth="1"/>
    <col min="9969" max="9969" width="4" style="68" bestFit="1" customWidth="1"/>
    <col min="9970" max="9970" width="14.5703125" style="68" customWidth="1"/>
    <col min="9971" max="9971" width="11.140625" style="68" customWidth="1"/>
    <col min="9972" max="9972" width="8.7109375" style="68" customWidth="1"/>
    <col min="9973" max="9973" width="9.7109375" style="68" bestFit="1" customWidth="1"/>
    <col min="9974" max="9974" width="10.85546875" style="68" customWidth="1"/>
    <col min="9975" max="9975" width="10.42578125" style="68" customWidth="1"/>
    <col min="9976" max="9976" width="9.7109375" style="68" bestFit="1" customWidth="1"/>
    <col min="9977" max="9979" width="9.28515625" style="68" bestFit="1" customWidth="1"/>
    <col min="9980" max="9980" width="10.7109375" style="68" bestFit="1" customWidth="1"/>
    <col min="9981" max="9981" width="11.28515625" style="68" customWidth="1"/>
    <col min="9982" max="9982" width="12.5703125" style="68" customWidth="1"/>
    <col min="9983" max="9983" width="13.5703125" style="68" customWidth="1"/>
    <col min="9984" max="9984" width="13" style="68" customWidth="1"/>
    <col min="9985" max="10223" width="9.140625" style="68"/>
    <col min="10224" max="10224" width="3.7109375" style="68" customWidth="1"/>
    <col min="10225" max="10225" width="4" style="68" bestFit="1" customWidth="1"/>
    <col min="10226" max="10226" width="14.5703125" style="68" customWidth="1"/>
    <col min="10227" max="10227" width="11.140625" style="68" customWidth="1"/>
    <col min="10228" max="10228" width="8.7109375" style="68" customWidth="1"/>
    <col min="10229" max="10229" width="9.7109375" style="68" bestFit="1" customWidth="1"/>
    <col min="10230" max="10230" width="10.85546875" style="68" customWidth="1"/>
    <col min="10231" max="10231" width="10.42578125" style="68" customWidth="1"/>
    <col min="10232" max="10232" width="9.7109375" style="68" bestFit="1" customWidth="1"/>
    <col min="10233" max="10235" width="9.28515625" style="68" bestFit="1" customWidth="1"/>
    <col min="10236" max="10236" width="10.7109375" style="68" bestFit="1" customWidth="1"/>
    <col min="10237" max="10237" width="11.28515625" style="68" customWidth="1"/>
    <col min="10238" max="10238" width="12.5703125" style="68" customWidth="1"/>
    <col min="10239" max="10239" width="13.5703125" style="68" customWidth="1"/>
    <col min="10240" max="10240" width="13" style="68" customWidth="1"/>
    <col min="10241" max="10479" width="9.140625" style="68"/>
    <col min="10480" max="10480" width="3.7109375" style="68" customWidth="1"/>
    <col min="10481" max="10481" width="4" style="68" bestFit="1" customWidth="1"/>
    <col min="10482" max="10482" width="14.5703125" style="68" customWidth="1"/>
    <col min="10483" max="10483" width="11.140625" style="68" customWidth="1"/>
    <col min="10484" max="10484" width="8.7109375" style="68" customWidth="1"/>
    <col min="10485" max="10485" width="9.7109375" style="68" bestFit="1" customWidth="1"/>
    <col min="10486" max="10486" width="10.85546875" style="68" customWidth="1"/>
    <col min="10487" max="10487" width="10.42578125" style="68" customWidth="1"/>
    <col min="10488" max="10488" width="9.7109375" style="68" bestFit="1" customWidth="1"/>
    <col min="10489" max="10491" width="9.28515625" style="68" bestFit="1" customWidth="1"/>
    <col min="10492" max="10492" width="10.7109375" style="68" bestFit="1" customWidth="1"/>
    <col min="10493" max="10493" width="11.28515625" style="68" customWidth="1"/>
    <col min="10494" max="10494" width="12.5703125" style="68" customWidth="1"/>
    <col min="10495" max="10495" width="13.5703125" style="68" customWidth="1"/>
    <col min="10496" max="10496" width="13" style="68" customWidth="1"/>
    <col min="10497" max="10735" width="9.140625" style="68"/>
    <col min="10736" max="10736" width="3.7109375" style="68" customWidth="1"/>
    <col min="10737" max="10737" width="4" style="68" bestFit="1" customWidth="1"/>
    <col min="10738" max="10738" width="14.5703125" style="68" customWidth="1"/>
    <col min="10739" max="10739" width="11.140625" style="68" customWidth="1"/>
    <col min="10740" max="10740" width="8.7109375" style="68" customWidth="1"/>
    <col min="10741" max="10741" width="9.7109375" style="68" bestFit="1" customWidth="1"/>
    <col min="10742" max="10742" width="10.85546875" style="68" customWidth="1"/>
    <col min="10743" max="10743" width="10.42578125" style="68" customWidth="1"/>
    <col min="10744" max="10744" width="9.7109375" style="68" bestFit="1" customWidth="1"/>
    <col min="10745" max="10747" width="9.28515625" style="68" bestFit="1" customWidth="1"/>
    <col min="10748" max="10748" width="10.7109375" style="68" bestFit="1" customWidth="1"/>
    <col min="10749" max="10749" width="11.28515625" style="68" customWidth="1"/>
    <col min="10750" max="10750" width="12.5703125" style="68" customWidth="1"/>
    <col min="10751" max="10751" width="13.5703125" style="68" customWidth="1"/>
    <col min="10752" max="10752" width="13" style="68" customWidth="1"/>
    <col min="10753" max="10991" width="9.140625" style="68"/>
    <col min="10992" max="10992" width="3.7109375" style="68" customWidth="1"/>
    <col min="10993" max="10993" width="4" style="68" bestFit="1" customWidth="1"/>
    <col min="10994" max="10994" width="14.5703125" style="68" customWidth="1"/>
    <col min="10995" max="10995" width="11.140625" style="68" customWidth="1"/>
    <col min="10996" max="10996" width="8.7109375" style="68" customWidth="1"/>
    <col min="10997" max="10997" width="9.7109375" style="68" bestFit="1" customWidth="1"/>
    <col min="10998" max="10998" width="10.85546875" style="68" customWidth="1"/>
    <col min="10999" max="10999" width="10.42578125" style="68" customWidth="1"/>
    <col min="11000" max="11000" width="9.7109375" style="68" bestFit="1" customWidth="1"/>
    <col min="11001" max="11003" width="9.28515625" style="68" bestFit="1" customWidth="1"/>
    <col min="11004" max="11004" width="10.7109375" style="68" bestFit="1" customWidth="1"/>
    <col min="11005" max="11005" width="11.28515625" style="68" customWidth="1"/>
    <col min="11006" max="11006" width="12.5703125" style="68" customWidth="1"/>
    <col min="11007" max="11007" width="13.5703125" style="68" customWidth="1"/>
    <col min="11008" max="11008" width="13" style="68" customWidth="1"/>
    <col min="11009" max="11247" width="9.140625" style="68"/>
    <col min="11248" max="11248" width="3.7109375" style="68" customWidth="1"/>
    <col min="11249" max="11249" width="4" style="68" bestFit="1" customWidth="1"/>
    <col min="11250" max="11250" width="14.5703125" style="68" customWidth="1"/>
    <col min="11251" max="11251" width="11.140625" style="68" customWidth="1"/>
    <col min="11252" max="11252" width="8.7109375" style="68" customWidth="1"/>
    <col min="11253" max="11253" width="9.7109375" style="68" bestFit="1" customWidth="1"/>
    <col min="11254" max="11254" width="10.85546875" style="68" customWidth="1"/>
    <col min="11255" max="11255" width="10.42578125" style="68" customWidth="1"/>
    <col min="11256" max="11256" width="9.7109375" style="68" bestFit="1" customWidth="1"/>
    <col min="11257" max="11259" width="9.28515625" style="68" bestFit="1" customWidth="1"/>
    <col min="11260" max="11260" width="10.7109375" style="68" bestFit="1" customWidth="1"/>
    <col min="11261" max="11261" width="11.28515625" style="68" customWidth="1"/>
    <col min="11262" max="11262" width="12.5703125" style="68" customWidth="1"/>
    <col min="11263" max="11263" width="13.5703125" style="68" customWidth="1"/>
    <col min="11264" max="11264" width="13" style="68" customWidth="1"/>
    <col min="11265" max="11503" width="9.140625" style="68"/>
    <col min="11504" max="11504" width="3.7109375" style="68" customWidth="1"/>
    <col min="11505" max="11505" width="4" style="68" bestFit="1" customWidth="1"/>
    <col min="11506" max="11506" width="14.5703125" style="68" customWidth="1"/>
    <col min="11507" max="11507" width="11.140625" style="68" customWidth="1"/>
    <col min="11508" max="11508" width="8.7109375" style="68" customWidth="1"/>
    <col min="11509" max="11509" width="9.7109375" style="68" bestFit="1" customWidth="1"/>
    <col min="11510" max="11510" width="10.85546875" style="68" customWidth="1"/>
    <col min="11511" max="11511" width="10.42578125" style="68" customWidth="1"/>
    <col min="11512" max="11512" width="9.7109375" style="68" bestFit="1" customWidth="1"/>
    <col min="11513" max="11515" width="9.28515625" style="68" bestFit="1" customWidth="1"/>
    <col min="11516" max="11516" width="10.7109375" style="68" bestFit="1" customWidth="1"/>
    <col min="11517" max="11517" width="11.28515625" style="68" customWidth="1"/>
    <col min="11518" max="11518" width="12.5703125" style="68" customWidth="1"/>
    <col min="11519" max="11519" width="13.5703125" style="68" customWidth="1"/>
    <col min="11520" max="11520" width="13" style="68" customWidth="1"/>
    <col min="11521" max="11759" width="9.140625" style="68"/>
    <col min="11760" max="11760" width="3.7109375" style="68" customWidth="1"/>
    <col min="11761" max="11761" width="4" style="68" bestFit="1" customWidth="1"/>
    <col min="11762" max="11762" width="14.5703125" style="68" customWidth="1"/>
    <col min="11763" max="11763" width="11.140625" style="68" customWidth="1"/>
    <col min="11764" max="11764" width="8.7109375" style="68" customWidth="1"/>
    <col min="11765" max="11765" width="9.7109375" style="68" bestFit="1" customWidth="1"/>
    <col min="11766" max="11766" width="10.85546875" style="68" customWidth="1"/>
    <col min="11767" max="11767" width="10.42578125" style="68" customWidth="1"/>
    <col min="11768" max="11768" width="9.7109375" style="68" bestFit="1" customWidth="1"/>
    <col min="11769" max="11771" width="9.28515625" style="68" bestFit="1" customWidth="1"/>
    <col min="11772" max="11772" width="10.7109375" style="68" bestFit="1" customWidth="1"/>
    <col min="11773" max="11773" width="11.28515625" style="68" customWidth="1"/>
    <col min="11774" max="11774" width="12.5703125" style="68" customWidth="1"/>
    <col min="11775" max="11775" width="13.5703125" style="68" customWidth="1"/>
    <col min="11776" max="11776" width="13" style="68" customWidth="1"/>
    <col min="11777" max="12015" width="9.140625" style="68"/>
    <col min="12016" max="12016" width="3.7109375" style="68" customWidth="1"/>
    <col min="12017" max="12017" width="4" style="68" bestFit="1" customWidth="1"/>
    <col min="12018" max="12018" width="14.5703125" style="68" customWidth="1"/>
    <col min="12019" max="12019" width="11.140625" style="68" customWidth="1"/>
    <col min="12020" max="12020" width="8.7109375" style="68" customWidth="1"/>
    <col min="12021" max="12021" width="9.7109375" style="68" bestFit="1" customWidth="1"/>
    <col min="12022" max="12022" width="10.85546875" style="68" customWidth="1"/>
    <col min="12023" max="12023" width="10.42578125" style="68" customWidth="1"/>
    <col min="12024" max="12024" width="9.7109375" style="68" bestFit="1" customWidth="1"/>
    <col min="12025" max="12027" width="9.28515625" style="68" bestFit="1" customWidth="1"/>
    <col min="12028" max="12028" width="10.7109375" style="68" bestFit="1" customWidth="1"/>
    <col min="12029" max="12029" width="11.28515625" style="68" customWidth="1"/>
    <col min="12030" max="12030" width="12.5703125" style="68" customWidth="1"/>
    <col min="12031" max="12031" width="13.5703125" style="68" customWidth="1"/>
    <col min="12032" max="12032" width="13" style="68" customWidth="1"/>
    <col min="12033" max="12271" width="9.140625" style="68"/>
    <col min="12272" max="12272" width="3.7109375" style="68" customWidth="1"/>
    <col min="12273" max="12273" width="4" style="68" bestFit="1" customWidth="1"/>
    <col min="12274" max="12274" width="14.5703125" style="68" customWidth="1"/>
    <col min="12275" max="12275" width="11.140625" style="68" customWidth="1"/>
    <col min="12276" max="12276" width="8.7109375" style="68" customWidth="1"/>
    <col min="12277" max="12277" width="9.7109375" style="68" bestFit="1" customWidth="1"/>
    <col min="12278" max="12278" width="10.85546875" style="68" customWidth="1"/>
    <col min="12279" max="12279" width="10.42578125" style="68" customWidth="1"/>
    <col min="12280" max="12280" width="9.7109375" style="68" bestFit="1" customWidth="1"/>
    <col min="12281" max="12283" width="9.28515625" style="68" bestFit="1" customWidth="1"/>
    <col min="12284" max="12284" width="10.7109375" style="68" bestFit="1" customWidth="1"/>
    <col min="12285" max="12285" width="11.28515625" style="68" customWidth="1"/>
    <col min="12286" max="12286" width="12.5703125" style="68" customWidth="1"/>
    <col min="12287" max="12287" width="13.5703125" style="68" customWidth="1"/>
    <col min="12288" max="12288" width="13" style="68" customWidth="1"/>
    <col min="12289" max="12527" width="9.140625" style="68"/>
    <col min="12528" max="12528" width="3.7109375" style="68" customWidth="1"/>
    <col min="12529" max="12529" width="4" style="68" bestFit="1" customWidth="1"/>
    <col min="12530" max="12530" width="14.5703125" style="68" customWidth="1"/>
    <col min="12531" max="12531" width="11.140625" style="68" customWidth="1"/>
    <col min="12532" max="12532" width="8.7109375" style="68" customWidth="1"/>
    <col min="12533" max="12533" width="9.7109375" style="68" bestFit="1" customWidth="1"/>
    <col min="12534" max="12534" width="10.85546875" style="68" customWidth="1"/>
    <col min="12535" max="12535" width="10.42578125" style="68" customWidth="1"/>
    <col min="12536" max="12536" width="9.7109375" style="68" bestFit="1" customWidth="1"/>
    <col min="12537" max="12539" width="9.28515625" style="68" bestFit="1" customWidth="1"/>
    <col min="12540" max="12540" width="10.7109375" style="68" bestFit="1" customWidth="1"/>
    <col min="12541" max="12541" width="11.28515625" style="68" customWidth="1"/>
    <col min="12542" max="12542" width="12.5703125" style="68" customWidth="1"/>
    <col min="12543" max="12543" width="13.5703125" style="68" customWidth="1"/>
    <col min="12544" max="12544" width="13" style="68" customWidth="1"/>
    <col min="12545" max="12783" width="9.140625" style="68"/>
    <col min="12784" max="12784" width="3.7109375" style="68" customWidth="1"/>
    <col min="12785" max="12785" width="4" style="68" bestFit="1" customWidth="1"/>
    <col min="12786" max="12786" width="14.5703125" style="68" customWidth="1"/>
    <col min="12787" max="12787" width="11.140625" style="68" customWidth="1"/>
    <col min="12788" max="12788" width="8.7109375" style="68" customWidth="1"/>
    <col min="12789" max="12789" width="9.7109375" style="68" bestFit="1" customWidth="1"/>
    <col min="12790" max="12790" width="10.85546875" style="68" customWidth="1"/>
    <col min="12791" max="12791" width="10.42578125" style="68" customWidth="1"/>
    <col min="12792" max="12792" width="9.7109375" style="68" bestFit="1" customWidth="1"/>
    <col min="12793" max="12795" width="9.28515625" style="68" bestFit="1" customWidth="1"/>
    <col min="12796" max="12796" width="10.7109375" style="68" bestFit="1" customWidth="1"/>
    <col min="12797" max="12797" width="11.28515625" style="68" customWidth="1"/>
    <col min="12798" max="12798" width="12.5703125" style="68" customWidth="1"/>
    <col min="12799" max="12799" width="13.5703125" style="68" customWidth="1"/>
    <col min="12800" max="12800" width="13" style="68" customWidth="1"/>
    <col min="12801" max="13039" width="9.140625" style="68"/>
    <col min="13040" max="13040" width="3.7109375" style="68" customWidth="1"/>
    <col min="13041" max="13041" width="4" style="68" bestFit="1" customWidth="1"/>
    <col min="13042" max="13042" width="14.5703125" style="68" customWidth="1"/>
    <col min="13043" max="13043" width="11.140625" style="68" customWidth="1"/>
    <col min="13044" max="13044" width="8.7109375" style="68" customWidth="1"/>
    <col min="13045" max="13045" width="9.7109375" style="68" bestFit="1" customWidth="1"/>
    <col min="13046" max="13046" width="10.85546875" style="68" customWidth="1"/>
    <col min="13047" max="13047" width="10.42578125" style="68" customWidth="1"/>
    <col min="13048" max="13048" width="9.7109375" style="68" bestFit="1" customWidth="1"/>
    <col min="13049" max="13051" width="9.28515625" style="68" bestFit="1" customWidth="1"/>
    <col min="13052" max="13052" width="10.7109375" style="68" bestFit="1" customWidth="1"/>
    <col min="13053" max="13053" width="11.28515625" style="68" customWidth="1"/>
    <col min="13054" max="13054" width="12.5703125" style="68" customWidth="1"/>
    <col min="13055" max="13055" width="13.5703125" style="68" customWidth="1"/>
    <col min="13056" max="13056" width="13" style="68" customWidth="1"/>
    <col min="13057" max="13295" width="9.140625" style="68"/>
    <col min="13296" max="13296" width="3.7109375" style="68" customWidth="1"/>
    <col min="13297" max="13297" width="4" style="68" bestFit="1" customWidth="1"/>
    <col min="13298" max="13298" width="14.5703125" style="68" customWidth="1"/>
    <col min="13299" max="13299" width="11.140625" style="68" customWidth="1"/>
    <col min="13300" max="13300" width="8.7109375" style="68" customWidth="1"/>
    <col min="13301" max="13301" width="9.7109375" style="68" bestFit="1" customWidth="1"/>
    <col min="13302" max="13302" width="10.85546875" style="68" customWidth="1"/>
    <col min="13303" max="13303" width="10.42578125" style="68" customWidth="1"/>
    <col min="13304" max="13304" width="9.7109375" style="68" bestFit="1" customWidth="1"/>
    <col min="13305" max="13307" width="9.28515625" style="68" bestFit="1" customWidth="1"/>
    <col min="13308" max="13308" width="10.7109375" style="68" bestFit="1" customWidth="1"/>
    <col min="13309" max="13309" width="11.28515625" style="68" customWidth="1"/>
    <col min="13310" max="13310" width="12.5703125" style="68" customWidth="1"/>
    <col min="13311" max="13311" width="13.5703125" style="68" customWidth="1"/>
    <col min="13312" max="13312" width="13" style="68" customWidth="1"/>
    <col min="13313" max="13551" width="9.140625" style="68"/>
    <col min="13552" max="13552" width="3.7109375" style="68" customWidth="1"/>
    <col min="13553" max="13553" width="4" style="68" bestFit="1" customWidth="1"/>
    <col min="13554" max="13554" width="14.5703125" style="68" customWidth="1"/>
    <col min="13555" max="13555" width="11.140625" style="68" customWidth="1"/>
    <col min="13556" max="13556" width="8.7109375" style="68" customWidth="1"/>
    <col min="13557" max="13557" width="9.7109375" style="68" bestFit="1" customWidth="1"/>
    <col min="13558" max="13558" width="10.85546875" style="68" customWidth="1"/>
    <col min="13559" max="13559" width="10.42578125" style="68" customWidth="1"/>
    <col min="13560" max="13560" width="9.7109375" style="68" bestFit="1" customWidth="1"/>
    <col min="13561" max="13563" width="9.28515625" style="68" bestFit="1" customWidth="1"/>
    <col min="13564" max="13564" width="10.7109375" style="68" bestFit="1" customWidth="1"/>
    <col min="13565" max="13565" width="11.28515625" style="68" customWidth="1"/>
    <col min="13566" max="13566" width="12.5703125" style="68" customWidth="1"/>
    <col min="13567" max="13567" width="13.5703125" style="68" customWidth="1"/>
    <col min="13568" max="13568" width="13" style="68" customWidth="1"/>
    <col min="13569" max="13807" width="9.140625" style="68"/>
    <col min="13808" max="13808" width="3.7109375" style="68" customWidth="1"/>
    <col min="13809" max="13809" width="4" style="68" bestFit="1" customWidth="1"/>
    <col min="13810" max="13810" width="14.5703125" style="68" customWidth="1"/>
    <col min="13811" max="13811" width="11.140625" style="68" customWidth="1"/>
    <col min="13812" max="13812" width="8.7109375" style="68" customWidth="1"/>
    <col min="13813" max="13813" width="9.7109375" style="68" bestFit="1" customWidth="1"/>
    <col min="13814" max="13814" width="10.85546875" style="68" customWidth="1"/>
    <col min="13815" max="13815" width="10.42578125" style="68" customWidth="1"/>
    <col min="13816" max="13816" width="9.7109375" style="68" bestFit="1" customWidth="1"/>
    <col min="13817" max="13819" width="9.28515625" style="68" bestFit="1" customWidth="1"/>
    <col min="13820" max="13820" width="10.7109375" style="68" bestFit="1" customWidth="1"/>
    <col min="13821" max="13821" width="11.28515625" style="68" customWidth="1"/>
    <col min="13822" max="13822" width="12.5703125" style="68" customWidth="1"/>
    <col min="13823" max="13823" width="13.5703125" style="68" customWidth="1"/>
    <col min="13824" max="13824" width="13" style="68" customWidth="1"/>
    <col min="13825" max="14063" width="9.140625" style="68"/>
    <col min="14064" max="14064" width="3.7109375" style="68" customWidth="1"/>
    <col min="14065" max="14065" width="4" style="68" bestFit="1" customWidth="1"/>
    <col min="14066" max="14066" width="14.5703125" style="68" customWidth="1"/>
    <col min="14067" max="14067" width="11.140625" style="68" customWidth="1"/>
    <col min="14068" max="14068" width="8.7109375" style="68" customWidth="1"/>
    <col min="14069" max="14069" width="9.7109375" style="68" bestFit="1" customWidth="1"/>
    <col min="14070" max="14070" width="10.85546875" style="68" customWidth="1"/>
    <col min="14071" max="14071" width="10.42578125" style="68" customWidth="1"/>
    <col min="14072" max="14072" width="9.7109375" style="68" bestFit="1" customWidth="1"/>
    <col min="14073" max="14075" width="9.28515625" style="68" bestFit="1" customWidth="1"/>
    <col min="14076" max="14076" width="10.7109375" style="68" bestFit="1" customWidth="1"/>
    <col min="14077" max="14077" width="11.28515625" style="68" customWidth="1"/>
    <col min="14078" max="14078" width="12.5703125" style="68" customWidth="1"/>
    <col min="14079" max="14079" width="13.5703125" style="68" customWidth="1"/>
    <col min="14080" max="14080" width="13" style="68" customWidth="1"/>
    <col min="14081" max="14319" width="9.140625" style="68"/>
    <col min="14320" max="14320" width="3.7109375" style="68" customWidth="1"/>
    <col min="14321" max="14321" width="4" style="68" bestFit="1" customWidth="1"/>
    <col min="14322" max="14322" width="14.5703125" style="68" customWidth="1"/>
    <col min="14323" max="14323" width="11.140625" style="68" customWidth="1"/>
    <col min="14324" max="14324" width="8.7109375" style="68" customWidth="1"/>
    <col min="14325" max="14325" width="9.7109375" style="68" bestFit="1" customWidth="1"/>
    <col min="14326" max="14326" width="10.85546875" style="68" customWidth="1"/>
    <col min="14327" max="14327" width="10.42578125" style="68" customWidth="1"/>
    <col min="14328" max="14328" width="9.7109375" style="68" bestFit="1" customWidth="1"/>
    <col min="14329" max="14331" width="9.28515625" style="68" bestFit="1" customWidth="1"/>
    <col min="14332" max="14332" width="10.7109375" style="68" bestFit="1" customWidth="1"/>
    <col min="14333" max="14333" width="11.28515625" style="68" customWidth="1"/>
    <col min="14334" max="14334" width="12.5703125" style="68" customWidth="1"/>
    <col min="14335" max="14335" width="13.5703125" style="68" customWidth="1"/>
    <col min="14336" max="14336" width="13" style="68" customWidth="1"/>
    <col min="14337" max="14575" width="9.140625" style="68"/>
    <col min="14576" max="14576" width="3.7109375" style="68" customWidth="1"/>
    <col min="14577" max="14577" width="4" style="68" bestFit="1" customWidth="1"/>
    <col min="14578" max="14578" width="14.5703125" style="68" customWidth="1"/>
    <col min="14579" max="14579" width="11.140625" style="68" customWidth="1"/>
    <col min="14580" max="14580" width="8.7109375" style="68" customWidth="1"/>
    <col min="14581" max="14581" width="9.7109375" style="68" bestFit="1" customWidth="1"/>
    <col min="14582" max="14582" width="10.85546875" style="68" customWidth="1"/>
    <col min="14583" max="14583" width="10.42578125" style="68" customWidth="1"/>
    <col min="14584" max="14584" width="9.7109375" style="68" bestFit="1" customWidth="1"/>
    <col min="14585" max="14587" width="9.28515625" style="68" bestFit="1" customWidth="1"/>
    <col min="14588" max="14588" width="10.7109375" style="68" bestFit="1" customWidth="1"/>
    <col min="14589" max="14589" width="11.28515625" style="68" customWidth="1"/>
    <col min="14590" max="14590" width="12.5703125" style="68" customWidth="1"/>
    <col min="14591" max="14591" width="13.5703125" style="68" customWidth="1"/>
    <col min="14592" max="14592" width="13" style="68" customWidth="1"/>
    <col min="14593" max="14831" width="9.140625" style="68"/>
    <col min="14832" max="14832" width="3.7109375" style="68" customWidth="1"/>
    <col min="14833" max="14833" width="4" style="68" bestFit="1" customWidth="1"/>
    <col min="14834" max="14834" width="14.5703125" style="68" customWidth="1"/>
    <col min="14835" max="14835" width="11.140625" style="68" customWidth="1"/>
    <col min="14836" max="14836" width="8.7109375" style="68" customWidth="1"/>
    <col min="14837" max="14837" width="9.7109375" style="68" bestFit="1" customWidth="1"/>
    <col min="14838" max="14838" width="10.85546875" style="68" customWidth="1"/>
    <col min="14839" max="14839" width="10.42578125" style="68" customWidth="1"/>
    <col min="14840" max="14840" width="9.7109375" style="68" bestFit="1" customWidth="1"/>
    <col min="14841" max="14843" width="9.28515625" style="68" bestFit="1" customWidth="1"/>
    <col min="14844" max="14844" width="10.7109375" style="68" bestFit="1" customWidth="1"/>
    <col min="14845" max="14845" width="11.28515625" style="68" customWidth="1"/>
    <col min="14846" max="14846" width="12.5703125" style="68" customWidth="1"/>
    <col min="14847" max="14847" width="13.5703125" style="68" customWidth="1"/>
    <col min="14848" max="14848" width="13" style="68" customWidth="1"/>
    <col min="14849" max="15087" width="9.140625" style="68"/>
    <col min="15088" max="15088" width="3.7109375" style="68" customWidth="1"/>
    <col min="15089" max="15089" width="4" style="68" bestFit="1" customWidth="1"/>
    <col min="15090" max="15090" width="14.5703125" style="68" customWidth="1"/>
    <col min="15091" max="15091" width="11.140625" style="68" customWidth="1"/>
    <col min="15092" max="15092" width="8.7109375" style="68" customWidth="1"/>
    <col min="15093" max="15093" width="9.7109375" style="68" bestFit="1" customWidth="1"/>
    <col min="15094" max="15094" width="10.85546875" style="68" customWidth="1"/>
    <col min="15095" max="15095" width="10.42578125" style="68" customWidth="1"/>
    <col min="15096" max="15096" width="9.7109375" style="68" bestFit="1" customWidth="1"/>
    <col min="15097" max="15099" width="9.28515625" style="68" bestFit="1" customWidth="1"/>
    <col min="15100" max="15100" width="10.7109375" style="68" bestFit="1" customWidth="1"/>
    <col min="15101" max="15101" width="11.28515625" style="68" customWidth="1"/>
    <col min="15102" max="15102" width="12.5703125" style="68" customWidth="1"/>
    <col min="15103" max="15103" width="13.5703125" style="68" customWidth="1"/>
    <col min="15104" max="15104" width="13" style="68" customWidth="1"/>
    <col min="15105" max="15343" width="9.140625" style="68"/>
    <col min="15344" max="15344" width="3.7109375" style="68" customWidth="1"/>
    <col min="15345" max="15345" width="4" style="68" bestFit="1" customWidth="1"/>
    <col min="15346" max="15346" width="14.5703125" style="68" customWidth="1"/>
    <col min="15347" max="15347" width="11.140625" style="68" customWidth="1"/>
    <col min="15348" max="15348" width="8.7109375" style="68" customWidth="1"/>
    <col min="15349" max="15349" width="9.7109375" style="68" bestFit="1" customWidth="1"/>
    <col min="15350" max="15350" width="10.85546875" style="68" customWidth="1"/>
    <col min="15351" max="15351" width="10.42578125" style="68" customWidth="1"/>
    <col min="15352" max="15352" width="9.7109375" style="68" bestFit="1" customWidth="1"/>
    <col min="15353" max="15355" width="9.28515625" style="68" bestFit="1" customWidth="1"/>
    <col min="15356" max="15356" width="10.7109375" style="68" bestFit="1" customWidth="1"/>
    <col min="15357" max="15357" width="11.28515625" style="68" customWidth="1"/>
    <col min="15358" max="15358" width="12.5703125" style="68" customWidth="1"/>
    <col min="15359" max="15359" width="13.5703125" style="68" customWidth="1"/>
    <col min="15360" max="15360" width="13" style="68" customWidth="1"/>
    <col min="15361" max="15599" width="9.140625" style="68"/>
    <col min="15600" max="15600" width="3.7109375" style="68" customWidth="1"/>
    <col min="15601" max="15601" width="4" style="68" bestFit="1" customWidth="1"/>
    <col min="15602" max="15602" width="14.5703125" style="68" customWidth="1"/>
    <col min="15603" max="15603" width="11.140625" style="68" customWidth="1"/>
    <col min="15604" max="15604" width="8.7109375" style="68" customWidth="1"/>
    <col min="15605" max="15605" width="9.7109375" style="68" bestFit="1" customWidth="1"/>
    <col min="15606" max="15606" width="10.85546875" style="68" customWidth="1"/>
    <col min="15607" max="15607" width="10.42578125" style="68" customWidth="1"/>
    <col min="15608" max="15608" width="9.7109375" style="68" bestFit="1" customWidth="1"/>
    <col min="15609" max="15611" width="9.28515625" style="68" bestFit="1" customWidth="1"/>
    <col min="15612" max="15612" width="10.7109375" style="68" bestFit="1" customWidth="1"/>
    <col min="15613" max="15613" width="11.28515625" style="68" customWidth="1"/>
    <col min="15614" max="15614" width="12.5703125" style="68" customWidth="1"/>
    <col min="15615" max="15615" width="13.5703125" style="68" customWidth="1"/>
    <col min="15616" max="15616" width="13" style="68" customWidth="1"/>
    <col min="15617" max="15855" width="9.140625" style="68"/>
    <col min="15856" max="15856" width="3.7109375" style="68" customWidth="1"/>
    <col min="15857" max="15857" width="4" style="68" bestFit="1" customWidth="1"/>
    <col min="15858" max="15858" width="14.5703125" style="68" customWidth="1"/>
    <col min="15859" max="15859" width="11.140625" style="68" customWidth="1"/>
    <col min="15860" max="15860" width="8.7109375" style="68" customWidth="1"/>
    <col min="15861" max="15861" width="9.7109375" style="68" bestFit="1" customWidth="1"/>
    <col min="15862" max="15862" width="10.85546875" style="68" customWidth="1"/>
    <col min="15863" max="15863" width="10.42578125" style="68" customWidth="1"/>
    <col min="15864" max="15864" width="9.7109375" style="68" bestFit="1" customWidth="1"/>
    <col min="15865" max="15867" width="9.28515625" style="68" bestFit="1" customWidth="1"/>
    <col min="15868" max="15868" width="10.7109375" style="68" bestFit="1" customWidth="1"/>
    <col min="15869" max="15869" width="11.28515625" style="68" customWidth="1"/>
    <col min="15870" max="15870" width="12.5703125" style="68" customWidth="1"/>
    <col min="15871" max="15871" width="13.5703125" style="68" customWidth="1"/>
    <col min="15872" max="15872" width="13" style="68" customWidth="1"/>
    <col min="15873" max="16111" width="9.140625" style="68"/>
    <col min="16112" max="16112" width="3.7109375" style="68" customWidth="1"/>
    <col min="16113" max="16113" width="4" style="68" bestFit="1" customWidth="1"/>
    <col min="16114" max="16114" width="14.5703125" style="68" customWidth="1"/>
    <col min="16115" max="16115" width="11.140625" style="68" customWidth="1"/>
    <col min="16116" max="16116" width="8.7109375" style="68" customWidth="1"/>
    <col min="16117" max="16117" width="9.7109375" style="68" bestFit="1" customWidth="1"/>
    <col min="16118" max="16118" width="10.85546875" style="68" customWidth="1"/>
    <col min="16119" max="16119" width="10.42578125" style="68" customWidth="1"/>
    <col min="16120" max="16120" width="9.7109375" style="68" bestFit="1" customWidth="1"/>
    <col min="16121" max="16123" width="9.28515625" style="68" bestFit="1" customWidth="1"/>
    <col min="16124" max="16124" width="10.7109375" style="68" bestFit="1" customWidth="1"/>
    <col min="16125" max="16125" width="11.28515625" style="68" customWidth="1"/>
    <col min="16126" max="16126" width="12.5703125" style="68" customWidth="1"/>
    <col min="16127" max="16127" width="13.5703125" style="68" customWidth="1"/>
    <col min="16128" max="16128" width="13" style="68" customWidth="1"/>
    <col min="16129" max="16384" width="9.140625" style="68"/>
  </cols>
  <sheetData>
    <row r="2" spans="2:20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20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  <c r="S3" s="67"/>
    </row>
    <row r="4" spans="2:20" s="70" customFormat="1" ht="24.6" customHeight="1" thickBot="1" x14ac:dyDescent="0.3">
      <c r="B4" s="944" t="s">
        <v>226</v>
      </c>
      <c r="C4" s="945"/>
      <c r="D4" s="945"/>
      <c r="E4" s="945"/>
      <c r="F4" s="945"/>
      <c r="G4" s="945"/>
      <c r="H4" s="945"/>
      <c r="I4" s="945"/>
      <c r="J4" s="945"/>
      <c r="K4" s="945"/>
      <c r="L4" s="945"/>
      <c r="M4" s="945"/>
      <c r="N4" s="945"/>
      <c r="O4" s="946"/>
      <c r="P4" s="136" t="s">
        <v>227</v>
      </c>
      <c r="Q4" s="154" t="s">
        <v>347</v>
      </c>
      <c r="R4" s="67"/>
    </row>
    <row r="5" spans="2:20" s="70" customFormat="1" x14ac:dyDescent="0.25">
      <c r="B5" s="71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20" ht="13.9" customHeight="1" x14ac:dyDescent="0.25">
      <c r="B6" s="886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236</v>
      </c>
      <c r="N6" s="807" t="s">
        <v>237</v>
      </c>
      <c r="O6" s="809"/>
      <c r="P6" s="807" t="s">
        <v>238</v>
      </c>
      <c r="Q6" s="794"/>
    </row>
    <row r="7" spans="2:20" ht="15.75" thickBot="1" x14ac:dyDescent="0.3">
      <c r="B7" s="887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  <c r="T7" s="177"/>
    </row>
    <row r="8" spans="2:20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  <c r="T8" s="177"/>
    </row>
    <row r="9" spans="2:20" x14ac:dyDescent="0.25">
      <c r="B9" s="89">
        <v>1</v>
      </c>
      <c r="C9" s="73" t="s">
        <v>242</v>
      </c>
      <c r="D9" s="73" t="s">
        <v>29</v>
      </c>
      <c r="E9" s="74">
        <f>'29'!L9</f>
        <v>22892.010595675325</v>
      </c>
      <c r="F9" s="74">
        <f>Production2!D32</f>
        <v>2860.6800000000003</v>
      </c>
      <c r="G9" s="74">
        <f>F9+'29'!G9</f>
        <v>90158.25999999998</v>
      </c>
      <c r="H9" s="74">
        <f>F9+'29'!H9</f>
        <v>155143.96</v>
      </c>
      <c r="I9" s="74">
        <f>Production2!E32</f>
        <v>3338</v>
      </c>
      <c r="J9" s="635">
        <f>I9+'29'!J9</f>
        <v>69790</v>
      </c>
      <c r="K9" s="74">
        <f>I9+'29'!K9</f>
        <v>136677</v>
      </c>
      <c r="L9" s="74">
        <f>E9+F9-I9-I21</f>
        <v>21789.202484564215</v>
      </c>
      <c r="M9" s="75">
        <f>I9</f>
        <v>3338</v>
      </c>
      <c r="N9" s="75">
        <f>(I9/I13)*100</f>
        <v>96.725586786438711</v>
      </c>
      <c r="O9" s="787"/>
      <c r="P9" s="286">
        <v>10</v>
      </c>
      <c r="Q9" s="261">
        <f>'Raw mill moisture content'!L35</f>
        <v>9.9999999999999922E-2</v>
      </c>
      <c r="S9" s="176"/>
      <c r="T9" s="191"/>
    </row>
    <row r="10" spans="2:20" ht="13.9" customHeight="1" x14ac:dyDescent="0.25">
      <c r="B10" s="79">
        <v>2</v>
      </c>
      <c r="C10" s="728" t="s">
        <v>30</v>
      </c>
      <c r="D10" s="728"/>
      <c r="E10" s="77">
        <f>'Mines (2)'!L32</f>
        <v>3047.44</v>
      </c>
      <c r="F10" s="77">
        <f>'Mines (2)'!M32</f>
        <v>0</v>
      </c>
      <c r="G10" s="74">
        <f>F10+'29'!G10</f>
        <v>3917.940000000001</v>
      </c>
      <c r="H10" s="74">
        <f>F10+'29'!H10</f>
        <v>5269.4</v>
      </c>
      <c r="I10" s="77">
        <f>'Mines (2)'!N32</f>
        <v>35</v>
      </c>
      <c r="J10" s="74">
        <f>I10+'29'!J10</f>
        <v>1852</v>
      </c>
      <c r="K10" s="74">
        <f>I10+'29'!K10</f>
        <v>2381</v>
      </c>
      <c r="L10" s="77">
        <f t="shared" ref="L10:L16" si="0">E10+F10-I10</f>
        <v>3012.44</v>
      </c>
      <c r="M10" s="75">
        <f t="shared" ref="M10:M12" si="1">I10</f>
        <v>35</v>
      </c>
      <c r="N10" s="75">
        <f>(I10/I13)*100</f>
        <v>1.0141987829614605</v>
      </c>
      <c r="O10" s="787"/>
      <c r="P10" s="53">
        <v>10</v>
      </c>
      <c r="Q10" s="262">
        <f>'Raw mill moisture content'!M35</f>
        <v>9.9999999999999867E-2</v>
      </c>
      <c r="T10" s="191"/>
    </row>
    <row r="11" spans="2:20" x14ac:dyDescent="0.25">
      <c r="B11" s="79">
        <v>3</v>
      </c>
      <c r="C11" s="728" t="s">
        <v>32</v>
      </c>
      <c r="D11" s="728"/>
      <c r="E11" s="77">
        <f>Clinker!C32</f>
        <v>2775.92</v>
      </c>
      <c r="F11" s="77">
        <f>Clinker!D32</f>
        <v>0</v>
      </c>
      <c r="G11" s="74">
        <f>F11+'29'!G11</f>
        <v>347.58000000000004</v>
      </c>
      <c r="H11" s="74">
        <f>F11+'29'!H11</f>
        <v>417.28000000000003</v>
      </c>
      <c r="I11" s="77">
        <f>Clinker!E32</f>
        <v>78</v>
      </c>
      <c r="J11" s="74">
        <f>I11+'29'!J11</f>
        <v>1648</v>
      </c>
      <c r="K11" s="74">
        <f>I11+'29'!K11</f>
        <v>3085</v>
      </c>
      <c r="L11" s="77">
        <f t="shared" si="0"/>
        <v>2697.92</v>
      </c>
      <c r="M11" s="75">
        <f t="shared" si="1"/>
        <v>78</v>
      </c>
      <c r="N11" s="75">
        <f>(I11/I13)*100</f>
        <v>2.2602144305998264</v>
      </c>
      <c r="O11" s="787"/>
      <c r="P11" s="53">
        <v>7</v>
      </c>
      <c r="Q11" s="262">
        <f>'Raw mill moisture content'!N35</f>
        <v>7.0000000000000076E-2</v>
      </c>
      <c r="T11" s="191"/>
    </row>
    <row r="12" spans="2:20" ht="13.9" customHeight="1" x14ac:dyDescent="0.25">
      <c r="B12" s="79">
        <v>4</v>
      </c>
      <c r="C12" s="728" t="s">
        <v>243</v>
      </c>
      <c r="D12" s="728"/>
      <c r="E12" s="77">
        <f>'Mines (2)'!Q32</f>
        <v>3.999999999996362E-2</v>
      </c>
      <c r="F12" s="77">
        <f>'Mines (2)'!R32</f>
        <v>0</v>
      </c>
      <c r="G12" s="74">
        <f>F12+'29'!G12</f>
        <v>0</v>
      </c>
      <c r="H12" s="74">
        <f>F12+'29'!H12</f>
        <v>137.76</v>
      </c>
      <c r="I12" s="77">
        <f>'Mines (2)'!S32</f>
        <v>0</v>
      </c>
      <c r="J12" s="74">
        <f>I12+'29'!J12</f>
        <v>191</v>
      </c>
      <c r="K12" s="74">
        <f>I12+'29'!K12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  <c r="T12" s="191"/>
    </row>
    <row r="13" spans="2:20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28715.410595675326</v>
      </c>
      <c r="F13" s="127">
        <f t="shared" si="2"/>
        <v>2860.6800000000003</v>
      </c>
      <c r="G13" s="127">
        <f t="shared" si="2"/>
        <v>94423.779999999984</v>
      </c>
      <c r="H13" s="127">
        <f t="shared" si="2"/>
        <v>160968.4</v>
      </c>
      <c r="I13" s="127">
        <f t="shared" si="2"/>
        <v>3451</v>
      </c>
      <c r="J13" s="127">
        <f t="shared" si="2"/>
        <v>73481</v>
      </c>
      <c r="K13" s="127">
        <f t="shared" si="2"/>
        <v>142881</v>
      </c>
      <c r="L13" s="127">
        <f t="shared" si="0"/>
        <v>28125.090595675327</v>
      </c>
      <c r="M13" s="128">
        <f>SUM(M9:M12)</f>
        <v>3451</v>
      </c>
      <c r="N13" s="128">
        <f>SUM(N9:N12)</f>
        <v>100</v>
      </c>
      <c r="O13" s="787"/>
      <c r="P13" s="797"/>
      <c r="Q13" s="798"/>
    </row>
    <row r="14" spans="2:20" x14ac:dyDescent="0.25">
      <c r="B14" s="763">
        <v>6</v>
      </c>
      <c r="C14" s="775" t="s">
        <v>245</v>
      </c>
      <c r="D14" s="80" t="s">
        <v>69</v>
      </c>
      <c r="E14" s="77">
        <f>Clinker!EB32</f>
        <v>5175.8569999999909</v>
      </c>
      <c r="F14" s="77">
        <f>Clinker!EC32</f>
        <v>90</v>
      </c>
      <c r="G14" s="77">
        <f>F14+'29'!G14</f>
        <v>623.74</v>
      </c>
      <c r="H14" s="77">
        <f>F14+'29'!H14</f>
        <v>805.24</v>
      </c>
      <c r="I14" s="77">
        <f>Clinker!ED32</f>
        <v>310</v>
      </c>
      <c r="J14" s="77">
        <f>I14+'29'!J14</f>
        <v>7553.2300000000005</v>
      </c>
      <c r="K14" s="77">
        <f>I14+'29'!K14</f>
        <v>14389.529999999999</v>
      </c>
      <c r="L14" s="77">
        <f>E14+F14-I14-Clinker!N32-Clinker!Z32-Clinker!AS32-Clinker!AX32-Clinker!BC32-Clinker!BW32-Clinker!BH32-Clinker!BM32-Clinker!BR32-Clinker!CV32-Clinker!DP32</f>
        <v>4955.8569999999909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</row>
    <row r="15" spans="2:20" x14ac:dyDescent="0.25">
      <c r="B15" s="763"/>
      <c r="C15" s="775"/>
      <c r="D15" s="80" t="s">
        <v>68</v>
      </c>
      <c r="E15" s="77">
        <f>Clinker!EF32</f>
        <v>4270.6699999999937</v>
      </c>
      <c r="F15" s="77">
        <f>Clinker!EG32</f>
        <v>93.05</v>
      </c>
      <c r="G15" s="77">
        <f>F15+'29'!G15</f>
        <v>1985.8999999999999</v>
      </c>
      <c r="H15" s="77">
        <f>F15+'29'!H15</f>
        <v>2140.9500000000003</v>
      </c>
      <c r="I15" s="77">
        <f>Clinker!EH32</f>
        <v>155</v>
      </c>
      <c r="J15" s="77">
        <f>I15+'29'!J15</f>
        <v>4143</v>
      </c>
      <c r="K15" s="77">
        <f>I15+'29'!K15</f>
        <v>8012</v>
      </c>
      <c r="L15" s="77">
        <f>E15+F15-Clinker!AE32-Clinker!AJ32-Clinker!CL32-Clinker!CQ32-Clinker!CG32</f>
        <v>4208.7199999999939</v>
      </c>
      <c r="M15" s="81"/>
      <c r="N15" s="81"/>
      <c r="O15" s="787"/>
      <c r="P15" s="82"/>
      <c r="Q15" s="82"/>
      <c r="R15" s="83"/>
    </row>
    <row r="16" spans="2:20" x14ac:dyDescent="0.25">
      <c r="B16" s="763"/>
      <c r="C16" s="690"/>
      <c r="D16" s="124" t="s">
        <v>150</v>
      </c>
      <c r="E16" s="125">
        <f>E14+E15</f>
        <v>9446.5269999999837</v>
      </c>
      <c r="F16" s="125">
        <f>F14+F15</f>
        <v>183.05</v>
      </c>
      <c r="G16" s="125">
        <f t="shared" ref="G16:K16" si="3">G14+G15</f>
        <v>2609.64</v>
      </c>
      <c r="H16" s="125">
        <f t="shared" si="3"/>
        <v>2946.1900000000005</v>
      </c>
      <c r="I16" s="125">
        <f>I14+I15</f>
        <v>465</v>
      </c>
      <c r="J16" s="125">
        <f>J14+J15</f>
        <v>11696.23</v>
      </c>
      <c r="K16" s="125">
        <f t="shared" si="3"/>
        <v>22401.53</v>
      </c>
      <c r="L16" s="125">
        <f t="shared" si="0"/>
        <v>9164.5769999999829</v>
      </c>
      <c r="M16" s="126"/>
      <c r="N16" s="126"/>
      <c r="O16" s="787"/>
      <c r="P16" s="84"/>
      <c r="Q16" s="131"/>
      <c r="R16" s="83"/>
    </row>
    <row r="17" spans="2:19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</row>
    <row r="18" spans="2:19" x14ac:dyDescent="0.25">
      <c r="B18" s="763">
        <v>7</v>
      </c>
      <c r="C18" s="691" t="s">
        <v>247</v>
      </c>
      <c r="D18" s="85" t="s">
        <v>248</v>
      </c>
      <c r="E18" s="74">
        <f>Clinker!EJ32</f>
        <v>26869.74908575193</v>
      </c>
      <c r="F18" s="74">
        <f>Clinker!EK32</f>
        <v>1916</v>
      </c>
      <c r="G18" s="74">
        <f>F18+'29'!G18</f>
        <v>43076</v>
      </c>
      <c r="H18" s="74">
        <f>F18+'29'!H18</f>
        <v>83576</v>
      </c>
      <c r="I18" s="74">
        <f>Clinker!EL32</f>
        <v>2423.8400000000011</v>
      </c>
      <c r="J18" s="638">
        <f>I18+'29'!J18</f>
        <v>41633.75100198853</v>
      </c>
      <c r="K18" s="74">
        <f>I18+'29'!K18</f>
        <v>60495.631013874794</v>
      </c>
      <c r="L18" s="637">
        <f>E18+F18-I18-I20</f>
        <v>26361.90908575193</v>
      </c>
      <c r="M18" s="75">
        <f>((I18+I19)/(J40+J46))*100</f>
        <v>77.094147582697232</v>
      </c>
      <c r="N18" s="765"/>
      <c r="O18" s="767"/>
      <c r="P18" s="769"/>
      <c r="Q18" s="770"/>
      <c r="R18" s="190"/>
      <c r="S18" s="176"/>
    </row>
    <row r="19" spans="2:19" ht="45" x14ac:dyDescent="0.25">
      <c r="B19" s="763"/>
      <c r="C19" s="691"/>
      <c r="D19" s="85" t="s">
        <v>75</v>
      </c>
      <c r="E19" s="74">
        <f>Clinker!EO32</f>
        <v>5306.1090080001359</v>
      </c>
      <c r="F19" s="74">
        <f>Clinker!EP32</f>
        <v>0</v>
      </c>
      <c r="G19" s="74">
        <f>F19+'29'!G19</f>
        <v>150.78</v>
      </c>
      <c r="H19" s="74">
        <f>F19+'29'!H19</f>
        <v>13390.660000000003</v>
      </c>
      <c r="I19" s="74">
        <f>Clinker!EQ32</f>
        <v>0</v>
      </c>
      <c r="J19" s="605">
        <f>I19+'29'!J19</f>
        <v>0</v>
      </c>
      <c r="K19" s="74">
        <f>I19+'29'!K19</f>
        <v>16934.099999999999</v>
      </c>
      <c r="L19" s="603">
        <f>E19+F19-I19</f>
        <v>5306.1090080001359</v>
      </c>
      <c r="M19" s="75"/>
      <c r="N19" s="765"/>
      <c r="O19" s="767"/>
      <c r="P19" s="769"/>
      <c r="Q19" s="770"/>
      <c r="R19" s="190"/>
      <c r="S19" s="176"/>
    </row>
    <row r="20" spans="2:19" ht="30" x14ac:dyDescent="0.25">
      <c r="B20" s="763"/>
      <c r="C20" s="764"/>
      <c r="D20" s="86" t="s">
        <v>249</v>
      </c>
      <c r="E20" s="77"/>
      <c r="F20" s="77">
        <v>0</v>
      </c>
      <c r="G20" s="74">
        <f>F20+'29'!G20</f>
        <v>0</v>
      </c>
      <c r="H20" s="74">
        <f>F20+'29'!H20</f>
        <v>0</v>
      </c>
      <c r="I20" s="77">
        <f>Clinker!EN32</f>
        <v>0</v>
      </c>
      <c r="J20" s="74">
        <f>I20+'29'!J20</f>
        <v>0</v>
      </c>
      <c r="K20" s="74">
        <f>I20+'29'!K20</f>
        <v>0</v>
      </c>
      <c r="L20" s="74"/>
      <c r="M20" s="78"/>
      <c r="N20" s="766"/>
      <c r="O20" s="767"/>
      <c r="P20" s="771"/>
      <c r="Q20" s="772"/>
      <c r="R20" s="20"/>
    </row>
    <row r="21" spans="2:19" x14ac:dyDescent="0.25">
      <c r="B21" s="89">
        <v>8</v>
      </c>
      <c r="C21" s="822" t="s">
        <v>242</v>
      </c>
      <c r="D21" s="823"/>
      <c r="E21" s="77">
        <f>Cement!P32</f>
        <v>0</v>
      </c>
      <c r="F21" s="77">
        <f>Cement!Q32</f>
        <v>0</v>
      </c>
      <c r="G21" s="74">
        <f>F21+'29'!G21</f>
        <v>0</v>
      </c>
      <c r="H21" s="74">
        <f>F21+'29'!H21</f>
        <v>0</v>
      </c>
      <c r="I21" s="77">
        <f>Cement!S32</f>
        <v>625.48811111110967</v>
      </c>
      <c r="J21" s="635">
        <f>I21+'29'!J21</f>
        <v>11150.809220057388</v>
      </c>
      <c r="K21" s="74">
        <f>I21+'29'!K21</f>
        <v>19782.629212619628</v>
      </c>
      <c r="L21" s="74"/>
      <c r="M21" s="78">
        <f>(I21/(J40+J46))*100</f>
        <v>19.894660022617991</v>
      </c>
      <c r="N21" s="78"/>
      <c r="O21" s="767"/>
      <c r="P21" s="87">
        <v>10</v>
      </c>
      <c r="Q21" s="773"/>
      <c r="R21" s="20"/>
    </row>
    <row r="22" spans="2:19" x14ac:dyDescent="0.25">
      <c r="B22" s="89">
        <v>9</v>
      </c>
      <c r="C22" s="775" t="s">
        <v>250</v>
      </c>
      <c r="D22" s="775"/>
      <c r="E22" s="77">
        <f>Cement!C32</f>
        <v>4539.2995373246395</v>
      </c>
      <c r="F22" s="77">
        <f>Cement!D32</f>
        <v>0</v>
      </c>
      <c r="G22" s="74">
        <f>F22+'29'!G22</f>
        <v>155.72</v>
      </c>
      <c r="H22" s="74">
        <f>F22+'29'!H22</f>
        <v>2126.62</v>
      </c>
      <c r="I22" s="77">
        <f>Cement!F32</f>
        <v>165.44268421052629</v>
      </c>
      <c r="J22" s="638">
        <f>I22+'29'!J22</f>
        <v>2858.943210484169</v>
      </c>
      <c r="K22" s="74">
        <f>I22+'29'!K22</f>
        <v>5198.1432060356674</v>
      </c>
      <c r="L22" s="637">
        <f t="shared" ref="L22:L24" si="4">E22+F22-I22</f>
        <v>4373.8568531141136</v>
      </c>
      <c r="M22" s="78">
        <f>(I22/(J40+J46))*100</f>
        <v>5.2621718896477825</v>
      </c>
      <c r="N22" s="78"/>
      <c r="O22" s="767"/>
      <c r="P22" s="87">
        <v>5</v>
      </c>
      <c r="Q22" s="774"/>
      <c r="R22" s="20"/>
    </row>
    <row r="23" spans="2:19" x14ac:dyDescent="0.25">
      <c r="B23" s="763">
        <v>10</v>
      </c>
      <c r="C23" s="690" t="s">
        <v>251</v>
      </c>
      <c r="D23" s="76" t="s">
        <v>252</v>
      </c>
      <c r="E23" s="77">
        <f>Cement!H32</f>
        <v>0.23999999999796273</v>
      </c>
      <c r="F23" s="77">
        <f>Cement!I32</f>
        <v>0</v>
      </c>
      <c r="G23" s="74">
        <f>F23+'29'!G23</f>
        <v>0</v>
      </c>
      <c r="H23" s="74">
        <f>F23+'29'!H23</f>
        <v>0</v>
      </c>
      <c r="I23" s="77">
        <f>Cement!J32</f>
        <v>0</v>
      </c>
      <c r="J23" s="74">
        <f>I23+'29'!J23</f>
        <v>0</v>
      </c>
      <c r="K23" s="74">
        <f>I23+'29'!K23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243"/>
    </row>
    <row r="24" spans="2:19" x14ac:dyDescent="0.25">
      <c r="B24" s="763"/>
      <c r="C24" s="764"/>
      <c r="D24" s="76" t="s">
        <v>253</v>
      </c>
      <c r="E24" s="77">
        <f>Cement!L32</f>
        <v>0</v>
      </c>
      <c r="F24" s="77">
        <f>Cement!M32</f>
        <v>0</v>
      </c>
      <c r="G24" s="74">
        <f>F24+'29'!G24</f>
        <v>0</v>
      </c>
      <c r="H24" s="74">
        <f>F24+'29'!H24</f>
        <v>0</v>
      </c>
      <c r="I24" s="77">
        <f>Cement!N32</f>
        <v>0</v>
      </c>
      <c r="J24" s="74">
        <f>I24+'29'!J24</f>
        <v>0</v>
      </c>
      <c r="K24" s="74">
        <f>I24+'29'!K24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</row>
    <row r="25" spans="2:19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36715.397631076703</v>
      </c>
      <c r="F25" s="122">
        <f t="shared" ref="F25:L25" si="5">F18+F19+F21+F22+F23+F24</f>
        <v>1916</v>
      </c>
      <c r="G25" s="122">
        <f t="shared" si="5"/>
        <v>43382.5</v>
      </c>
      <c r="H25" s="122">
        <f t="shared" si="5"/>
        <v>99093.28</v>
      </c>
      <c r="I25" s="122">
        <f t="shared" si="5"/>
        <v>3214.7707953216373</v>
      </c>
      <c r="J25" s="122">
        <f t="shared" si="5"/>
        <v>55643.503432530088</v>
      </c>
      <c r="K25" s="122">
        <f t="shared" si="5"/>
        <v>102410.50343253007</v>
      </c>
      <c r="L25" s="122">
        <f t="shared" si="5"/>
        <v>36042.114946866175</v>
      </c>
      <c r="M25" s="782"/>
      <c r="N25" s="782"/>
      <c r="O25" s="768"/>
      <c r="P25" s="779"/>
      <c r="Q25" s="780"/>
      <c r="R25" s="83"/>
    </row>
    <row r="26" spans="2:19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</row>
    <row r="27" spans="2:19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</row>
    <row r="28" spans="2:19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</row>
    <row r="29" spans="2:19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</row>
    <row r="30" spans="2:19" x14ac:dyDescent="0.25">
      <c r="B30" s="91">
        <v>1</v>
      </c>
      <c r="C30" s="699" t="s">
        <v>261</v>
      </c>
      <c r="D30" s="700"/>
      <c r="E30" s="92">
        <v>250</v>
      </c>
      <c r="F30" s="75">
        <f>Production2!C32</f>
        <v>20.22</v>
      </c>
      <c r="G30" s="75">
        <f>F30+'29'!G30</f>
        <v>521.53</v>
      </c>
      <c r="H30" s="75">
        <f>F30+'29'!H30</f>
        <v>954.0100000000001</v>
      </c>
      <c r="I30" s="74">
        <f>'Mines (2)'!C32+'Mines (2)'!H32+'Mines (2)'!V32+'Mines (2)'!Z32+'Mines (2)'!AD32</f>
        <v>22892.010595675332</v>
      </c>
      <c r="J30" s="74">
        <f>Production2!D32</f>
        <v>2860.6800000000003</v>
      </c>
      <c r="K30" s="605">
        <f>J30+'29'!K30</f>
        <v>90158.25999999998</v>
      </c>
      <c r="L30" s="74">
        <f>J30+'29'!L30</f>
        <v>155143.96</v>
      </c>
      <c r="M30" s="74">
        <f>I9+I21</f>
        <v>3963.4881111111099</v>
      </c>
      <c r="N30" s="638">
        <f>M30+'29'!N30</f>
        <v>80940.809220057388</v>
      </c>
      <c r="O30" s="74">
        <f>M30+'29'!O30</f>
        <v>156459.62921261965</v>
      </c>
      <c r="P30" s="636">
        <f>I30+J30-M30</f>
        <v>21789.202484564223</v>
      </c>
      <c r="Q30" s="93">
        <f>J30/F30</f>
        <v>141.4777448071217</v>
      </c>
      <c r="R30" s="94"/>
    </row>
    <row r="31" spans="2:19" x14ac:dyDescent="0.25">
      <c r="B31" s="79">
        <v>2</v>
      </c>
      <c r="C31" s="725" t="s">
        <v>292</v>
      </c>
      <c r="D31" s="726"/>
      <c r="E31" s="95">
        <v>120</v>
      </c>
      <c r="F31" s="78">
        <f>Production2!G32</f>
        <v>23.65</v>
      </c>
      <c r="G31" s="75">
        <f>F31+'29'!G31</f>
        <v>553.31999999999994</v>
      </c>
      <c r="H31" s="75">
        <f>F31+'29'!H31</f>
        <v>1046.54</v>
      </c>
      <c r="I31" s="724">
        <f>Production2!H32</f>
        <v>995.70001683751889</v>
      </c>
      <c r="J31" s="77">
        <f>Production2!N32</f>
        <v>3098</v>
      </c>
      <c r="K31" s="605">
        <f>J31+'29'!K31</f>
        <v>64461.440000000002</v>
      </c>
      <c r="L31" s="74">
        <f>J31+'29'!L31</f>
        <v>123318.59000000003</v>
      </c>
      <c r="M31" s="724">
        <f>Production2!K32</f>
        <v>2969.8</v>
      </c>
      <c r="N31" s="724">
        <f>M31+'29'!N31</f>
        <v>66767.8</v>
      </c>
      <c r="O31" s="724">
        <f>M31+'29'!O31</f>
        <v>129542.79999999999</v>
      </c>
      <c r="P31" s="724">
        <f>I31+J32+J31-M31</f>
        <v>1134.1400168375185</v>
      </c>
      <c r="Q31" s="96">
        <f t="shared" ref="Q31:Q46" si="6">J31/F31</f>
        <v>130.99365750528543</v>
      </c>
      <c r="R31" s="94"/>
    </row>
    <row r="32" spans="2:19" x14ac:dyDescent="0.25">
      <c r="B32" s="91">
        <v>3</v>
      </c>
      <c r="C32" s="725" t="s">
        <v>263</v>
      </c>
      <c r="D32" s="726"/>
      <c r="E32" s="95">
        <v>20</v>
      </c>
      <c r="F32" s="78">
        <f>Production2!P32</f>
        <v>1</v>
      </c>
      <c r="G32" s="75">
        <f>F32+'29'!G32</f>
        <v>188.38</v>
      </c>
      <c r="H32" s="75">
        <f>F32+'29'!H32</f>
        <v>594.66999999999996</v>
      </c>
      <c r="I32" s="712"/>
      <c r="J32" s="77">
        <f>Production2!Q32</f>
        <v>10.24</v>
      </c>
      <c r="K32" s="605">
        <f>J32+'29'!K32</f>
        <v>1722.3799999999999</v>
      </c>
      <c r="L32" s="74">
        <f>J32+'29'!L32</f>
        <v>5364.619999999999</v>
      </c>
      <c r="M32" s="712"/>
      <c r="N32" s="712"/>
      <c r="O32" s="712"/>
      <c r="P32" s="712"/>
      <c r="Q32" s="96">
        <f>J32/F32</f>
        <v>10.24</v>
      </c>
      <c r="R32" s="94"/>
      <c r="S32" s="94"/>
    </row>
    <row r="33" spans="2:20" x14ac:dyDescent="0.25">
      <c r="B33" s="79">
        <v>4</v>
      </c>
      <c r="C33" s="725" t="s">
        <v>145</v>
      </c>
      <c r="D33" s="726"/>
      <c r="E33" s="95">
        <v>10</v>
      </c>
      <c r="F33" s="78">
        <f>Production2!S32</f>
        <v>18.5</v>
      </c>
      <c r="G33" s="75">
        <f>F33+'29'!G33</f>
        <v>487.66</v>
      </c>
      <c r="H33" s="75">
        <f>F33+'29'!H33</f>
        <v>934.03</v>
      </c>
      <c r="I33" s="77">
        <f>Production2!T32</f>
        <v>36.109999999999843</v>
      </c>
      <c r="J33" s="77">
        <f>Production2!U32</f>
        <v>279</v>
      </c>
      <c r="K33" s="74">
        <f>J33+'29'!K33</f>
        <v>6797.9</v>
      </c>
      <c r="L33" s="74">
        <f>J33+'29'!L33</f>
        <v>12950.6</v>
      </c>
      <c r="M33" s="77">
        <f>Production2!V32</f>
        <v>282</v>
      </c>
      <c r="N33" s="605">
        <f>M33+'29'!N33</f>
        <v>6805</v>
      </c>
      <c r="O33" s="74">
        <f>M33+'29'!O33</f>
        <v>12933</v>
      </c>
      <c r="P33" s="603">
        <f t="shared" ref="P33" si="7">I33+J33-M33</f>
        <v>33.109999999999843</v>
      </c>
      <c r="Q33" s="96">
        <f t="shared" si="6"/>
        <v>15.081081081081081</v>
      </c>
      <c r="R33" s="94"/>
    </row>
    <row r="34" spans="2:20" x14ac:dyDescent="0.25">
      <c r="B34" s="91">
        <v>5</v>
      </c>
      <c r="C34" s="725" t="s">
        <v>69</v>
      </c>
      <c r="D34" s="726"/>
      <c r="E34" s="95">
        <v>50</v>
      </c>
      <c r="F34" s="78">
        <f>Production2!Y32</f>
        <v>24</v>
      </c>
      <c r="G34" s="75">
        <f>F34+'29'!G34</f>
        <v>672.54</v>
      </c>
      <c r="H34" s="75">
        <f>F34+'29'!H34</f>
        <v>1290.81</v>
      </c>
      <c r="I34" s="77">
        <f>Clinker!EJ32</f>
        <v>26869.74908575193</v>
      </c>
      <c r="J34" s="77">
        <f>Clinker!EK32</f>
        <v>1916</v>
      </c>
      <c r="K34" s="74">
        <f>J34+'29'!K34</f>
        <v>43076</v>
      </c>
      <c r="L34" s="74">
        <f>J34+'29'!L34</f>
        <v>83576</v>
      </c>
      <c r="M34" s="77">
        <f>Clinker!EL32</f>
        <v>2423.8400000000011</v>
      </c>
      <c r="N34" s="74">
        <f>M34+'29'!N34</f>
        <v>41633.75100198853</v>
      </c>
      <c r="O34" s="74">
        <f>M34+'29'!O34</f>
        <v>60495.631013874794</v>
      </c>
      <c r="P34" s="74">
        <f>I34+J34-M34-I20</f>
        <v>26361.90908575193</v>
      </c>
      <c r="Q34" s="96">
        <f t="shared" si="6"/>
        <v>79.833333333333329</v>
      </c>
      <c r="R34" s="94"/>
    </row>
    <row r="35" spans="2:20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Production2!AE32</f>
        <v>2.8</v>
      </c>
      <c r="G35" s="75">
        <f>F35+'29'!G35</f>
        <v>26.5</v>
      </c>
      <c r="H35" s="75">
        <f>F35+'29'!H35</f>
        <v>35.499999999999993</v>
      </c>
      <c r="I35" s="77">
        <f>Production2!BJ32</f>
        <v>153.29999999999995</v>
      </c>
      <c r="J35" s="77">
        <f>Production2!AF32</f>
        <v>200</v>
      </c>
      <c r="K35" s="74">
        <f>J35+'29'!K35</f>
        <v>1760</v>
      </c>
      <c r="L35" s="74">
        <f>J35+'29'!L35</f>
        <v>2334</v>
      </c>
      <c r="M35" s="77">
        <f>Production2!BL32</f>
        <v>45</v>
      </c>
      <c r="N35" s="74">
        <f>M35+'29'!N35</f>
        <v>2613.5</v>
      </c>
      <c r="O35" s="74">
        <f>M35+'29'!O35</f>
        <v>5008</v>
      </c>
      <c r="P35" s="74">
        <f>I35+J35+J41-M35-F59</f>
        <v>308.29999999999995</v>
      </c>
      <c r="Q35" s="96">
        <f t="shared" si="6"/>
        <v>71.428571428571431</v>
      </c>
      <c r="R35" s="94"/>
    </row>
    <row r="36" spans="2:20" x14ac:dyDescent="0.25">
      <c r="B36" s="688"/>
      <c r="C36" s="691"/>
      <c r="D36" s="80" t="s">
        <v>266</v>
      </c>
      <c r="E36" s="97">
        <v>78</v>
      </c>
      <c r="F36" s="78">
        <f>Production2!AB32</f>
        <v>14.2</v>
      </c>
      <c r="G36" s="601">
        <f>F36+'29'!G36</f>
        <v>277.93999999999994</v>
      </c>
      <c r="H36" s="654">
        <f>F36+'29'!H36</f>
        <v>484.27000000000004</v>
      </c>
      <c r="I36" s="77">
        <f>Production2!BF32</f>
        <v>2019.907999999979</v>
      </c>
      <c r="J36" s="77">
        <f>Production2!AC32</f>
        <v>970</v>
      </c>
      <c r="K36" s="74">
        <f>J36+'29'!K36</f>
        <v>17926</v>
      </c>
      <c r="L36" s="596">
        <f>J36+'29'!L36</f>
        <v>30355</v>
      </c>
      <c r="M36" s="77">
        <f>Production2!BH32</f>
        <v>2343.0300000000002</v>
      </c>
      <c r="N36" s="74">
        <f>M36+'29'!N36</f>
        <v>43145.409999999996</v>
      </c>
      <c r="O36" s="74">
        <f>M36+'29'!O36</f>
        <v>78313.679999999993</v>
      </c>
      <c r="P36" s="74">
        <f>I36+J36+J42-M36-F57</f>
        <v>2000.8779999999792</v>
      </c>
      <c r="Q36" s="96">
        <f t="shared" si="6"/>
        <v>68.309859154929583</v>
      </c>
      <c r="R36" s="94"/>
    </row>
    <row r="37" spans="2:20" x14ac:dyDescent="0.25">
      <c r="B37" s="688"/>
      <c r="C37" s="691"/>
      <c r="D37" s="80" t="s">
        <v>267</v>
      </c>
      <c r="E37" s="97">
        <v>78</v>
      </c>
      <c r="F37" s="78">
        <f>Production2!AH32</f>
        <v>0</v>
      </c>
      <c r="G37" s="654">
        <f>F37+'29'!G37</f>
        <v>0</v>
      </c>
      <c r="H37" s="654">
        <f>F37+'29'!H37</f>
        <v>0</v>
      </c>
      <c r="I37" s="77">
        <f>Production2!BN32</f>
        <v>9.0000000000849845E-2</v>
      </c>
      <c r="J37" s="77">
        <f>Production2!AI32</f>
        <v>0</v>
      </c>
      <c r="K37" s="607">
        <f>J37+'29'!K37</f>
        <v>0</v>
      </c>
      <c r="L37" s="607">
        <f>J37+'29'!L37</f>
        <v>0</v>
      </c>
      <c r="M37" s="77">
        <f>Production2!BP32</f>
        <v>0</v>
      </c>
      <c r="N37" s="607">
        <f>M37+'29'!N37</f>
        <v>0</v>
      </c>
      <c r="O37" s="607">
        <f>M37+'29'!O37</f>
        <v>-0.15</v>
      </c>
      <c r="P37" s="74">
        <f>I37+J37+J43-M37-F58</f>
        <v>9.0000000000849845E-2</v>
      </c>
      <c r="Q37" s="96" t="e">
        <f t="shared" si="6"/>
        <v>#DIV/0!</v>
      </c>
      <c r="R37" s="94"/>
    </row>
    <row r="38" spans="2:20" x14ac:dyDescent="0.25">
      <c r="B38" s="688"/>
      <c r="C38" s="691"/>
      <c r="D38" s="194" t="s">
        <v>175</v>
      </c>
      <c r="E38" s="97">
        <v>65</v>
      </c>
      <c r="F38" s="84">
        <f>Production2!AK32</f>
        <v>0</v>
      </c>
      <c r="G38" s="654">
        <f>F38+'29'!G38</f>
        <v>5</v>
      </c>
      <c r="H38" s="654">
        <f>F38+'29'!H38</f>
        <v>5</v>
      </c>
      <c r="I38" s="195">
        <f>Production2!BR32</f>
        <v>167.70000000000002</v>
      </c>
      <c r="J38" s="195">
        <v>0</v>
      </c>
      <c r="K38" s="607">
        <f>J38+'29'!K38</f>
        <v>300</v>
      </c>
      <c r="L38" s="607">
        <f>J38+'29'!L38</f>
        <v>300</v>
      </c>
      <c r="M38" s="77">
        <f>Production2!BT32</f>
        <v>90</v>
      </c>
      <c r="N38" s="607">
        <f>M38+'29'!N38</f>
        <v>1125.5</v>
      </c>
      <c r="O38" s="607">
        <f>M38+'29'!O38</f>
        <v>2972.5</v>
      </c>
      <c r="P38" s="74">
        <f>I38+J38+J44-M38-F60</f>
        <v>187.70000000000005</v>
      </c>
      <c r="Q38" s="96" t="e">
        <f t="shared" si="6"/>
        <v>#DIV/0!</v>
      </c>
      <c r="R38" s="94"/>
      <c r="S38" s="94"/>
    </row>
    <row r="39" spans="2:20" x14ac:dyDescent="0.25">
      <c r="B39" s="688"/>
      <c r="C39" s="691"/>
      <c r="D39" s="598" t="s">
        <v>304</v>
      </c>
      <c r="E39" s="602"/>
      <c r="F39" s="600">
        <f>Production2!AN32</f>
        <v>7</v>
      </c>
      <c r="G39" s="654">
        <f>F39+'29'!G39</f>
        <v>79.92</v>
      </c>
      <c r="H39" s="654">
        <f>F39+'29'!H39</f>
        <v>120.57000000000001</v>
      </c>
      <c r="I39" s="597">
        <f>Production2!BV32</f>
        <v>318.01000000000016</v>
      </c>
      <c r="J39" s="597">
        <f>Production2!AO32</f>
        <v>510</v>
      </c>
      <c r="K39" s="607">
        <f>J39+'29'!K39</f>
        <v>5246</v>
      </c>
      <c r="L39" s="607">
        <f>J39+'29'!L39</f>
        <v>7778</v>
      </c>
      <c r="M39" s="77">
        <f>Production2!BX32</f>
        <v>228.61</v>
      </c>
      <c r="N39" s="607">
        <f>M39+'29'!N39</f>
        <v>8541.43</v>
      </c>
      <c r="O39" s="607">
        <f>M39+'29'!O39</f>
        <v>13963.310000000003</v>
      </c>
      <c r="P39" s="596">
        <f>I39+J45+J39-M39-F61</f>
        <v>599.4000000000002</v>
      </c>
      <c r="Q39" s="96">
        <f t="shared" si="6"/>
        <v>72.857142857142861</v>
      </c>
      <c r="R39" s="94"/>
      <c r="S39" s="94"/>
    </row>
    <row r="40" spans="2:20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24</v>
      </c>
      <c r="G40" s="132">
        <f t="shared" ref="G40:H40" si="8">G35+G36+G37+G38+G39</f>
        <v>389.35999999999996</v>
      </c>
      <c r="H40" s="132">
        <f t="shared" si="8"/>
        <v>645.34</v>
      </c>
      <c r="I40" s="122">
        <f>I35+I36+I37+I38+I39</f>
        <v>2659.0079999999798</v>
      </c>
      <c r="J40" s="599">
        <f t="shared" ref="J40:P40" si="9">J35+J36+J37+J38+J39</f>
        <v>1680</v>
      </c>
      <c r="K40" s="599">
        <f t="shared" si="9"/>
        <v>25232</v>
      </c>
      <c r="L40" s="599">
        <f t="shared" si="9"/>
        <v>40767</v>
      </c>
      <c r="M40" s="599">
        <f>M35+M36+M37+M38+M39</f>
        <v>2706.6400000000003</v>
      </c>
      <c r="N40" s="606">
        <f>N35+N36+N37+N38+N39</f>
        <v>55425.84</v>
      </c>
      <c r="O40" s="599">
        <f>O35+O36+O37+O38+O39</f>
        <v>100257.34</v>
      </c>
      <c r="P40" s="599">
        <f t="shared" si="9"/>
        <v>3096.3679999999799</v>
      </c>
      <c r="Q40" s="123">
        <f t="shared" si="6"/>
        <v>70</v>
      </c>
      <c r="R40" s="94"/>
    </row>
    <row r="41" spans="2:20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Production2!AT32</f>
        <v>0</v>
      </c>
      <c r="G41" s="75">
        <f>F41+'29'!G41</f>
        <v>12.329999999999998</v>
      </c>
      <c r="H41" s="75">
        <f>F41+'29'!H41</f>
        <v>45.43</v>
      </c>
      <c r="I41" s="710"/>
      <c r="J41" s="77">
        <f>Production2!AU32</f>
        <v>0</v>
      </c>
      <c r="K41" s="74">
        <f>J41+'29'!K41</f>
        <v>750</v>
      </c>
      <c r="L41" s="74">
        <f>J41+'29'!L41</f>
        <v>2750</v>
      </c>
      <c r="M41" s="713"/>
      <c r="N41" s="714"/>
      <c r="O41" s="714"/>
      <c r="P41" s="715"/>
      <c r="Q41" s="96" t="e">
        <f t="shared" si="6"/>
        <v>#DIV/0!</v>
      </c>
      <c r="R41" s="94"/>
      <c r="S41" s="94"/>
    </row>
    <row r="42" spans="2:20" x14ac:dyDescent="0.25">
      <c r="B42" s="688"/>
      <c r="C42" s="691"/>
      <c r="D42" s="80" t="s">
        <v>266</v>
      </c>
      <c r="E42" s="97">
        <v>70</v>
      </c>
      <c r="F42" s="78">
        <f>Production2!AQ32</f>
        <v>22</v>
      </c>
      <c r="G42" s="654">
        <f>F42+'29'!G42</f>
        <v>413.41</v>
      </c>
      <c r="H42" s="654">
        <f>F42+'29'!H42</f>
        <v>829.40999999999974</v>
      </c>
      <c r="I42" s="711"/>
      <c r="J42" s="77">
        <f>Production2!AR32</f>
        <v>1354</v>
      </c>
      <c r="K42" s="74">
        <f>J42+'29'!K42</f>
        <v>24551</v>
      </c>
      <c r="L42" s="74">
        <f>J42+'29'!L42</f>
        <v>48691</v>
      </c>
      <c r="M42" s="716"/>
      <c r="N42" s="867"/>
      <c r="O42" s="867"/>
      <c r="P42" s="718"/>
      <c r="Q42" s="96">
        <f t="shared" si="6"/>
        <v>61.545454545454547</v>
      </c>
      <c r="R42" s="94"/>
      <c r="S42" s="94"/>
    </row>
    <row r="43" spans="2:20" x14ac:dyDescent="0.25">
      <c r="B43" s="688"/>
      <c r="C43" s="691"/>
      <c r="D43" s="80" t="s">
        <v>267</v>
      </c>
      <c r="E43" s="97">
        <v>70</v>
      </c>
      <c r="F43" s="78">
        <f>Production2!AW32</f>
        <v>0</v>
      </c>
      <c r="G43" s="654">
        <f>F43+'29'!G43</f>
        <v>0</v>
      </c>
      <c r="H43" s="654">
        <f>F43+'29'!H43</f>
        <v>0</v>
      </c>
      <c r="I43" s="711"/>
      <c r="J43" s="77">
        <f>Production2!AX32</f>
        <v>0</v>
      </c>
      <c r="K43" s="596">
        <f>J43+'29'!K43</f>
        <v>0</v>
      </c>
      <c r="L43" s="596">
        <f>J43+'29'!L43</f>
        <v>0</v>
      </c>
      <c r="M43" s="716"/>
      <c r="N43" s="867"/>
      <c r="O43" s="867"/>
      <c r="P43" s="718"/>
      <c r="Q43" s="96" t="e">
        <f t="shared" si="6"/>
        <v>#DIV/0!</v>
      </c>
      <c r="R43" s="94"/>
      <c r="S43" s="94"/>
      <c r="T43" s="176"/>
    </row>
    <row r="44" spans="2:20" x14ac:dyDescent="0.25">
      <c r="B44" s="688"/>
      <c r="C44" s="691"/>
      <c r="D44" s="194" t="s">
        <v>175</v>
      </c>
      <c r="E44" s="97">
        <v>60</v>
      </c>
      <c r="F44" s="84">
        <f>Production2!AZ32</f>
        <v>2</v>
      </c>
      <c r="G44" s="654">
        <f>F44+'29'!G44</f>
        <v>15</v>
      </c>
      <c r="H44" s="654">
        <f>F44+'29'!H44</f>
        <v>47.88</v>
      </c>
      <c r="I44" s="711"/>
      <c r="J44" s="195">
        <f>Production2!BA32</f>
        <v>110</v>
      </c>
      <c r="K44" s="607">
        <f>J44+'29'!K44</f>
        <v>827</v>
      </c>
      <c r="L44" s="607">
        <f>J44+'29'!L44</f>
        <v>2647</v>
      </c>
      <c r="M44" s="716"/>
      <c r="N44" s="867"/>
      <c r="O44" s="867"/>
      <c r="P44" s="718"/>
      <c r="Q44" s="96">
        <f t="shared" si="6"/>
        <v>55</v>
      </c>
      <c r="R44" s="94"/>
      <c r="S44" s="94"/>
    </row>
    <row r="45" spans="2:20" x14ac:dyDescent="0.25">
      <c r="B45" s="688"/>
      <c r="C45" s="691"/>
      <c r="D45" s="598" t="s">
        <v>304</v>
      </c>
      <c r="E45" s="602">
        <v>70</v>
      </c>
      <c r="F45" s="600">
        <f>Production2!BC32</f>
        <v>0</v>
      </c>
      <c r="G45" s="654">
        <f>F45+'29'!G45</f>
        <v>50.699999999999996</v>
      </c>
      <c r="H45" s="654">
        <f>F45+'29'!H45</f>
        <v>105.67</v>
      </c>
      <c r="I45" s="712"/>
      <c r="J45" s="597">
        <f>Production2!BD32</f>
        <v>0</v>
      </c>
      <c r="K45" s="607">
        <f>J45+'29'!K45</f>
        <v>3143</v>
      </c>
      <c r="L45" s="607">
        <f>J45+'29'!L45</f>
        <v>6415</v>
      </c>
      <c r="M45" s="719"/>
      <c r="N45" s="720"/>
      <c r="O45" s="720"/>
      <c r="P45" s="721"/>
      <c r="Q45" s="96" t="e">
        <f t="shared" si="6"/>
        <v>#DIV/0!</v>
      </c>
      <c r="R45" s="94"/>
      <c r="S45" s="94"/>
    </row>
    <row r="46" spans="2:20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24</v>
      </c>
      <c r="G46" s="132">
        <f t="shared" ref="G46:H46" si="10">G41+G42+G43+G44+G45</f>
        <v>491.44</v>
      </c>
      <c r="H46" s="132">
        <f t="shared" si="10"/>
        <v>1028.3899999999996</v>
      </c>
      <c r="I46" s="122"/>
      <c r="J46" s="122">
        <f>J41+J42+J43+J44+J45</f>
        <v>1464</v>
      </c>
      <c r="K46" s="599">
        <f t="shared" ref="K46:L46" si="11">K41+K42+K43+K44+K45</f>
        <v>29271</v>
      </c>
      <c r="L46" s="599">
        <f t="shared" si="11"/>
        <v>60503</v>
      </c>
      <c r="M46" s="873"/>
      <c r="N46" s="874"/>
      <c r="O46" s="874"/>
      <c r="P46" s="875"/>
      <c r="Q46" s="123">
        <f t="shared" si="6"/>
        <v>61</v>
      </c>
      <c r="R46" s="94"/>
      <c r="S46" s="94"/>
    </row>
    <row r="47" spans="2:20" ht="15.75" thickBot="1" x14ac:dyDescent="0.3">
      <c r="B47" s="693"/>
      <c r="C47" s="694"/>
      <c r="D47" s="694"/>
      <c r="E47" s="694"/>
      <c r="F47" s="694"/>
      <c r="G47" s="694"/>
      <c r="H47" s="694"/>
      <c r="I47" s="694"/>
      <c r="J47" s="694"/>
      <c r="K47" s="694"/>
      <c r="L47" s="694"/>
      <c r="M47" s="694"/>
      <c r="N47" s="694"/>
      <c r="O47" s="694"/>
      <c r="P47" s="694"/>
      <c r="Q47" s="695"/>
      <c r="R47" s="94"/>
    </row>
    <row r="48" spans="2:20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  <c r="S48" s="98"/>
    </row>
    <row r="49" spans="2:18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8" ht="14.45" customHeight="1" x14ac:dyDescent="0.25">
      <c r="B50" s="91">
        <v>1</v>
      </c>
      <c r="C50" s="709" t="s">
        <v>274</v>
      </c>
      <c r="D50" s="709"/>
      <c r="E50" s="99">
        <f>E53/J30</f>
        <v>0.77778709957073133</v>
      </c>
      <c r="F50" s="99">
        <f>F53/(J31+J32)</f>
        <v>21.938460350552081</v>
      </c>
      <c r="G50" s="99">
        <f>G53/J32</f>
        <v>0</v>
      </c>
      <c r="H50" s="99">
        <f>H53/J34</f>
        <v>30.27035490605428</v>
      </c>
      <c r="I50" s="99">
        <f>I53/J33</f>
        <v>49.602150537634408</v>
      </c>
      <c r="J50" s="99"/>
      <c r="K50" s="99"/>
      <c r="L50" s="99"/>
      <c r="M50" s="100"/>
      <c r="N50" s="101"/>
      <c r="O50" s="727" t="s">
        <v>275</v>
      </c>
      <c r="P50" s="727"/>
      <c r="Q50" s="93">
        <f>(M33/J34)*100</f>
        <v>14.718162839248434</v>
      </c>
    </row>
    <row r="51" spans="2:18" ht="14.45" customHeight="1" x14ac:dyDescent="0.25">
      <c r="B51" s="79">
        <v>2</v>
      </c>
      <c r="C51" s="728" t="s">
        <v>276</v>
      </c>
      <c r="D51" s="728"/>
      <c r="E51" s="102">
        <f>E50*(I9/J34)</f>
        <v>1.3550382768095519</v>
      </c>
      <c r="F51" s="102">
        <f>F50*1.55</f>
        <v>34.004613543355724</v>
      </c>
      <c r="G51" s="102">
        <f>G50*1.55</f>
        <v>0</v>
      </c>
      <c r="H51" s="102">
        <f>H50</f>
        <v>30.27035490605428</v>
      </c>
      <c r="I51" s="102">
        <f>I50*(Q50/100)</f>
        <v>7.3005252878981741</v>
      </c>
      <c r="J51" s="102"/>
      <c r="K51" s="102"/>
      <c r="L51" s="102"/>
      <c r="M51" s="96"/>
      <c r="N51" s="307">
        <f>SUM(E51:I51)</f>
        <v>72.93053201411773</v>
      </c>
      <c r="O51" s="728" t="s">
        <v>277</v>
      </c>
      <c r="P51" s="728"/>
      <c r="Q51" s="104">
        <v>5386</v>
      </c>
    </row>
    <row r="52" spans="2:18" ht="14.45" customHeight="1" x14ac:dyDescent="0.25">
      <c r="B52" s="79">
        <v>3</v>
      </c>
      <c r="C52" s="729" t="s">
        <v>278</v>
      </c>
      <c r="D52" s="729"/>
      <c r="E52" s="102">
        <f>E51*M18/100</f>
        <v>1.0446552089255934</v>
      </c>
      <c r="F52" s="102">
        <f>F51*M18/100</f>
        <v>26.215566950040511</v>
      </c>
      <c r="G52" s="102">
        <f>G51*M18/100</f>
        <v>0</v>
      </c>
      <c r="H52" s="102">
        <f>H51*M18/100</f>
        <v>23.336672085079716</v>
      </c>
      <c r="I52" s="102">
        <f>I51*M18/100</f>
        <v>5.6282777397643509</v>
      </c>
      <c r="J52" s="99">
        <f>J53/(J40+J46)</f>
        <v>38.012722646310429</v>
      </c>
      <c r="K52" s="99">
        <f>K53/(J46+J40)</f>
        <v>0.76272264631043252</v>
      </c>
      <c r="L52" s="99">
        <f>L53/(M40)</f>
        <v>2.4051961103065054</v>
      </c>
      <c r="M52" s="96">
        <f>M53/(J46+J40)</f>
        <v>1.4840966921119594</v>
      </c>
      <c r="N52" s="307">
        <f>SUM(E52:M52)</f>
        <v>98.889910078849496</v>
      </c>
      <c r="O52" s="728" t="s">
        <v>279</v>
      </c>
      <c r="P52" s="728"/>
      <c r="Q52" s="104">
        <f>Q51*Q50/100</f>
        <v>792.72025052192066</v>
      </c>
    </row>
    <row r="53" spans="2:18" ht="15" customHeight="1" thickBot="1" x14ac:dyDescent="0.3">
      <c r="B53" s="90" t="s">
        <v>241</v>
      </c>
      <c r="C53" s="723" t="s">
        <v>280</v>
      </c>
      <c r="D53" s="723"/>
      <c r="E53" s="118">
        <f>'Daily unit'!B32</f>
        <v>2225</v>
      </c>
      <c r="F53" s="118">
        <f>'Daily unit'!C32</f>
        <v>68190</v>
      </c>
      <c r="G53" s="118">
        <f>'Daily unit'!D32</f>
        <v>0</v>
      </c>
      <c r="H53" s="118">
        <f>'Daily unit'!E32</f>
        <v>57998</v>
      </c>
      <c r="I53" s="118">
        <f>'Daily unit'!F32</f>
        <v>13839</v>
      </c>
      <c r="J53" s="118">
        <f>'Daily unit'!G32</f>
        <v>119512</v>
      </c>
      <c r="K53" s="118">
        <f>'Daily unit'!H32</f>
        <v>2398</v>
      </c>
      <c r="L53" s="118">
        <f>'Daily unit'!I32</f>
        <v>6510</v>
      </c>
      <c r="M53" s="119">
        <f>'Daily unit'!J32</f>
        <v>4666</v>
      </c>
      <c r="N53" s="318">
        <f>SUM(E53:M53)</f>
        <v>275338</v>
      </c>
      <c r="O53" s="106"/>
      <c r="P53" s="107"/>
      <c r="Q53" s="108"/>
    </row>
    <row r="54" spans="2:18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8" ht="14.45" customHeight="1" x14ac:dyDescent="0.25">
      <c r="B55" s="756" t="s">
        <v>281</v>
      </c>
      <c r="C55" s="722"/>
      <c r="D55" s="722"/>
      <c r="E55" s="722"/>
      <c r="F55" s="722"/>
      <c r="G55" s="722"/>
      <c r="H55" s="722"/>
      <c r="I55" s="889" t="s">
        <v>299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8" s="110" customFormat="1" ht="14.45" customHeight="1" thickBot="1" x14ac:dyDescent="0.3">
      <c r="B56" s="653" t="s">
        <v>229</v>
      </c>
      <c r="C56" s="947" t="s">
        <v>283</v>
      </c>
      <c r="D56" s="947"/>
      <c r="E56" s="811"/>
      <c r="F56" s="187" t="s">
        <v>284</v>
      </c>
      <c r="G56" s="187" t="s">
        <v>26</v>
      </c>
      <c r="H56" s="187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8" ht="14.45" customHeight="1" x14ac:dyDescent="0.25">
      <c r="B57" s="860">
        <v>1</v>
      </c>
      <c r="C57" s="859" t="s">
        <v>285</v>
      </c>
      <c r="D57" s="859"/>
      <c r="E57" s="643">
        <v>42.5</v>
      </c>
      <c r="F57" s="645">
        <f>'Internal use cement'!F32</f>
        <v>0</v>
      </c>
      <c r="G57" s="645">
        <f>F57+'29'!G57</f>
        <v>10</v>
      </c>
      <c r="H57" s="646">
        <f>F57+'29'!H57</f>
        <v>10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8" ht="14.45" customHeight="1" x14ac:dyDescent="0.25">
      <c r="B58" s="861"/>
      <c r="C58" s="896"/>
      <c r="D58" s="896"/>
      <c r="E58" s="644" t="s">
        <v>195</v>
      </c>
      <c r="F58" s="645">
        <f>'Internal use cement'!Q32</f>
        <v>0</v>
      </c>
      <c r="G58" s="645">
        <f>F58+'29'!G58</f>
        <v>2</v>
      </c>
      <c r="H58" s="646">
        <f>F58+'29'!H58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8" ht="15" customHeight="1" x14ac:dyDescent="0.25">
      <c r="B59" s="861"/>
      <c r="C59" s="896"/>
      <c r="D59" s="896"/>
      <c r="E59" s="644">
        <v>32.5</v>
      </c>
      <c r="F59" s="645">
        <f>'Internal use cement'!Y32</f>
        <v>0</v>
      </c>
      <c r="G59" s="645">
        <f>F59+'29'!G59</f>
        <v>0</v>
      </c>
      <c r="H59" s="646">
        <f>F59+'29'!H59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8" ht="15" customHeight="1" x14ac:dyDescent="0.25">
      <c r="B60" s="861"/>
      <c r="C60" s="896"/>
      <c r="D60" s="896"/>
      <c r="E60" s="644" t="s">
        <v>175</v>
      </c>
      <c r="F60" s="645">
        <f>'Internal use cement'!AJ32</f>
        <v>0</v>
      </c>
      <c r="G60" s="645">
        <f>F60+'29'!G60</f>
        <v>0.1</v>
      </c>
      <c r="H60" s="646">
        <f>F60+'29'!H60</f>
        <v>0.1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8" ht="15.75" thickBot="1" x14ac:dyDescent="0.3">
      <c r="B61" s="862"/>
      <c r="C61" s="703"/>
      <c r="D61" s="703"/>
      <c r="E61" s="651" t="s">
        <v>350</v>
      </c>
      <c r="F61" s="652">
        <f>'Internal use cement'!AO32</f>
        <v>0</v>
      </c>
      <c r="G61" s="645">
        <f>F61+'29'!G61</f>
        <v>4</v>
      </c>
      <c r="H61" s="646">
        <f>F61+'29'!H61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116"/>
    </row>
    <row r="62" spans="2:18" x14ac:dyDescent="0.25">
      <c r="R62" s="94"/>
    </row>
    <row r="63" spans="2:18" x14ac:dyDescent="0.25">
      <c r="R63" s="94"/>
    </row>
    <row r="64" spans="2:18" x14ac:dyDescent="0.25">
      <c r="R64" s="94"/>
    </row>
    <row r="65" spans="2:18" x14ac:dyDescent="0.25">
      <c r="R65" s="109"/>
    </row>
    <row r="66" spans="2:18" x14ac:dyDescent="0.25">
      <c r="R66" s="94"/>
    </row>
    <row r="67" spans="2:18" x14ac:dyDescent="0.25">
      <c r="R67" s="117"/>
    </row>
    <row r="68" spans="2:18" x14ac:dyDescent="0.25">
      <c r="R68" s="117"/>
    </row>
    <row r="69" spans="2:18" x14ac:dyDescent="0.25">
      <c r="R69" s="117"/>
    </row>
    <row r="70" spans="2:18" x14ac:dyDescent="0.25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</row>
    <row r="71" spans="2:18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</sheetData>
  <mergeCells count="84">
    <mergeCell ref="B55:H55"/>
    <mergeCell ref="C56:E56"/>
    <mergeCell ref="B54:Q54"/>
    <mergeCell ref="B47:Q47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B48:N48"/>
    <mergeCell ref="O48:Q48"/>
    <mergeCell ref="I55:Q61"/>
    <mergeCell ref="B2:Q2"/>
    <mergeCell ref="B3:Q3"/>
    <mergeCell ref="B41:B46"/>
    <mergeCell ref="C41:C46"/>
    <mergeCell ref="C30:D30"/>
    <mergeCell ref="C31:D31"/>
    <mergeCell ref="C33:D33"/>
    <mergeCell ref="B35:B40"/>
    <mergeCell ref="P18:Q20"/>
    <mergeCell ref="Q21:Q22"/>
    <mergeCell ref="C22:D22"/>
    <mergeCell ref="B23:B24"/>
    <mergeCell ref="M46:P46"/>
    <mergeCell ref="C32:D32"/>
    <mergeCell ref="I31:I32"/>
    <mergeCell ref="M31:M32"/>
    <mergeCell ref="N31:N32"/>
    <mergeCell ref="O31:O32"/>
    <mergeCell ref="M41:P45"/>
    <mergeCell ref="P31:P32"/>
    <mergeCell ref="C17:Q17"/>
    <mergeCell ref="C23:C24"/>
    <mergeCell ref="M23:N24"/>
    <mergeCell ref="P23:Q25"/>
    <mergeCell ref="C25:D25"/>
    <mergeCell ref="M25:N25"/>
    <mergeCell ref="B18:B20"/>
    <mergeCell ref="P6:P7"/>
    <mergeCell ref="Q6:Q7"/>
    <mergeCell ref="O9:O16"/>
    <mergeCell ref="C10:D10"/>
    <mergeCell ref="B14:B16"/>
    <mergeCell ref="C14:C16"/>
    <mergeCell ref="C8:Q8"/>
    <mergeCell ref="C11:D11"/>
    <mergeCell ref="C12:D12"/>
    <mergeCell ref="C13:D13"/>
    <mergeCell ref="P13:Q13"/>
    <mergeCell ref="C18:C20"/>
    <mergeCell ref="N18:N20"/>
    <mergeCell ref="O18:O25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C57:D61"/>
    <mergeCell ref="B57:B61"/>
    <mergeCell ref="I41:I45"/>
    <mergeCell ref="C21:D21"/>
    <mergeCell ref="C35:C40"/>
    <mergeCell ref="B26:Q26"/>
    <mergeCell ref="B27:Q27"/>
    <mergeCell ref="B28:B29"/>
    <mergeCell ref="C28:D29"/>
    <mergeCell ref="F28:H28"/>
    <mergeCell ref="I28:I29"/>
    <mergeCell ref="J28:L28"/>
    <mergeCell ref="M28:O28"/>
    <mergeCell ref="P28:P29"/>
    <mergeCell ref="Q28:Q29"/>
    <mergeCell ref="C34:D34"/>
  </mergeCells>
  <pageMargins left="0" right="0" top="0.75" bottom="0.75" header="0.3" footer="0.3"/>
  <pageSetup paperSize="9" scale="55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1"/>
  <dimension ref="B2:S155"/>
  <sheetViews>
    <sheetView zoomScale="90" zoomScaleNormal="90" workbookViewId="0">
      <pane xSplit="4" ySplit="2" topLeftCell="E3" activePane="bottomRight" state="frozen"/>
      <selection pane="topRight" activeCell="E1" sqref="E1"/>
      <selection pane="bottomLeft" activeCell="A6" sqref="A6"/>
      <selection pane="bottomRight" activeCell="T3" sqref="T3"/>
    </sheetView>
  </sheetViews>
  <sheetFormatPr defaultRowHeight="15" x14ac:dyDescent="0.25"/>
  <cols>
    <col min="1" max="1" width="3.7109375" style="68" customWidth="1"/>
    <col min="2" max="2" width="4" style="68" bestFit="1" customWidth="1"/>
    <col min="3" max="3" width="14.5703125" style="68" customWidth="1"/>
    <col min="4" max="4" width="11.140625" style="68" customWidth="1"/>
    <col min="5" max="5" width="8.7109375" style="68" customWidth="1"/>
    <col min="6" max="6" width="9.7109375" style="68" bestFit="1" customWidth="1"/>
    <col min="7" max="7" width="10.85546875" style="68" customWidth="1"/>
    <col min="8" max="8" width="10.42578125" style="68" customWidth="1"/>
    <col min="9" max="9" width="9.7109375" style="68" bestFit="1" customWidth="1"/>
    <col min="10" max="10" width="11.140625" style="68" customWidth="1"/>
    <col min="11" max="11" width="10.42578125" style="68" bestFit="1" customWidth="1"/>
    <col min="12" max="12" width="11.5703125" style="68" bestFit="1" customWidth="1"/>
    <col min="13" max="13" width="10.7109375" style="68" bestFit="1" customWidth="1"/>
    <col min="14" max="14" width="11.28515625" style="68" customWidth="1"/>
    <col min="15" max="15" width="12.5703125" style="68" customWidth="1"/>
    <col min="16" max="16" width="13.5703125" style="69" customWidth="1"/>
    <col min="17" max="17" width="13" style="68" customWidth="1"/>
    <col min="18" max="254" width="9.140625" style="68"/>
    <col min="255" max="255" width="3.7109375" style="68" customWidth="1"/>
    <col min="256" max="256" width="4" style="68" bestFit="1" customWidth="1"/>
    <col min="257" max="257" width="14.5703125" style="68" customWidth="1"/>
    <col min="258" max="258" width="11.140625" style="68" customWidth="1"/>
    <col min="259" max="259" width="8.7109375" style="68" customWidth="1"/>
    <col min="260" max="260" width="9.7109375" style="68" bestFit="1" customWidth="1"/>
    <col min="261" max="261" width="10.85546875" style="68" customWidth="1"/>
    <col min="262" max="262" width="10.42578125" style="68" customWidth="1"/>
    <col min="263" max="263" width="9.7109375" style="68" bestFit="1" customWidth="1"/>
    <col min="264" max="266" width="9.28515625" style="68" bestFit="1" customWidth="1"/>
    <col min="267" max="267" width="10.7109375" style="68" bestFit="1" customWidth="1"/>
    <col min="268" max="268" width="11.28515625" style="68" customWidth="1"/>
    <col min="269" max="269" width="12.5703125" style="68" customWidth="1"/>
    <col min="270" max="270" width="13.5703125" style="68" customWidth="1"/>
    <col min="271" max="271" width="13" style="68" customWidth="1"/>
    <col min="272" max="510" width="9.140625" style="68"/>
    <col min="511" max="511" width="3.7109375" style="68" customWidth="1"/>
    <col min="512" max="512" width="4" style="68" bestFit="1" customWidth="1"/>
    <col min="513" max="513" width="14.5703125" style="68" customWidth="1"/>
    <col min="514" max="514" width="11.140625" style="68" customWidth="1"/>
    <col min="515" max="515" width="8.7109375" style="68" customWidth="1"/>
    <col min="516" max="516" width="9.7109375" style="68" bestFit="1" customWidth="1"/>
    <col min="517" max="517" width="10.85546875" style="68" customWidth="1"/>
    <col min="518" max="518" width="10.42578125" style="68" customWidth="1"/>
    <col min="519" max="519" width="9.7109375" style="68" bestFit="1" customWidth="1"/>
    <col min="520" max="522" width="9.28515625" style="68" bestFit="1" customWidth="1"/>
    <col min="523" max="523" width="10.7109375" style="68" bestFit="1" customWidth="1"/>
    <col min="524" max="524" width="11.28515625" style="68" customWidth="1"/>
    <col min="525" max="525" width="12.5703125" style="68" customWidth="1"/>
    <col min="526" max="526" width="13.5703125" style="68" customWidth="1"/>
    <col min="527" max="527" width="13" style="68" customWidth="1"/>
    <col min="528" max="766" width="9.140625" style="68"/>
    <col min="767" max="767" width="3.7109375" style="68" customWidth="1"/>
    <col min="768" max="768" width="4" style="68" bestFit="1" customWidth="1"/>
    <col min="769" max="769" width="14.5703125" style="68" customWidth="1"/>
    <col min="770" max="770" width="11.140625" style="68" customWidth="1"/>
    <col min="771" max="771" width="8.7109375" style="68" customWidth="1"/>
    <col min="772" max="772" width="9.7109375" style="68" bestFit="1" customWidth="1"/>
    <col min="773" max="773" width="10.85546875" style="68" customWidth="1"/>
    <col min="774" max="774" width="10.42578125" style="68" customWidth="1"/>
    <col min="775" max="775" width="9.7109375" style="68" bestFit="1" customWidth="1"/>
    <col min="776" max="778" width="9.28515625" style="68" bestFit="1" customWidth="1"/>
    <col min="779" max="779" width="10.7109375" style="68" bestFit="1" customWidth="1"/>
    <col min="780" max="780" width="11.28515625" style="68" customWidth="1"/>
    <col min="781" max="781" width="12.5703125" style="68" customWidth="1"/>
    <col min="782" max="782" width="13.5703125" style="68" customWidth="1"/>
    <col min="783" max="783" width="13" style="68" customWidth="1"/>
    <col min="784" max="1022" width="9.140625" style="68"/>
    <col min="1023" max="1023" width="3.7109375" style="68" customWidth="1"/>
    <col min="1024" max="1024" width="4" style="68" bestFit="1" customWidth="1"/>
    <col min="1025" max="1025" width="14.5703125" style="68" customWidth="1"/>
    <col min="1026" max="1026" width="11.140625" style="68" customWidth="1"/>
    <col min="1027" max="1027" width="8.7109375" style="68" customWidth="1"/>
    <col min="1028" max="1028" width="9.7109375" style="68" bestFit="1" customWidth="1"/>
    <col min="1029" max="1029" width="10.85546875" style="68" customWidth="1"/>
    <col min="1030" max="1030" width="10.42578125" style="68" customWidth="1"/>
    <col min="1031" max="1031" width="9.7109375" style="68" bestFit="1" customWidth="1"/>
    <col min="1032" max="1034" width="9.28515625" style="68" bestFit="1" customWidth="1"/>
    <col min="1035" max="1035" width="10.7109375" style="68" bestFit="1" customWidth="1"/>
    <col min="1036" max="1036" width="11.28515625" style="68" customWidth="1"/>
    <col min="1037" max="1037" width="12.5703125" style="68" customWidth="1"/>
    <col min="1038" max="1038" width="13.5703125" style="68" customWidth="1"/>
    <col min="1039" max="1039" width="13" style="68" customWidth="1"/>
    <col min="1040" max="1278" width="9.140625" style="68"/>
    <col min="1279" max="1279" width="3.7109375" style="68" customWidth="1"/>
    <col min="1280" max="1280" width="4" style="68" bestFit="1" customWidth="1"/>
    <col min="1281" max="1281" width="14.5703125" style="68" customWidth="1"/>
    <col min="1282" max="1282" width="11.140625" style="68" customWidth="1"/>
    <col min="1283" max="1283" width="8.7109375" style="68" customWidth="1"/>
    <col min="1284" max="1284" width="9.7109375" style="68" bestFit="1" customWidth="1"/>
    <col min="1285" max="1285" width="10.85546875" style="68" customWidth="1"/>
    <col min="1286" max="1286" width="10.42578125" style="68" customWidth="1"/>
    <col min="1287" max="1287" width="9.7109375" style="68" bestFit="1" customWidth="1"/>
    <col min="1288" max="1290" width="9.28515625" style="68" bestFit="1" customWidth="1"/>
    <col min="1291" max="1291" width="10.7109375" style="68" bestFit="1" customWidth="1"/>
    <col min="1292" max="1292" width="11.28515625" style="68" customWidth="1"/>
    <col min="1293" max="1293" width="12.5703125" style="68" customWidth="1"/>
    <col min="1294" max="1294" width="13.5703125" style="68" customWidth="1"/>
    <col min="1295" max="1295" width="13" style="68" customWidth="1"/>
    <col min="1296" max="1534" width="9.140625" style="68"/>
    <col min="1535" max="1535" width="3.7109375" style="68" customWidth="1"/>
    <col min="1536" max="1536" width="4" style="68" bestFit="1" customWidth="1"/>
    <col min="1537" max="1537" width="14.5703125" style="68" customWidth="1"/>
    <col min="1538" max="1538" width="11.140625" style="68" customWidth="1"/>
    <col min="1539" max="1539" width="8.7109375" style="68" customWidth="1"/>
    <col min="1540" max="1540" width="9.7109375" style="68" bestFit="1" customWidth="1"/>
    <col min="1541" max="1541" width="10.85546875" style="68" customWidth="1"/>
    <col min="1542" max="1542" width="10.42578125" style="68" customWidth="1"/>
    <col min="1543" max="1543" width="9.7109375" style="68" bestFit="1" customWidth="1"/>
    <col min="1544" max="1546" width="9.28515625" style="68" bestFit="1" customWidth="1"/>
    <col min="1547" max="1547" width="10.7109375" style="68" bestFit="1" customWidth="1"/>
    <col min="1548" max="1548" width="11.28515625" style="68" customWidth="1"/>
    <col min="1549" max="1549" width="12.5703125" style="68" customWidth="1"/>
    <col min="1550" max="1550" width="13.5703125" style="68" customWidth="1"/>
    <col min="1551" max="1551" width="13" style="68" customWidth="1"/>
    <col min="1552" max="1790" width="9.140625" style="68"/>
    <col min="1791" max="1791" width="3.7109375" style="68" customWidth="1"/>
    <col min="1792" max="1792" width="4" style="68" bestFit="1" customWidth="1"/>
    <col min="1793" max="1793" width="14.5703125" style="68" customWidth="1"/>
    <col min="1794" max="1794" width="11.140625" style="68" customWidth="1"/>
    <col min="1795" max="1795" width="8.7109375" style="68" customWidth="1"/>
    <col min="1796" max="1796" width="9.7109375" style="68" bestFit="1" customWidth="1"/>
    <col min="1797" max="1797" width="10.85546875" style="68" customWidth="1"/>
    <col min="1798" max="1798" width="10.42578125" style="68" customWidth="1"/>
    <col min="1799" max="1799" width="9.7109375" style="68" bestFit="1" customWidth="1"/>
    <col min="1800" max="1802" width="9.28515625" style="68" bestFit="1" customWidth="1"/>
    <col min="1803" max="1803" width="10.7109375" style="68" bestFit="1" customWidth="1"/>
    <col min="1804" max="1804" width="11.28515625" style="68" customWidth="1"/>
    <col min="1805" max="1805" width="12.5703125" style="68" customWidth="1"/>
    <col min="1806" max="1806" width="13.5703125" style="68" customWidth="1"/>
    <col min="1807" max="1807" width="13" style="68" customWidth="1"/>
    <col min="1808" max="2046" width="9.140625" style="68"/>
    <col min="2047" max="2047" width="3.7109375" style="68" customWidth="1"/>
    <col min="2048" max="2048" width="4" style="68" bestFit="1" customWidth="1"/>
    <col min="2049" max="2049" width="14.5703125" style="68" customWidth="1"/>
    <col min="2050" max="2050" width="11.140625" style="68" customWidth="1"/>
    <col min="2051" max="2051" width="8.7109375" style="68" customWidth="1"/>
    <col min="2052" max="2052" width="9.7109375" style="68" bestFit="1" customWidth="1"/>
    <col min="2053" max="2053" width="10.85546875" style="68" customWidth="1"/>
    <col min="2054" max="2054" width="10.42578125" style="68" customWidth="1"/>
    <col min="2055" max="2055" width="9.7109375" style="68" bestFit="1" customWidth="1"/>
    <col min="2056" max="2058" width="9.28515625" style="68" bestFit="1" customWidth="1"/>
    <col min="2059" max="2059" width="10.7109375" style="68" bestFit="1" customWidth="1"/>
    <col min="2060" max="2060" width="11.28515625" style="68" customWidth="1"/>
    <col min="2061" max="2061" width="12.5703125" style="68" customWidth="1"/>
    <col min="2062" max="2062" width="13.5703125" style="68" customWidth="1"/>
    <col min="2063" max="2063" width="13" style="68" customWidth="1"/>
    <col min="2064" max="2302" width="9.140625" style="68"/>
    <col min="2303" max="2303" width="3.7109375" style="68" customWidth="1"/>
    <col min="2304" max="2304" width="4" style="68" bestFit="1" customWidth="1"/>
    <col min="2305" max="2305" width="14.5703125" style="68" customWidth="1"/>
    <col min="2306" max="2306" width="11.140625" style="68" customWidth="1"/>
    <col min="2307" max="2307" width="8.7109375" style="68" customWidth="1"/>
    <col min="2308" max="2308" width="9.7109375" style="68" bestFit="1" customWidth="1"/>
    <col min="2309" max="2309" width="10.85546875" style="68" customWidth="1"/>
    <col min="2310" max="2310" width="10.42578125" style="68" customWidth="1"/>
    <col min="2311" max="2311" width="9.7109375" style="68" bestFit="1" customWidth="1"/>
    <col min="2312" max="2314" width="9.28515625" style="68" bestFit="1" customWidth="1"/>
    <col min="2315" max="2315" width="10.7109375" style="68" bestFit="1" customWidth="1"/>
    <col min="2316" max="2316" width="11.28515625" style="68" customWidth="1"/>
    <col min="2317" max="2317" width="12.5703125" style="68" customWidth="1"/>
    <col min="2318" max="2318" width="13.5703125" style="68" customWidth="1"/>
    <col min="2319" max="2319" width="13" style="68" customWidth="1"/>
    <col min="2320" max="2558" width="9.140625" style="68"/>
    <col min="2559" max="2559" width="3.7109375" style="68" customWidth="1"/>
    <col min="2560" max="2560" width="4" style="68" bestFit="1" customWidth="1"/>
    <col min="2561" max="2561" width="14.5703125" style="68" customWidth="1"/>
    <col min="2562" max="2562" width="11.140625" style="68" customWidth="1"/>
    <col min="2563" max="2563" width="8.7109375" style="68" customWidth="1"/>
    <col min="2564" max="2564" width="9.7109375" style="68" bestFit="1" customWidth="1"/>
    <col min="2565" max="2565" width="10.85546875" style="68" customWidth="1"/>
    <col min="2566" max="2566" width="10.42578125" style="68" customWidth="1"/>
    <col min="2567" max="2567" width="9.7109375" style="68" bestFit="1" customWidth="1"/>
    <col min="2568" max="2570" width="9.28515625" style="68" bestFit="1" customWidth="1"/>
    <col min="2571" max="2571" width="10.7109375" style="68" bestFit="1" customWidth="1"/>
    <col min="2572" max="2572" width="11.28515625" style="68" customWidth="1"/>
    <col min="2573" max="2573" width="12.5703125" style="68" customWidth="1"/>
    <col min="2574" max="2574" width="13.5703125" style="68" customWidth="1"/>
    <col min="2575" max="2575" width="13" style="68" customWidth="1"/>
    <col min="2576" max="2814" width="9.140625" style="68"/>
    <col min="2815" max="2815" width="3.7109375" style="68" customWidth="1"/>
    <col min="2816" max="2816" width="4" style="68" bestFit="1" customWidth="1"/>
    <col min="2817" max="2817" width="14.5703125" style="68" customWidth="1"/>
    <col min="2818" max="2818" width="11.140625" style="68" customWidth="1"/>
    <col min="2819" max="2819" width="8.7109375" style="68" customWidth="1"/>
    <col min="2820" max="2820" width="9.7109375" style="68" bestFit="1" customWidth="1"/>
    <col min="2821" max="2821" width="10.85546875" style="68" customWidth="1"/>
    <col min="2822" max="2822" width="10.42578125" style="68" customWidth="1"/>
    <col min="2823" max="2823" width="9.7109375" style="68" bestFit="1" customWidth="1"/>
    <col min="2824" max="2826" width="9.28515625" style="68" bestFit="1" customWidth="1"/>
    <col min="2827" max="2827" width="10.7109375" style="68" bestFit="1" customWidth="1"/>
    <col min="2828" max="2828" width="11.28515625" style="68" customWidth="1"/>
    <col min="2829" max="2829" width="12.5703125" style="68" customWidth="1"/>
    <col min="2830" max="2830" width="13.5703125" style="68" customWidth="1"/>
    <col min="2831" max="2831" width="13" style="68" customWidth="1"/>
    <col min="2832" max="3070" width="9.140625" style="68"/>
    <col min="3071" max="3071" width="3.7109375" style="68" customWidth="1"/>
    <col min="3072" max="3072" width="4" style="68" bestFit="1" customWidth="1"/>
    <col min="3073" max="3073" width="14.5703125" style="68" customWidth="1"/>
    <col min="3074" max="3074" width="11.140625" style="68" customWidth="1"/>
    <col min="3075" max="3075" width="8.7109375" style="68" customWidth="1"/>
    <col min="3076" max="3076" width="9.7109375" style="68" bestFit="1" customWidth="1"/>
    <col min="3077" max="3077" width="10.85546875" style="68" customWidth="1"/>
    <col min="3078" max="3078" width="10.42578125" style="68" customWidth="1"/>
    <col min="3079" max="3079" width="9.7109375" style="68" bestFit="1" customWidth="1"/>
    <col min="3080" max="3082" width="9.28515625" style="68" bestFit="1" customWidth="1"/>
    <col min="3083" max="3083" width="10.7109375" style="68" bestFit="1" customWidth="1"/>
    <col min="3084" max="3084" width="11.28515625" style="68" customWidth="1"/>
    <col min="3085" max="3085" width="12.5703125" style="68" customWidth="1"/>
    <col min="3086" max="3086" width="13.5703125" style="68" customWidth="1"/>
    <col min="3087" max="3087" width="13" style="68" customWidth="1"/>
    <col min="3088" max="3326" width="9.140625" style="68"/>
    <col min="3327" max="3327" width="3.7109375" style="68" customWidth="1"/>
    <col min="3328" max="3328" width="4" style="68" bestFit="1" customWidth="1"/>
    <col min="3329" max="3329" width="14.5703125" style="68" customWidth="1"/>
    <col min="3330" max="3330" width="11.140625" style="68" customWidth="1"/>
    <col min="3331" max="3331" width="8.7109375" style="68" customWidth="1"/>
    <col min="3332" max="3332" width="9.7109375" style="68" bestFit="1" customWidth="1"/>
    <col min="3333" max="3333" width="10.85546875" style="68" customWidth="1"/>
    <col min="3334" max="3334" width="10.42578125" style="68" customWidth="1"/>
    <col min="3335" max="3335" width="9.7109375" style="68" bestFit="1" customWidth="1"/>
    <col min="3336" max="3338" width="9.28515625" style="68" bestFit="1" customWidth="1"/>
    <col min="3339" max="3339" width="10.7109375" style="68" bestFit="1" customWidth="1"/>
    <col min="3340" max="3340" width="11.28515625" style="68" customWidth="1"/>
    <col min="3341" max="3341" width="12.5703125" style="68" customWidth="1"/>
    <col min="3342" max="3342" width="13.5703125" style="68" customWidth="1"/>
    <col min="3343" max="3343" width="13" style="68" customWidth="1"/>
    <col min="3344" max="3582" width="9.140625" style="68"/>
    <col min="3583" max="3583" width="3.7109375" style="68" customWidth="1"/>
    <col min="3584" max="3584" width="4" style="68" bestFit="1" customWidth="1"/>
    <col min="3585" max="3585" width="14.5703125" style="68" customWidth="1"/>
    <col min="3586" max="3586" width="11.140625" style="68" customWidth="1"/>
    <col min="3587" max="3587" width="8.7109375" style="68" customWidth="1"/>
    <col min="3588" max="3588" width="9.7109375" style="68" bestFit="1" customWidth="1"/>
    <col min="3589" max="3589" width="10.85546875" style="68" customWidth="1"/>
    <col min="3590" max="3590" width="10.42578125" style="68" customWidth="1"/>
    <col min="3591" max="3591" width="9.7109375" style="68" bestFit="1" customWidth="1"/>
    <col min="3592" max="3594" width="9.28515625" style="68" bestFit="1" customWidth="1"/>
    <col min="3595" max="3595" width="10.7109375" style="68" bestFit="1" customWidth="1"/>
    <col min="3596" max="3596" width="11.28515625" style="68" customWidth="1"/>
    <col min="3597" max="3597" width="12.5703125" style="68" customWidth="1"/>
    <col min="3598" max="3598" width="13.5703125" style="68" customWidth="1"/>
    <col min="3599" max="3599" width="13" style="68" customWidth="1"/>
    <col min="3600" max="3838" width="9.140625" style="68"/>
    <col min="3839" max="3839" width="3.7109375" style="68" customWidth="1"/>
    <col min="3840" max="3840" width="4" style="68" bestFit="1" customWidth="1"/>
    <col min="3841" max="3841" width="14.5703125" style="68" customWidth="1"/>
    <col min="3842" max="3842" width="11.140625" style="68" customWidth="1"/>
    <col min="3843" max="3843" width="8.7109375" style="68" customWidth="1"/>
    <col min="3844" max="3844" width="9.7109375" style="68" bestFit="1" customWidth="1"/>
    <col min="3845" max="3845" width="10.85546875" style="68" customWidth="1"/>
    <col min="3846" max="3846" width="10.42578125" style="68" customWidth="1"/>
    <col min="3847" max="3847" width="9.7109375" style="68" bestFit="1" customWidth="1"/>
    <col min="3848" max="3850" width="9.28515625" style="68" bestFit="1" customWidth="1"/>
    <col min="3851" max="3851" width="10.7109375" style="68" bestFit="1" customWidth="1"/>
    <col min="3852" max="3852" width="11.28515625" style="68" customWidth="1"/>
    <col min="3853" max="3853" width="12.5703125" style="68" customWidth="1"/>
    <col min="3854" max="3854" width="13.5703125" style="68" customWidth="1"/>
    <col min="3855" max="3855" width="13" style="68" customWidth="1"/>
    <col min="3856" max="4094" width="9.140625" style="68"/>
    <col min="4095" max="4095" width="3.7109375" style="68" customWidth="1"/>
    <col min="4096" max="4096" width="4" style="68" bestFit="1" customWidth="1"/>
    <col min="4097" max="4097" width="14.5703125" style="68" customWidth="1"/>
    <col min="4098" max="4098" width="11.140625" style="68" customWidth="1"/>
    <col min="4099" max="4099" width="8.7109375" style="68" customWidth="1"/>
    <col min="4100" max="4100" width="9.7109375" style="68" bestFit="1" customWidth="1"/>
    <col min="4101" max="4101" width="10.85546875" style="68" customWidth="1"/>
    <col min="4102" max="4102" width="10.42578125" style="68" customWidth="1"/>
    <col min="4103" max="4103" width="9.7109375" style="68" bestFit="1" customWidth="1"/>
    <col min="4104" max="4106" width="9.28515625" style="68" bestFit="1" customWidth="1"/>
    <col min="4107" max="4107" width="10.7109375" style="68" bestFit="1" customWidth="1"/>
    <col min="4108" max="4108" width="11.28515625" style="68" customWidth="1"/>
    <col min="4109" max="4109" width="12.5703125" style="68" customWidth="1"/>
    <col min="4110" max="4110" width="13.5703125" style="68" customWidth="1"/>
    <col min="4111" max="4111" width="13" style="68" customWidth="1"/>
    <col min="4112" max="4350" width="9.140625" style="68"/>
    <col min="4351" max="4351" width="3.7109375" style="68" customWidth="1"/>
    <col min="4352" max="4352" width="4" style="68" bestFit="1" customWidth="1"/>
    <col min="4353" max="4353" width="14.5703125" style="68" customWidth="1"/>
    <col min="4354" max="4354" width="11.140625" style="68" customWidth="1"/>
    <col min="4355" max="4355" width="8.7109375" style="68" customWidth="1"/>
    <col min="4356" max="4356" width="9.7109375" style="68" bestFit="1" customWidth="1"/>
    <col min="4357" max="4357" width="10.85546875" style="68" customWidth="1"/>
    <col min="4358" max="4358" width="10.42578125" style="68" customWidth="1"/>
    <col min="4359" max="4359" width="9.7109375" style="68" bestFit="1" customWidth="1"/>
    <col min="4360" max="4362" width="9.28515625" style="68" bestFit="1" customWidth="1"/>
    <col min="4363" max="4363" width="10.7109375" style="68" bestFit="1" customWidth="1"/>
    <col min="4364" max="4364" width="11.28515625" style="68" customWidth="1"/>
    <col min="4365" max="4365" width="12.5703125" style="68" customWidth="1"/>
    <col min="4366" max="4366" width="13.5703125" style="68" customWidth="1"/>
    <col min="4367" max="4367" width="13" style="68" customWidth="1"/>
    <col min="4368" max="4606" width="9.140625" style="68"/>
    <col min="4607" max="4607" width="3.7109375" style="68" customWidth="1"/>
    <col min="4608" max="4608" width="4" style="68" bestFit="1" customWidth="1"/>
    <col min="4609" max="4609" width="14.5703125" style="68" customWidth="1"/>
    <col min="4610" max="4610" width="11.140625" style="68" customWidth="1"/>
    <col min="4611" max="4611" width="8.7109375" style="68" customWidth="1"/>
    <col min="4612" max="4612" width="9.7109375" style="68" bestFit="1" customWidth="1"/>
    <col min="4613" max="4613" width="10.85546875" style="68" customWidth="1"/>
    <col min="4614" max="4614" width="10.42578125" style="68" customWidth="1"/>
    <col min="4615" max="4615" width="9.7109375" style="68" bestFit="1" customWidth="1"/>
    <col min="4616" max="4618" width="9.28515625" style="68" bestFit="1" customWidth="1"/>
    <col min="4619" max="4619" width="10.7109375" style="68" bestFit="1" customWidth="1"/>
    <col min="4620" max="4620" width="11.28515625" style="68" customWidth="1"/>
    <col min="4621" max="4621" width="12.5703125" style="68" customWidth="1"/>
    <col min="4622" max="4622" width="13.5703125" style="68" customWidth="1"/>
    <col min="4623" max="4623" width="13" style="68" customWidth="1"/>
    <col min="4624" max="4862" width="9.140625" style="68"/>
    <col min="4863" max="4863" width="3.7109375" style="68" customWidth="1"/>
    <col min="4864" max="4864" width="4" style="68" bestFit="1" customWidth="1"/>
    <col min="4865" max="4865" width="14.5703125" style="68" customWidth="1"/>
    <col min="4866" max="4866" width="11.140625" style="68" customWidth="1"/>
    <col min="4867" max="4867" width="8.7109375" style="68" customWidth="1"/>
    <col min="4868" max="4868" width="9.7109375" style="68" bestFit="1" customWidth="1"/>
    <col min="4869" max="4869" width="10.85546875" style="68" customWidth="1"/>
    <col min="4870" max="4870" width="10.42578125" style="68" customWidth="1"/>
    <col min="4871" max="4871" width="9.7109375" style="68" bestFit="1" customWidth="1"/>
    <col min="4872" max="4874" width="9.28515625" style="68" bestFit="1" customWidth="1"/>
    <col min="4875" max="4875" width="10.7109375" style="68" bestFit="1" customWidth="1"/>
    <col min="4876" max="4876" width="11.28515625" style="68" customWidth="1"/>
    <col min="4877" max="4877" width="12.5703125" style="68" customWidth="1"/>
    <col min="4878" max="4878" width="13.5703125" style="68" customWidth="1"/>
    <col min="4879" max="4879" width="13" style="68" customWidth="1"/>
    <col min="4880" max="5118" width="9.140625" style="68"/>
    <col min="5119" max="5119" width="3.7109375" style="68" customWidth="1"/>
    <col min="5120" max="5120" width="4" style="68" bestFit="1" customWidth="1"/>
    <col min="5121" max="5121" width="14.5703125" style="68" customWidth="1"/>
    <col min="5122" max="5122" width="11.140625" style="68" customWidth="1"/>
    <col min="5123" max="5123" width="8.7109375" style="68" customWidth="1"/>
    <col min="5124" max="5124" width="9.7109375" style="68" bestFit="1" customWidth="1"/>
    <col min="5125" max="5125" width="10.85546875" style="68" customWidth="1"/>
    <col min="5126" max="5126" width="10.42578125" style="68" customWidth="1"/>
    <col min="5127" max="5127" width="9.7109375" style="68" bestFit="1" customWidth="1"/>
    <col min="5128" max="5130" width="9.28515625" style="68" bestFit="1" customWidth="1"/>
    <col min="5131" max="5131" width="10.7109375" style="68" bestFit="1" customWidth="1"/>
    <col min="5132" max="5132" width="11.28515625" style="68" customWidth="1"/>
    <col min="5133" max="5133" width="12.5703125" style="68" customWidth="1"/>
    <col min="5134" max="5134" width="13.5703125" style="68" customWidth="1"/>
    <col min="5135" max="5135" width="13" style="68" customWidth="1"/>
    <col min="5136" max="5374" width="9.140625" style="68"/>
    <col min="5375" max="5375" width="3.7109375" style="68" customWidth="1"/>
    <col min="5376" max="5376" width="4" style="68" bestFit="1" customWidth="1"/>
    <col min="5377" max="5377" width="14.5703125" style="68" customWidth="1"/>
    <col min="5378" max="5378" width="11.140625" style="68" customWidth="1"/>
    <col min="5379" max="5379" width="8.7109375" style="68" customWidth="1"/>
    <col min="5380" max="5380" width="9.7109375" style="68" bestFit="1" customWidth="1"/>
    <col min="5381" max="5381" width="10.85546875" style="68" customWidth="1"/>
    <col min="5382" max="5382" width="10.42578125" style="68" customWidth="1"/>
    <col min="5383" max="5383" width="9.7109375" style="68" bestFit="1" customWidth="1"/>
    <col min="5384" max="5386" width="9.28515625" style="68" bestFit="1" customWidth="1"/>
    <col min="5387" max="5387" width="10.7109375" style="68" bestFit="1" customWidth="1"/>
    <col min="5388" max="5388" width="11.28515625" style="68" customWidth="1"/>
    <col min="5389" max="5389" width="12.5703125" style="68" customWidth="1"/>
    <col min="5390" max="5390" width="13.5703125" style="68" customWidth="1"/>
    <col min="5391" max="5391" width="13" style="68" customWidth="1"/>
    <col min="5392" max="5630" width="9.140625" style="68"/>
    <col min="5631" max="5631" width="3.7109375" style="68" customWidth="1"/>
    <col min="5632" max="5632" width="4" style="68" bestFit="1" customWidth="1"/>
    <col min="5633" max="5633" width="14.5703125" style="68" customWidth="1"/>
    <col min="5634" max="5634" width="11.140625" style="68" customWidth="1"/>
    <col min="5635" max="5635" width="8.7109375" style="68" customWidth="1"/>
    <col min="5636" max="5636" width="9.7109375" style="68" bestFit="1" customWidth="1"/>
    <col min="5637" max="5637" width="10.85546875" style="68" customWidth="1"/>
    <col min="5638" max="5638" width="10.42578125" style="68" customWidth="1"/>
    <col min="5639" max="5639" width="9.7109375" style="68" bestFit="1" customWidth="1"/>
    <col min="5640" max="5642" width="9.28515625" style="68" bestFit="1" customWidth="1"/>
    <col min="5643" max="5643" width="10.7109375" style="68" bestFit="1" customWidth="1"/>
    <col min="5644" max="5644" width="11.28515625" style="68" customWidth="1"/>
    <col min="5645" max="5645" width="12.5703125" style="68" customWidth="1"/>
    <col min="5646" max="5646" width="13.5703125" style="68" customWidth="1"/>
    <col min="5647" max="5647" width="13" style="68" customWidth="1"/>
    <col min="5648" max="5886" width="9.140625" style="68"/>
    <col min="5887" max="5887" width="3.7109375" style="68" customWidth="1"/>
    <col min="5888" max="5888" width="4" style="68" bestFit="1" customWidth="1"/>
    <col min="5889" max="5889" width="14.5703125" style="68" customWidth="1"/>
    <col min="5890" max="5890" width="11.140625" style="68" customWidth="1"/>
    <col min="5891" max="5891" width="8.7109375" style="68" customWidth="1"/>
    <col min="5892" max="5892" width="9.7109375" style="68" bestFit="1" customWidth="1"/>
    <col min="5893" max="5893" width="10.85546875" style="68" customWidth="1"/>
    <col min="5894" max="5894" width="10.42578125" style="68" customWidth="1"/>
    <col min="5895" max="5895" width="9.7109375" style="68" bestFit="1" customWidth="1"/>
    <col min="5896" max="5898" width="9.28515625" style="68" bestFit="1" customWidth="1"/>
    <col min="5899" max="5899" width="10.7109375" style="68" bestFit="1" customWidth="1"/>
    <col min="5900" max="5900" width="11.28515625" style="68" customWidth="1"/>
    <col min="5901" max="5901" width="12.5703125" style="68" customWidth="1"/>
    <col min="5902" max="5902" width="13.5703125" style="68" customWidth="1"/>
    <col min="5903" max="5903" width="13" style="68" customWidth="1"/>
    <col min="5904" max="6142" width="9.140625" style="68"/>
    <col min="6143" max="6143" width="3.7109375" style="68" customWidth="1"/>
    <col min="6144" max="6144" width="4" style="68" bestFit="1" customWidth="1"/>
    <col min="6145" max="6145" width="14.5703125" style="68" customWidth="1"/>
    <col min="6146" max="6146" width="11.140625" style="68" customWidth="1"/>
    <col min="6147" max="6147" width="8.7109375" style="68" customWidth="1"/>
    <col min="6148" max="6148" width="9.7109375" style="68" bestFit="1" customWidth="1"/>
    <col min="6149" max="6149" width="10.85546875" style="68" customWidth="1"/>
    <col min="6150" max="6150" width="10.42578125" style="68" customWidth="1"/>
    <col min="6151" max="6151" width="9.7109375" style="68" bestFit="1" customWidth="1"/>
    <col min="6152" max="6154" width="9.28515625" style="68" bestFit="1" customWidth="1"/>
    <col min="6155" max="6155" width="10.7109375" style="68" bestFit="1" customWidth="1"/>
    <col min="6156" max="6156" width="11.28515625" style="68" customWidth="1"/>
    <col min="6157" max="6157" width="12.5703125" style="68" customWidth="1"/>
    <col min="6158" max="6158" width="13.5703125" style="68" customWidth="1"/>
    <col min="6159" max="6159" width="13" style="68" customWidth="1"/>
    <col min="6160" max="6398" width="9.140625" style="68"/>
    <col min="6399" max="6399" width="3.7109375" style="68" customWidth="1"/>
    <col min="6400" max="6400" width="4" style="68" bestFit="1" customWidth="1"/>
    <col min="6401" max="6401" width="14.5703125" style="68" customWidth="1"/>
    <col min="6402" max="6402" width="11.140625" style="68" customWidth="1"/>
    <col min="6403" max="6403" width="8.7109375" style="68" customWidth="1"/>
    <col min="6404" max="6404" width="9.7109375" style="68" bestFit="1" customWidth="1"/>
    <col min="6405" max="6405" width="10.85546875" style="68" customWidth="1"/>
    <col min="6406" max="6406" width="10.42578125" style="68" customWidth="1"/>
    <col min="6407" max="6407" width="9.7109375" style="68" bestFit="1" customWidth="1"/>
    <col min="6408" max="6410" width="9.28515625" style="68" bestFit="1" customWidth="1"/>
    <col min="6411" max="6411" width="10.7109375" style="68" bestFit="1" customWidth="1"/>
    <col min="6412" max="6412" width="11.28515625" style="68" customWidth="1"/>
    <col min="6413" max="6413" width="12.5703125" style="68" customWidth="1"/>
    <col min="6414" max="6414" width="13.5703125" style="68" customWidth="1"/>
    <col min="6415" max="6415" width="13" style="68" customWidth="1"/>
    <col min="6416" max="6654" width="9.140625" style="68"/>
    <col min="6655" max="6655" width="3.7109375" style="68" customWidth="1"/>
    <col min="6656" max="6656" width="4" style="68" bestFit="1" customWidth="1"/>
    <col min="6657" max="6657" width="14.5703125" style="68" customWidth="1"/>
    <col min="6658" max="6658" width="11.140625" style="68" customWidth="1"/>
    <col min="6659" max="6659" width="8.7109375" style="68" customWidth="1"/>
    <col min="6660" max="6660" width="9.7109375" style="68" bestFit="1" customWidth="1"/>
    <col min="6661" max="6661" width="10.85546875" style="68" customWidth="1"/>
    <col min="6662" max="6662" width="10.42578125" style="68" customWidth="1"/>
    <col min="6663" max="6663" width="9.7109375" style="68" bestFit="1" customWidth="1"/>
    <col min="6664" max="6666" width="9.28515625" style="68" bestFit="1" customWidth="1"/>
    <col min="6667" max="6667" width="10.7109375" style="68" bestFit="1" customWidth="1"/>
    <col min="6668" max="6668" width="11.28515625" style="68" customWidth="1"/>
    <col min="6669" max="6669" width="12.5703125" style="68" customWidth="1"/>
    <col min="6670" max="6670" width="13.5703125" style="68" customWidth="1"/>
    <col min="6671" max="6671" width="13" style="68" customWidth="1"/>
    <col min="6672" max="6910" width="9.140625" style="68"/>
    <col min="6911" max="6911" width="3.7109375" style="68" customWidth="1"/>
    <col min="6912" max="6912" width="4" style="68" bestFit="1" customWidth="1"/>
    <col min="6913" max="6913" width="14.5703125" style="68" customWidth="1"/>
    <col min="6914" max="6914" width="11.140625" style="68" customWidth="1"/>
    <col min="6915" max="6915" width="8.7109375" style="68" customWidth="1"/>
    <col min="6916" max="6916" width="9.7109375" style="68" bestFit="1" customWidth="1"/>
    <col min="6917" max="6917" width="10.85546875" style="68" customWidth="1"/>
    <col min="6918" max="6918" width="10.42578125" style="68" customWidth="1"/>
    <col min="6919" max="6919" width="9.7109375" style="68" bestFit="1" customWidth="1"/>
    <col min="6920" max="6922" width="9.28515625" style="68" bestFit="1" customWidth="1"/>
    <col min="6923" max="6923" width="10.7109375" style="68" bestFit="1" customWidth="1"/>
    <col min="6924" max="6924" width="11.28515625" style="68" customWidth="1"/>
    <col min="6925" max="6925" width="12.5703125" style="68" customWidth="1"/>
    <col min="6926" max="6926" width="13.5703125" style="68" customWidth="1"/>
    <col min="6927" max="6927" width="13" style="68" customWidth="1"/>
    <col min="6928" max="7166" width="9.140625" style="68"/>
    <col min="7167" max="7167" width="3.7109375" style="68" customWidth="1"/>
    <col min="7168" max="7168" width="4" style="68" bestFit="1" customWidth="1"/>
    <col min="7169" max="7169" width="14.5703125" style="68" customWidth="1"/>
    <col min="7170" max="7170" width="11.140625" style="68" customWidth="1"/>
    <col min="7171" max="7171" width="8.7109375" style="68" customWidth="1"/>
    <col min="7172" max="7172" width="9.7109375" style="68" bestFit="1" customWidth="1"/>
    <col min="7173" max="7173" width="10.85546875" style="68" customWidth="1"/>
    <col min="7174" max="7174" width="10.42578125" style="68" customWidth="1"/>
    <col min="7175" max="7175" width="9.7109375" style="68" bestFit="1" customWidth="1"/>
    <col min="7176" max="7178" width="9.28515625" style="68" bestFit="1" customWidth="1"/>
    <col min="7179" max="7179" width="10.7109375" style="68" bestFit="1" customWidth="1"/>
    <col min="7180" max="7180" width="11.28515625" style="68" customWidth="1"/>
    <col min="7181" max="7181" width="12.5703125" style="68" customWidth="1"/>
    <col min="7182" max="7182" width="13.5703125" style="68" customWidth="1"/>
    <col min="7183" max="7183" width="13" style="68" customWidth="1"/>
    <col min="7184" max="7422" width="9.140625" style="68"/>
    <col min="7423" max="7423" width="3.7109375" style="68" customWidth="1"/>
    <col min="7424" max="7424" width="4" style="68" bestFit="1" customWidth="1"/>
    <col min="7425" max="7425" width="14.5703125" style="68" customWidth="1"/>
    <col min="7426" max="7426" width="11.140625" style="68" customWidth="1"/>
    <col min="7427" max="7427" width="8.7109375" style="68" customWidth="1"/>
    <col min="7428" max="7428" width="9.7109375" style="68" bestFit="1" customWidth="1"/>
    <col min="7429" max="7429" width="10.85546875" style="68" customWidth="1"/>
    <col min="7430" max="7430" width="10.42578125" style="68" customWidth="1"/>
    <col min="7431" max="7431" width="9.7109375" style="68" bestFit="1" customWidth="1"/>
    <col min="7432" max="7434" width="9.28515625" style="68" bestFit="1" customWidth="1"/>
    <col min="7435" max="7435" width="10.7109375" style="68" bestFit="1" customWidth="1"/>
    <col min="7436" max="7436" width="11.28515625" style="68" customWidth="1"/>
    <col min="7437" max="7437" width="12.5703125" style="68" customWidth="1"/>
    <col min="7438" max="7438" width="13.5703125" style="68" customWidth="1"/>
    <col min="7439" max="7439" width="13" style="68" customWidth="1"/>
    <col min="7440" max="7678" width="9.140625" style="68"/>
    <col min="7679" max="7679" width="3.7109375" style="68" customWidth="1"/>
    <col min="7680" max="7680" width="4" style="68" bestFit="1" customWidth="1"/>
    <col min="7681" max="7681" width="14.5703125" style="68" customWidth="1"/>
    <col min="7682" max="7682" width="11.140625" style="68" customWidth="1"/>
    <col min="7683" max="7683" width="8.7109375" style="68" customWidth="1"/>
    <col min="7684" max="7684" width="9.7109375" style="68" bestFit="1" customWidth="1"/>
    <col min="7685" max="7685" width="10.85546875" style="68" customWidth="1"/>
    <col min="7686" max="7686" width="10.42578125" style="68" customWidth="1"/>
    <col min="7687" max="7687" width="9.7109375" style="68" bestFit="1" customWidth="1"/>
    <col min="7688" max="7690" width="9.28515625" style="68" bestFit="1" customWidth="1"/>
    <col min="7691" max="7691" width="10.7109375" style="68" bestFit="1" customWidth="1"/>
    <col min="7692" max="7692" width="11.28515625" style="68" customWidth="1"/>
    <col min="7693" max="7693" width="12.5703125" style="68" customWidth="1"/>
    <col min="7694" max="7694" width="13.5703125" style="68" customWidth="1"/>
    <col min="7695" max="7695" width="13" style="68" customWidth="1"/>
    <col min="7696" max="7934" width="9.140625" style="68"/>
    <col min="7935" max="7935" width="3.7109375" style="68" customWidth="1"/>
    <col min="7936" max="7936" width="4" style="68" bestFit="1" customWidth="1"/>
    <col min="7937" max="7937" width="14.5703125" style="68" customWidth="1"/>
    <col min="7938" max="7938" width="11.140625" style="68" customWidth="1"/>
    <col min="7939" max="7939" width="8.7109375" style="68" customWidth="1"/>
    <col min="7940" max="7940" width="9.7109375" style="68" bestFit="1" customWidth="1"/>
    <col min="7941" max="7941" width="10.85546875" style="68" customWidth="1"/>
    <col min="7942" max="7942" width="10.42578125" style="68" customWidth="1"/>
    <col min="7943" max="7943" width="9.7109375" style="68" bestFit="1" customWidth="1"/>
    <col min="7944" max="7946" width="9.28515625" style="68" bestFit="1" customWidth="1"/>
    <col min="7947" max="7947" width="10.7109375" style="68" bestFit="1" customWidth="1"/>
    <col min="7948" max="7948" width="11.28515625" style="68" customWidth="1"/>
    <col min="7949" max="7949" width="12.5703125" style="68" customWidth="1"/>
    <col min="7950" max="7950" width="13.5703125" style="68" customWidth="1"/>
    <col min="7951" max="7951" width="13" style="68" customWidth="1"/>
    <col min="7952" max="8190" width="9.140625" style="68"/>
    <col min="8191" max="8191" width="3.7109375" style="68" customWidth="1"/>
    <col min="8192" max="8192" width="4" style="68" bestFit="1" customWidth="1"/>
    <col min="8193" max="8193" width="14.5703125" style="68" customWidth="1"/>
    <col min="8194" max="8194" width="11.140625" style="68" customWidth="1"/>
    <col min="8195" max="8195" width="8.7109375" style="68" customWidth="1"/>
    <col min="8196" max="8196" width="9.7109375" style="68" bestFit="1" customWidth="1"/>
    <col min="8197" max="8197" width="10.85546875" style="68" customWidth="1"/>
    <col min="8198" max="8198" width="10.42578125" style="68" customWidth="1"/>
    <col min="8199" max="8199" width="9.7109375" style="68" bestFit="1" customWidth="1"/>
    <col min="8200" max="8202" width="9.28515625" style="68" bestFit="1" customWidth="1"/>
    <col min="8203" max="8203" width="10.7109375" style="68" bestFit="1" customWidth="1"/>
    <col min="8204" max="8204" width="11.28515625" style="68" customWidth="1"/>
    <col min="8205" max="8205" width="12.5703125" style="68" customWidth="1"/>
    <col min="8206" max="8206" width="13.5703125" style="68" customWidth="1"/>
    <col min="8207" max="8207" width="13" style="68" customWidth="1"/>
    <col min="8208" max="8446" width="9.140625" style="68"/>
    <col min="8447" max="8447" width="3.7109375" style="68" customWidth="1"/>
    <col min="8448" max="8448" width="4" style="68" bestFit="1" customWidth="1"/>
    <col min="8449" max="8449" width="14.5703125" style="68" customWidth="1"/>
    <col min="8450" max="8450" width="11.140625" style="68" customWidth="1"/>
    <col min="8451" max="8451" width="8.7109375" style="68" customWidth="1"/>
    <col min="8452" max="8452" width="9.7109375" style="68" bestFit="1" customWidth="1"/>
    <col min="8453" max="8453" width="10.85546875" style="68" customWidth="1"/>
    <col min="8454" max="8454" width="10.42578125" style="68" customWidth="1"/>
    <col min="8455" max="8455" width="9.7109375" style="68" bestFit="1" customWidth="1"/>
    <col min="8456" max="8458" width="9.28515625" style="68" bestFit="1" customWidth="1"/>
    <col min="8459" max="8459" width="10.7109375" style="68" bestFit="1" customWidth="1"/>
    <col min="8460" max="8460" width="11.28515625" style="68" customWidth="1"/>
    <col min="8461" max="8461" width="12.5703125" style="68" customWidth="1"/>
    <col min="8462" max="8462" width="13.5703125" style="68" customWidth="1"/>
    <col min="8463" max="8463" width="13" style="68" customWidth="1"/>
    <col min="8464" max="8702" width="9.140625" style="68"/>
    <col min="8703" max="8703" width="3.7109375" style="68" customWidth="1"/>
    <col min="8704" max="8704" width="4" style="68" bestFit="1" customWidth="1"/>
    <col min="8705" max="8705" width="14.5703125" style="68" customWidth="1"/>
    <col min="8706" max="8706" width="11.140625" style="68" customWidth="1"/>
    <col min="8707" max="8707" width="8.7109375" style="68" customWidth="1"/>
    <col min="8708" max="8708" width="9.7109375" style="68" bestFit="1" customWidth="1"/>
    <col min="8709" max="8709" width="10.85546875" style="68" customWidth="1"/>
    <col min="8710" max="8710" width="10.42578125" style="68" customWidth="1"/>
    <col min="8711" max="8711" width="9.7109375" style="68" bestFit="1" customWidth="1"/>
    <col min="8712" max="8714" width="9.28515625" style="68" bestFit="1" customWidth="1"/>
    <col min="8715" max="8715" width="10.7109375" style="68" bestFit="1" customWidth="1"/>
    <col min="8716" max="8716" width="11.28515625" style="68" customWidth="1"/>
    <col min="8717" max="8717" width="12.5703125" style="68" customWidth="1"/>
    <col min="8718" max="8718" width="13.5703125" style="68" customWidth="1"/>
    <col min="8719" max="8719" width="13" style="68" customWidth="1"/>
    <col min="8720" max="8958" width="9.140625" style="68"/>
    <col min="8959" max="8959" width="3.7109375" style="68" customWidth="1"/>
    <col min="8960" max="8960" width="4" style="68" bestFit="1" customWidth="1"/>
    <col min="8961" max="8961" width="14.5703125" style="68" customWidth="1"/>
    <col min="8962" max="8962" width="11.140625" style="68" customWidth="1"/>
    <col min="8963" max="8963" width="8.7109375" style="68" customWidth="1"/>
    <col min="8964" max="8964" width="9.7109375" style="68" bestFit="1" customWidth="1"/>
    <col min="8965" max="8965" width="10.85546875" style="68" customWidth="1"/>
    <col min="8966" max="8966" width="10.42578125" style="68" customWidth="1"/>
    <col min="8967" max="8967" width="9.7109375" style="68" bestFit="1" customWidth="1"/>
    <col min="8968" max="8970" width="9.28515625" style="68" bestFit="1" customWidth="1"/>
    <col min="8971" max="8971" width="10.7109375" style="68" bestFit="1" customWidth="1"/>
    <col min="8972" max="8972" width="11.28515625" style="68" customWidth="1"/>
    <col min="8973" max="8973" width="12.5703125" style="68" customWidth="1"/>
    <col min="8974" max="8974" width="13.5703125" style="68" customWidth="1"/>
    <col min="8975" max="8975" width="13" style="68" customWidth="1"/>
    <col min="8976" max="9214" width="9.140625" style="68"/>
    <col min="9215" max="9215" width="3.7109375" style="68" customWidth="1"/>
    <col min="9216" max="9216" width="4" style="68" bestFit="1" customWidth="1"/>
    <col min="9217" max="9217" width="14.5703125" style="68" customWidth="1"/>
    <col min="9218" max="9218" width="11.140625" style="68" customWidth="1"/>
    <col min="9219" max="9219" width="8.7109375" style="68" customWidth="1"/>
    <col min="9220" max="9220" width="9.7109375" style="68" bestFit="1" customWidth="1"/>
    <col min="9221" max="9221" width="10.85546875" style="68" customWidth="1"/>
    <col min="9222" max="9222" width="10.42578125" style="68" customWidth="1"/>
    <col min="9223" max="9223" width="9.7109375" style="68" bestFit="1" customWidth="1"/>
    <col min="9224" max="9226" width="9.28515625" style="68" bestFit="1" customWidth="1"/>
    <col min="9227" max="9227" width="10.7109375" style="68" bestFit="1" customWidth="1"/>
    <col min="9228" max="9228" width="11.28515625" style="68" customWidth="1"/>
    <col min="9229" max="9229" width="12.5703125" style="68" customWidth="1"/>
    <col min="9230" max="9230" width="13.5703125" style="68" customWidth="1"/>
    <col min="9231" max="9231" width="13" style="68" customWidth="1"/>
    <col min="9232" max="9470" width="9.140625" style="68"/>
    <col min="9471" max="9471" width="3.7109375" style="68" customWidth="1"/>
    <col min="9472" max="9472" width="4" style="68" bestFit="1" customWidth="1"/>
    <col min="9473" max="9473" width="14.5703125" style="68" customWidth="1"/>
    <col min="9474" max="9474" width="11.140625" style="68" customWidth="1"/>
    <col min="9475" max="9475" width="8.7109375" style="68" customWidth="1"/>
    <col min="9476" max="9476" width="9.7109375" style="68" bestFit="1" customWidth="1"/>
    <col min="9477" max="9477" width="10.85546875" style="68" customWidth="1"/>
    <col min="9478" max="9478" width="10.42578125" style="68" customWidth="1"/>
    <col min="9479" max="9479" width="9.7109375" style="68" bestFit="1" customWidth="1"/>
    <col min="9480" max="9482" width="9.28515625" style="68" bestFit="1" customWidth="1"/>
    <col min="9483" max="9483" width="10.7109375" style="68" bestFit="1" customWidth="1"/>
    <col min="9484" max="9484" width="11.28515625" style="68" customWidth="1"/>
    <col min="9485" max="9485" width="12.5703125" style="68" customWidth="1"/>
    <col min="9486" max="9486" width="13.5703125" style="68" customWidth="1"/>
    <col min="9487" max="9487" width="13" style="68" customWidth="1"/>
    <col min="9488" max="9726" width="9.140625" style="68"/>
    <col min="9727" max="9727" width="3.7109375" style="68" customWidth="1"/>
    <col min="9728" max="9728" width="4" style="68" bestFit="1" customWidth="1"/>
    <col min="9729" max="9729" width="14.5703125" style="68" customWidth="1"/>
    <col min="9730" max="9730" width="11.140625" style="68" customWidth="1"/>
    <col min="9731" max="9731" width="8.7109375" style="68" customWidth="1"/>
    <col min="9732" max="9732" width="9.7109375" style="68" bestFit="1" customWidth="1"/>
    <col min="9733" max="9733" width="10.85546875" style="68" customWidth="1"/>
    <col min="9734" max="9734" width="10.42578125" style="68" customWidth="1"/>
    <col min="9735" max="9735" width="9.7109375" style="68" bestFit="1" customWidth="1"/>
    <col min="9736" max="9738" width="9.28515625" style="68" bestFit="1" customWidth="1"/>
    <col min="9739" max="9739" width="10.7109375" style="68" bestFit="1" customWidth="1"/>
    <col min="9740" max="9740" width="11.28515625" style="68" customWidth="1"/>
    <col min="9741" max="9741" width="12.5703125" style="68" customWidth="1"/>
    <col min="9742" max="9742" width="13.5703125" style="68" customWidth="1"/>
    <col min="9743" max="9743" width="13" style="68" customWidth="1"/>
    <col min="9744" max="9982" width="9.140625" style="68"/>
    <col min="9983" max="9983" width="3.7109375" style="68" customWidth="1"/>
    <col min="9984" max="9984" width="4" style="68" bestFit="1" customWidth="1"/>
    <col min="9985" max="9985" width="14.5703125" style="68" customWidth="1"/>
    <col min="9986" max="9986" width="11.140625" style="68" customWidth="1"/>
    <col min="9987" max="9987" width="8.7109375" style="68" customWidth="1"/>
    <col min="9988" max="9988" width="9.7109375" style="68" bestFit="1" customWidth="1"/>
    <col min="9989" max="9989" width="10.85546875" style="68" customWidth="1"/>
    <col min="9990" max="9990" width="10.42578125" style="68" customWidth="1"/>
    <col min="9991" max="9991" width="9.7109375" style="68" bestFit="1" customWidth="1"/>
    <col min="9992" max="9994" width="9.28515625" style="68" bestFit="1" customWidth="1"/>
    <col min="9995" max="9995" width="10.7109375" style="68" bestFit="1" customWidth="1"/>
    <col min="9996" max="9996" width="11.28515625" style="68" customWidth="1"/>
    <col min="9997" max="9997" width="12.5703125" style="68" customWidth="1"/>
    <col min="9998" max="9998" width="13.5703125" style="68" customWidth="1"/>
    <col min="9999" max="9999" width="13" style="68" customWidth="1"/>
    <col min="10000" max="10238" width="9.140625" style="68"/>
    <col min="10239" max="10239" width="3.7109375" style="68" customWidth="1"/>
    <col min="10240" max="10240" width="4" style="68" bestFit="1" customWidth="1"/>
    <col min="10241" max="10241" width="14.5703125" style="68" customWidth="1"/>
    <col min="10242" max="10242" width="11.140625" style="68" customWidth="1"/>
    <col min="10243" max="10243" width="8.7109375" style="68" customWidth="1"/>
    <col min="10244" max="10244" width="9.7109375" style="68" bestFit="1" customWidth="1"/>
    <col min="10245" max="10245" width="10.85546875" style="68" customWidth="1"/>
    <col min="10246" max="10246" width="10.42578125" style="68" customWidth="1"/>
    <col min="10247" max="10247" width="9.7109375" style="68" bestFit="1" customWidth="1"/>
    <col min="10248" max="10250" width="9.28515625" style="68" bestFit="1" customWidth="1"/>
    <col min="10251" max="10251" width="10.7109375" style="68" bestFit="1" customWidth="1"/>
    <col min="10252" max="10252" width="11.28515625" style="68" customWidth="1"/>
    <col min="10253" max="10253" width="12.5703125" style="68" customWidth="1"/>
    <col min="10254" max="10254" width="13.5703125" style="68" customWidth="1"/>
    <col min="10255" max="10255" width="13" style="68" customWidth="1"/>
    <col min="10256" max="10494" width="9.140625" style="68"/>
    <col min="10495" max="10495" width="3.7109375" style="68" customWidth="1"/>
    <col min="10496" max="10496" width="4" style="68" bestFit="1" customWidth="1"/>
    <col min="10497" max="10497" width="14.5703125" style="68" customWidth="1"/>
    <col min="10498" max="10498" width="11.140625" style="68" customWidth="1"/>
    <col min="10499" max="10499" width="8.7109375" style="68" customWidth="1"/>
    <col min="10500" max="10500" width="9.7109375" style="68" bestFit="1" customWidth="1"/>
    <col min="10501" max="10501" width="10.85546875" style="68" customWidth="1"/>
    <col min="10502" max="10502" width="10.42578125" style="68" customWidth="1"/>
    <col min="10503" max="10503" width="9.7109375" style="68" bestFit="1" customWidth="1"/>
    <col min="10504" max="10506" width="9.28515625" style="68" bestFit="1" customWidth="1"/>
    <col min="10507" max="10507" width="10.7109375" style="68" bestFit="1" customWidth="1"/>
    <col min="10508" max="10508" width="11.28515625" style="68" customWidth="1"/>
    <col min="10509" max="10509" width="12.5703125" style="68" customWidth="1"/>
    <col min="10510" max="10510" width="13.5703125" style="68" customWidth="1"/>
    <col min="10511" max="10511" width="13" style="68" customWidth="1"/>
    <col min="10512" max="10750" width="9.140625" style="68"/>
    <col min="10751" max="10751" width="3.7109375" style="68" customWidth="1"/>
    <col min="10752" max="10752" width="4" style="68" bestFit="1" customWidth="1"/>
    <col min="10753" max="10753" width="14.5703125" style="68" customWidth="1"/>
    <col min="10754" max="10754" width="11.140625" style="68" customWidth="1"/>
    <col min="10755" max="10755" width="8.7109375" style="68" customWidth="1"/>
    <col min="10756" max="10756" width="9.7109375" style="68" bestFit="1" customWidth="1"/>
    <col min="10757" max="10757" width="10.85546875" style="68" customWidth="1"/>
    <col min="10758" max="10758" width="10.42578125" style="68" customWidth="1"/>
    <col min="10759" max="10759" width="9.7109375" style="68" bestFit="1" customWidth="1"/>
    <col min="10760" max="10762" width="9.28515625" style="68" bestFit="1" customWidth="1"/>
    <col min="10763" max="10763" width="10.7109375" style="68" bestFit="1" customWidth="1"/>
    <col min="10764" max="10764" width="11.28515625" style="68" customWidth="1"/>
    <col min="10765" max="10765" width="12.5703125" style="68" customWidth="1"/>
    <col min="10766" max="10766" width="13.5703125" style="68" customWidth="1"/>
    <col min="10767" max="10767" width="13" style="68" customWidth="1"/>
    <col min="10768" max="11006" width="9.140625" style="68"/>
    <col min="11007" max="11007" width="3.7109375" style="68" customWidth="1"/>
    <col min="11008" max="11008" width="4" style="68" bestFit="1" customWidth="1"/>
    <col min="11009" max="11009" width="14.5703125" style="68" customWidth="1"/>
    <col min="11010" max="11010" width="11.140625" style="68" customWidth="1"/>
    <col min="11011" max="11011" width="8.7109375" style="68" customWidth="1"/>
    <col min="11012" max="11012" width="9.7109375" style="68" bestFit="1" customWidth="1"/>
    <col min="11013" max="11013" width="10.85546875" style="68" customWidth="1"/>
    <col min="11014" max="11014" width="10.42578125" style="68" customWidth="1"/>
    <col min="11015" max="11015" width="9.7109375" style="68" bestFit="1" customWidth="1"/>
    <col min="11016" max="11018" width="9.28515625" style="68" bestFit="1" customWidth="1"/>
    <col min="11019" max="11019" width="10.7109375" style="68" bestFit="1" customWidth="1"/>
    <col min="11020" max="11020" width="11.28515625" style="68" customWidth="1"/>
    <col min="11021" max="11021" width="12.5703125" style="68" customWidth="1"/>
    <col min="11022" max="11022" width="13.5703125" style="68" customWidth="1"/>
    <col min="11023" max="11023" width="13" style="68" customWidth="1"/>
    <col min="11024" max="11262" width="9.140625" style="68"/>
    <col min="11263" max="11263" width="3.7109375" style="68" customWidth="1"/>
    <col min="11264" max="11264" width="4" style="68" bestFit="1" customWidth="1"/>
    <col min="11265" max="11265" width="14.5703125" style="68" customWidth="1"/>
    <col min="11266" max="11266" width="11.140625" style="68" customWidth="1"/>
    <col min="11267" max="11267" width="8.7109375" style="68" customWidth="1"/>
    <col min="11268" max="11268" width="9.7109375" style="68" bestFit="1" customWidth="1"/>
    <col min="11269" max="11269" width="10.85546875" style="68" customWidth="1"/>
    <col min="11270" max="11270" width="10.42578125" style="68" customWidth="1"/>
    <col min="11271" max="11271" width="9.7109375" style="68" bestFit="1" customWidth="1"/>
    <col min="11272" max="11274" width="9.28515625" style="68" bestFit="1" customWidth="1"/>
    <col min="11275" max="11275" width="10.7109375" style="68" bestFit="1" customWidth="1"/>
    <col min="11276" max="11276" width="11.28515625" style="68" customWidth="1"/>
    <col min="11277" max="11277" width="12.5703125" style="68" customWidth="1"/>
    <col min="11278" max="11278" width="13.5703125" style="68" customWidth="1"/>
    <col min="11279" max="11279" width="13" style="68" customWidth="1"/>
    <col min="11280" max="11518" width="9.140625" style="68"/>
    <col min="11519" max="11519" width="3.7109375" style="68" customWidth="1"/>
    <col min="11520" max="11520" width="4" style="68" bestFit="1" customWidth="1"/>
    <col min="11521" max="11521" width="14.5703125" style="68" customWidth="1"/>
    <col min="11522" max="11522" width="11.140625" style="68" customWidth="1"/>
    <col min="11523" max="11523" width="8.7109375" style="68" customWidth="1"/>
    <col min="11524" max="11524" width="9.7109375" style="68" bestFit="1" customWidth="1"/>
    <col min="11525" max="11525" width="10.85546875" style="68" customWidth="1"/>
    <col min="11526" max="11526" width="10.42578125" style="68" customWidth="1"/>
    <col min="11527" max="11527" width="9.7109375" style="68" bestFit="1" customWidth="1"/>
    <col min="11528" max="11530" width="9.28515625" style="68" bestFit="1" customWidth="1"/>
    <col min="11531" max="11531" width="10.7109375" style="68" bestFit="1" customWidth="1"/>
    <col min="11532" max="11532" width="11.28515625" style="68" customWidth="1"/>
    <col min="11533" max="11533" width="12.5703125" style="68" customWidth="1"/>
    <col min="11534" max="11534" width="13.5703125" style="68" customWidth="1"/>
    <col min="11535" max="11535" width="13" style="68" customWidth="1"/>
    <col min="11536" max="11774" width="9.140625" style="68"/>
    <col min="11775" max="11775" width="3.7109375" style="68" customWidth="1"/>
    <col min="11776" max="11776" width="4" style="68" bestFit="1" customWidth="1"/>
    <col min="11777" max="11777" width="14.5703125" style="68" customWidth="1"/>
    <col min="11778" max="11778" width="11.140625" style="68" customWidth="1"/>
    <col min="11779" max="11779" width="8.7109375" style="68" customWidth="1"/>
    <col min="11780" max="11780" width="9.7109375" style="68" bestFit="1" customWidth="1"/>
    <col min="11781" max="11781" width="10.85546875" style="68" customWidth="1"/>
    <col min="11782" max="11782" width="10.42578125" style="68" customWidth="1"/>
    <col min="11783" max="11783" width="9.7109375" style="68" bestFit="1" customWidth="1"/>
    <col min="11784" max="11786" width="9.28515625" style="68" bestFit="1" customWidth="1"/>
    <col min="11787" max="11787" width="10.7109375" style="68" bestFit="1" customWidth="1"/>
    <col min="11788" max="11788" width="11.28515625" style="68" customWidth="1"/>
    <col min="11789" max="11789" width="12.5703125" style="68" customWidth="1"/>
    <col min="11790" max="11790" width="13.5703125" style="68" customWidth="1"/>
    <col min="11791" max="11791" width="13" style="68" customWidth="1"/>
    <col min="11792" max="12030" width="9.140625" style="68"/>
    <col min="12031" max="12031" width="3.7109375" style="68" customWidth="1"/>
    <col min="12032" max="12032" width="4" style="68" bestFit="1" customWidth="1"/>
    <col min="12033" max="12033" width="14.5703125" style="68" customWidth="1"/>
    <col min="12034" max="12034" width="11.140625" style="68" customWidth="1"/>
    <col min="12035" max="12035" width="8.7109375" style="68" customWidth="1"/>
    <col min="12036" max="12036" width="9.7109375" style="68" bestFit="1" customWidth="1"/>
    <col min="12037" max="12037" width="10.85546875" style="68" customWidth="1"/>
    <col min="12038" max="12038" width="10.42578125" style="68" customWidth="1"/>
    <col min="12039" max="12039" width="9.7109375" style="68" bestFit="1" customWidth="1"/>
    <col min="12040" max="12042" width="9.28515625" style="68" bestFit="1" customWidth="1"/>
    <col min="12043" max="12043" width="10.7109375" style="68" bestFit="1" customWidth="1"/>
    <col min="12044" max="12044" width="11.28515625" style="68" customWidth="1"/>
    <col min="12045" max="12045" width="12.5703125" style="68" customWidth="1"/>
    <col min="12046" max="12046" width="13.5703125" style="68" customWidth="1"/>
    <col min="12047" max="12047" width="13" style="68" customWidth="1"/>
    <col min="12048" max="12286" width="9.140625" style="68"/>
    <col min="12287" max="12287" width="3.7109375" style="68" customWidth="1"/>
    <col min="12288" max="12288" width="4" style="68" bestFit="1" customWidth="1"/>
    <col min="12289" max="12289" width="14.5703125" style="68" customWidth="1"/>
    <col min="12290" max="12290" width="11.140625" style="68" customWidth="1"/>
    <col min="12291" max="12291" width="8.7109375" style="68" customWidth="1"/>
    <col min="12292" max="12292" width="9.7109375" style="68" bestFit="1" customWidth="1"/>
    <col min="12293" max="12293" width="10.85546875" style="68" customWidth="1"/>
    <col min="12294" max="12294" width="10.42578125" style="68" customWidth="1"/>
    <col min="12295" max="12295" width="9.7109375" style="68" bestFit="1" customWidth="1"/>
    <col min="12296" max="12298" width="9.28515625" style="68" bestFit="1" customWidth="1"/>
    <col min="12299" max="12299" width="10.7109375" style="68" bestFit="1" customWidth="1"/>
    <col min="12300" max="12300" width="11.28515625" style="68" customWidth="1"/>
    <col min="12301" max="12301" width="12.5703125" style="68" customWidth="1"/>
    <col min="12302" max="12302" width="13.5703125" style="68" customWidth="1"/>
    <col min="12303" max="12303" width="13" style="68" customWidth="1"/>
    <col min="12304" max="12542" width="9.140625" style="68"/>
    <col min="12543" max="12543" width="3.7109375" style="68" customWidth="1"/>
    <col min="12544" max="12544" width="4" style="68" bestFit="1" customWidth="1"/>
    <col min="12545" max="12545" width="14.5703125" style="68" customWidth="1"/>
    <col min="12546" max="12546" width="11.140625" style="68" customWidth="1"/>
    <col min="12547" max="12547" width="8.7109375" style="68" customWidth="1"/>
    <col min="12548" max="12548" width="9.7109375" style="68" bestFit="1" customWidth="1"/>
    <col min="12549" max="12549" width="10.85546875" style="68" customWidth="1"/>
    <col min="12550" max="12550" width="10.42578125" style="68" customWidth="1"/>
    <col min="12551" max="12551" width="9.7109375" style="68" bestFit="1" customWidth="1"/>
    <col min="12552" max="12554" width="9.28515625" style="68" bestFit="1" customWidth="1"/>
    <col min="12555" max="12555" width="10.7109375" style="68" bestFit="1" customWidth="1"/>
    <col min="12556" max="12556" width="11.28515625" style="68" customWidth="1"/>
    <col min="12557" max="12557" width="12.5703125" style="68" customWidth="1"/>
    <col min="12558" max="12558" width="13.5703125" style="68" customWidth="1"/>
    <col min="12559" max="12559" width="13" style="68" customWidth="1"/>
    <col min="12560" max="12798" width="9.140625" style="68"/>
    <col min="12799" max="12799" width="3.7109375" style="68" customWidth="1"/>
    <col min="12800" max="12800" width="4" style="68" bestFit="1" customWidth="1"/>
    <col min="12801" max="12801" width="14.5703125" style="68" customWidth="1"/>
    <col min="12802" max="12802" width="11.140625" style="68" customWidth="1"/>
    <col min="12803" max="12803" width="8.7109375" style="68" customWidth="1"/>
    <col min="12804" max="12804" width="9.7109375" style="68" bestFit="1" customWidth="1"/>
    <col min="12805" max="12805" width="10.85546875" style="68" customWidth="1"/>
    <col min="12806" max="12806" width="10.42578125" style="68" customWidth="1"/>
    <col min="12807" max="12807" width="9.7109375" style="68" bestFit="1" customWidth="1"/>
    <col min="12808" max="12810" width="9.28515625" style="68" bestFit="1" customWidth="1"/>
    <col min="12811" max="12811" width="10.7109375" style="68" bestFit="1" customWidth="1"/>
    <col min="12812" max="12812" width="11.28515625" style="68" customWidth="1"/>
    <col min="12813" max="12813" width="12.5703125" style="68" customWidth="1"/>
    <col min="12814" max="12814" width="13.5703125" style="68" customWidth="1"/>
    <col min="12815" max="12815" width="13" style="68" customWidth="1"/>
    <col min="12816" max="13054" width="9.140625" style="68"/>
    <col min="13055" max="13055" width="3.7109375" style="68" customWidth="1"/>
    <col min="13056" max="13056" width="4" style="68" bestFit="1" customWidth="1"/>
    <col min="13057" max="13057" width="14.5703125" style="68" customWidth="1"/>
    <col min="13058" max="13058" width="11.140625" style="68" customWidth="1"/>
    <col min="13059" max="13059" width="8.7109375" style="68" customWidth="1"/>
    <col min="13060" max="13060" width="9.7109375" style="68" bestFit="1" customWidth="1"/>
    <col min="13061" max="13061" width="10.85546875" style="68" customWidth="1"/>
    <col min="13062" max="13062" width="10.42578125" style="68" customWidth="1"/>
    <col min="13063" max="13063" width="9.7109375" style="68" bestFit="1" customWidth="1"/>
    <col min="13064" max="13066" width="9.28515625" style="68" bestFit="1" customWidth="1"/>
    <col min="13067" max="13067" width="10.7109375" style="68" bestFit="1" customWidth="1"/>
    <col min="13068" max="13068" width="11.28515625" style="68" customWidth="1"/>
    <col min="13069" max="13069" width="12.5703125" style="68" customWidth="1"/>
    <col min="13070" max="13070" width="13.5703125" style="68" customWidth="1"/>
    <col min="13071" max="13071" width="13" style="68" customWidth="1"/>
    <col min="13072" max="13310" width="9.140625" style="68"/>
    <col min="13311" max="13311" width="3.7109375" style="68" customWidth="1"/>
    <col min="13312" max="13312" width="4" style="68" bestFit="1" customWidth="1"/>
    <col min="13313" max="13313" width="14.5703125" style="68" customWidth="1"/>
    <col min="13314" max="13314" width="11.140625" style="68" customWidth="1"/>
    <col min="13315" max="13315" width="8.7109375" style="68" customWidth="1"/>
    <col min="13316" max="13316" width="9.7109375" style="68" bestFit="1" customWidth="1"/>
    <col min="13317" max="13317" width="10.85546875" style="68" customWidth="1"/>
    <col min="13318" max="13318" width="10.42578125" style="68" customWidth="1"/>
    <col min="13319" max="13319" width="9.7109375" style="68" bestFit="1" customWidth="1"/>
    <col min="13320" max="13322" width="9.28515625" style="68" bestFit="1" customWidth="1"/>
    <col min="13323" max="13323" width="10.7109375" style="68" bestFit="1" customWidth="1"/>
    <col min="13324" max="13324" width="11.28515625" style="68" customWidth="1"/>
    <col min="13325" max="13325" width="12.5703125" style="68" customWidth="1"/>
    <col min="13326" max="13326" width="13.5703125" style="68" customWidth="1"/>
    <col min="13327" max="13327" width="13" style="68" customWidth="1"/>
    <col min="13328" max="13566" width="9.140625" style="68"/>
    <col min="13567" max="13567" width="3.7109375" style="68" customWidth="1"/>
    <col min="13568" max="13568" width="4" style="68" bestFit="1" customWidth="1"/>
    <col min="13569" max="13569" width="14.5703125" style="68" customWidth="1"/>
    <col min="13570" max="13570" width="11.140625" style="68" customWidth="1"/>
    <col min="13571" max="13571" width="8.7109375" style="68" customWidth="1"/>
    <col min="13572" max="13572" width="9.7109375" style="68" bestFit="1" customWidth="1"/>
    <col min="13573" max="13573" width="10.85546875" style="68" customWidth="1"/>
    <col min="13574" max="13574" width="10.42578125" style="68" customWidth="1"/>
    <col min="13575" max="13575" width="9.7109375" style="68" bestFit="1" customWidth="1"/>
    <col min="13576" max="13578" width="9.28515625" style="68" bestFit="1" customWidth="1"/>
    <col min="13579" max="13579" width="10.7109375" style="68" bestFit="1" customWidth="1"/>
    <col min="13580" max="13580" width="11.28515625" style="68" customWidth="1"/>
    <col min="13581" max="13581" width="12.5703125" style="68" customWidth="1"/>
    <col min="13582" max="13582" width="13.5703125" style="68" customWidth="1"/>
    <col min="13583" max="13583" width="13" style="68" customWidth="1"/>
    <col min="13584" max="13822" width="9.140625" style="68"/>
    <col min="13823" max="13823" width="3.7109375" style="68" customWidth="1"/>
    <col min="13824" max="13824" width="4" style="68" bestFit="1" customWidth="1"/>
    <col min="13825" max="13825" width="14.5703125" style="68" customWidth="1"/>
    <col min="13826" max="13826" width="11.140625" style="68" customWidth="1"/>
    <col min="13827" max="13827" width="8.7109375" style="68" customWidth="1"/>
    <col min="13828" max="13828" width="9.7109375" style="68" bestFit="1" customWidth="1"/>
    <col min="13829" max="13829" width="10.85546875" style="68" customWidth="1"/>
    <col min="13830" max="13830" width="10.42578125" style="68" customWidth="1"/>
    <col min="13831" max="13831" width="9.7109375" style="68" bestFit="1" customWidth="1"/>
    <col min="13832" max="13834" width="9.28515625" style="68" bestFit="1" customWidth="1"/>
    <col min="13835" max="13835" width="10.7109375" style="68" bestFit="1" customWidth="1"/>
    <col min="13836" max="13836" width="11.28515625" style="68" customWidth="1"/>
    <col min="13837" max="13837" width="12.5703125" style="68" customWidth="1"/>
    <col min="13838" max="13838" width="13.5703125" style="68" customWidth="1"/>
    <col min="13839" max="13839" width="13" style="68" customWidth="1"/>
    <col min="13840" max="14078" width="9.140625" style="68"/>
    <col min="14079" max="14079" width="3.7109375" style="68" customWidth="1"/>
    <col min="14080" max="14080" width="4" style="68" bestFit="1" customWidth="1"/>
    <col min="14081" max="14081" width="14.5703125" style="68" customWidth="1"/>
    <col min="14082" max="14082" width="11.140625" style="68" customWidth="1"/>
    <col min="14083" max="14083" width="8.7109375" style="68" customWidth="1"/>
    <col min="14084" max="14084" width="9.7109375" style="68" bestFit="1" customWidth="1"/>
    <col min="14085" max="14085" width="10.85546875" style="68" customWidth="1"/>
    <col min="14086" max="14086" width="10.42578125" style="68" customWidth="1"/>
    <col min="14087" max="14087" width="9.7109375" style="68" bestFit="1" customWidth="1"/>
    <col min="14088" max="14090" width="9.28515625" style="68" bestFit="1" customWidth="1"/>
    <col min="14091" max="14091" width="10.7109375" style="68" bestFit="1" customWidth="1"/>
    <col min="14092" max="14092" width="11.28515625" style="68" customWidth="1"/>
    <col min="14093" max="14093" width="12.5703125" style="68" customWidth="1"/>
    <col min="14094" max="14094" width="13.5703125" style="68" customWidth="1"/>
    <col min="14095" max="14095" width="13" style="68" customWidth="1"/>
    <col min="14096" max="14334" width="9.140625" style="68"/>
    <col min="14335" max="14335" width="3.7109375" style="68" customWidth="1"/>
    <col min="14336" max="14336" width="4" style="68" bestFit="1" customWidth="1"/>
    <col min="14337" max="14337" width="14.5703125" style="68" customWidth="1"/>
    <col min="14338" max="14338" width="11.140625" style="68" customWidth="1"/>
    <col min="14339" max="14339" width="8.7109375" style="68" customWidth="1"/>
    <col min="14340" max="14340" width="9.7109375" style="68" bestFit="1" customWidth="1"/>
    <col min="14341" max="14341" width="10.85546875" style="68" customWidth="1"/>
    <col min="14342" max="14342" width="10.42578125" style="68" customWidth="1"/>
    <col min="14343" max="14343" width="9.7109375" style="68" bestFit="1" customWidth="1"/>
    <col min="14344" max="14346" width="9.28515625" style="68" bestFit="1" customWidth="1"/>
    <col min="14347" max="14347" width="10.7109375" style="68" bestFit="1" customWidth="1"/>
    <col min="14348" max="14348" width="11.28515625" style="68" customWidth="1"/>
    <col min="14349" max="14349" width="12.5703125" style="68" customWidth="1"/>
    <col min="14350" max="14350" width="13.5703125" style="68" customWidth="1"/>
    <col min="14351" max="14351" width="13" style="68" customWidth="1"/>
    <col min="14352" max="14590" width="9.140625" style="68"/>
    <col min="14591" max="14591" width="3.7109375" style="68" customWidth="1"/>
    <col min="14592" max="14592" width="4" style="68" bestFit="1" customWidth="1"/>
    <col min="14593" max="14593" width="14.5703125" style="68" customWidth="1"/>
    <col min="14594" max="14594" width="11.140625" style="68" customWidth="1"/>
    <col min="14595" max="14595" width="8.7109375" style="68" customWidth="1"/>
    <col min="14596" max="14596" width="9.7109375" style="68" bestFit="1" customWidth="1"/>
    <col min="14597" max="14597" width="10.85546875" style="68" customWidth="1"/>
    <col min="14598" max="14598" width="10.42578125" style="68" customWidth="1"/>
    <col min="14599" max="14599" width="9.7109375" style="68" bestFit="1" customWidth="1"/>
    <col min="14600" max="14602" width="9.28515625" style="68" bestFit="1" customWidth="1"/>
    <col min="14603" max="14603" width="10.7109375" style="68" bestFit="1" customWidth="1"/>
    <col min="14604" max="14604" width="11.28515625" style="68" customWidth="1"/>
    <col min="14605" max="14605" width="12.5703125" style="68" customWidth="1"/>
    <col min="14606" max="14606" width="13.5703125" style="68" customWidth="1"/>
    <col min="14607" max="14607" width="13" style="68" customWidth="1"/>
    <col min="14608" max="14846" width="9.140625" style="68"/>
    <col min="14847" max="14847" width="3.7109375" style="68" customWidth="1"/>
    <col min="14848" max="14848" width="4" style="68" bestFit="1" customWidth="1"/>
    <col min="14849" max="14849" width="14.5703125" style="68" customWidth="1"/>
    <col min="14850" max="14850" width="11.140625" style="68" customWidth="1"/>
    <col min="14851" max="14851" width="8.7109375" style="68" customWidth="1"/>
    <col min="14852" max="14852" width="9.7109375" style="68" bestFit="1" customWidth="1"/>
    <col min="14853" max="14853" width="10.85546875" style="68" customWidth="1"/>
    <col min="14854" max="14854" width="10.42578125" style="68" customWidth="1"/>
    <col min="14855" max="14855" width="9.7109375" style="68" bestFit="1" customWidth="1"/>
    <col min="14856" max="14858" width="9.28515625" style="68" bestFit="1" customWidth="1"/>
    <col min="14859" max="14859" width="10.7109375" style="68" bestFit="1" customWidth="1"/>
    <col min="14860" max="14860" width="11.28515625" style="68" customWidth="1"/>
    <col min="14861" max="14861" width="12.5703125" style="68" customWidth="1"/>
    <col min="14862" max="14862" width="13.5703125" style="68" customWidth="1"/>
    <col min="14863" max="14863" width="13" style="68" customWidth="1"/>
    <col min="14864" max="15102" width="9.140625" style="68"/>
    <col min="15103" max="15103" width="3.7109375" style="68" customWidth="1"/>
    <col min="15104" max="15104" width="4" style="68" bestFit="1" customWidth="1"/>
    <col min="15105" max="15105" width="14.5703125" style="68" customWidth="1"/>
    <col min="15106" max="15106" width="11.140625" style="68" customWidth="1"/>
    <col min="15107" max="15107" width="8.7109375" style="68" customWidth="1"/>
    <col min="15108" max="15108" width="9.7109375" style="68" bestFit="1" customWidth="1"/>
    <col min="15109" max="15109" width="10.85546875" style="68" customWidth="1"/>
    <col min="15110" max="15110" width="10.42578125" style="68" customWidth="1"/>
    <col min="15111" max="15111" width="9.7109375" style="68" bestFit="1" customWidth="1"/>
    <col min="15112" max="15114" width="9.28515625" style="68" bestFit="1" customWidth="1"/>
    <col min="15115" max="15115" width="10.7109375" style="68" bestFit="1" customWidth="1"/>
    <col min="15116" max="15116" width="11.28515625" style="68" customWidth="1"/>
    <col min="15117" max="15117" width="12.5703125" style="68" customWidth="1"/>
    <col min="15118" max="15118" width="13.5703125" style="68" customWidth="1"/>
    <col min="15119" max="15119" width="13" style="68" customWidth="1"/>
    <col min="15120" max="15358" width="9.140625" style="68"/>
    <col min="15359" max="15359" width="3.7109375" style="68" customWidth="1"/>
    <col min="15360" max="15360" width="4" style="68" bestFit="1" customWidth="1"/>
    <col min="15361" max="15361" width="14.5703125" style="68" customWidth="1"/>
    <col min="15362" max="15362" width="11.140625" style="68" customWidth="1"/>
    <col min="15363" max="15363" width="8.7109375" style="68" customWidth="1"/>
    <col min="15364" max="15364" width="9.7109375" style="68" bestFit="1" customWidth="1"/>
    <col min="15365" max="15365" width="10.85546875" style="68" customWidth="1"/>
    <col min="15366" max="15366" width="10.42578125" style="68" customWidth="1"/>
    <col min="15367" max="15367" width="9.7109375" style="68" bestFit="1" customWidth="1"/>
    <col min="15368" max="15370" width="9.28515625" style="68" bestFit="1" customWidth="1"/>
    <col min="15371" max="15371" width="10.7109375" style="68" bestFit="1" customWidth="1"/>
    <col min="15372" max="15372" width="11.28515625" style="68" customWidth="1"/>
    <col min="15373" max="15373" width="12.5703125" style="68" customWidth="1"/>
    <col min="15374" max="15374" width="13.5703125" style="68" customWidth="1"/>
    <col min="15375" max="15375" width="13" style="68" customWidth="1"/>
    <col min="15376" max="15614" width="9.140625" style="68"/>
    <col min="15615" max="15615" width="3.7109375" style="68" customWidth="1"/>
    <col min="15616" max="15616" width="4" style="68" bestFit="1" customWidth="1"/>
    <col min="15617" max="15617" width="14.5703125" style="68" customWidth="1"/>
    <col min="15618" max="15618" width="11.140625" style="68" customWidth="1"/>
    <col min="15619" max="15619" width="8.7109375" style="68" customWidth="1"/>
    <col min="15620" max="15620" width="9.7109375" style="68" bestFit="1" customWidth="1"/>
    <col min="15621" max="15621" width="10.85546875" style="68" customWidth="1"/>
    <col min="15622" max="15622" width="10.42578125" style="68" customWidth="1"/>
    <col min="15623" max="15623" width="9.7109375" style="68" bestFit="1" customWidth="1"/>
    <col min="15624" max="15626" width="9.28515625" style="68" bestFit="1" customWidth="1"/>
    <col min="15627" max="15627" width="10.7109375" style="68" bestFit="1" customWidth="1"/>
    <col min="15628" max="15628" width="11.28515625" style="68" customWidth="1"/>
    <col min="15629" max="15629" width="12.5703125" style="68" customWidth="1"/>
    <col min="15630" max="15630" width="13.5703125" style="68" customWidth="1"/>
    <col min="15631" max="15631" width="13" style="68" customWidth="1"/>
    <col min="15632" max="15870" width="9.140625" style="68"/>
    <col min="15871" max="15871" width="3.7109375" style="68" customWidth="1"/>
    <col min="15872" max="15872" width="4" style="68" bestFit="1" customWidth="1"/>
    <col min="15873" max="15873" width="14.5703125" style="68" customWidth="1"/>
    <col min="15874" max="15874" width="11.140625" style="68" customWidth="1"/>
    <col min="15875" max="15875" width="8.7109375" style="68" customWidth="1"/>
    <col min="15876" max="15876" width="9.7109375" style="68" bestFit="1" customWidth="1"/>
    <col min="15877" max="15877" width="10.85546875" style="68" customWidth="1"/>
    <col min="15878" max="15878" width="10.42578125" style="68" customWidth="1"/>
    <col min="15879" max="15879" width="9.7109375" style="68" bestFit="1" customWidth="1"/>
    <col min="15880" max="15882" width="9.28515625" style="68" bestFit="1" customWidth="1"/>
    <col min="15883" max="15883" width="10.7109375" style="68" bestFit="1" customWidth="1"/>
    <col min="15884" max="15884" width="11.28515625" style="68" customWidth="1"/>
    <col min="15885" max="15885" width="12.5703125" style="68" customWidth="1"/>
    <col min="15886" max="15886" width="13.5703125" style="68" customWidth="1"/>
    <col min="15887" max="15887" width="13" style="68" customWidth="1"/>
    <col min="15888" max="16126" width="9.140625" style="68"/>
    <col min="16127" max="16127" width="3.7109375" style="68" customWidth="1"/>
    <col min="16128" max="16128" width="4" style="68" bestFit="1" customWidth="1"/>
    <col min="16129" max="16129" width="14.5703125" style="68" customWidth="1"/>
    <col min="16130" max="16130" width="11.140625" style="68" customWidth="1"/>
    <col min="16131" max="16131" width="8.7109375" style="68" customWidth="1"/>
    <col min="16132" max="16132" width="9.7109375" style="68" bestFit="1" customWidth="1"/>
    <col min="16133" max="16133" width="10.85546875" style="68" customWidth="1"/>
    <col min="16134" max="16134" width="10.42578125" style="68" customWidth="1"/>
    <col min="16135" max="16135" width="9.7109375" style="68" bestFit="1" customWidth="1"/>
    <col min="16136" max="16138" width="9.28515625" style="68" bestFit="1" customWidth="1"/>
    <col min="16139" max="16139" width="10.7109375" style="68" bestFit="1" customWidth="1"/>
    <col min="16140" max="16140" width="11.28515625" style="68" customWidth="1"/>
    <col min="16141" max="16141" width="12.5703125" style="68" customWidth="1"/>
    <col min="16142" max="16142" width="13.5703125" style="68" customWidth="1"/>
    <col min="16143" max="16143" width="13" style="68" customWidth="1"/>
    <col min="16144" max="16384" width="9.140625" style="68"/>
  </cols>
  <sheetData>
    <row r="2" spans="2:19" ht="27.6" customHeight="1" x14ac:dyDescent="0.25">
      <c r="B2" s="799"/>
      <c r="C2" s="800"/>
      <c r="D2" s="800"/>
      <c r="E2" s="800"/>
      <c r="F2" s="800"/>
      <c r="G2" s="800"/>
      <c r="H2" s="800"/>
      <c r="I2" s="800"/>
      <c r="J2" s="800"/>
      <c r="K2" s="800"/>
      <c r="L2" s="800"/>
      <c r="M2" s="800"/>
      <c r="N2" s="800"/>
      <c r="O2" s="800"/>
      <c r="P2" s="800"/>
      <c r="Q2" s="801"/>
    </row>
    <row r="3" spans="2:19" s="70" customFormat="1" ht="22.15" customHeight="1" thickBot="1" x14ac:dyDescent="0.3">
      <c r="B3" s="788" t="s">
        <v>225</v>
      </c>
      <c r="C3" s="789"/>
      <c r="D3" s="789"/>
      <c r="E3" s="789"/>
      <c r="F3" s="789"/>
      <c r="G3" s="789"/>
      <c r="H3" s="789"/>
      <c r="I3" s="789"/>
      <c r="J3" s="789"/>
      <c r="K3" s="789"/>
      <c r="L3" s="789"/>
      <c r="M3" s="789"/>
      <c r="N3" s="789"/>
      <c r="O3" s="789"/>
      <c r="P3" s="789"/>
      <c r="Q3" s="790"/>
      <c r="R3" s="67"/>
    </row>
    <row r="4" spans="2:19" s="70" customFormat="1" ht="24.6" customHeight="1" thickBot="1" x14ac:dyDescent="0.3">
      <c r="B4" s="802" t="s">
        <v>226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136" t="s">
        <v>227</v>
      </c>
      <c r="Q4" s="154" t="s">
        <v>348</v>
      </c>
      <c r="R4" s="67"/>
    </row>
    <row r="5" spans="2:19" s="70" customFormat="1" x14ac:dyDescent="0.25">
      <c r="B5" s="138" t="s">
        <v>228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40"/>
      <c r="N5" s="140"/>
      <c r="O5" s="139"/>
      <c r="P5" s="139"/>
      <c r="Q5" s="141"/>
      <c r="R5" s="67"/>
    </row>
    <row r="6" spans="2:19" ht="13.9" customHeight="1" x14ac:dyDescent="0.25">
      <c r="B6" s="805" t="s">
        <v>229</v>
      </c>
      <c r="C6" s="807" t="s">
        <v>230</v>
      </c>
      <c r="D6" s="807" t="s">
        <v>231</v>
      </c>
      <c r="E6" s="807" t="s">
        <v>232</v>
      </c>
      <c r="F6" s="807" t="s">
        <v>233</v>
      </c>
      <c r="G6" s="807"/>
      <c r="H6" s="807"/>
      <c r="I6" s="807" t="s">
        <v>234</v>
      </c>
      <c r="J6" s="807"/>
      <c r="K6" s="807"/>
      <c r="L6" s="807" t="s">
        <v>235</v>
      </c>
      <c r="M6" s="807" t="s">
        <v>287</v>
      </c>
      <c r="N6" s="807" t="s">
        <v>237</v>
      </c>
      <c r="O6" s="809"/>
      <c r="P6" s="807" t="s">
        <v>238</v>
      </c>
      <c r="Q6" s="794"/>
    </row>
    <row r="7" spans="2:19" ht="15.75" thickBot="1" x14ac:dyDescent="0.3">
      <c r="B7" s="806"/>
      <c r="C7" s="808"/>
      <c r="D7" s="808"/>
      <c r="E7" s="808"/>
      <c r="F7" s="142" t="s">
        <v>239</v>
      </c>
      <c r="G7" s="142" t="s">
        <v>26</v>
      </c>
      <c r="H7" s="142" t="s">
        <v>27</v>
      </c>
      <c r="I7" s="142" t="s">
        <v>239</v>
      </c>
      <c r="J7" s="142" t="s">
        <v>26</v>
      </c>
      <c r="K7" s="142" t="s">
        <v>27</v>
      </c>
      <c r="L7" s="808"/>
      <c r="M7" s="808"/>
      <c r="N7" s="808"/>
      <c r="O7" s="810"/>
      <c r="P7" s="808"/>
      <c r="Q7" s="795"/>
    </row>
    <row r="8" spans="2:19" ht="14.45" customHeight="1" x14ac:dyDescent="0.25">
      <c r="B8" s="72"/>
      <c r="C8" s="791" t="s">
        <v>240</v>
      </c>
      <c r="D8" s="792"/>
      <c r="E8" s="792"/>
      <c r="F8" s="792"/>
      <c r="G8" s="792"/>
      <c r="H8" s="792"/>
      <c r="I8" s="792"/>
      <c r="J8" s="792"/>
      <c r="K8" s="792"/>
      <c r="L8" s="792"/>
      <c r="M8" s="792"/>
      <c r="N8" s="792"/>
      <c r="O8" s="792"/>
      <c r="P8" s="792"/>
      <c r="Q8" s="793"/>
      <c r="R8" s="20"/>
    </row>
    <row r="9" spans="2:19" x14ac:dyDescent="0.25">
      <c r="B9" s="89">
        <v>1</v>
      </c>
      <c r="C9" s="822" t="s">
        <v>242</v>
      </c>
      <c r="D9" s="823"/>
      <c r="E9" s="74">
        <f>'30'!L9</f>
        <v>21789.202484564215</v>
      </c>
      <c r="F9" s="74">
        <f>Production2!D33</f>
        <v>1723.32</v>
      </c>
      <c r="G9" s="74">
        <f>F9+'30'!G9</f>
        <v>91881.579999999987</v>
      </c>
      <c r="H9" s="74">
        <f>F9+'30'!H9</f>
        <v>156867.28</v>
      </c>
      <c r="I9" s="74">
        <f>Production2!E33</f>
        <v>3354</v>
      </c>
      <c r="J9" s="74">
        <f>I9+'30'!J9</f>
        <v>73144</v>
      </c>
      <c r="K9" s="74">
        <f>I9+'30'!K9</f>
        <v>140031</v>
      </c>
      <c r="L9" s="650">
        <f>E9+F9-I9-I21</f>
        <v>19467.800262331162</v>
      </c>
      <c r="M9" s="75">
        <f>I9</f>
        <v>3354</v>
      </c>
      <c r="N9" s="75">
        <f>(I9/I13)*100</f>
        <v>95.691868758915831</v>
      </c>
      <c r="O9" s="787"/>
      <c r="P9" s="286">
        <v>10</v>
      </c>
      <c r="Q9" s="261">
        <f>'Raw mill moisture content'!L35</f>
        <v>9.9999999999999922E-2</v>
      </c>
    </row>
    <row r="10" spans="2:19" ht="13.9" customHeight="1" x14ac:dyDescent="0.25">
      <c r="B10" s="79">
        <v>2</v>
      </c>
      <c r="C10" s="728" t="s">
        <v>30</v>
      </c>
      <c r="D10" s="728"/>
      <c r="E10" s="77">
        <f>'Mines (2)'!L33</f>
        <v>3012.44</v>
      </c>
      <c r="F10" s="77">
        <f>'Mines (2)'!M33</f>
        <v>0</v>
      </c>
      <c r="G10" s="650">
        <f>F10+'30'!G10</f>
        <v>3917.940000000001</v>
      </c>
      <c r="H10" s="650">
        <f>F10+'30'!H10</f>
        <v>5269.4</v>
      </c>
      <c r="I10" s="77">
        <f>'Mines (2)'!N33</f>
        <v>101</v>
      </c>
      <c r="J10" s="74">
        <f>I10+'30'!J10</f>
        <v>1953</v>
      </c>
      <c r="K10" s="650">
        <f>I10+'30'!K10</f>
        <v>2482</v>
      </c>
      <c r="L10" s="77">
        <f t="shared" ref="L10:L16" si="0">E10+F10-I10</f>
        <v>2911.44</v>
      </c>
      <c r="M10" s="75">
        <f t="shared" ref="M10:M12" si="1">I10</f>
        <v>101</v>
      </c>
      <c r="N10" s="75">
        <f>(I10/I13)*100</f>
        <v>2.8815977175463621</v>
      </c>
      <c r="O10" s="787"/>
      <c r="P10" s="53">
        <v>10</v>
      </c>
      <c r="Q10" s="262">
        <f>'Raw mill moisture content'!M35</f>
        <v>9.9999999999999867E-2</v>
      </c>
    </row>
    <row r="11" spans="2:19" x14ac:dyDescent="0.25">
      <c r="B11" s="79">
        <v>3</v>
      </c>
      <c r="C11" s="728" t="s">
        <v>32</v>
      </c>
      <c r="D11" s="728"/>
      <c r="E11" s="77">
        <f>Clinker!C33</f>
        <v>2697.92</v>
      </c>
      <c r="F11" s="77">
        <f>Clinker!D33</f>
        <v>0</v>
      </c>
      <c r="G11" s="74">
        <f>F11+'30'!G11</f>
        <v>347.58000000000004</v>
      </c>
      <c r="H11" s="650">
        <f>F11+'30'!H11</f>
        <v>417.28000000000003</v>
      </c>
      <c r="I11" s="77">
        <f>Clinker!E33</f>
        <v>50</v>
      </c>
      <c r="J11" s="74">
        <f>I11+'30'!J11</f>
        <v>1698</v>
      </c>
      <c r="K11" s="650">
        <f>I11+'30'!K11</f>
        <v>3135</v>
      </c>
      <c r="L11" s="77">
        <f t="shared" si="0"/>
        <v>2647.92</v>
      </c>
      <c r="M11" s="75">
        <f t="shared" si="1"/>
        <v>50</v>
      </c>
      <c r="N11" s="75">
        <f>(I11/I13)*100</f>
        <v>1.4265335235378032</v>
      </c>
      <c r="O11" s="787"/>
      <c r="P11" s="53">
        <v>7</v>
      </c>
      <c r="Q11" s="262">
        <f>'Raw mill moisture content'!N35</f>
        <v>7.0000000000000076E-2</v>
      </c>
    </row>
    <row r="12" spans="2:19" ht="13.9" customHeight="1" x14ac:dyDescent="0.25">
      <c r="B12" s="79">
        <v>4</v>
      </c>
      <c r="C12" s="728" t="s">
        <v>243</v>
      </c>
      <c r="D12" s="728"/>
      <c r="E12" s="77">
        <f>'Mines (2)'!Q33</f>
        <v>3.999999999996362E-2</v>
      </c>
      <c r="F12" s="77">
        <f>'Mines (2)'!R33</f>
        <v>0</v>
      </c>
      <c r="G12" s="75">
        <f>F12+'30'!G12</f>
        <v>0</v>
      </c>
      <c r="H12" s="650">
        <f>F12+'30'!H12</f>
        <v>137.76</v>
      </c>
      <c r="I12" s="77">
        <f>'Mines (2)'!S33</f>
        <v>0</v>
      </c>
      <c r="J12" s="74">
        <f>I12+'30'!J12</f>
        <v>191</v>
      </c>
      <c r="K12" s="650">
        <f>I12+'30'!K12</f>
        <v>738</v>
      </c>
      <c r="L12" s="77">
        <f t="shared" si="0"/>
        <v>3.999999999996362E-2</v>
      </c>
      <c r="M12" s="75">
        <f t="shared" si="1"/>
        <v>0</v>
      </c>
      <c r="N12" s="75">
        <f>(I12/I13)*100</f>
        <v>0</v>
      </c>
      <c r="O12" s="787"/>
      <c r="P12" s="53">
        <v>10</v>
      </c>
      <c r="Q12" s="262">
        <f>'Raw mill moisture content'!O35</f>
        <v>0.10000000000000012</v>
      </c>
    </row>
    <row r="13" spans="2:19" ht="13.9" customHeight="1" x14ac:dyDescent="0.25">
      <c r="B13" s="79" t="s">
        <v>241</v>
      </c>
      <c r="C13" s="796" t="s">
        <v>244</v>
      </c>
      <c r="D13" s="796"/>
      <c r="E13" s="127">
        <f t="shared" ref="E13:K13" si="2">SUM(E9:E12)</f>
        <v>27499.602484564217</v>
      </c>
      <c r="F13" s="127">
        <f t="shared" si="2"/>
        <v>1723.32</v>
      </c>
      <c r="G13" s="127">
        <f t="shared" si="2"/>
        <v>96147.099999999991</v>
      </c>
      <c r="H13" s="127">
        <f t="shared" si="2"/>
        <v>162691.72</v>
      </c>
      <c r="I13" s="127">
        <f t="shared" si="2"/>
        <v>3505</v>
      </c>
      <c r="J13" s="127">
        <f t="shared" si="2"/>
        <v>76986</v>
      </c>
      <c r="K13" s="127">
        <f t="shared" si="2"/>
        <v>146386</v>
      </c>
      <c r="L13" s="127">
        <f t="shared" si="0"/>
        <v>25717.922484564217</v>
      </c>
      <c r="M13" s="128">
        <f>SUM(M9:M12)</f>
        <v>3505</v>
      </c>
      <c r="N13" s="128">
        <v>99.999999999999986</v>
      </c>
      <c r="O13" s="787"/>
      <c r="P13" s="797"/>
      <c r="Q13" s="798"/>
    </row>
    <row r="14" spans="2:19" x14ac:dyDescent="0.25">
      <c r="B14" s="763">
        <v>6</v>
      </c>
      <c r="C14" s="775" t="s">
        <v>245</v>
      </c>
      <c r="D14" s="80" t="s">
        <v>69</v>
      </c>
      <c r="E14" s="77">
        <f>Clinker!EB33</f>
        <v>4955.8569999999909</v>
      </c>
      <c r="F14" s="77">
        <f>Clinker!EC33</f>
        <v>0</v>
      </c>
      <c r="G14" s="77">
        <f>F14+'30'!G14</f>
        <v>623.74</v>
      </c>
      <c r="H14" s="77">
        <f>F14+'30'!H14</f>
        <v>805.24</v>
      </c>
      <c r="I14" s="77">
        <f>Clinker!ED33</f>
        <v>327.78</v>
      </c>
      <c r="J14" s="77">
        <f>I14+'30'!J14</f>
        <v>7881.01</v>
      </c>
      <c r="K14" s="77">
        <f>I14+'30'!K14</f>
        <v>14717.31</v>
      </c>
      <c r="L14" s="77">
        <f>E14+F14-I14-Clinker!N33-Clinker!Z33-Clinker!AS33-Clinker!AX33-Clinker!BC33-Clinker!BW33-Clinker!BH33-Clinker!BM33-Clinker!BR33-Clinker!CV33-Clinker!DP33</f>
        <v>4628.0769999999911</v>
      </c>
      <c r="M14" s="81"/>
      <c r="N14" s="81"/>
      <c r="O14" s="787"/>
      <c r="P14" s="82">
        <v>10</v>
      </c>
      <c r="Q14" s="264">
        <f>'Raw mill moisture content'!S35</f>
        <v>9.999999999999995E-2</v>
      </c>
      <c r="R14" s="83"/>
      <c r="S14" s="176"/>
    </row>
    <row r="15" spans="2:19" x14ac:dyDescent="0.25">
      <c r="B15" s="763"/>
      <c r="C15" s="775"/>
      <c r="D15" s="80" t="s">
        <v>68</v>
      </c>
      <c r="E15" s="77">
        <f>Clinker!EF33</f>
        <v>4208.7199999999939</v>
      </c>
      <c r="F15" s="77">
        <f>Clinker!EG33</f>
        <v>0</v>
      </c>
      <c r="G15" s="77">
        <f>F15+'30'!G15</f>
        <v>1985.8999999999999</v>
      </c>
      <c r="H15" s="77">
        <f>F15+'30'!H15</f>
        <v>2140.9500000000003</v>
      </c>
      <c r="I15" s="77">
        <f>Clinker!EH33</f>
        <v>160</v>
      </c>
      <c r="J15" s="77">
        <f>I15+'30'!J15</f>
        <v>4303</v>
      </c>
      <c r="K15" s="77">
        <f>I15+'30'!K15</f>
        <v>8172</v>
      </c>
      <c r="L15" s="77">
        <f>E15+F15-Clinker!AE33-Clinker!AJ33-Clinker!CL33-Clinker!CQ33-Clinker!CG33</f>
        <v>4048.7199999999939</v>
      </c>
      <c r="M15" s="81"/>
      <c r="N15" s="81"/>
      <c r="O15" s="787"/>
      <c r="P15" s="82"/>
      <c r="Q15" s="82"/>
      <c r="R15" s="83"/>
    </row>
    <row r="16" spans="2:19" x14ac:dyDescent="0.25">
      <c r="B16" s="763"/>
      <c r="C16" s="690"/>
      <c r="D16" s="124" t="s">
        <v>150</v>
      </c>
      <c r="E16" s="125">
        <f>E14+E15</f>
        <v>9164.5769999999848</v>
      </c>
      <c r="F16" s="125">
        <f>F14+F15</f>
        <v>0</v>
      </c>
      <c r="G16" s="125">
        <f t="shared" ref="G16:K16" si="3">G14+G15</f>
        <v>2609.64</v>
      </c>
      <c r="H16" s="125">
        <f t="shared" si="3"/>
        <v>2946.1900000000005</v>
      </c>
      <c r="I16" s="125">
        <f>I14+I15</f>
        <v>487.78</v>
      </c>
      <c r="J16" s="125">
        <f>J14+J15</f>
        <v>12184.01</v>
      </c>
      <c r="K16" s="125">
        <f t="shared" si="3"/>
        <v>22889.309999999998</v>
      </c>
      <c r="L16" s="125">
        <f t="shared" si="0"/>
        <v>8676.7969999999841</v>
      </c>
      <c r="M16" s="126"/>
      <c r="N16" s="126"/>
      <c r="O16" s="787"/>
      <c r="P16" s="84"/>
      <c r="Q16" s="131"/>
      <c r="R16" s="83"/>
    </row>
    <row r="17" spans="2:18" ht="14.45" customHeight="1" x14ac:dyDescent="0.25">
      <c r="B17" s="72"/>
      <c r="C17" s="760" t="s">
        <v>246</v>
      </c>
      <c r="D17" s="761"/>
      <c r="E17" s="761"/>
      <c r="F17" s="761"/>
      <c r="G17" s="761"/>
      <c r="H17" s="761"/>
      <c r="I17" s="761"/>
      <c r="J17" s="761"/>
      <c r="K17" s="761"/>
      <c r="L17" s="761"/>
      <c r="M17" s="761"/>
      <c r="N17" s="761"/>
      <c r="O17" s="761"/>
      <c r="P17" s="761"/>
      <c r="Q17" s="762"/>
      <c r="R17" s="20"/>
    </row>
    <row r="18" spans="2:18" x14ac:dyDescent="0.25">
      <c r="B18" s="763">
        <v>7</v>
      </c>
      <c r="C18" s="691" t="s">
        <v>247</v>
      </c>
      <c r="D18" s="85" t="s">
        <v>248</v>
      </c>
      <c r="E18" s="74">
        <f>Clinker!EJ33</f>
        <v>26361.90908575193</v>
      </c>
      <c r="F18" s="74">
        <f>Clinker!EK33</f>
        <v>1950</v>
      </c>
      <c r="G18" s="74">
        <f>F18+'30'!G18</f>
        <v>45026</v>
      </c>
      <c r="H18" s="74">
        <f>F18+'30'!H18</f>
        <v>85526</v>
      </c>
      <c r="I18" s="74">
        <f>Clinker!EL33</f>
        <v>2366.0999999902515</v>
      </c>
      <c r="J18" s="75">
        <f>I18+'30'!J18</f>
        <v>43999.851001978779</v>
      </c>
      <c r="K18" s="74">
        <f>I18+'30'!K18</f>
        <v>62861.731013865043</v>
      </c>
      <c r="L18" s="74">
        <f>E18+F18-I18-I20</f>
        <v>25945.809085761677</v>
      </c>
      <c r="M18" s="75">
        <f>((I18+I19)/(J40+J46))*100</f>
        <v>75.233704292217851</v>
      </c>
      <c r="N18" s="765"/>
      <c r="O18" s="767"/>
      <c r="P18" s="769"/>
      <c r="Q18" s="770"/>
      <c r="R18" s="20"/>
    </row>
    <row r="19" spans="2:18" ht="45" x14ac:dyDescent="0.25">
      <c r="B19" s="763"/>
      <c r="C19" s="691"/>
      <c r="D19" s="85" t="s">
        <v>75</v>
      </c>
      <c r="E19" s="74">
        <f>Clinker!EO33</f>
        <v>5306.1090080001359</v>
      </c>
      <c r="F19" s="74">
        <f>Clinker!EP33</f>
        <v>0</v>
      </c>
      <c r="G19" s="650">
        <f>F19+'30'!G19</f>
        <v>150.78</v>
      </c>
      <c r="H19" s="650">
        <f>F19+'30'!H19</f>
        <v>13390.660000000003</v>
      </c>
      <c r="I19" s="75">
        <f>Clinker!EQ33</f>
        <v>0</v>
      </c>
      <c r="J19" s="75">
        <f>I19+'30'!J19</f>
        <v>0</v>
      </c>
      <c r="K19" s="650">
        <f>I19+'30'!K19</f>
        <v>16934.099999999999</v>
      </c>
      <c r="L19" s="650">
        <f>E19+F19-I19</f>
        <v>5306.1090080001359</v>
      </c>
      <c r="M19" s="75"/>
      <c r="N19" s="765"/>
      <c r="O19" s="767"/>
      <c r="P19" s="769"/>
      <c r="Q19" s="770"/>
      <c r="R19" s="20"/>
    </row>
    <row r="20" spans="2:18" ht="30" x14ac:dyDescent="0.25">
      <c r="B20" s="763"/>
      <c r="C20" s="764"/>
      <c r="D20" s="86" t="s">
        <v>249</v>
      </c>
      <c r="E20" s="77"/>
      <c r="F20" s="77">
        <v>0</v>
      </c>
      <c r="G20" s="74">
        <f>F20+'30'!G20</f>
        <v>0</v>
      </c>
      <c r="H20" s="74">
        <f>F20+'30'!H20</f>
        <v>0</v>
      </c>
      <c r="I20" s="77">
        <f>Clinker!EN33</f>
        <v>0</v>
      </c>
      <c r="J20" s="74">
        <f>I20+'30'!J20</f>
        <v>0</v>
      </c>
      <c r="K20" s="74">
        <f>I20+'30'!K20</f>
        <v>0</v>
      </c>
      <c r="L20" s="74"/>
      <c r="M20" s="78"/>
      <c r="N20" s="766"/>
      <c r="O20" s="767"/>
      <c r="P20" s="771"/>
      <c r="Q20" s="772"/>
      <c r="R20" s="20"/>
    </row>
    <row r="21" spans="2:18" x14ac:dyDescent="0.25">
      <c r="B21" s="89">
        <v>8</v>
      </c>
      <c r="C21" s="822" t="s">
        <v>242</v>
      </c>
      <c r="D21" s="823"/>
      <c r="E21" s="77">
        <f>Cement!P33</f>
        <v>0</v>
      </c>
      <c r="F21" s="77">
        <f>Cement!Q33</f>
        <v>0</v>
      </c>
      <c r="G21" s="74">
        <f>F21+'30'!G21</f>
        <v>0</v>
      </c>
      <c r="H21" s="74">
        <f>F21+'30'!H21</f>
        <v>0</v>
      </c>
      <c r="I21" s="77">
        <f>Cement!S33</f>
        <v>690.72222223305414</v>
      </c>
      <c r="J21" s="75">
        <f>I21+'30'!J21</f>
        <v>11841.531442290443</v>
      </c>
      <c r="K21" s="74">
        <f>I21+'30'!K21</f>
        <v>20473.351434852681</v>
      </c>
      <c r="L21" s="74"/>
      <c r="M21" s="78">
        <f>(I21/(J40+J46))*100</f>
        <v>21.962550786424615</v>
      </c>
      <c r="N21" s="78"/>
      <c r="O21" s="767"/>
      <c r="P21" s="87">
        <v>10</v>
      </c>
      <c r="Q21" s="773"/>
      <c r="R21" s="20"/>
    </row>
    <row r="22" spans="2:18" x14ac:dyDescent="0.25">
      <c r="B22" s="89">
        <v>9</v>
      </c>
      <c r="C22" s="775" t="s">
        <v>250</v>
      </c>
      <c r="D22" s="775"/>
      <c r="E22" s="77">
        <f>Cement!C33</f>
        <v>4373.8568531141136</v>
      </c>
      <c r="F22" s="77">
        <f>Cement!D33</f>
        <v>0</v>
      </c>
      <c r="G22" s="650">
        <f>F22+'30'!G22</f>
        <v>155.72</v>
      </c>
      <c r="H22" s="650">
        <f>F22+'30'!H22</f>
        <v>2126.62</v>
      </c>
      <c r="I22" s="77">
        <f>Cement!F33</f>
        <v>165.5263157894737</v>
      </c>
      <c r="J22" s="650">
        <f>I22+'30'!J22</f>
        <v>3024.4695262736427</v>
      </c>
      <c r="K22" s="650">
        <f>I22+'30'!K22</f>
        <v>5363.6695218251407</v>
      </c>
      <c r="L22" s="650">
        <f t="shared" ref="L22:L24" si="4">E22+F22-I22</f>
        <v>4208.3305373246403</v>
      </c>
      <c r="M22" s="78">
        <f>(I22/(J40+J46))*100</f>
        <v>5.2631578947368425</v>
      </c>
      <c r="N22" s="78"/>
      <c r="O22" s="767"/>
      <c r="P22" s="87">
        <v>5</v>
      </c>
      <c r="Q22" s="774"/>
      <c r="R22" s="20"/>
    </row>
    <row r="23" spans="2:18" x14ac:dyDescent="0.25">
      <c r="B23" s="763">
        <v>10</v>
      </c>
      <c r="C23" s="690" t="s">
        <v>251</v>
      </c>
      <c r="D23" s="76" t="s">
        <v>252</v>
      </c>
      <c r="E23" s="77">
        <f>Cement!H33</f>
        <v>0.23999999999796273</v>
      </c>
      <c r="F23" s="77">
        <f>Cement!I33</f>
        <v>0</v>
      </c>
      <c r="G23" s="74">
        <f>F23+'30'!G23</f>
        <v>0</v>
      </c>
      <c r="H23" s="74">
        <f>F23+'30'!H23</f>
        <v>0</v>
      </c>
      <c r="I23" s="77">
        <f>Cement!J33</f>
        <v>0</v>
      </c>
      <c r="J23" s="74">
        <f>I23+'30'!J23</f>
        <v>0</v>
      </c>
      <c r="K23" s="74">
        <f>I23+'30'!K23</f>
        <v>0</v>
      </c>
      <c r="L23" s="74">
        <f t="shared" si="4"/>
        <v>0.23999999999796273</v>
      </c>
      <c r="M23" s="776"/>
      <c r="N23" s="776"/>
      <c r="O23" s="767"/>
      <c r="P23" s="777"/>
      <c r="Q23" s="778"/>
      <c r="R23" s="83"/>
    </row>
    <row r="24" spans="2:18" x14ac:dyDescent="0.25">
      <c r="B24" s="763"/>
      <c r="C24" s="764"/>
      <c r="D24" s="76" t="s">
        <v>253</v>
      </c>
      <c r="E24" s="77">
        <f>Cement!L33</f>
        <v>0</v>
      </c>
      <c r="F24" s="77">
        <f>Cement!M33</f>
        <v>0</v>
      </c>
      <c r="G24" s="74">
        <f>F24+'30'!G24</f>
        <v>0</v>
      </c>
      <c r="H24" s="74">
        <f>F24+'30'!H24</f>
        <v>0</v>
      </c>
      <c r="I24" s="77">
        <f>Cement!N33</f>
        <v>0</v>
      </c>
      <c r="J24" s="74">
        <f>I24+'30'!J24</f>
        <v>0</v>
      </c>
      <c r="K24" s="74">
        <f>I24+'30'!K24</f>
        <v>0</v>
      </c>
      <c r="L24" s="74">
        <f t="shared" si="4"/>
        <v>0</v>
      </c>
      <c r="M24" s="776"/>
      <c r="N24" s="776"/>
      <c r="O24" s="767"/>
      <c r="P24" s="769"/>
      <c r="Q24" s="770"/>
      <c r="R24" s="83"/>
    </row>
    <row r="25" spans="2:18" ht="14.45" customHeight="1" thickBot="1" x14ac:dyDescent="0.3">
      <c r="B25" s="90" t="s">
        <v>241</v>
      </c>
      <c r="C25" s="781" t="s">
        <v>254</v>
      </c>
      <c r="D25" s="781"/>
      <c r="E25" s="122">
        <f>E18+E19+E21+E22+E23+E24</f>
        <v>36042.114946866175</v>
      </c>
      <c r="F25" s="122">
        <f t="shared" ref="F25:L25" si="5">F18+F19+F21+F22+F23+F24</f>
        <v>1950</v>
      </c>
      <c r="G25" s="122">
        <f t="shared" si="5"/>
        <v>45332.5</v>
      </c>
      <c r="H25" s="122">
        <f t="shared" si="5"/>
        <v>101043.28</v>
      </c>
      <c r="I25" s="122">
        <f t="shared" si="5"/>
        <v>3222.3485380127795</v>
      </c>
      <c r="J25" s="122">
        <f t="shared" si="5"/>
        <v>58865.851970542863</v>
      </c>
      <c r="K25" s="122">
        <f t="shared" si="5"/>
        <v>105632.85197054286</v>
      </c>
      <c r="L25" s="122">
        <f t="shared" si="5"/>
        <v>35460.488631086453</v>
      </c>
      <c r="M25" s="782"/>
      <c r="N25" s="782"/>
      <c r="O25" s="768"/>
      <c r="P25" s="779"/>
      <c r="Q25" s="780"/>
      <c r="R25" s="83"/>
    </row>
    <row r="26" spans="2:18" ht="14.45" customHeight="1" thickBot="1" x14ac:dyDescent="0.3">
      <c r="B26" s="693"/>
      <c r="C26" s="694"/>
      <c r="D26" s="694"/>
      <c r="E26" s="694"/>
      <c r="F26" s="694"/>
      <c r="G26" s="694"/>
      <c r="H26" s="694"/>
      <c r="I26" s="694"/>
      <c r="J26" s="694"/>
      <c r="K26" s="694"/>
      <c r="L26" s="694"/>
      <c r="M26" s="694"/>
      <c r="N26" s="694"/>
      <c r="O26" s="694"/>
      <c r="P26" s="694"/>
      <c r="Q26" s="695"/>
      <c r="R26" s="83"/>
    </row>
    <row r="27" spans="2:18" x14ac:dyDescent="0.25">
      <c r="B27" s="696" t="s">
        <v>255</v>
      </c>
      <c r="C27" s="697"/>
      <c r="D27" s="697"/>
      <c r="E27" s="697"/>
      <c r="F27" s="697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8"/>
      <c r="R27" s="83"/>
    </row>
    <row r="28" spans="2:18" s="70" customFormat="1" ht="13.9" customHeight="1" x14ac:dyDescent="0.25">
      <c r="B28" s="758" t="s">
        <v>229</v>
      </c>
      <c r="C28" s="739" t="s">
        <v>256</v>
      </c>
      <c r="D28" s="740"/>
      <c r="E28" s="134" t="s">
        <v>257</v>
      </c>
      <c r="F28" s="743" t="s">
        <v>258</v>
      </c>
      <c r="G28" s="744"/>
      <c r="H28" s="745"/>
      <c r="I28" s="746" t="s">
        <v>259</v>
      </c>
      <c r="J28" s="748" t="s">
        <v>35</v>
      </c>
      <c r="K28" s="749"/>
      <c r="L28" s="750"/>
      <c r="M28" s="748" t="s">
        <v>34</v>
      </c>
      <c r="N28" s="749"/>
      <c r="O28" s="750"/>
      <c r="P28" s="746" t="s">
        <v>235</v>
      </c>
      <c r="Q28" s="751" t="s">
        <v>101</v>
      </c>
      <c r="R28" s="67"/>
    </row>
    <row r="29" spans="2:18" s="70" customFormat="1" ht="15.75" thickBot="1" x14ac:dyDescent="0.3">
      <c r="B29" s="759"/>
      <c r="C29" s="741"/>
      <c r="D29" s="742"/>
      <c r="E29" s="143" t="s">
        <v>260</v>
      </c>
      <c r="F29" s="144" t="s">
        <v>239</v>
      </c>
      <c r="G29" s="144" t="s">
        <v>26</v>
      </c>
      <c r="H29" s="144" t="s">
        <v>27</v>
      </c>
      <c r="I29" s="747"/>
      <c r="J29" s="144" t="s">
        <v>239</v>
      </c>
      <c r="K29" s="144" t="s">
        <v>26</v>
      </c>
      <c r="L29" s="144" t="s">
        <v>27</v>
      </c>
      <c r="M29" s="144" t="s">
        <v>239</v>
      </c>
      <c r="N29" s="144" t="s">
        <v>26</v>
      </c>
      <c r="O29" s="144" t="s">
        <v>27</v>
      </c>
      <c r="P29" s="747"/>
      <c r="Q29" s="752"/>
      <c r="R29" s="67"/>
    </row>
    <row r="30" spans="2:18" x14ac:dyDescent="0.25">
      <c r="B30" s="91">
        <v>1</v>
      </c>
      <c r="C30" s="699" t="s">
        <v>261</v>
      </c>
      <c r="D30" s="700"/>
      <c r="E30" s="92">
        <v>250</v>
      </c>
      <c r="F30" s="75">
        <v>21.98</v>
      </c>
      <c r="G30" s="75">
        <f>F30+'30'!G30</f>
        <v>543.51</v>
      </c>
      <c r="H30" s="75">
        <f>F30+'30'!H30</f>
        <v>975.99000000000012</v>
      </c>
      <c r="I30" s="74">
        <f>'Mines (2)'!C33+'Mines (2)'!H33+'Mines (2)'!V33+'Mines (2)'!Z33+'Mines (2)'!AD33</f>
        <v>21789.202484564223</v>
      </c>
      <c r="J30" s="74">
        <f>Production2!D33</f>
        <v>1723.32</v>
      </c>
      <c r="K30" s="650">
        <f>J30+'30'!K30</f>
        <v>91881.579999999987</v>
      </c>
      <c r="L30" s="650">
        <f>J30+'30'!L30</f>
        <v>156867.28</v>
      </c>
      <c r="M30" s="74">
        <f>I9+I21</f>
        <v>4044.7222222330543</v>
      </c>
      <c r="N30" s="650">
        <f>M30+'30'!N30</f>
        <v>84985.531442290448</v>
      </c>
      <c r="O30" s="650">
        <f>M30+'30'!O30</f>
        <v>160504.3514348527</v>
      </c>
      <c r="P30" s="650">
        <f>I30+J30-M30</f>
        <v>19467.80026233117</v>
      </c>
      <c r="Q30" s="93">
        <f>J30/F30</f>
        <v>78.404003639672425</v>
      </c>
      <c r="R30" s="94"/>
    </row>
    <row r="31" spans="2:18" x14ac:dyDescent="0.25">
      <c r="B31" s="79">
        <v>2</v>
      </c>
      <c r="C31" s="725" t="s">
        <v>300</v>
      </c>
      <c r="D31" s="726"/>
      <c r="E31" s="95">
        <v>120</v>
      </c>
      <c r="F31" s="78">
        <f>Production2!G33</f>
        <v>23</v>
      </c>
      <c r="G31" s="75">
        <f>F31+'30'!G31</f>
        <v>576.31999999999994</v>
      </c>
      <c r="H31" s="75">
        <f>F31+'30'!H31</f>
        <v>1069.54</v>
      </c>
      <c r="I31" s="724">
        <f>Production2!H33</f>
        <v>1134.1400168375185</v>
      </c>
      <c r="J31" s="77">
        <f>Production2!N33</f>
        <v>2967</v>
      </c>
      <c r="K31" s="650">
        <f>J31+'30'!K31</f>
        <v>67428.44</v>
      </c>
      <c r="L31" s="650">
        <f>J31+'30'!L31</f>
        <v>126285.59000000003</v>
      </c>
      <c r="M31" s="724">
        <f>Production2!K33</f>
        <v>3022.5</v>
      </c>
      <c r="N31" s="724">
        <f>M31+'30'!N31</f>
        <v>69790.3</v>
      </c>
      <c r="O31" s="724">
        <f>M31+'30'!O31</f>
        <v>132565.29999999999</v>
      </c>
      <c r="P31" s="783">
        <f>I31+J32+J31-M31</f>
        <v>1267.6400168375185</v>
      </c>
      <c r="Q31" s="96">
        <f t="shared" ref="Q31:Q46" si="6">J31/F31</f>
        <v>129</v>
      </c>
      <c r="R31" s="94"/>
    </row>
    <row r="32" spans="2:18" x14ac:dyDescent="0.25">
      <c r="B32" s="91">
        <v>3</v>
      </c>
      <c r="C32" s="725" t="s">
        <v>263</v>
      </c>
      <c r="D32" s="726"/>
      <c r="E32" s="95">
        <v>20</v>
      </c>
      <c r="F32" s="78">
        <f>Production2!P33</f>
        <v>21</v>
      </c>
      <c r="G32" s="75">
        <f>F32+'30'!G32</f>
        <v>209.38</v>
      </c>
      <c r="H32" s="75">
        <f>F32+'30'!H32</f>
        <v>615.66999999999996</v>
      </c>
      <c r="I32" s="712"/>
      <c r="J32" s="78">
        <f>Production2!Q33</f>
        <v>189</v>
      </c>
      <c r="K32" s="650">
        <f>J32+'30'!K32</f>
        <v>1911.3799999999999</v>
      </c>
      <c r="L32" s="650">
        <f>J32+'30'!L32</f>
        <v>5553.619999999999</v>
      </c>
      <c r="M32" s="712"/>
      <c r="N32" s="712"/>
      <c r="O32" s="712"/>
      <c r="P32" s="784"/>
      <c r="Q32" s="96">
        <f>J32/F32</f>
        <v>9</v>
      </c>
      <c r="R32" s="94"/>
    </row>
    <row r="33" spans="2:19" x14ac:dyDescent="0.25">
      <c r="B33" s="79">
        <v>4</v>
      </c>
      <c r="C33" s="725" t="s">
        <v>145</v>
      </c>
      <c r="D33" s="726"/>
      <c r="E33" s="95">
        <v>10</v>
      </c>
      <c r="F33" s="78">
        <f>Production2!S33</f>
        <v>19.3</v>
      </c>
      <c r="G33" s="75">
        <f>F33+'30'!G33</f>
        <v>506.96000000000004</v>
      </c>
      <c r="H33" s="75">
        <f>F33+'30'!H33</f>
        <v>953.32999999999993</v>
      </c>
      <c r="I33" s="77">
        <f>Production2!T33</f>
        <v>33.109999999999843</v>
      </c>
      <c r="J33" s="77">
        <f>Production2!U33</f>
        <v>295</v>
      </c>
      <c r="K33" s="650">
        <f>J33+'30'!K33</f>
        <v>7092.9</v>
      </c>
      <c r="L33" s="650">
        <f>J33+'30'!L33</f>
        <v>13245.6</v>
      </c>
      <c r="M33" s="77">
        <f>Production2!V33</f>
        <v>286</v>
      </c>
      <c r="N33" s="74">
        <f>M33+'30'!N33</f>
        <v>7091</v>
      </c>
      <c r="O33" s="650">
        <f>M33+'30'!O33</f>
        <v>13219</v>
      </c>
      <c r="P33" s="650">
        <f t="shared" ref="P33" si="7">I33+J33-M33</f>
        <v>42.109999999999843</v>
      </c>
      <c r="Q33" s="96">
        <f t="shared" si="6"/>
        <v>15.284974093264248</v>
      </c>
      <c r="R33" s="94"/>
    </row>
    <row r="34" spans="2:19" x14ac:dyDescent="0.25">
      <c r="B34" s="91">
        <v>5</v>
      </c>
      <c r="C34" s="725" t="s">
        <v>69</v>
      </c>
      <c r="D34" s="726"/>
      <c r="E34" s="95">
        <v>50</v>
      </c>
      <c r="F34" s="78">
        <f>Production2!Y33</f>
        <v>24</v>
      </c>
      <c r="G34" s="75">
        <f>F34+'30'!G34</f>
        <v>696.54</v>
      </c>
      <c r="H34" s="75">
        <f>F34+'30'!H34</f>
        <v>1314.81</v>
      </c>
      <c r="I34" s="77">
        <f>Clinker!EJ33</f>
        <v>26361.90908575193</v>
      </c>
      <c r="J34" s="77">
        <f>Clinker!EK33</f>
        <v>1950</v>
      </c>
      <c r="K34" s="74">
        <f>J34+'30'!K34</f>
        <v>45026</v>
      </c>
      <c r="L34" s="74">
        <f>J34+'30'!L34</f>
        <v>85526</v>
      </c>
      <c r="M34" s="77">
        <f>Clinker!EL33</f>
        <v>2366.0999999902515</v>
      </c>
      <c r="N34" s="74">
        <f>M34+'30'!N34</f>
        <v>43999.851001978779</v>
      </c>
      <c r="O34" s="650">
        <f>M34+'30'!O34</f>
        <v>62861.731013865043</v>
      </c>
      <c r="P34" s="650">
        <f>I34+J34-M34-I20</f>
        <v>25945.809085761677</v>
      </c>
      <c r="Q34" s="96">
        <f t="shared" si="6"/>
        <v>81.25</v>
      </c>
      <c r="R34" s="94"/>
    </row>
    <row r="35" spans="2:19" x14ac:dyDescent="0.25">
      <c r="B35" s="687">
        <v>6</v>
      </c>
      <c r="C35" s="690" t="s">
        <v>146</v>
      </c>
      <c r="D35" s="80" t="s">
        <v>265</v>
      </c>
      <c r="E35" s="97">
        <v>90</v>
      </c>
      <c r="F35" s="78">
        <f>Production2!AE33</f>
        <v>4.2</v>
      </c>
      <c r="G35" s="75">
        <f>F35+'30'!G35</f>
        <v>30.7</v>
      </c>
      <c r="H35" s="75">
        <f>F35+'30'!H35</f>
        <v>39.699999999999996</v>
      </c>
      <c r="I35" s="77">
        <f>Production2!BJ33</f>
        <v>308.29999999999995</v>
      </c>
      <c r="J35" s="77">
        <f>Production2!AF33</f>
        <v>300</v>
      </c>
      <c r="K35" s="74">
        <f>J35+'30'!K35</f>
        <v>2060</v>
      </c>
      <c r="L35" s="74">
        <f>J35+'30'!L35</f>
        <v>2634</v>
      </c>
      <c r="M35" s="77">
        <f>Production2!BL33</f>
        <v>30</v>
      </c>
      <c r="N35" s="74">
        <f>M35+'30'!N35</f>
        <v>2643.5</v>
      </c>
      <c r="O35" s="74">
        <f>M35+'30'!O35</f>
        <v>5038</v>
      </c>
      <c r="P35" s="74">
        <f>I35+J35+J41-M35-F59</f>
        <v>578.29999999999995</v>
      </c>
      <c r="Q35" s="96">
        <f t="shared" si="6"/>
        <v>71.428571428571431</v>
      </c>
      <c r="R35" s="94"/>
    </row>
    <row r="36" spans="2:19" x14ac:dyDescent="0.25">
      <c r="B36" s="688"/>
      <c r="C36" s="691"/>
      <c r="D36" s="80" t="s">
        <v>266</v>
      </c>
      <c r="E36" s="97">
        <v>78</v>
      </c>
      <c r="F36" s="78">
        <f>Production2!AB33</f>
        <v>14.2</v>
      </c>
      <c r="G36" s="75">
        <f>F36+'30'!G36</f>
        <v>292.13999999999993</v>
      </c>
      <c r="H36" s="75">
        <f>F36+'30'!H36</f>
        <v>498.47</v>
      </c>
      <c r="I36" s="77">
        <f>Production2!BF33</f>
        <v>2000.8779999999792</v>
      </c>
      <c r="J36" s="77">
        <f>Production2!AC33</f>
        <v>975</v>
      </c>
      <c r="K36" s="74">
        <f>J36+'30'!K36</f>
        <v>18901</v>
      </c>
      <c r="L36" s="74">
        <f>J36+'30'!L36</f>
        <v>31330</v>
      </c>
      <c r="M36" s="77">
        <f>Production2!BH33</f>
        <v>2429.15</v>
      </c>
      <c r="N36" s="74">
        <f>M36+'30'!N36</f>
        <v>45574.559999999998</v>
      </c>
      <c r="O36" s="74">
        <f>M36+'30'!O36</f>
        <v>80742.829999999987</v>
      </c>
      <c r="P36" s="74">
        <f>I36+J36+J42-M36-F57</f>
        <v>1816.7279999999787</v>
      </c>
      <c r="Q36" s="96">
        <f t="shared" si="6"/>
        <v>68.661971830985919</v>
      </c>
      <c r="R36" s="94"/>
    </row>
    <row r="37" spans="2:19" x14ac:dyDescent="0.25">
      <c r="B37" s="688"/>
      <c r="C37" s="691"/>
      <c r="D37" s="80" t="s">
        <v>267</v>
      </c>
      <c r="E37" s="97">
        <v>78</v>
      </c>
      <c r="F37" s="78">
        <f>Production2!AH33</f>
        <v>0</v>
      </c>
      <c r="G37" s="654">
        <f>F37+'30'!G37</f>
        <v>0</v>
      </c>
      <c r="H37" s="654">
        <f>F37+'30'!H37</f>
        <v>0</v>
      </c>
      <c r="I37" s="77">
        <f>Production2!BN33</f>
        <v>9.0000000000849845E-2</v>
      </c>
      <c r="J37" s="77">
        <f>Production2!AI33</f>
        <v>0</v>
      </c>
      <c r="K37" s="74">
        <f>J37+'30'!K37</f>
        <v>0</v>
      </c>
      <c r="L37" s="74">
        <f>J37+'30'!L37</f>
        <v>0</v>
      </c>
      <c r="M37" s="77">
        <f>Production2!BP33</f>
        <v>0</v>
      </c>
      <c r="N37" s="74">
        <f>M37+'30'!N37</f>
        <v>0</v>
      </c>
      <c r="O37" s="74">
        <f>M37+'30'!O37</f>
        <v>-0.15</v>
      </c>
      <c r="P37" s="74">
        <f>I37+J37+J43-M37-F58</f>
        <v>9.0000000000849845E-2</v>
      </c>
      <c r="Q37" s="96" t="e">
        <f t="shared" si="6"/>
        <v>#DIV/0!</v>
      </c>
      <c r="R37" s="94"/>
    </row>
    <row r="38" spans="2:19" x14ac:dyDescent="0.25">
      <c r="B38" s="688"/>
      <c r="C38" s="691"/>
      <c r="D38" s="194" t="s">
        <v>175</v>
      </c>
      <c r="E38" s="97">
        <v>65</v>
      </c>
      <c r="F38" s="84">
        <f>Production2!AK33</f>
        <v>0</v>
      </c>
      <c r="G38" s="654">
        <f>F38+'30'!G38</f>
        <v>5</v>
      </c>
      <c r="H38" s="654">
        <f>F38+'30'!H38</f>
        <v>5</v>
      </c>
      <c r="I38" s="195">
        <f>Production2!BR33</f>
        <v>187.70000000000005</v>
      </c>
      <c r="J38" s="195">
        <f>'Daily CEM-1'!F33</f>
        <v>0</v>
      </c>
      <c r="K38" s="74">
        <f>J38+'30'!K38</f>
        <v>300</v>
      </c>
      <c r="L38" s="74">
        <f>J38+'30'!L38</f>
        <v>300</v>
      </c>
      <c r="M38" s="77">
        <f>Production2!BT33</f>
        <v>60</v>
      </c>
      <c r="N38" s="74">
        <f>M38+'30'!N38</f>
        <v>1185.5</v>
      </c>
      <c r="O38" s="74">
        <f>M38+'30'!O38</f>
        <v>3032.5</v>
      </c>
      <c r="P38" s="74">
        <f>I38+J38+J44-M38-F60</f>
        <v>127.70000000000005</v>
      </c>
      <c r="Q38" s="96" t="e">
        <f t="shared" si="6"/>
        <v>#DIV/0!</v>
      </c>
      <c r="R38" s="94"/>
    </row>
    <row r="39" spans="2:19" x14ac:dyDescent="0.25">
      <c r="B39" s="688"/>
      <c r="C39" s="691"/>
      <c r="D39" s="80" t="s">
        <v>304</v>
      </c>
      <c r="E39" s="97"/>
      <c r="F39" s="84">
        <f>Production2!AN33</f>
        <v>5.6</v>
      </c>
      <c r="G39" s="654">
        <f>F39+'30'!G39</f>
        <v>85.52</v>
      </c>
      <c r="H39" s="654">
        <f>F39+'30'!H39</f>
        <v>126.17</v>
      </c>
      <c r="I39" s="195">
        <f>Production2!BV33</f>
        <v>599.4000000000002</v>
      </c>
      <c r="J39" s="641">
        <f>Production2!AO33</f>
        <v>400</v>
      </c>
      <c r="K39" s="74">
        <f>J39+'30'!K39</f>
        <v>5646</v>
      </c>
      <c r="L39" s="74">
        <f>J39+'30'!L39</f>
        <v>8178</v>
      </c>
      <c r="M39" s="77">
        <f>Production2!BX33</f>
        <v>32</v>
      </c>
      <c r="N39" s="74">
        <f>M39+'30'!N39</f>
        <v>8573.43</v>
      </c>
      <c r="O39" s="74">
        <f>M39+'30'!O39</f>
        <v>13995.310000000003</v>
      </c>
      <c r="P39" s="74">
        <f>I39+J39+J45-M39-F61</f>
        <v>1167.4000000000001</v>
      </c>
      <c r="Q39" s="96">
        <f t="shared" si="6"/>
        <v>71.428571428571431</v>
      </c>
      <c r="R39" s="94"/>
      <c r="S39" s="94"/>
    </row>
    <row r="40" spans="2:19" ht="15.75" thickBot="1" x14ac:dyDescent="0.3">
      <c r="B40" s="689"/>
      <c r="C40" s="692"/>
      <c r="D40" s="120" t="s">
        <v>150</v>
      </c>
      <c r="E40" s="121">
        <v>70</v>
      </c>
      <c r="F40" s="132">
        <f>F35+F36+F37+F38+F39</f>
        <v>24</v>
      </c>
      <c r="G40" s="132">
        <f>G35+G36+G37+G38+G39</f>
        <v>413.3599999999999</v>
      </c>
      <c r="H40" s="132">
        <f t="shared" ref="H40" si="8">H35+H36+H37+H38+H39</f>
        <v>669.34</v>
      </c>
      <c r="I40" s="122">
        <f>I35+I36+I37+I38+I39</f>
        <v>3096.3679999999799</v>
      </c>
      <c r="J40" s="122">
        <f>J35+J36+J37+J38+J39</f>
        <v>1675</v>
      </c>
      <c r="K40" s="122">
        <f>K35+K36+K37+K38+K39</f>
        <v>26907</v>
      </c>
      <c r="L40" s="122">
        <f t="shared" ref="L40" si="9">L35+L36+L37+L38+L39</f>
        <v>42442</v>
      </c>
      <c r="M40" s="122">
        <f>M35+M36+M37+M38+M39</f>
        <v>2551.15</v>
      </c>
      <c r="N40" s="647">
        <f t="shared" ref="N40:O40" si="10">N35+N36+N37+N38+N39</f>
        <v>57976.99</v>
      </c>
      <c r="O40" s="649">
        <f t="shared" si="10"/>
        <v>102808.48999999999</v>
      </c>
      <c r="P40" s="649">
        <f>P35+P36+P37+P38+P39</f>
        <v>3690.2179999999794</v>
      </c>
      <c r="Q40" s="132">
        <f>J40/F40</f>
        <v>69.791666666666671</v>
      </c>
      <c r="R40" s="94"/>
    </row>
    <row r="41" spans="2:19" ht="15" customHeight="1" x14ac:dyDescent="0.25">
      <c r="B41" s="880">
        <v>7</v>
      </c>
      <c r="C41" s="881" t="s">
        <v>268</v>
      </c>
      <c r="D41" s="80" t="s">
        <v>265</v>
      </c>
      <c r="E41" s="97">
        <v>75</v>
      </c>
      <c r="F41" s="78">
        <f>Production2!AT33</f>
        <v>0</v>
      </c>
      <c r="G41" s="75">
        <f>F41+'30'!G41</f>
        <v>12.329999999999998</v>
      </c>
      <c r="H41" s="75">
        <f>F41+'30'!H41</f>
        <v>45.43</v>
      </c>
      <c r="I41" s="710"/>
      <c r="J41" s="77">
        <f>Production2!AU33</f>
        <v>0</v>
      </c>
      <c r="K41" s="74">
        <f>J41+'30'!K41</f>
        <v>750</v>
      </c>
      <c r="L41" s="74">
        <f>J41+'30'!L41</f>
        <v>2750</v>
      </c>
      <c r="M41" s="713"/>
      <c r="N41" s="714"/>
      <c r="O41" s="714"/>
      <c r="P41" s="715"/>
      <c r="Q41" s="96" t="e">
        <f t="shared" si="6"/>
        <v>#DIV/0!</v>
      </c>
      <c r="R41" s="94"/>
    </row>
    <row r="42" spans="2:19" x14ac:dyDescent="0.25">
      <c r="B42" s="688"/>
      <c r="C42" s="691"/>
      <c r="D42" s="80" t="s">
        <v>266</v>
      </c>
      <c r="E42" s="97">
        <v>70</v>
      </c>
      <c r="F42" s="78">
        <f>Production2!AQ33</f>
        <v>21</v>
      </c>
      <c r="G42" s="654">
        <f>F42+'30'!G42</f>
        <v>434.41</v>
      </c>
      <c r="H42" s="654">
        <f>F42+'30'!H42</f>
        <v>850.40999999999974</v>
      </c>
      <c r="I42" s="711"/>
      <c r="J42" s="77">
        <f>Production2!AR33</f>
        <v>1270</v>
      </c>
      <c r="K42" s="74">
        <f>J42+'30'!K42</f>
        <v>25821</v>
      </c>
      <c r="L42" s="74">
        <f>J42+'30'!L42</f>
        <v>49961</v>
      </c>
      <c r="M42" s="716"/>
      <c r="N42" s="717"/>
      <c r="O42" s="717"/>
      <c r="P42" s="718"/>
      <c r="Q42" s="96">
        <f t="shared" si="6"/>
        <v>60.476190476190474</v>
      </c>
      <c r="R42" s="94"/>
    </row>
    <row r="43" spans="2:19" x14ac:dyDescent="0.25">
      <c r="B43" s="688"/>
      <c r="C43" s="691"/>
      <c r="D43" s="80" t="s">
        <v>267</v>
      </c>
      <c r="E43" s="97">
        <v>70</v>
      </c>
      <c r="F43" s="78">
        <f>Production2!AW33</f>
        <v>0</v>
      </c>
      <c r="G43" s="654">
        <f>F43+'30'!G43</f>
        <v>0</v>
      </c>
      <c r="H43" s="654">
        <f>F43+'30'!H43</f>
        <v>0</v>
      </c>
      <c r="I43" s="711"/>
      <c r="J43" s="77">
        <f>Production2!AX33</f>
        <v>0</v>
      </c>
      <c r="K43" s="74">
        <f>J43+'30'!K43</f>
        <v>0</v>
      </c>
      <c r="L43" s="74">
        <f>J43+'30'!L43</f>
        <v>0</v>
      </c>
      <c r="M43" s="716"/>
      <c r="N43" s="717"/>
      <c r="O43" s="717"/>
      <c r="P43" s="718"/>
      <c r="Q43" s="96" t="e">
        <f t="shared" si="6"/>
        <v>#DIV/0!</v>
      </c>
      <c r="R43" s="94"/>
    </row>
    <row r="44" spans="2:19" x14ac:dyDescent="0.25">
      <c r="B44" s="688"/>
      <c r="C44" s="691"/>
      <c r="D44" s="194" t="s">
        <v>175</v>
      </c>
      <c r="E44" s="97">
        <v>60</v>
      </c>
      <c r="F44" s="84">
        <f>Production2!AZ33</f>
        <v>0</v>
      </c>
      <c r="G44" s="654">
        <f>F44+'30'!G44</f>
        <v>15</v>
      </c>
      <c r="H44" s="654">
        <f>F44+'30'!H44</f>
        <v>47.88</v>
      </c>
      <c r="I44" s="712"/>
      <c r="J44" s="195">
        <f>Production2!BA33</f>
        <v>0</v>
      </c>
      <c r="K44" s="74">
        <f>J44+'30'!K44</f>
        <v>827</v>
      </c>
      <c r="L44" s="74">
        <f>J44+'30'!L44</f>
        <v>2647</v>
      </c>
      <c r="M44" s="719"/>
      <c r="N44" s="720"/>
      <c r="O44" s="720"/>
      <c r="P44" s="721"/>
      <c r="Q44" s="96" t="e">
        <f t="shared" si="6"/>
        <v>#DIV/0!</v>
      </c>
      <c r="R44" s="94"/>
    </row>
    <row r="45" spans="2:19" x14ac:dyDescent="0.25">
      <c r="B45" s="688"/>
      <c r="C45" s="691"/>
      <c r="D45" s="80" t="s">
        <v>304</v>
      </c>
      <c r="E45" s="97"/>
      <c r="F45" s="84">
        <f>Production2!BC33</f>
        <v>3</v>
      </c>
      <c r="G45" s="654">
        <f>F45+'30'!G45</f>
        <v>53.699999999999996</v>
      </c>
      <c r="H45" s="654">
        <f>F45+'30'!H45</f>
        <v>108.67</v>
      </c>
      <c r="I45" s="427"/>
      <c r="J45" s="195">
        <f>Production2!BD33</f>
        <v>200</v>
      </c>
      <c r="K45" s="74">
        <f>J45+'30'!K45</f>
        <v>3343</v>
      </c>
      <c r="L45" s="74">
        <f>J45+'30'!L45</f>
        <v>6615</v>
      </c>
      <c r="M45" s="428"/>
      <c r="N45" s="109"/>
      <c r="O45" s="109"/>
      <c r="P45" s="429"/>
      <c r="Q45" s="96">
        <f t="shared" si="6"/>
        <v>66.666666666666671</v>
      </c>
      <c r="R45" s="94"/>
      <c r="S45" s="94"/>
    </row>
    <row r="46" spans="2:19" ht="15.75" thickBot="1" x14ac:dyDescent="0.3">
      <c r="B46" s="689"/>
      <c r="C46" s="692"/>
      <c r="D46" s="120" t="s">
        <v>150</v>
      </c>
      <c r="E46" s="121">
        <v>70</v>
      </c>
      <c r="F46" s="132">
        <f>F41+F42+F43+F44+F45</f>
        <v>24</v>
      </c>
      <c r="G46" s="132">
        <f>G41+G42+G43+G44+G45</f>
        <v>515.44000000000005</v>
      </c>
      <c r="H46" s="132">
        <f t="shared" ref="H46" si="11">H41+H42+H43+H44+H45</f>
        <v>1052.3899999999996</v>
      </c>
      <c r="I46" s="122">
        <f t="shared" ref="I46" si="12">I41+I42+I43+I44</f>
        <v>0</v>
      </c>
      <c r="J46" s="122">
        <f>J41+J42+J43+J44+J45</f>
        <v>1470</v>
      </c>
      <c r="K46" s="122">
        <f t="shared" ref="K46:L46" si="13">K41+K42+K43+K44+K45</f>
        <v>30741</v>
      </c>
      <c r="L46" s="122">
        <f t="shared" si="13"/>
        <v>61973</v>
      </c>
      <c r="M46" s="873"/>
      <c r="N46" s="874"/>
      <c r="O46" s="874"/>
      <c r="P46" s="875"/>
      <c r="Q46" s="123">
        <f t="shared" si="6"/>
        <v>61.25</v>
      </c>
      <c r="R46" s="94"/>
    </row>
    <row r="47" spans="2:19" ht="15.75" thickBot="1" x14ac:dyDescent="0.3">
      <c r="B47" s="232"/>
      <c r="C47" s="948"/>
      <c r="D47" s="949"/>
      <c r="E47" s="949"/>
      <c r="F47" s="949"/>
      <c r="G47" s="949"/>
      <c r="H47" s="949"/>
      <c r="I47" s="949"/>
      <c r="J47" s="949"/>
      <c r="K47" s="949"/>
      <c r="L47" s="949"/>
      <c r="M47" s="949"/>
      <c r="N47" s="949"/>
      <c r="O47" s="949"/>
      <c r="P47" s="949"/>
      <c r="Q47" s="950"/>
      <c r="R47" s="94"/>
    </row>
    <row r="48" spans="2:19" s="70" customFormat="1" ht="15" customHeight="1" x14ac:dyDescent="0.25">
      <c r="B48" s="850" t="s">
        <v>269</v>
      </c>
      <c r="C48" s="851"/>
      <c r="D48" s="851"/>
      <c r="E48" s="851"/>
      <c r="F48" s="851"/>
      <c r="G48" s="851"/>
      <c r="H48" s="851"/>
      <c r="I48" s="851"/>
      <c r="J48" s="851"/>
      <c r="K48" s="851"/>
      <c r="L48" s="851"/>
      <c r="M48" s="851"/>
      <c r="N48" s="852"/>
      <c r="O48" s="850" t="s">
        <v>270</v>
      </c>
      <c r="P48" s="851"/>
      <c r="Q48" s="852"/>
      <c r="R48" s="98"/>
    </row>
    <row r="49" spans="2:18" s="70" customFormat="1" ht="15.6" customHeight="1" thickBot="1" x14ac:dyDescent="0.3">
      <c r="B49" s="187" t="s">
        <v>229</v>
      </c>
      <c r="C49" s="849" t="s">
        <v>230</v>
      </c>
      <c r="D49" s="849"/>
      <c r="E49" s="312" t="s">
        <v>141</v>
      </c>
      <c r="F49" s="313" t="s">
        <v>142</v>
      </c>
      <c r="G49" s="312" t="s">
        <v>143</v>
      </c>
      <c r="H49" s="312" t="s">
        <v>144</v>
      </c>
      <c r="I49" s="312" t="s">
        <v>145</v>
      </c>
      <c r="J49" s="312" t="s">
        <v>271</v>
      </c>
      <c r="K49" s="312" t="s">
        <v>147</v>
      </c>
      <c r="L49" s="312" t="s">
        <v>272</v>
      </c>
      <c r="M49" s="314" t="s">
        <v>273</v>
      </c>
      <c r="N49" s="312" t="s">
        <v>150</v>
      </c>
      <c r="O49" s="708" t="s">
        <v>230</v>
      </c>
      <c r="P49" s="708"/>
      <c r="Q49" s="148"/>
    </row>
    <row r="50" spans="2:18" ht="14.45" customHeight="1" x14ac:dyDescent="0.25">
      <c r="B50" s="91">
        <v>1</v>
      </c>
      <c r="C50" s="709" t="s">
        <v>274</v>
      </c>
      <c r="D50" s="709"/>
      <c r="E50" s="99">
        <f>E53/J30</f>
        <v>0.89072255878188611</v>
      </c>
      <c r="F50" s="99">
        <f>F53/(J31+J32)</f>
        <v>23.39955640050697</v>
      </c>
      <c r="G50" s="99">
        <v>0</v>
      </c>
      <c r="H50" s="99">
        <f>H53/J33</f>
        <v>46.010169491525424</v>
      </c>
      <c r="I50" s="99"/>
      <c r="J50" s="99"/>
      <c r="K50" s="99"/>
      <c r="L50" s="99"/>
      <c r="M50" s="100"/>
      <c r="N50" s="101">
        <v>1</v>
      </c>
      <c r="O50" s="727" t="s">
        <v>275</v>
      </c>
      <c r="P50" s="727"/>
      <c r="Q50" s="93">
        <f>(M33/J34)*100</f>
        <v>14.666666666666666</v>
      </c>
    </row>
    <row r="51" spans="2:18" ht="14.45" customHeight="1" x14ac:dyDescent="0.25">
      <c r="B51" s="79">
        <v>2</v>
      </c>
      <c r="C51" s="728" t="s">
        <v>276</v>
      </c>
      <c r="D51" s="728"/>
      <c r="E51" s="102">
        <f>E50*(I9/J34)</f>
        <v>1.5320428011048441</v>
      </c>
      <c r="F51" s="102">
        <f>F50*1.55</f>
        <v>36.269312420785802</v>
      </c>
      <c r="G51" s="102">
        <f>G50</f>
        <v>0</v>
      </c>
      <c r="H51" s="102">
        <f>H50</f>
        <v>46.010169491525424</v>
      </c>
      <c r="I51" s="102"/>
      <c r="J51" s="102"/>
      <c r="K51" s="102"/>
      <c r="L51" s="102"/>
      <c r="M51" s="96">
        <f>SUM(E51:H51)</f>
        <v>83.811524713416077</v>
      </c>
      <c r="N51" s="103">
        <v>2</v>
      </c>
      <c r="O51" s="728" t="s">
        <v>277</v>
      </c>
      <c r="P51" s="728"/>
      <c r="Q51" s="104">
        <v>5380</v>
      </c>
    </row>
    <row r="52" spans="2:18" ht="14.45" customHeight="1" x14ac:dyDescent="0.25">
      <c r="B52" s="79">
        <v>3</v>
      </c>
      <c r="C52" s="729" t="s">
        <v>278</v>
      </c>
      <c r="D52" s="729"/>
      <c r="E52" s="102">
        <f>E51*M18/100</f>
        <v>1.1526125506134297</v>
      </c>
      <c r="F52" s="102">
        <f>F51*M18/100</f>
        <v>27.28674725547463</v>
      </c>
      <c r="G52" s="102">
        <f>G51*M18/100</f>
        <v>0</v>
      </c>
      <c r="H52" s="102">
        <f>H51*M18/100</f>
        <v>34.61515485960247</v>
      </c>
      <c r="I52" s="102">
        <f>I53/(J40+J46)</f>
        <v>37.012718600953896</v>
      </c>
      <c r="J52" s="99">
        <f>J53/(J40+J46)</f>
        <v>0.75039745627980925</v>
      </c>
      <c r="K52" s="99">
        <f>K53/M40</f>
        <v>2.4208690198537912</v>
      </c>
      <c r="L52" s="99">
        <f>L53/(J40+J46)</f>
        <v>1.6817170111287758</v>
      </c>
      <c r="M52" s="96">
        <f>SUM(E52:L52)</f>
        <v>104.92021675390681</v>
      </c>
      <c r="N52" s="103">
        <v>3</v>
      </c>
      <c r="O52" s="728" t="s">
        <v>279</v>
      </c>
      <c r="P52" s="728"/>
      <c r="Q52" s="104">
        <f>Q51*Q50/100</f>
        <v>789.06666666666661</v>
      </c>
    </row>
    <row r="53" spans="2:18" ht="15" customHeight="1" thickBot="1" x14ac:dyDescent="0.3">
      <c r="B53" s="90" t="s">
        <v>241</v>
      </c>
      <c r="C53" s="723" t="s">
        <v>280</v>
      </c>
      <c r="D53" s="723"/>
      <c r="E53" s="118">
        <f>'Daily unit'!B33</f>
        <v>1535</v>
      </c>
      <c r="F53" s="118">
        <f>'Daily unit'!C33</f>
        <v>73849</v>
      </c>
      <c r="G53" s="118">
        <f>'Daily unit'!E33</f>
        <v>60126</v>
      </c>
      <c r="H53" s="118">
        <f>'Daily unit'!F33</f>
        <v>13573</v>
      </c>
      <c r="I53" s="118">
        <f>'Daily unit'!G33</f>
        <v>116405</v>
      </c>
      <c r="J53" s="118">
        <f>'Daily unit'!H33</f>
        <v>2360</v>
      </c>
      <c r="K53" s="118">
        <f>'Daily unit'!I33</f>
        <v>6176</v>
      </c>
      <c r="L53" s="118">
        <f>'Daily unit'!J33</f>
        <v>5289</v>
      </c>
      <c r="M53" s="119">
        <f>SUM(E53:L53)</f>
        <v>279313</v>
      </c>
      <c r="N53" s="105"/>
      <c r="O53" s="106"/>
      <c r="P53" s="107"/>
      <c r="Q53" s="108"/>
    </row>
    <row r="54" spans="2:18" ht="15" customHeight="1" thickBot="1" x14ac:dyDescent="0.3">
      <c r="B54" s="753"/>
      <c r="C54" s="754"/>
      <c r="D54" s="754"/>
      <c r="E54" s="754"/>
      <c r="F54" s="754"/>
      <c r="G54" s="754"/>
      <c r="H54" s="754"/>
      <c r="I54" s="754"/>
      <c r="J54" s="754"/>
      <c r="K54" s="754"/>
      <c r="L54" s="754"/>
      <c r="M54" s="754"/>
      <c r="N54" s="754"/>
      <c r="O54" s="754"/>
      <c r="P54" s="754"/>
      <c r="Q54" s="755"/>
    </row>
    <row r="55" spans="2:18" ht="14.45" customHeight="1" thickBot="1" x14ac:dyDescent="0.3">
      <c r="B55" s="705" t="s">
        <v>281</v>
      </c>
      <c r="C55" s="706"/>
      <c r="D55" s="706"/>
      <c r="E55" s="706"/>
      <c r="F55" s="706"/>
      <c r="G55" s="706"/>
      <c r="H55" s="706"/>
      <c r="I55" s="889" t="s">
        <v>299</v>
      </c>
      <c r="J55" s="889"/>
      <c r="K55" s="889"/>
      <c r="L55" s="889"/>
      <c r="M55" s="889"/>
      <c r="N55" s="889"/>
      <c r="O55" s="889"/>
      <c r="P55" s="889"/>
      <c r="Q55" s="890"/>
      <c r="R55" s="109"/>
    </row>
    <row r="56" spans="2:18" s="110" customFormat="1" ht="14.45" customHeight="1" x14ac:dyDescent="0.25">
      <c r="B56" s="149" t="s">
        <v>229</v>
      </c>
      <c r="C56" s="722" t="s">
        <v>283</v>
      </c>
      <c r="D56" s="722"/>
      <c r="E56" s="722"/>
      <c r="F56" s="150" t="s">
        <v>284</v>
      </c>
      <c r="G56" s="150" t="s">
        <v>26</v>
      </c>
      <c r="H56" s="183" t="s">
        <v>27</v>
      </c>
      <c r="I56" s="892"/>
      <c r="J56" s="892"/>
      <c r="K56" s="892"/>
      <c r="L56" s="892"/>
      <c r="M56" s="892"/>
      <c r="N56" s="892"/>
      <c r="O56" s="892"/>
      <c r="P56" s="892"/>
      <c r="Q56" s="893"/>
      <c r="R56" s="111"/>
    </row>
    <row r="57" spans="2:18" ht="14.45" customHeight="1" x14ac:dyDescent="0.25">
      <c r="B57" s="876">
        <v>1</v>
      </c>
      <c r="C57" s="701" t="s">
        <v>285</v>
      </c>
      <c r="D57" s="825"/>
      <c r="E57" s="644">
        <v>42.5</v>
      </c>
      <c r="F57" s="645">
        <f>'Internal use cement'!F33</f>
        <v>0</v>
      </c>
      <c r="G57" s="646">
        <f>F57+'30'!G57</f>
        <v>10</v>
      </c>
      <c r="H57" s="646">
        <f>F57+'30'!H57</f>
        <v>10</v>
      </c>
      <c r="I57" s="892"/>
      <c r="J57" s="892"/>
      <c r="K57" s="892"/>
      <c r="L57" s="892"/>
      <c r="M57" s="892"/>
      <c r="N57" s="892"/>
      <c r="O57" s="892"/>
      <c r="P57" s="892"/>
      <c r="Q57" s="893"/>
      <c r="R57" s="109"/>
    </row>
    <row r="58" spans="2:18" ht="14.45" customHeight="1" x14ac:dyDescent="0.25">
      <c r="B58" s="861"/>
      <c r="C58" s="896"/>
      <c r="D58" s="827"/>
      <c r="E58" s="644" t="s">
        <v>195</v>
      </c>
      <c r="F58" s="645">
        <f>'Internal use cement'!Q33</f>
        <v>0</v>
      </c>
      <c r="G58" s="646">
        <f>F58+'30'!G58</f>
        <v>2</v>
      </c>
      <c r="H58" s="646">
        <f>F58+'30'!H58</f>
        <v>2</v>
      </c>
      <c r="I58" s="892"/>
      <c r="J58" s="892"/>
      <c r="K58" s="892"/>
      <c r="L58" s="892"/>
      <c r="M58" s="892"/>
      <c r="N58" s="892"/>
      <c r="O58" s="892"/>
      <c r="P58" s="892"/>
      <c r="Q58" s="893"/>
      <c r="R58" s="109"/>
    </row>
    <row r="59" spans="2:18" ht="15" customHeight="1" x14ac:dyDescent="0.25">
      <c r="B59" s="861"/>
      <c r="C59" s="896"/>
      <c r="D59" s="827"/>
      <c r="E59" s="644">
        <v>32.5</v>
      </c>
      <c r="F59" s="645">
        <f>'Internal use cement'!Y33</f>
        <v>0</v>
      </c>
      <c r="G59" s="646">
        <f>F59+'30'!G59</f>
        <v>0</v>
      </c>
      <c r="H59" s="646">
        <f>F59+'30'!H59</f>
        <v>0</v>
      </c>
      <c r="I59" s="892"/>
      <c r="J59" s="892"/>
      <c r="K59" s="892"/>
      <c r="L59" s="892"/>
      <c r="M59" s="892"/>
      <c r="N59" s="892"/>
      <c r="O59" s="892"/>
      <c r="P59" s="892"/>
      <c r="Q59" s="893"/>
      <c r="R59" s="109"/>
    </row>
    <row r="60" spans="2:18" ht="15" customHeight="1" x14ac:dyDescent="0.25">
      <c r="B60" s="861"/>
      <c r="C60" s="896"/>
      <c r="D60" s="827"/>
      <c r="E60" s="644" t="s">
        <v>175</v>
      </c>
      <c r="F60" s="645">
        <f>'Internal use cement'!AJ33</f>
        <v>0</v>
      </c>
      <c r="G60" s="646">
        <f>F60+'30'!G60</f>
        <v>0.1</v>
      </c>
      <c r="H60" s="646">
        <f>F60+'30'!H60</f>
        <v>0.1</v>
      </c>
      <c r="I60" s="892"/>
      <c r="J60" s="892"/>
      <c r="K60" s="892"/>
      <c r="L60" s="892"/>
      <c r="M60" s="892"/>
      <c r="N60" s="892"/>
      <c r="O60" s="892"/>
      <c r="P60" s="892"/>
      <c r="Q60" s="893"/>
      <c r="R60" s="109"/>
    </row>
    <row r="61" spans="2:18" ht="15.75" thickBot="1" x14ac:dyDescent="0.3">
      <c r="B61" s="862"/>
      <c r="C61" s="703"/>
      <c r="D61" s="829"/>
      <c r="E61" s="651" t="s">
        <v>350</v>
      </c>
      <c r="F61" s="652">
        <f>'Internal use cement'!AO33</f>
        <v>0</v>
      </c>
      <c r="G61" s="646">
        <f>F61+'30'!G61</f>
        <v>4</v>
      </c>
      <c r="H61" s="646">
        <f>F61+'30'!H61</f>
        <v>4</v>
      </c>
      <c r="I61" s="894"/>
      <c r="J61" s="894"/>
      <c r="K61" s="894"/>
      <c r="L61" s="894"/>
      <c r="M61" s="894"/>
      <c r="N61" s="894"/>
      <c r="O61" s="894"/>
      <c r="P61" s="894"/>
      <c r="Q61" s="895"/>
      <c r="R61" s="115"/>
    </row>
    <row r="62" spans="2:18" x14ac:dyDescent="0.25">
      <c r="R62" s="116"/>
    </row>
    <row r="63" spans="2:18" x14ac:dyDescent="0.25">
      <c r="R63" s="94"/>
    </row>
    <row r="64" spans="2:18" x14ac:dyDescent="0.25">
      <c r="R64" s="94"/>
    </row>
    <row r="65" spans="2:18" x14ac:dyDescent="0.25">
      <c r="R65" s="94"/>
    </row>
    <row r="66" spans="2:18" x14ac:dyDescent="0.25">
      <c r="R66" s="109"/>
    </row>
    <row r="67" spans="2:18" x14ac:dyDescent="0.25">
      <c r="R67" s="94"/>
    </row>
    <row r="68" spans="2:18" x14ac:dyDescent="0.25">
      <c r="R68" s="117"/>
    </row>
    <row r="69" spans="2:18" x14ac:dyDescent="0.25">
      <c r="R69" s="117"/>
    </row>
    <row r="70" spans="2:18" x14ac:dyDescent="0.25">
      <c r="R70" s="117"/>
    </row>
    <row r="71" spans="2:18" x14ac:dyDescent="0.25"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</row>
    <row r="72" spans="2:18" x14ac:dyDescent="0.25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</row>
    <row r="73" spans="2:18" x14ac:dyDescent="0.25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</row>
    <row r="74" spans="2:18" x14ac:dyDescent="0.25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</row>
    <row r="75" spans="2:18" x14ac:dyDescent="0.25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</row>
    <row r="76" spans="2:18" x14ac:dyDescent="0.25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</row>
    <row r="77" spans="2:18" x14ac:dyDescent="0.25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</row>
    <row r="78" spans="2:18" x14ac:dyDescent="0.25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</row>
    <row r="79" spans="2:18" x14ac:dyDescent="0.25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</row>
    <row r="80" spans="2:18" x14ac:dyDescent="0.25"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</row>
    <row r="81" spans="2:18" x14ac:dyDescent="0.25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</row>
    <row r="82" spans="2:18" x14ac:dyDescent="0.25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</row>
    <row r="83" spans="2:18" x14ac:dyDescent="0.25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</row>
    <row r="84" spans="2:18" x14ac:dyDescent="0.25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</row>
    <row r="85" spans="2:18" x14ac:dyDescent="0.25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</row>
    <row r="86" spans="2:18" x14ac:dyDescent="0.25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</row>
    <row r="87" spans="2:18" x14ac:dyDescent="0.25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</row>
    <row r="88" spans="2:18" x14ac:dyDescent="0.25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</row>
    <row r="89" spans="2:18" x14ac:dyDescent="0.25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</row>
    <row r="90" spans="2:18" x14ac:dyDescent="0.25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</row>
    <row r="91" spans="2:18" x14ac:dyDescent="0.25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</row>
    <row r="92" spans="2:18" x14ac:dyDescent="0.25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</row>
    <row r="93" spans="2:18" x14ac:dyDescent="0.25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</row>
    <row r="94" spans="2:18" x14ac:dyDescent="0.25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</row>
    <row r="95" spans="2:18" x14ac:dyDescent="0.25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</row>
    <row r="96" spans="2:18" x14ac:dyDescent="0.25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</row>
    <row r="97" spans="2:18" x14ac:dyDescent="0.25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</row>
    <row r="98" spans="2:18" x14ac:dyDescent="0.25"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</row>
    <row r="99" spans="2:18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</row>
    <row r="100" spans="2:18" x14ac:dyDescent="0.25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</row>
    <row r="101" spans="2:18" x14ac:dyDescent="0.25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</row>
    <row r="102" spans="2:18" x14ac:dyDescent="0.25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</row>
    <row r="103" spans="2:18" x14ac:dyDescent="0.25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</row>
    <row r="104" spans="2:18" x14ac:dyDescent="0.25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</row>
    <row r="105" spans="2:18" x14ac:dyDescent="0.25"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</row>
    <row r="106" spans="2:18" x14ac:dyDescent="0.25"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</row>
    <row r="107" spans="2:18" x14ac:dyDescent="0.25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</row>
    <row r="108" spans="2:18" x14ac:dyDescent="0.25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</row>
    <row r="109" spans="2:18" x14ac:dyDescent="0.25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</row>
    <row r="110" spans="2:18" x14ac:dyDescent="0.25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</row>
    <row r="111" spans="2:18" x14ac:dyDescent="0.25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</row>
    <row r="112" spans="2:18" x14ac:dyDescent="0.25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</row>
    <row r="113" spans="2:18" x14ac:dyDescent="0.25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</row>
    <row r="114" spans="2:18" x14ac:dyDescent="0.25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</row>
    <row r="115" spans="2:18" x14ac:dyDescent="0.25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</row>
    <row r="116" spans="2:18" x14ac:dyDescent="0.25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</row>
    <row r="117" spans="2:18" x14ac:dyDescent="0.25"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</row>
    <row r="118" spans="2:18" x14ac:dyDescent="0.25"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</row>
    <row r="119" spans="2:18" x14ac:dyDescent="0.25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</row>
    <row r="120" spans="2:18" x14ac:dyDescent="0.25"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</row>
    <row r="121" spans="2:18" x14ac:dyDescent="0.25"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</row>
    <row r="122" spans="2:18" x14ac:dyDescent="0.25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</row>
    <row r="123" spans="2:18" x14ac:dyDescent="0.25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</row>
    <row r="124" spans="2:18" x14ac:dyDescent="0.25"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</row>
    <row r="125" spans="2:18" x14ac:dyDescent="0.25"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</row>
    <row r="126" spans="2:18" x14ac:dyDescent="0.25"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</row>
    <row r="127" spans="2:18" x14ac:dyDescent="0.25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</row>
    <row r="128" spans="2:18" x14ac:dyDescent="0.25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</row>
    <row r="129" spans="2:18" x14ac:dyDescent="0.25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</row>
    <row r="130" spans="2:18" x14ac:dyDescent="0.25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</row>
    <row r="131" spans="2:18" x14ac:dyDescent="0.25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</row>
    <row r="132" spans="2:18" x14ac:dyDescent="0.25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</row>
    <row r="133" spans="2:18" x14ac:dyDescent="0.25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</row>
    <row r="134" spans="2:18" x14ac:dyDescent="0.25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</row>
    <row r="135" spans="2:18" x14ac:dyDescent="0.25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</row>
    <row r="136" spans="2:18" x14ac:dyDescent="0.25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</row>
    <row r="137" spans="2:18" x14ac:dyDescent="0.25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</row>
    <row r="138" spans="2:18" x14ac:dyDescent="0.25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</row>
    <row r="139" spans="2:18" x14ac:dyDescent="0.25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</row>
    <row r="140" spans="2:18" x14ac:dyDescent="0.25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</row>
    <row r="141" spans="2:18" x14ac:dyDescent="0.25"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</row>
    <row r="142" spans="2:18" x14ac:dyDescent="0.25"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</row>
    <row r="143" spans="2:18" x14ac:dyDescent="0.25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</row>
    <row r="144" spans="2:18" x14ac:dyDescent="0.25"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</row>
    <row r="145" spans="2:18" x14ac:dyDescent="0.25"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</row>
    <row r="146" spans="2:18" x14ac:dyDescent="0.25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</row>
    <row r="147" spans="2:18" x14ac:dyDescent="0.25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</row>
    <row r="148" spans="2:18" x14ac:dyDescent="0.25"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</row>
    <row r="149" spans="2:18" x14ac:dyDescent="0.25"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</row>
    <row r="150" spans="2:18" x14ac:dyDescent="0.25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</row>
    <row r="151" spans="2:18" x14ac:dyDescent="0.25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</row>
    <row r="152" spans="2:18" x14ac:dyDescent="0.25"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</row>
    <row r="153" spans="2:18" x14ac:dyDescent="0.25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</row>
    <row r="154" spans="2:18" x14ac:dyDescent="0.25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</row>
    <row r="155" spans="2:18" x14ac:dyDescent="0.25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</row>
  </sheetData>
  <mergeCells count="85">
    <mergeCell ref="B48:N48"/>
    <mergeCell ref="O48:Q48"/>
    <mergeCell ref="C32:D32"/>
    <mergeCell ref="I31:I32"/>
    <mergeCell ref="M31:M32"/>
    <mergeCell ref="N31:N32"/>
    <mergeCell ref="O31:O32"/>
    <mergeCell ref="B35:B40"/>
    <mergeCell ref="P31:P32"/>
    <mergeCell ref="B41:B46"/>
    <mergeCell ref="C41:C46"/>
    <mergeCell ref="I41:I44"/>
    <mergeCell ref="M41:P44"/>
    <mergeCell ref="M46:P46"/>
    <mergeCell ref="B26:Q26"/>
    <mergeCell ref="B27:Q27"/>
    <mergeCell ref="B28:B29"/>
    <mergeCell ref="C28:D29"/>
    <mergeCell ref="F28:H28"/>
    <mergeCell ref="I28:I29"/>
    <mergeCell ref="J28:L28"/>
    <mergeCell ref="M28:O28"/>
    <mergeCell ref="B2:Q2"/>
    <mergeCell ref="B55:H55"/>
    <mergeCell ref="C30:D30"/>
    <mergeCell ref="C31:D31"/>
    <mergeCell ref="C33:D33"/>
    <mergeCell ref="C34:D34"/>
    <mergeCell ref="C47:Q47"/>
    <mergeCell ref="C35:C40"/>
    <mergeCell ref="P28:P29"/>
    <mergeCell ref="Q28:Q29"/>
    <mergeCell ref="C17:Q17"/>
    <mergeCell ref="B18:B20"/>
    <mergeCell ref="C18:C20"/>
    <mergeCell ref="N18:N20"/>
    <mergeCell ref="O18:O25"/>
    <mergeCell ref="P18:Q20"/>
    <mergeCell ref="C56:E56"/>
    <mergeCell ref="B54:Q54"/>
    <mergeCell ref="C49:D49"/>
    <mergeCell ref="O49:P49"/>
    <mergeCell ref="C50:D50"/>
    <mergeCell ref="O50:P50"/>
    <mergeCell ref="C51:D51"/>
    <mergeCell ref="O51:P51"/>
    <mergeCell ref="C52:D52"/>
    <mergeCell ref="O52:P52"/>
    <mergeCell ref="C53:D53"/>
    <mergeCell ref="I55:Q61"/>
    <mergeCell ref="C57:D61"/>
    <mergeCell ref="B57:B61"/>
    <mergeCell ref="Q21:Q22"/>
    <mergeCell ref="C22:D22"/>
    <mergeCell ref="B23:B24"/>
    <mergeCell ref="C23:C24"/>
    <mergeCell ref="M23:N24"/>
    <mergeCell ref="P23:Q25"/>
    <mergeCell ref="C25:D25"/>
    <mergeCell ref="M25:N25"/>
    <mergeCell ref="C21:D21"/>
    <mergeCell ref="B3:Q3"/>
    <mergeCell ref="B4:O4"/>
    <mergeCell ref="B6:B7"/>
    <mergeCell ref="C6:C7"/>
    <mergeCell ref="D6:D7"/>
    <mergeCell ref="E6:E7"/>
    <mergeCell ref="F6:H6"/>
    <mergeCell ref="I6:K6"/>
    <mergeCell ref="L6:L7"/>
    <mergeCell ref="M6:M7"/>
    <mergeCell ref="N6:N7"/>
    <mergeCell ref="O6:O7"/>
    <mergeCell ref="P6:P7"/>
    <mergeCell ref="Q6:Q7"/>
    <mergeCell ref="B14:B16"/>
    <mergeCell ref="C14:C16"/>
    <mergeCell ref="P13:Q13"/>
    <mergeCell ref="C9:D9"/>
    <mergeCell ref="C8:Q8"/>
    <mergeCell ref="C11:D11"/>
    <mergeCell ref="C12:D12"/>
    <mergeCell ref="C13:D13"/>
    <mergeCell ref="O9:O16"/>
    <mergeCell ref="C10:D10"/>
  </mergeCells>
  <pageMargins left="0" right="0" top="0.75" bottom="0.75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7</vt:i4>
      </vt:variant>
    </vt:vector>
  </HeadingPairs>
  <TitlesOfParts>
    <vt:vector size="49" baseType="lpstr">
      <vt:lpstr>Mines (2)</vt:lpstr>
      <vt:lpstr>Clinker</vt:lpstr>
      <vt:lpstr>RAW MILL 2</vt:lpstr>
      <vt:lpstr>Cement</vt:lpstr>
      <vt:lpstr>Production2</vt:lpstr>
      <vt:lpstr>CPP</vt:lpstr>
      <vt:lpstr>Daily unit</vt:lpstr>
      <vt:lpstr>Daily CEM-1</vt:lpstr>
      <vt:lpstr>Daily  CEM - 2</vt:lpstr>
      <vt:lpstr>Internal use cement</vt:lpstr>
      <vt:lpstr>Raw mill moisture content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Cement!Print_Area</vt:lpstr>
      <vt:lpstr>Clinker!Print_Area</vt:lpstr>
      <vt:lpstr>'Daily  CEM - 2'!Print_Area</vt:lpstr>
      <vt:lpstr>'Daily CEM-1'!Print_Area</vt:lpstr>
      <vt:lpstr>'Daily unit'!Print_Area</vt:lpstr>
      <vt:lpstr>'Mines (2)'!Print_Area</vt:lpstr>
      <vt:lpstr>Production2!Print_Area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2026-07-01T12:35:43Z</dcterms:modified>
  <cp:category/>
  <cp:contentStatus/>
</cp:coreProperties>
</file>