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an\Github\Behavior-Trees-in-Action\behavior trees dataset\raw-model-data\py_trees_ros\"/>
    </mc:Choice>
  </mc:AlternateContent>
  <xr:revisionPtr revIDLastSave="0" documentId="13_ncr:1_{FCAD6773-E114-4620-B57D-A956AE585AB4}" xr6:coauthVersionLast="47" xr6:coauthVersionMax="47" xr10:uidLastSave="{00000000-0000-0000-0000-000000000000}"/>
  <bookViews>
    <workbookView xWindow="38820" yWindow="-3885" windowWidth="16995" windowHeight="15045" xr2:uid="{00000000-000D-0000-FFFF-FFFF00000000}"/>
  </bookViews>
  <sheets>
    <sheet name="PyTreesRos_model_analysis" sheetId="1" r:id="rId1"/>
    <sheet name="aggregated_data" sheetId="2" r:id="rId2"/>
  </sheets>
  <definedNames>
    <definedName name="_xlnm._FilterDatabase" localSheetId="0" hidden="1">PyTreesRos_model_analysis!$A$1:$AF$24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2" l="1"/>
  <c r="G10" i="2"/>
  <c r="E10" i="2"/>
  <c r="D10" i="2"/>
  <c r="C10" i="2"/>
  <c r="B10" i="2"/>
  <c r="P9" i="2"/>
  <c r="G9" i="2"/>
  <c r="E9" i="2"/>
  <c r="D9" i="2"/>
  <c r="C9" i="2"/>
  <c r="B9" i="2"/>
  <c r="P8" i="2"/>
  <c r="G8" i="2"/>
  <c r="E8" i="2"/>
  <c r="D8" i="2"/>
  <c r="C8" i="2"/>
  <c r="B8" i="2"/>
  <c r="P7" i="2"/>
  <c r="G7" i="2"/>
  <c r="E7" i="2"/>
  <c r="D7" i="2"/>
  <c r="C7" i="2"/>
  <c r="B7" i="2"/>
  <c r="P6" i="2"/>
  <c r="G6" i="2"/>
  <c r="E6" i="2"/>
  <c r="D6" i="2"/>
  <c r="C6" i="2"/>
  <c r="B6" i="2"/>
  <c r="P5" i="2"/>
  <c r="G5" i="2"/>
  <c r="E5" i="2"/>
  <c r="D5" i="2"/>
  <c r="C5" i="2"/>
  <c r="B5" i="2"/>
  <c r="P4" i="2"/>
  <c r="G4" i="2"/>
  <c r="F4" i="2"/>
  <c r="E4" i="2"/>
  <c r="D4" i="2"/>
  <c r="C4" i="2"/>
  <c r="B4" i="2"/>
  <c r="P3" i="2"/>
  <c r="G3" i="2"/>
  <c r="F3" i="2"/>
  <c r="E3" i="2"/>
  <c r="D3" i="2"/>
  <c r="C3" i="2"/>
  <c r="B3" i="2"/>
  <c r="P2" i="2"/>
  <c r="G2" i="2"/>
  <c r="F2" i="2"/>
  <c r="E2" i="2"/>
  <c r="D2" i="2"/>
  <c r="C2" i="2"/>
  <c r="B2" i="2"/>
  <c r="AE6" i="1"/>
  <c r="AE7" i="1"/>
  <c r="AE8" i="1"/>
  <c r="AE9" i="1"/>
  <c r="AE10" i="1"/>
  <c r="AE11" i="1"/>
  <c r="AE12" i="1"/>
  <c r="AE13" i="1"/>
  <c r="AE14" i="1"/>
  <c r="AE15" i="1"/>
  <c r="AE18" i="1"/>
  <c r="AE21" i="1"/>
  <c r="K7" i="1"/>
  <c r="K8" i="1"/>
  <c r="K9" i="1"/>
  <c r="K10" i="1"/>
  <c r="K11" i="1"/>
  <c r="K12" i="1"/>
  <c r="K13" i="1"/>
  <c r="K14" i="1"/>
  <c r="K15" i="1"/>
  <c r="K16" i="1"/>
  <c r="AE16" i="1" s="1"/>
  <c r="K17" i="1"/>
  <c r="AE17" i="1" s="1"/>
  <c r="K18" i="1"/>
  <c r="K19" i="1"/>
  <c r="AE19" i="1" s="1"/>
  <c r="K20" i="1"/>
  <c r="AE20" i="1" s="1"/>
  <c r="K21" i="1"/>
  <c r="K2" i="1"/>
  <c r="K3" i="1"/>
  <c r="K4" i="1"/>
  <c r="K5" i="1"/>
  <c r="K6" i="1"/>
  <c r="AE5" i="1"/>
  <c r="AE4" i="1"/>
  <c r="AE3" i="1"/>
  <c r="AE2" i="1"/>
  <c r="F10" i="2" l="1"/>
  <c r="K10" i="2" s="1"/>
  <c r="F9" i="2"/>
  <c r="J9" i="2" s="1"/>
  <c r="F8" i="2"/>
  <c r="L8" i="2" s="1"/>
  <c r="F7" i="2"/>
  <c r="L7" i="2" s="1"/>
  <c r="F6" i="2"/>
  <c r="L6" i="2" s="1"/>
  <c r="F5" i="2"/>
  <c r="J5" i="2" s="1"/>
  <c r="N4" i="2"/>
  <c r="N2" i="2"/>
  <c r="M4" i="2"/>
  <c r="L3" i="2"/>
  <c r="L4" i="2"/>
  <c r="L9" i="2"/>
  <c r="L2" i="2"/>
  <c r="K3" i="2"/>
  <c r="K4" i="2"/>
  <c r="K2" i="2"/>
  <c r="J3" i="2"/>
  <c r="J4" i="2"/>
  <c r="J2" i="2"/>
  <c r="I3" i="2"/>
  <c r="I4" i="2"/>
  <c r="I6" i="2"/>
  <c r="I9" i="2"/>
  <c r="I2" i="2"/>
  <c r="H3" i="2"/>
  <c r="N3" i="2" s="1"/>
  <c r="H4" i="2"/>
  <c r="H6" i="2"/>
  <c r="M6" i="2" s="1"/>
  <c r="H9" i="2"/>
  <c r="N9" i="2" s="1"/>
  <c r="H2" i="2"/>
  <c r="M2" i="2" s="1"/>
  <c r="R6" i="2"/>
  <c r="R3" i="2"/>
  <c r="R4" i="2"/>
  <c r="R2" i="2"/>
  <c r="G12" i="2"/>
  <c r="E12" i="2"/>
  <c r="D12" i="2"/>
  <c r="C12" i="2"/>
  <c r="B12" i="2"/>
  <c r="J10" i="2" l="1"/>
  <c r="H10" i="2"/>
  <c r="N10" i="2" s="1"/>
  <c r="L10" i="2"/>
  <c r="R10" i="2"/>
  <c r="I10" i="2"/>
  <c r="K9" i="2"/>
  <c r="R9" i="2"/>
  <c r="M9" i="2"/>
  <c r="J8" i="2"/>
  <c r="I8" i="2"/>
  <c r="H8" i="2"/>
  <c r="N8" i="2" s="1"/>
  <c r="K8" i="2"/>
  <c r="R8" i="2"/>
  <c r="J7" i="2"/>
  <c r="K7" i="2"/>
  <c r="R7" i="2"/>
  <c r="I7" i="2"/>
  <c r="H7" i="2"/>
  <c r="N7" i="2" s="1"/>
  <c r="J6" i="2"/>
  <c r="K6" i="2"/>
  <c r="F12" i="2"/>
  <c r="J12" i="2" s="1"/>
  <c r="H5" i="2"/>
  <c r="N5" i="2" s="1"/>
  <c r="R5" i="2"/>
  <c r="K5" i="2"/>
  <c r="L5" i="2"/>
  <c r="I5" i="2"/>
  <c r="N6" i="2"/>
  <c r="M8" i="2"/>
  <c r="M3" i="2"/>
  <c r="M10" i="2" l="1"/>
  <c r="M7" i="2"/>
  <c r="M5" i="2"/>
  <c r="I12" i="2"/>
  <c r="L12" i="2"/>
  <c r="K12" i="2"/>
  <c r="H12" i="2"/>
  <c r="M12" i="2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I23" i="1"/>
  <c r="J23" i="1"/>
  <c r="K23" i="1"/>
  <c r="L23" i="1"/>
  <c r="H23" i="1"/>
  <c r="G23" i="1"/>
  <c r="F23" i="1"/>
  <c r="E23" i="1"/>
  <c r="N12" i="2" l="1"/>
  <c r="V23" i="1"/>
  <c r="AF21" i="1"/>
  <c r="AF20" i="1"/>
  <c r="AF19" i="1"/>
  <c r="AF18" i="1"/>
  <c r="AF17" i="1"/>
  <c r="AF16" i="1"/>
  <c r="AF15" i="1"/>
  <c r="AF14" i="1"/>
  <c r="AF13" i="1"/>
  <c r="AF12" i="1"/>
  <c r="AF10" i="1"/>
  <c r="AF11" i="1"/>
  <c r="AF9" i="1"/>
  <c r="AF8" i="1"/>
  <c r="AF7" i="1"/>
  <c r="AF6" i="1"/>
  <c r="AF5" i="1"/>
  <c r="AF4" i="1"/>
  <c r="AF3" i="1"/>
  <c r="AF2" i="1"/>
  <c r="F24" i="1"/>
  <c r="G24" i="1"/>
  <c r="H24" i="1"/>
  <c r="I24" i="1"/>
  <c r="J24" i="1"/>
  <c r="E24" i="1"/>
  <c r="K24" i="1"/>
  <c r="L24" i="1"/>
</calcChain>
</file>

<file path=xl/sharedStrings.xml><?xml version="1.0" encoding="utf-8"?>
<sst xmlns="http://schemas.openxmlformats.org/spreadsheetml/2006/main" count="142" uniqueCount="103">
  <si>
    <t>File</t>
  </si>
  <si>
    <t>RepoProjectName</t>
  </si>
  <si>
    <t>count_Sequence</t>
  </si>
  <si>
    <t>count_RSequence</t>
  </si>
  <si>
    <t>count_Selector</t>
  </si>
  <si>
    <t xml:space="preserve"> count_Chooser</t>
  </si>
  <si>
    <t xml:space="preserve"> count_Parallel</t>
  </si>
  <si>
    <t>count_decorator</t>
  </si>
  <si>
    <t>Total_composite_nodes</t>
  </si>
  <si>
    <t>count_Sequence_ratio</t>
  </si>
  <si>
    <t>count_RSequence_ratio</t>
  </si>
  <si>
    <t>count_Selector_ratio</t>
  </si>
  <si>
    <t xml:space="preserve"> count_Chooser_ratio</t>
  </si>
  <si>
    <t xml:space="preserve"> count_Parallel_ratio</t>
  </si>
  <si>
    <t>count_decorator_ratio</t>
  </si>
  <si>
    <t>num_actions_condition</t>
  </si>
  <si>
    <t>num_blackboard_actions</t>
  </si>
  <si>
    <t>function</t>
  </si>
  <si>
    <t>Total_leaf</t>
  </si>
  <si>
    <t>Total_nodes</t>
  </si>
  <si>
    <t>Tree_depth</t>
  </si>
  <si>
    <t>leaf_ratio</t>
  </si>
  <si>
    <t>braineniac_robotics-player_trees.py</t>
  </si>
  <si>
    <t>braineniac_robotics-player</t>
  </si>
  <si>
    <t>robotics-player model_1</t>
  </si>
  <si>
    <t>jotix16_Robotics-Behaviour-Planning_bt_students.py</t>
  </si>
  <si>
    <t>jotix16_Robotics-Behaviour-Planning</t>
  </si>
  <si>
    <t>Robotics-Behaviour-Planning model_1</t>
  </si>
  <si>
    <t>jotix16_Robotics-Behaviour-Planning_bt_students_probe.py</t>
  </si>
  <si>
    <t>Robotics-Behaviour-Planning model_2</t>
  </si>
  <si>
    <t>jotix16_Robotics-Behaviour-Planning_sm_students copy.py</t>
  </si>
  <si>
    <t>Robotics-Behaviour-Planning model_3</t>
  </si>
  <si>
    <t>KKalem_sam_march_sam_tree_march.py</t>
  </si>
  <si>
    <t>KKalem_sam_march</t>
  </si>
  <si>
    <t>sam_march model_1</t>
  </si>
  <si>
    <t>peterheim1_gizmo_five.py</t>
  </si>
  <si>
    <t>peterheim1_gizmo</t>
  </si>
  <si>
    <t>gizmo model_1</t>
  </si>
  <si>
    <t>peterheim1_gizmo_five_2.py</t>
  </si>
  <si>
    <t>gizmo model_2</t>
  </si>
  <si>
    <t>peterheim1_gizmo_five_3.py</t>
  </si>
  <si>
    <t>gizmo model_3</t>
  </si>
  <si>
    <t>peterheim1_gizmo_five_4.py</t>
  </si>
  <si>
    <t>gizmo model_4</t>
  </si>
  <si>
    <t>peterheim1_gizmo_five_a.py</t>
  </si>
  <si>
    <t>gizmo model_5</t>
  </si>
  <si>
    <t>peterheim1_gizmo_showtime.py</t>
  </si>
  <si>
    <t>gizmo model_6</t>
  </si>
  <si>
    <t>peterheim1_gizmo_two.py</t>
  </si>
  <si>
    <t>gizmo model_7</t>
  </si>
  <si>
    <t>peterheim1_gizmo_voice_test.py</t>
  </si>
  <si>
    <t>gizmo model_8</t>
  </si>
  <si>
    <t>refills-project_refills_second_review_brain.py</t>
  </si>
  <si>
    <t>efills-project_refills_second_review</t>
  </si>
  <si>
    <t>refills_second_review model_1</t>
  </si>
  <si>
    <t>samiamlabs_dyno_drone_parcel_delivery.py</t>
  </si>
  <si>
    <t>samiamlabs_dyno</t>
  </si>
  <si>
    <t>dyno model_1</t>
  </si>
  <si>
    <t>samiamlabs_dyno_route_scheduler.py</t>
  </si>
  <si>
    <t>dyno model_2</t>
  </si>
  <si>
    <t>simutisernestas_mobile_robot_project_bt_students.py</t>
  </si>
  <si>
    <t>simutisernestas_mobile_robot_project</t>
  </si>
  <si>
    <t>mobile_robot_project model_1</t>
  </si>
  <si>
    <t>smarc-project_smarc_missions_behaviour_tree.py</t>
  </si>
  <si>
    <t>smarc-project_smarc_missions</t>
  </si>
  <si>
    <t>smarc_missions model_1</t>
  </si>
  <si>
    <t>smarc-project_smarc_missions_sam_tree_march.py</t>
  </si>
  <si>
    <t>smarc_missions model_2</t>
  </si>
  <si>
    <t>Taospirit_roborts_project_decision_node.py</t>
  </si>
  <si>
    <t>Taospirit_roborts_project</t>
  </si>
  <si>
    <t>roborts_project model_1</t>
  </si>
  <si>
    <t>Sum</t>
  </si>
  <si>
    <t>ratio</t>
  </si>
  <si>
    <t>BT.size</t>
  </si>
  <si>
    <t>ABF</t>
  </si>
  <si>
    <t>count_Sequence_pct</t>
  </si>
  <si>
    <t>count_RSequence_pct</t>
  </si>
  <si>
    <t>count_Selector_pct</t>
  </si>
  <si>
    <t xml:space="preserve"> count_Chooser_pct</t>
  </si>
  <si>
    <t xml:space="preserve"> count_Parallel_pct</t>
  </si>
  <si>
    <t>count_decorator_pct</t>
  </si>
  <si>
    <t>model_name_used_in_paper</t>
  </si>
  <si>
    <t>Verify</t>
  </si>
  <si>
    <t>man</t>
  </si>
  <si>
    <t>total_sequence</t>
  </si>
  <si>
    <t>total_selector</t>
  </si>
  <si>
    <t>total_decorator</t>
  </si>
  <si>
    <t>total_parallel</t>
  </si>
  <si>
    <t>Total_composite</t>
  </si>
  <si>
    <t>total_leaf</t>
  </si>
  <si>
    <t>sum_BT_size</t>
  </si>
  <si>
    <t>Sequence_pct</t>
  </si>
  <si>
    <t>Selector_pct</t>
  </si>
  <si>
    <t>Decorator_pct</t>
  </si>
  <si>
    <t>Parallel_pct</t>
  </si>
  <si>
    <t>composite_pct</t>
  </si>
  <si>
    <t>Leaf_pct</t>
  </si>
  <si>
    <t>num_model</t>
  </si>
  <si>
    <t>avg_tree_depth</t>
  </si>
  <si>
    <t>avg_ABF</t>
  </si>
  <si>
    <t>avg_BT.size</t>
  </si>
  <si>
    <t>Total</t>
  </si>
  <si>
    <t>refills-project_refills_second_review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</si>
</sst>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9" fontId="0" fillId="0" borderId="0" xfId="1" applyFont="1"/>
    <xf numFmtId="0" fontId="16" fillId="0" borderId="0" xfId="0" applyFont="1"/>
    <xf numFmtId="0" fontId="0" fillId="33" borderId="0" xfId="0" applyFill="1"/>
    <xf numFmtId="9" fontId="0" fillId="33" borderId="0" xfId="0" applyNumberFormat="1" applyFill="1"/>
    <xf numFmtId="1" fontId="0" fillId="0" borderId="0" xfId="0" applyNumberFormat="1"/>
    <xf numFmtId="164" fontId="0" fillId="0" borderId="0" xfId="0" applyNumberFormat="1"/>
    <xf numFmtId="0" fontId="0" fillId="34" borderId="0" xfId="0" applyFill="1"/>
    <xf numFmtId="9" fontId="0" fillId="34" borderId="0" xfId="1" applyFont="1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9" sqref="A29"/>
    </sheetView>
  </sheetViews>
  <sheetFormatPr defaultRowHeight="14.4" x14ac:dyDescent="0.3"/>
  <cols>
    <col min="1" max="1" width="69.44140625" customWidth="1"/>
    <col min="2" max="2" width="33" bestFit="1" customWidth="1"/>
    <col min="3" max="4" width="30.33203125" customWidth="1"/>
    <col min="5" max="5" width="15.88671875" bestFit="1" customWidth="1"/>
    <col min="6" max="6" width="17" bestFit="1" customWidth="1"/>
    <col min="7" max="7" width="14.44140625" bestFit="1" customWidth="1"/>
    <col min="8" max="8" width="14.88671875" bestFit="1" customWidth="1"/>
    <col min="9" max="9" width="14.33203125" bestFit="1" customWidth="1"/>
    <col min="10" max="10" width="15.6640625" bestFit="1" customWidth="1"/>
    <col min="11" max="11" width="32" customWidth="1"/>
    <col min="12" max="12" width="22.33203125" customWidth="1"/>
    <col min="13" max="13" width="21.109375" hidden="1" customWidth="1"/>
    <col min="14" max="18" width="0" hidden="1" customWidth="1"/>
    <col min="19" max="19" width="16.33203125" hidden="1" customWidth="1"/>
    <col min="20" max="20" width="9.109375" hidden="1" customWidth="1"/>
    <col min="21" max="21" width="0" hidden="1" customWidth="1"/>
    <col min="22" max="22" width="11.88671875" bestFit="1" customWidth="1"/>
    <col min="23" max="23" width="13.6640625" hidden="1" customWidth="1"/>
    <col min="24" max="29" width="0" hidden="1" customWidth="1"/>
    <col min="30" max="30" width="11.33203125" customWidth="1"/>
  </cols>
  <sheetData>
    <row r="1" spans="1:32" s="3" customFormat="1" x14ac:dyDescent="0.3">
      <c r="A1" s="3" t="s">
        <v>0</v>
      </c>
      <c r="B1" s="3" t="s">
        <v>1</v>
      </c>
      <c r="C1" s="3" t="s">
        <v>81</v>
      </c>
      <c r="D1" s="3" t="s">
        <v>82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19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21</v>
      </c>
      <c r="AD1" s="3" t="s">
        <v>20</v>
      </c>
      <c r="AE1" s="3" t="s">
        <v>73</v>
      </c>
      <c r="AF1" s="3" t="s">
        <v>74</v>
      </c>
    </row>
    <row r="2" spans="1:32" x14ac:dyDescent="0.3">
      <c r="A2" s="10" t="s">
        <v>22</v>
      </c>
      <c r="B2" t="s">
        <v>23</v>
      </c>
      <c r="C2" t="s">
        <v>24</v>
      </c>
      <c r="D2" t="s">
        <v>83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f t="shared" ref="K2:K21" si="0">SUM(E2:J2)</f>
        <v>4</v>
      </c>
      <c r="L2">
        <v>8</v>
      </c>
      <c r="M2" s="1">
        <v>0.67</v>
      </c>
      <c r="N2" s="1">
        <v>0</v>
      </c>
      <c r="O2" s="1">
        <v>0.17</v>
      </c>
      <c r="P2" s="1">
        <v>0.17</v>
      </c>
      <c r="Q2" s="1">
        <v>0</v>
      </c>
      <c r="R2" s="1">
        <v>0</v>
      </c>
      <c r="S2">
        <v>3</v>
      </c>
      <c r="T2">
        <v>7</v>
      </c>
      <c r="U2">
        <v>2</v>
      </c>
      <c r="V2">
        <f>SUM(K2:L2)</f>
        <v>12</v>
      </c>
      <c r="W2" s="1">
        <v>0.22</v>
      </c>
      <c r="X2" s="1">
        <v>0</v>
      </c>
      <c r="Y2" s="1">
        <v>0.06</v>
      </c>
      <c r="Z2" s="1">
        <v>0.06</v>
      </c>
      <c r="AA2" s="1">
        <v>0</v>
      </c>
      <c r="AB2" s="1">
        <v>0</v>
      </c>
      <c r="AC2" s="1">
        <v>0.67</v>
      </c>
      <c r="AD2">
        <v>4</v>
      </c>
      <c r="AE2">
        <f>SUM(K2:L2)</f>
        <v>12</v>
      </c>
      <c r="AF2">
        <f>AVERAGE( 4,3,2,3,3,2)</f>
        <v>2.8333333333333335</v>
      </c>
    </row>
    <row r="3" spans="1:32" x14ac:dyDescent="0.3">
      <c r="A3" s="10" t="s">
        <v>25</v>
      </c>
      <c r="B3" t="s">
        <v>26</v>
      </c>
      <c r="C3" t="s">
        <v>27</v>
      </c>
      <c r="D3" t="s">
        <v>83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f t="shared" si="0"/>
        <v>2</v>
      </c>
      <c r="L3">
        <v>13</v>
      </c>
      <c r="M3" s="1">
        <v>0</v>
      </c>
      <c r="N3" s="1">
        <v>0.5</v>
      </c>
      <c r="O3" s="1">
        <v>0.5</v>
      </c>
      <c r="P3" s="1">
        <v>0</v>
      </c>
      <c r="Q3" s="1">
        <v>0</v>
      </c>
      <c r="R3" s="1">
        <v>0</v>
      </c>
      <c r="S3">
        <v>0</v>
      </c>
      <c r="T3">
        <v>0</v>
      </c>
      <c r="U3">
        <v>13</v>
      </c>
      <c r="V3">
        <f t="shared" ref="V3:V21" si="1">SUM(K3:L3)</f>
        <v>15</v>
      </c>
      <c r="W3" s="1">
        <v>0</v>
      </c>
      <c r="X3" s="1">
        <v>7.0000000000000007E-2</v>
      </c>
      <c r="Y3" s="1">
        <v>7.0000000000000007E-2</v>
      </c>
      <c r="Z3" s="1">
        <v>0</v>
      </c>
      <c r="AA3" s="1">
        <v>0</v>
      </c>
      <c r="AB3" s="1">
        <v>0</v>
      </c>
      <c r="AC3" s="1">
        <v>0.87</v>
      </c>
      <c r="AD3">
        <v>3</v>
      </c>
      <c r="AE3">
        <f>SUM(K3:L3)</f>
        <v>15</v>
      </c>
      <c r="AF3">
        <f>AVERAGE(12,2)</f>
        <v>7</v>
      </c>
    </row>
    <row r="4" spans="1:32" x14ac:dyDescent="0.3">
      <c r="A4" s="10" t="s">
        <v>28</v>
      </c>
      <c r="B4" t="s">
        <v>26</v>
      </c>
      <c r="C4" t="s">
        <v>29</v>
      </c>
      <c r="D4" t="s">
        <v>83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f t="shared" si="0"/>
        <v>2</v>
      </c>
      <c r="L4">
        <v>6</v>
      </c>
      <c r="M4" s="1">
        <v>0</v>
      </c>
      <c r="N4" s="1">
        <v>0.5</v>
      </c>
      <c r="O4" s="1">
        <v>0.5</v>
      </c>
      <c r="P4" s="1">
        <v>0</v>
      </c>
      <c r="Q4" s="1">
        <v>0</v>
      </c>
      <c r="R4" s="1">
        <v>0</v>
      </c>
      <c r="S4">
        <v>0</v>
      </c>
      <c r="T4">
        <v>0</v>
      </c>
      <c r="U4">
        <v>6</v>
      </c>
      <c r="V4">
        <f t="shared" si="1"/>
        <v>8</v>
      </c>
      <c r="W4" s="1">
        <v>0</v>
      </c>
      <c r="X4" s="1">
        <v>0.13</v>
      </c>
      <c r="Y4" s="1">
        <v>0.13</v>
      </c>
      <c r="Z4" s="1">
        <v>0</v>
      </c>
      <c r="AA4" s="1">
        <v>0</v>
      </c>
      <c r="AB4" s="1">
        <v>0</v>
      </c>
      <c r="AC4" s="1">
        <v>0.75</v>
      </c>
      <c r="AD4">
        <v>3</v>
      </c>
      <c r="AE4">
        <f>SUM(K4:L4)</f>
        <v>8</v>
      </c>
      <c r="AF4">
        <f>AVERAGE(5,2)</f>
        <v>3.5</v>
      </c>
    </row>
    <row r="5" spans="1:32" x14ac:dyDescent="0.3">
      <c r="A5" s="10" t="s">
        <v>30</v>
      </c>
      <c r="B5" t="s">
        <v>26</v>
      </c>
      <c r="C5" t="s">
        <v>31</v>
      </c>
      <c r="D5" t="s">
        <v>83</v>
      </c>
      <c r="E5">
        <v>1</v>
      </c>
      <c r="F5">
        <v>0</v>
      </c>
      <c r="G5">
        <v>3</v>
      </c>
      <c r="H5">
        <v>0</v>
      </c>
      <c r="I5">
        <v>0</v>
      </c>
      <c r="J5">
        <v>0</v>
      </c>
      <c r="K5">
        <f t="shared" si="0"/>
        <v>4</v>
      </c>
      <c r="L5">
        <v>8</v>
      </c>
      <c r="M5" s="1">
        <v>0.25</v>
      </c>
      <c r="N5" s="1">
        <v>0</v>
      </c>
      <c r="O5" s="1">
        <v>0.75</v>
      </c>
      <c r="P5" s="1">
        <v>0</v>
      </c>
      <c r="Q5" s="1">
        <v>0</v>
      </c>
      <c r="R5" s="1">
        <v>0</v>
      </c>
      <c r="S5">
        <v>0</v>
      </c>
      <c r="T5">
        <v>0</v>
      </c>
      <c r="U5">
        <v>8</v>
      </c>
      <c r="V5">
        <f t="shared" si="1"/>
        <v>12</v>
      </c>
      <c r="W5" s="1">
        <v>0.08</v>
      </c>
      <c r="X5" s="1">
        <v>0</v>
      </c>
      <c r="Y5" s="1">
        <v>0.25</v>
      </c>
      <c r="Z5" s="1">
        <v>0</v>
      </c>
      <c r="AA5" s="1">
        <v>0</v>
      </c>
      <c r="AB5" s="1">
        <v>0</v>
      </c>
      <c r="AC5" s="1">
        <v>0.67</v>
      </c>
      <c r="AD5">
        <v>3</v>
      </c>
      <c r="AE5">
        <f>SUM(K5:L5)</f>
        <v>12</v>
      </c>
      <c r="AF5">
        <f>AVERAGE(5,2,2,2)</f>
        <v>2.75</v>
      </c>
    </row>
    <row r="6" spans="1:32" x14ac:dyDescent="0.3">
      <c r="A6" s="10" t="s">
        <v>32</v>
      </c>
      <c r="B6" t="s">
        <v>33</v>
      </c>
      <c r="C6" t="s">
        <v>34</v>
      </c>
      <c r="D6" t="s">
        <v>83</v>
      </c>
      <c r="E6">
        <v>4</v>
      </c>
      <c r="F6">
        <v>7</v>
      </c>
      <c r="G6">
        <v>5</v>
      </c>
      <c r="H6">
        <v>0</v>
      </c>
      <c r="I6">
        <v>4</v>
      </c>
      <c r="J6">
        <v>0</v>
      </c>
      <c r="K6">
        <f>SUM(E6:J6)</f>
        <v>20</v>
      </c>
      <c r="L6">
        <v>33</v>
      </c>
      <c r="M6" s="1">
        <v>0.16</v>
      </c>
      <c r="N6" s="1">
        <v>0.37</v>
      </c>
      <c r="O6" s="1">
        <v>0.26</v>
      </c>
      <c r="P6" s="1">
        <v>0</v>
      </c>
      <c r="Q6" s="1">
        <v>0.21</v>
      </c>
      <c r="R6" s="1">
        <v>0</v>
      </c>
      <c r="S6">
        <v>3</v>
      </c>
      <c r="T6">
        <v>23</v>
      </c>
      <c r="U6">
        <v>4</v>
      </c>
      <c r="V6">
        <f t="shared" si="1"/>
        <v>53</v>
      </c>
      <c r="W6" s="1">
        <v>0.06</v>
      </c>
      <c r="X6" s="1">
        <v>0.14000000000000001</v>
      </c>
      <c r="Y6" s="1">
        <v>0.1</v>
      </c>
      <c r="Z6" s="1">
        <v>0</v>
      </c>
      <c r="AA6" s="1">
        <v>0.08</v>
      </c>
      <c r="AB6" s="1">
        <v>0</v>
      </c>
      <c r="AC6" s="1">
        <v>0.61</v>
      </c>
      <c r="AD6">
        <v>9</v>
      </c>
      <c r="AE6">
        <f t="shared" ref="AE6:AE21" si="2">SUM(K6:L6)</f>
        <v>53</v>
      </c>
      <c r="AF6">
        <f>AVERAGE(2,3,3,3,2,2,2,3,4,1,5,2,2,2,1,5,2,2,2)</f>
        <v>2.5263157894736841</v>
      </c>
    </row>
    <row r="7" spans="1:32" x14ac:dyDescent="0.3">
      <c r="A7" s="10" t="s">
        <v>35</v>
      </c>
      <c r="B7" t="s">
        <v>36</v>
      </c>
      <c r="C7" t="s">
        <v>37</v>
      </c>
      <c r="D7" t="s">
        <v>83</v>
      </c>
      <c r="E7">
        <v>4</v>
      </c>
      <c r="F7">
        <v>0</v>
      </c>
      <c r="G7">
        <v>1</v>
      </c>
      <c r="H7">
        <v>0</v>
      </c>
      <c r="I7">
        <v>1</v>
      </c>
      <c r="J7">
        <v>1</v>
      </c>
      <c r="K7">
        <f t="shared" si="0"/>
        <v>7</v>
      </c>
      <c r="L7">
        <v>11</v>
      </c>
      <c r="M7" s="1">
        <v>0.56999999999999995</v>
      </c>
      <c r="N7" s="1">
        <v>0</v>
      </c>
      <c r="O7" s="1">
        <v>0.14000000000000001</v>
      </c>
      <c r="P7" s="1">
        <v>0</v>
      </c>
      <c r="Q7" s="1">
        <v>0.14000000000000001</v>
      </c>
      <c r="R7" s="1">
        <v>0.14000000000000001</v>
      </c>
      <c r="S7">
        <v>3</v>
      </c>
      <c r="T7">
        <v>6</v>
      </c>
      <c r="U7">
        <v>2</v>
      </c>
      <c r="V7">
        <f t="shared" si="1"/>
        <v>18</v>
      </c>
      <c r="W7" s="1">
        <v>0.22</v>
      </c>
      <c r="X7" s="1">
        <v>0</v>
      </c>
      <c r="Y7" s="1">
        <v>0.06</v>
      </c>
      <c r="Z7" s="1">
        <v>0</v>
      </c>
      <c r="AA7" s="1">
        <v>0.06</v>
      </c>
      <c r="AB7" s="1">
        <v>0.06</v>
      </c>
      <c r="AC7" s="1">
        <v>0.61</v>
      </c>
      <c r="AD7">
        <v>5</v>
      </c>
      <c r="AE7">
        <f t="shared" si="2"/>
        <v>18</v>
      </c>
      <c r="AF7">
        <f>AVERAGE(2,3,4,2,2,2,2)</f>
        <v>2.4285714285714284</v>
      </c>
    </row>
    <row r="8" spans="1:32" x14ac:dyDescent="0.3">
      <c r="A8" s="10" t="s">
        <v>38</v>
      </c>
      <c r="B8" t="s">
        <v>36</v>
      </c>
      <c r="C8" t="s">
        <v>39</v>
      </c>
      <c r="D8" t="s">
        <v>83</v>
      </c>
      <c r="E8">
        <v>5</v>
      </c>
      <c r="F8">
        <v>0</v>
      </c>
      <c r="G8">
        <v>1</v>
      </c>
      <c r="H8">
        <v>0</v>
      </c>
      <c r="I8">
        <v>1</v>
      </c>
      <c r="J8">
        <v>0</v>
      </c>
      <c r="K8">
        <f t="shared" si="0"/>
        <v>7</v>
      </c>
      <c r="L8">
        <v>11</v>
      </c>
      <c r="M8" s="1">
        <v>0.71</v>
      </c>
      <c r="N8" s="1">
        <v>0</v>
      </c>
      <c r="O8" s="1">
        <v>0.14000000000000001</v>
      </c>
      <c r="P8" s="1">
        <v>0</v>
      </c>
      <c r="Q8" s="1">
        <v>0.14000000000000001</v>
      </c>
      <c r="R8" s="1">
        <v>0</v>
      </c>
      <c r="S8">
        <v>3</v>
      </c>
      <c r="T8">
        <v>7</v>
      </c>
      <c r="U8">
        <v>2</v>
      </c>
      <c r="V8">
        <f t="shared" si="1"/>
        <v>18</v>
      </c>
      <c r="W8" s="1">
        <v>0.26</v>
      </c>
      <c r="X8" s="1">
        <v>0</v>
      </c>
      <c r="Y8" s="1">
        <v>0.05</v>
      </c>
      <c r="Z8" s="1">
        <v>0</v>
      </c>
      <c r="AA8" s="1">
        <v>0.05</v>
      </c>
      <c r="AB8" s="1">
        <v>0</v>
      </c>
      <c r="AC8" s="1">
        <v>0.63</v>
      </c>
      <c r="AD8">
        <v>5</v>
      </c>
      <c r="AE8">
        <f t="shared" si="2"/>
        <v>18</v>
      </c>
      <c r="AF8">
        <f>AVERAGE(2,3,4,2,3,2,2)</f>
        <v>2.5714285714285716</v>
      </c>
    </row>
    <row r="9" spans="1:32" x14ac:dyDescent="0.3">
      <c r="A9" s="10" t="s">
        <v>40</v>
      </c>
      <c r="B9" t="s">
        <v>36</v>
      </c>
      <c r="C9" t="s">
        <v>41</v>
      </c>
      <c r="D9" t="s">
        <v>83</v>
      </c>
      <c r="E9">
        <v>5</v>
      </c>
      <c r="F9">
        <v>0</v>
      </c>
      <c r="G9">
        <v>1</v>
      </c>
      <c r="H9">
        <v>0</v>
      </c>
      <c r="I9">
        <v>1</v>
      </c>
      <c r="J9">
        <v>0</v>
      </c>
      <c r="K9">
        <f t="shared" si="0"/>
        <v>7</v>
      </c>
      <c r="L9">
        <v>14</v>
      </c>
      <c r="M9" s="1">
        <v>0.71</v>
      </c>
      <c r="N9" s="1">
        <v>0</v>
      </c>
      <c r="O9" s="1">
        <v>0.14000000000000001</v>
      </c>
      <c r="P9" s="1">
        <v>0</v>
      </c>
      <c r="Q9" s="1">
        <v>0.14000000000000001</v>
      </c>
      <c r="R9" s="1">
        <v>0</v>
      </c>
      <c r="S9">
        <v>3</v>
      </c>
      <c r="T9">
        <v>8</v>
      </c>
      <c r="U9">
        <v>3</v>
      </c>
      <c r="V9">
        <f t="shared" si="1"/>
        <v>21</v>
      </c>
      <c r="W9" s="1">
        <v>0.24</v>
      </c>
      <c r="X9" s="1">
        <v>0</v>
      </c>
      <c r="Y9" s="1">
        <v>0.05</v>
      </c>
      <c r="Z9" s="1">
        <v>0</v>
      </c>
      <c r="AA9" s="1">
        <v>0.05</v>
      </c>
      <c r="AB9" s="1">
        <v>0</v>
      </c>
      <c r="AC9" s="1">
        <v>0.67</v>
      </c>
      <c r="AD9">
        <v>5</v>
      </c>
      <c r="AE9">
        <f t="shared" si="2"/>
        <v>21</v>
      </c>
      <c r="AF9">
        <f>AVERAGE(2,4,3,4,3,3,2,2)</f>
        <v>2.875</v>
      </c>
    </row>
    <row r="10" spans="1:32" x14ac:dyDescent="0.3">
      <c r="A10" s="10" t="s">
        <v>42</v>
      </c>
      <c r="B10" t="s">
        <v>36</v>
      </c>
      <c r="C10" t="s">
        <v>43</v>
      </c>
      <c r="D10" t="s">
        <v>83</v>
      </c>
      <c r="E10">
        <v>5</v>
      </c>
      <c r="F10">
        <v>0</v>
      </c>
      <c r="G10">
        <v>1</v>
      </c>
      <c r="H10">
        <v>0</v>
      </c>
      <c r="I10">
        <v>1</v>
      </c>
      <c r="J10">
        <v>0</v>
      </c>
      <c r="K10">
        <f t="shared" si="0"/>
        <v>7</v>
      </c>
      <c r="L10">
        <v>14</v>
      </c>
      <c r="M10" s="1">
        <v>0.71</v>
      </c>
      <c r="N10" s="1">
        <v>0</v>
      </c>
      <c r="O10" s="1">
        <v>0.14000000000000001</v>
      </c>
      <c r="P10" s="1">
        <v>0</v>
      </c>
      <c r="Q10" s="1">
        <v>0.14000000000000001</v>
      </c>
      <c r="R10" s="1">
        <v>0</v>
      </c>
      <c r="S10">
        <v>4</v>
      </c>
      <c r="T10">
        <v>8</v>
      </c>
      <c r="U10">
        <v>2</v>
      </c>
      <c r="V10">
        <f t="shared" si="1"/>
        <v>21</v>
      </c>
      <c r="W10" s="1">
        <v>0.24</v>
      </c>
      <c r="X10" s="1">
        <v>0</v>
      </c>
      <c r="Y10" s="1">
        <v>0.05</v>
      </c>
      <c r="Z10" s="1">
        <v>0</v>
      </c>
      <c r="AA10" s="1">
        <v>0.05</v>
      </c>
      <c r="AB10" s="1">
        <v>0</v>
      </c>
      <c r="AC10" s="1">
        <v>0.67</v>
      </c>
      <c r="AD10">
        <v>5</v>
      </c>
      <c r="AE10">
        <f t="shared" si="2"/>
        <v>21</v>
      </c>
      <c r="AF10">
        <f>AVERAGE(2,3,4,3,3,2,2)</f>
        <v>2.7142857142857144</v>
      </c>
    </row>
    <row r="11" spans="1:32" x14ac:dyDescent="0.3">
      <c r="A11" s="10" t="s">
        <v>44</v>
      </c>
      <c r="B11" t="s">
        <v>36</v>
      </c>
      <c r="C11" t="s">
        <v>45</v>
      </c>
      <c r="D11" t="s">
        <v>83</v>
      </c>
      <c r="E11">
        <v>2</v>
      </c>
      <c r="F11">
        <v>0</v>
      </c>
      <c r="G11">
        <v>2</v>
      </c>
      <c r="H11">
        <v>0</v>
      </c>
      <c r="I11">
        <v>3</v>
      </c>
      <c r="J11">
        <v>2</v>
      </c>
      <c r="K11">
        <f t="shared" si="0"/>
        <v>9</v>
      </c>
      <c r="L11">
        <v>12</v>
      </c>
      <c r="M11" s="1">
        <v>0.22</v>
      </c>
      <c r="N11" s="1">
        <v>0</v>
      </c>
      <c r="O11" s="1">
        <v>0.22</v>
      </c>
      <c r="P11" s="1">
        <v>0</v>
      </c>
      <c r="Q11" s="1">
        <v>0.33</v>
      </c>
      <c r="R11" s="1">
        <v>0.22</v>
      </c>
      <c r="S11">
        <v>1</v>
      </c>
      <c r="T11">
        <v>5</v>
      </c>
      <c r="U11">
        <v>5</v>
      </c>
      <c r="V11">
        <f t="shared" si="1"/>
        <v>21</v>
      </c>
      <c r="W11" s="1">
        <v>0.1</v>
      </c>
      <c r="X11" s="1">
        <v>0</v>
      </c>
      <c r="Y11" s="1">
        <v>0.1</v>
      </c>
      <c r="Z11" s="1">
        <v>0</v>
      </c>
      <c r="AA11" s="1">
        <v>0.15</v>
      </c>
      <c r="AB11" s="1">
        <v>0.1</v>
      </c>
      <c r="AC11" s="1">
        <v>0.55000000000000004</v>
      </c>
      <c r="AD11">
        <v>6</v>
      </c>
      <c r="AE11">
        <f t="shared" si="2"/>
        <v>21</v>
      </c>
      <c r="AF11">
        <f>AVERAGE(2,3,3,2,3,2,2,2)</f>
        <v>2.375</v>
      </c>
    </row>
    <row r="12" spans="1:32" x14ac:dyDescent="0.3">
      <c r="A12" s="10" t="s">
        <v>46</v>
      </c>
      <c r="B12" t="s">
        <v>36</v>
      </c>
      <c r="C12" t="s">
        <v>47</v>
      </c>
      <c r="D12" t="s">
        <v>83</v>
      </c>
      <c r="E12">
        <v>5</v>
      </c>
      <c r="F12">
        <v>0</v>
      </c>
      <c r="G12">
        <v>1</v>
      </c>
      <c r="H12">
        <v>0</v>
      </c>
      <c r="I12">
        <v>1</v>
      </c>
      <c r="J12">
        <v>0</v>
      </c>
      <c r="K12">
        <f t="shared" si="0"/>
        <v>7</v>
      </c>
      <c r="L12">
        <v>15</v>
      </c>
      <c r="M12" s="1">
        <v>0.71</v>
      </c>
      <c r="N12" s="1">
        <v>0</v>
      </c>
      <c r="O12" s="1">
        <v>0.14000000000000001</v>
      </c>
      <c r="P12" s="1">
        <v>0</v>
      </c>
      <c r="Q12" s="1">
        <v>0.14000000000000001</v>
      </c>
      <c r="R12" s="1">
        <v>0</v>
      </c>
      <c r="S12">
        <v>12</v>
      </c>
      <c r="T12">
        <v>2</v>
      </c>
      <c r="U12">
        <v>1</v>
      </c>
      <c r="V12">
        <f t="shared" si="1"/>
        <v>22</v>
      </c>
      <c r="W12" s="1">
        <v>0.23</v>
      </c>
      <c r="X12" s="1">
        <v>0</v>
      </c>
      <c r="Y12" s="1">
        <v>0.05</v>
      </c>
      <c r="Z12" s="1">
        <v>0</v>
      </c>
      <c r="AA12" s="1">
        <v>0.05</v>
      </c>
      <c r="AB12" s="1">
        <v>0</v>
      </c>
      <c r="AC12" s="1">
        <v>0.68</v>
      </c>
      <c r="AD12">
        <v>5</v>
      </c>
      <c r="AE12">
        <f t="shared" si="2"/>
        <v>22</v>
      </c>
      <c r="AF12">
        <f>AVERAGE(2,1,2,4,2,4,6)</f>
        <v>3</v>
      </c>
    </row>
    <row r="13" spans="1:32" x14ac:dyDescent="0.3">
      <c r="A13" s="10" t="s">
        <v>48</v>
      </c>
      <c r="B13" t="s">
        <v>36</v>
      </c>
      <c r="C13" t="s">
        <v>49</v>
      </c>
      <c r="D13" t="s">
        <v>83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f t="shared" si="0"/>
        <v>4</v>
      </c>
      <c r="L13">
        <v>4</v>
      </c>
      <c r="M13" s="1">
        <v>0.5</v>
      </c>
      <c r="N13" s="1">
        <v>0</v>
      </c>
      <c r="O13" s="1">
        <v>0.25</v>
      </c>
      <c r="P13" s="1">
        <v>0</v>
      </c>
      <c r="Q13" s="1">
        <v>0.25</v>
      </c>
      <c r="R13" s="1">
        <v>0</v>
      </c>
      <c r="S13">
        <v>0</v>
      </c>
      <c r="T13">
        <v>2</v>
      </c>
      <c r="U13">
        <v>2</v>
      </c>
      <c r="V13">
        <f t="shared" si="1"/>
        <v>8</v>
      </c>
      <c r="W13" s="1">
        <v>0.25</v>
      </c>
      <c r="X13" s="1">
        <v>0</v>
      </c>
      <c r="Y13" s="1">
        <v>0.13</v>
      </c>
      <c r="Z13" s="1">
        <v>0</v>
      </c>
      <c r="AA13" s="1">
        <v>0.13</v>
      </c>
      <c r="AB13" s="1">
        <v>0</v>
      </c>
      <c r="AC13" s="1">
        <v>0.5</v>
      </c>
      <c r="AD13">
        <v>4</v>
      </c>
      <c r="AE13">
        <f t="shared" si="2"/>
        <v>8</v>
      </c>
      <c r="AF13">
        <f>AVERAGE(2,1,2,2)</f>
        <v>1.75</v>
      </c>
    </row>
    <row r="14" spans="1:32" x14ac:dyDescent="0.3">
      <c r="A14" s="10" t="s">
        <v>50</v>
      </c>
      <c r="B14" t="s">
        <v>36</v>
      </c>
      <c r="C14" t="s">
        <v>51</v>
      </c>
      <c r="D14" t="s">
        <v>83</v>
      </c>
      <c r="E14">
        <v>2</v>
      </c>
      <c r="F14">
        <v>0</v>
      </c>
      <c r="G14">
        <v>1</v>
      </c>
      <c r="H14">
        <v>0</v>
      </c>
      <c r="I14">
        <v>1</v>
      </c>
      <c r="J14">
        <v>0</v>
      </c>
      <c r="K14">
        <f t="shared" si="0"/>
        <v>4</v>
      </c>
      <c r="L14">
        <v>4</v>
      </c>
      <c r="M14" s="1">
        <v>0.5</v>
      </c>
      <c r="N14" s="1">
        <v>0</v>
      </c>
      <c r="O14" s="1">
        <v>0.25</v>
      </c>
      <c r="P14" s="1">
        <v>0</v>
      </c>
      <c r="Q14" s="1">
        <v>0.25</v>
      </c>
      <c r="R14" s="1">
        <v>0</v>
      </c>
      <c r="S14">
        <v>1</v>
      </c>
      <c r="T14">
        <v>2</v>
      </c>
      <c r="U14">
        <v>1</v>
      </c>
      <c r="V14">
        <f t="shared" si="1"/>
        <v>8</v>
      </c>
      <c r="W14" s="1">
        <v>0.25</v>
      </c>
      <c r="X14" s="1">
        <v>0</v>
      </c>
      <c r="Y14" s="1">
        <v>0.13</v>
      </c>
      <c r="Z14" s="1">
        <v>0</v>
      </c>
      <c r="AA14" s="1">
        <v>0.13</v>
      </c>
      <c r="AB14" s="1">
        <v>0</v>
      </c>
      <c r="AC14" s="1">
        <v>0.5</v>
      </c>
      <c r="AD14">
        <v>4</v>
      </c>
      <c r="AE14">
        <f t="shared" si="2"/>
        <v>8</v>
      </c>
      <c r="AF14">
        <f>AVERAGE(2,1,2,2)</f>
        <v>1.75</v>
      </c>
    </row>
    <row r="15" spans="1:32" x14ac:dyDescent="0.3">
      <c r="A15" s="10" t="s">
        <v>52</v>
      </c>
      <c r="B15" t="s">
        <v>53</v>
      </c>
      <c r="C15" t="s">
        <v>54</v>
      </c>
      <c r="D15" t="s">
        <v>83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f t="shared" si="0"/>
        <v>3</v>
      </c>
      <c r="L15">
        <v>5</v>
      </c>
      <c r="M15" s="1">
        <v>0.67</v>
      </c>
      <c r="N15" s="1">
        <v>0</v>
      </c>
      <c r="O15" s="1">
        <v>0</v>
      </c>
      <c r="P15" s="1">
        <v>0</v>
      </c>
      <c r="Q15" s="1">
        <v>0</v>
      </c>
      <c r="R15" s="1">
        <v>0.33</v>
      </c>
      <c r="S15">
        <v>0</v>
      </c>
      <c r="T15">
        <v>0</v>
      </c>
      <c r="U15">
        <v>5</v>
      </c>
      <c r="V15">
        <f t="shared" si="1"/>
        <v>8</v>
      </c>
      <c r="W15" s="1">
        <v>0.25</v>
      </c>
      <c r="X15" s="1">
        <v>0</v>
      </c>
      <c r="Y15" s="1">
        <v>0</v>
      </c>
      <c r="Z15" s="1">
        <v>0</v>
      </c>
      <c r="AA15" s="1">
        <v>0</v>
      </c>
      <c r="AB15" s="1">
        <v>0.13</v>
      </c>
      <c r="AC15" s="1">
        <v>0.63</v>
      </c>
      <c r="AD15">
        <v>4</v>
      </c>
      <c r="AE15">
        <f t="shared" si="2"/>
        <v>8</v>
      </c>
      <c r="AF15">
        <f>AVERAGE(1,5,1)</f>
        <v>2.3333333333333335</v>
      </c>
    </row>
    <row r="16" spans="1:32" x14ac:dyDescent="0.3">
      <c r="A16" s="10" t="s">
        <v>55</v>
      </c>
      <c r="B16" t="s">
        <v>56</v>
      </c>
      <c r="C16" t="s">
        <v>57</v>
      </c>
      <c r="D16" t="s">
        <v>83</v>
      </c>
      <c r="E16">
        <v>5</v>
      </c>
      <c r="F16">
        <v>0</v>
      </c>
      <c r="G16">
        <v>3</v>
      </c>
      <c r="H16">
        <v>0</v>
      </c>
      <c r="I16">
        <v>1</v>
      </c>
      <c r="J16">
        <v>2</v>
      </c>
      <c r="K16">
        <f t="shared" si="0"/>
        <v>11</v>
      </c>
      <c r="L16">
        <v>20</v>
      </c>
      <c r="M16" s="1">
        <v>0.44</v>
      </c>
      <c r="N16" s="1">
        <v>0</v>
      </c>
      <c r="O16" s="1">
        <v>0.22</v>
      </c>
      <c r="P16" s="1">
        <v>0</v>
      </c>
      <c r="Q16" s="1">
        <v>0.11</v>
      </c>
      <c r="R16" s="1">
        <v>0.22</v>
      </c>
      <c r="S16">
        <v>0</v>
      </c>
      <c r="T16">
        <v>13</v>
      </c>
      <c r="U16">
        <v>7</v>
      </c>
      <c r="V16">
        <f t="shared" si="1"/>
        <v>31</v>
      </c>
      <c r="W16" s="1">
        <v>0.14000000000000001</v>
      </c>
      <c r="X16" s="1">
        <v>0</v>
      </c>
      <c r="Y16" s="1">
        <v>7.0000000000000007E-2</v>
      </c>
      <c r="Z16" s="1">
        <v>0</v>
      </c>
      <c r="AA16" s="1">
        <v>0.03</v>
      </c>
      <c r="AB16" s="1">
        <v>7.0000000000000007E-2</v>
      </c>
      <c r="AC16" s="1">
        <v>0.69</v>
      </c>
      <c r="AD16">
        <v>6</v>
      </c>
      <c r="AE16">
        <f t="shared" si="2"/>
        <v>31</v>
      </c>
      <c r="AF16">
        <f>AVERAGE(2,6,5,2,2,2,2,2,5)</f>
        <v>3.1111111111111112</v>
      </c>
    </row>
    <row r="17" spans="1:32" x14ac:dyDescent="0.3">
      <c r="A17" s="10" t="s">
        <v>58</v>
      </c>
      <c r="B17" t="s">
        <v>56</v>
      </c>
      <c r="C17" t="s">
        <v>59</v>
      </c>
      <c r="D17" t="s">
        <v>83</v>
      </c>
      <c r="E17">
        <v>5</v>
      </c>
      <c r="F17">
        <v>0</v>
      </c>
      <c r="G17">
        <v>3</v>
      </c>
      <c r="H17">
        <v>0</v>
      </c>
      <c r="I17">
        <v>1</v>
      </c>
      <c r="J17">
        <v>2</v>
      </c>
      <c r="K17">
        <f t="shared" si="0"/>
        <v>11</v>
      </c>
      <c r="L17">
        <v>16</v>
      </c>
      <c r="M17" s="1">
        <v>0.44</v>
      </c>
      <c r="N17" s="1">
        <v>0</v>
      </c>
      <c r="O17" s="1">
        <v>0.22</v>
      </c>
      <c r="P17" s="1">
        <v>0</v>
      </c>
      <c r="Q17" s="1">
        <v>0.11</v>
      </c>
      <c r="R17" s="1">
        <v>0.22</v>
      </c>
      <c r="S17">
        <v>0</v>
      </c>
      <c r="T17">
        <v>12</v>
      </c>
      <c r="U17">
        <v>4</v>
      </c>
      <c r="V17">
        <f t="shared" si="1"/>
        <v>27</v>
      </c>
      <c r="W17" s="1">
        <v>0.16</v>
      </c>
      <c r="X17" s="1">
        <v>0</v>
      </c>
      <c r="Y17" s="1">
        <v>0.08</v>
      </c>
      <c r="Z17" s="1">
        <v>0</v>
      </c>
      <c r="AA17" s="1">
        <v>0.04</v>
      </c>
      <c r="AB17" s="1">
        <v>0.08</v>
      </c>
      <c r="AC17" s="1">
        <v>0.64</v>
      </c>
      <c r="AD17">
        <v>6</v>
      </c>
      <c r="AE17">
        <f t="shared" si="2"/>
        <v>27</v>
      </c>
      <c r="AF17">
        <f>AVERAGE(2,5,5,2,2,2,2,2,2)</f>
        <v>2.6666666666666665</v>
      </c>
    </row>
    <row r="18" spans="1:32" x14ac:dyDescent="0.3">
      <c r="A18" s="10" t="s">
        <v>60</v>
      </c>
      <c r="B18" t="s">
        <v>61</v>
      </c>
      <c r="C18" t="s">
        <v>62</v>
      </c>
      <c r="D18" t="s">
        <v>83</v>
      </c>
      <c r="E18">
        <v>0</v>
      </c>
      <c r="F18">
        <v>3</v>
      </c>
      <c r="G18">
        <v>7</v>
      </c>
      <c r="H18">
        <v>1</v>
      </c>
      <c r="I18">
        <v>0</v>
      </c>
      <c r="J18">
        <v>1</v>
      </c>
      <c r="K18">
        <f t="shared" si="0"/>
        <v>12</v>
      </c>
      <c r="L18">
        <v>18</v>
      </c>
      <c r="M18" s="1">
        <v>0</v>
      </c>
      <c r="N18" s="1">
        <v>0.27</v>
      </c>
      <c r="O18" s="1">
        <v>0.64</v>
      </c>
      <c r="P18" s="1">
        <v>0.09</v>
      </c>
      <c r="Q18" s="1">
        <v>0</v>
      </c>
      <c r="R18" s="1">
        <v>0</v>
      </c>
      <c r="S18">
        <v>0</v>
      </c>
      <c r="T18">
        <v>0</v>
      </c>
      <c r="U18">
        <v>18</v>
      </c>
      <c r="V18">
        <f t="shared" si="1"/>
        <v>30</v>
      </c>
      <c r="W18" s="1">
        <v>0</v>
      </c>
      <c r="X18" s="1">
        <v>0.1</v>
      </c>
      <c r="Y18" s="1">
        <v>0.24</v>
      </c>
      <c r="Z18" s="1">
        <v>0.03</v>
      </c>
      <c r="AA18" s="1">
        <v>0</v>
      </c>
      <c r="AB18" s="1">
        <v>0</v>
      </c>
      <c r="AC18" s="1">
        <v>0.62</v>
      </c>
      <c r="AD18">
        <v>5</v>
      </c>
      <c r="AE18">
        <f t="shared" si="2"/>
        <v>30</v>
      </c>
      <c r="AF18">
        <f>AVERAGE(6,2,3,2,2,2,2,2,3,2,2)</f>
        <v>2.5454545454545454</v>
      </c>
    </row>
    <row r="19" spans="1:32" x14ac:dyDescent="0.3">
      <c r="A19" s="10" t="s">
        <v>63</v>
      </c>
      <c r="B19" t="s">
        <v>64</v>
      </c>
      <c r="C19" t="s">
        <v>65</v>
      </c>
      <c r="D19" t="s">
        <v>83</v>
      </c>
      <c r="E19">
        <v>2</v>
      </c>
      <c r="F19">
        <v>0</v>
      </c>
      <c r="G19">
        <v>4</v>
      </c>
      <c r="H19">
        <v>0</v>
      </c>
      <c r="I19">
        <v>0</v>
      </c>
      <c r="J19">
        <v>0</v>
      </c>
      <c r="K19">
        <f t="shared" si="0"/>
        <v>6</v>
      </c>
      <c r="L19">
        <v>11</v>
      </c>
      <c r="M19" s="1">
        <v>0.3</v>
      </c>
      <c r="N19" s="1">
        <v>0</v>
      </c>
      <c r="O19" s="1">
        <v>0.6</v>
      </c>
      <c r="P19" s="1">
        <v>0</v>
      </c>
      <c r="Q19" s="1">
        <v>0.1</v>
      </c>
      <c r="R19" s="1">
        <v>0</v>
      </c>
      <c r="S19">
        <v>0</v>
      </c>
      <c r="T19">
        <v>0</v>
      </c>
      <c r="U19">
        <v>10</v>
      </c>
      <c r="V19">
        <f t="shared" si="1"/>
        <v>17</v>
      </c>
      <c r="W19" s="1">
        <v>0.15</v>
      </c>
      <c r="X19" s="1">
        <v>0</v>
      </c>
      <c r="Y19" s="1">
        <v>0.3</v>
      </c>
      <c r="Z19" s="1">
        <v>0</v>
      </c>
      <c r="AA19" s="1">
        <v>0.05</v>
      </c>
      <c r="AB19" s="1">
        <v>0</v>
      </c>
      <c r="AC19" s="1">
        <v>0.5</v>
      </c>
      <c r="AD19">
        <v>4</v>
      </c>
      <c r="AE19">
        <f t="shared" si="2"/>
        <v>17</v>
      </c>
      <c r="AF19">
        <f>AVERAGE(5,2,2,3,2,2)</f>
        <v>2.6666666666666665</v>
      </c>
    </row>
    <row r="20" spans="1:32" x14ac:dyDescent="0.3">
      <c r="A20" s="10" t="s">
        <v>66</v>
      </c>
      <c r="B20" t="s">
        <v>64</v>
      </c>
      <c r="C20" t="s">
        <v>67</v>
      </c>
      <c r="D20" t="s">
        <v>83</v>
      </c>
      <c r="E20">
        <v>4</v>
      </c>
      <c r="F20">
        <v>6</v>
      </c>
      <c r="G20">
        <v>2</v>
      </c>
      <c r="H20">
        <v>0</v>
      </c>
      <c r="I20">
        <v>3</v>
      </c>
      <c r="J20">
        <v>0</v>
      </c>
      <c r="K20">
        <f t="shared" si="0"/>
        <v>15</v>
      </c>
      <c r="L20">
        <v>26</v>
      </c>
      <c r="M20" s="1">
        <v>0.2</v>
      </c>
      <c r="N20" s="1">
        <v>0.35</v>
      </c>
      <c r="O20" s="1">
        <v>0.25</v>
      </c>
      <c r="P20" s="1">
        <v>0</v>
      </c>
      <c r="Q20" s="1">
        <v>0.2</v>
      </c>
      <c r="R20" s="1">
        <v>0</v>
      </c>
      <c r="S20">
        <v>0</v>
      </c>
      <c r="T20">
        <v>21</v>
      </c>
      <c r="U20">
        <v>8</v>
      </c>
      <c r="V20">
        <f t="shared" si="1"/>
        <v>41</v>
      </c>
      <c r="W20" s="1">
        <v>0.08</v>
      </c>
      <c r="X20" s="1">
        <v>0.14000000000000001</v>
      </c>
      <c r="Y20" s="1">
        <v>0.1</v>
      </c>
      <c r="Z20" s="1">
        <v>0</v>
      </c>
      <c r="AA20" s="1">
        <v>0.08</v>
      </c>
      <c r="AB20" s="1">
        <v>0</v>
      </c>
      <c r="AC20" s="1">
        <v>0.59</v>
      </c>
      <c r="AD20">
        <v>9</v>
      </c>
      <c r="AE20">
        <f t="shared" si="2"/>
        <v>41</v>
      </c>
      <c r="AF20">
        <f>AVERAGE(3,2,3,3,4,1,6,2,2,2,1,6,2,2,2,2)</f>
        <v>2.6875</v>
      </c>
    </row>
    <row r="21" spans="1:32" x14ac:dyDescent="0.3">
      <c r="A21" s="10" t="s">
        <v>68</v>
      </c>
      <c r="B21" t="s">
        <v>69</v>
      </c>
      <c r="C21" t="s">
        <v>70</v>
      </c>
      <c r="D21" t="s">
        <v>83</v>
      </c>
      <c r="E21">
        <v>5</v>
      </c>
      <c r="F21">
        <v>0</v>
      </c>
      <c r="G21">
        <v>1</v>
      </c>
      <c r="H21">
        <v>0</v>
      </c>
      <c r="I21">
        <v>0</v>
      </c>
      <c r="J21">
        <v>0</v>
      </c>
      <c r="K21">
        <f t="shared" si="0"/>
        <v>6</v>
      </c>
      <c r="L21">
        <v>10</v>
      </c>
      <c r="M21" s="1">
        <v>0.83</v>
      </c>
      <c r="N21" s="1">
        <v>0</v>
      </c>
      <c r="O21" s="1">
        <v>0.17</v>
      </c>
      <c r="P21" s="1">
        <v>0</v>
      </c>
      <c r="Q21" s="1">
        <v>0</v>
      </c>
      <c r="R21" s="1">
        <v>0</v>
      </c>
      <c r="S21">
        <v>0</v>
      </c>
      <c r="T21">
        <v>0</v>
      </c>
      <c r="U21">
        <v>10</v>
      </c>
      <c r="V21">
        <f t="shared" si="1"/>
        <v>16</v>
      </c>
      <c r="W21" s="1">
        <v>0.31</v>
      </c>
      <c r="X21" s="1">
        <v>0</v>
      </c>
      <c r="Y21" s="1">
        <v>0.06</v>
      </c>
      <c r="Z21" s="1">
        <v>0</v>
      </c>
      <c r="AA21" s="1">
        <v>0</v>
      </c>
      <c r="AB21" s="1">
        <v>0</v>
      </c>
      <c r="AC21" s="1">
        <v>0.63</v>
      </c>
      <c r="AD21">
        <v>3</v>
      </c>
      <c r="AE21">
        <f t="shared" si="2"/>
        <v>16</v>
      </c>
      <c r="AF21">
        <f>AVERAGE(5,2,2,2,2,2)</f>
        <v>2.5</v>
      </c>
    </row>
    <row r="22" spans="1:32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5"/>
      <c r="O22" s="5"/>
      <c r="P22" s="5"/>
      <c r="Q22" s="5"/>
      <c r="R22" s="5"/>
      <c r="S22" s="4"/>
      <c r="T22" s="4"/>
      <c r="U22" s="4"/>
      <c r="V22" s="4"/>
      <c r="W22" s="5"/>
      <c r="X22" s="5"/>
      <c r="Y22" s="5"/>
      <c r="Z22" s="5"/>
      <c r="AA22" s="5"/>
      <c r="AB22" s="5"/>
      <c r="AC22" s="5"/>
      <c r="AD22" s="4"/>
      <c r="AE22" s="4"/>
      <c r="AF22" s="4"/>
    </row>
    <row r="23" spans="1:32" x14ac:dyDescent="0.3">
      <c r="A23" s="3" t="s">
        <v>71</v>
      </c>
      <c r="E23">
        <f>SUM(E2:E21)</f>
        <v>60</v>
      </c>
      <c r="F23">
        <f>SUM(F2:F21)</f>
        <v>18</v>
      </c>
      <c r="G23">
        <f>SUM(G2:G21)</f>
        <v>40</v>
      </c>
      <c r="H23">
        <f>SUM(H2:H21)</f>
        <v>2</v>
      </c>
      <c r="I23">
        <f t="shared" ref="I23:L23" si="3">SUM(I2:I21)</f>
        <v>19</v>
      </c>
      <c r="J23">
        <f t="shared" si="3"/>
        <v>9</v>
      </c>
      <c r="K23">
        <f t="shared" si="3"/>
        <v>148</v>
      </c>
      <c r="L23">
        <f t="shared" si="3"/>
        <v>259</v>
      </c>
      <c r="V23">
        <f>SUM(V2:V21)</f>
        <v>407</v>
      </c>
    </row>
    <row r="24" spans="1:32" x14ac:dyDescent="0.3">
      <c r="A24" s="3" t="s">
        <v>72</v>
      </c>
      <c r="E24" s="1">
        <f t="shared" ref="E24:J24" si="4">E23/153</f>
        <v>0.39215686274509803</v>
      </c>
      <c r="F24" s="1">
        <f t="shared" si="4"/>
        <v>0.11764705882352941</v>
      </c>
      <c r="G24" s="1">
        <f t="shared" si="4"/>
        <v>0.26143790849673204</v>
      </c>
      <c r="H24" s="1">
        <f t="shared" si="4"/>
        <v>1.3071895424836602E-2</v>
      </c>
      <c r="I24" s="1">
        <f t="shared" si="4"/>
        <v>0.12418300653594772</v>
      </c>
      <c r="J24" s="1">
        <f t="shared" si="4"/>
        <v>5.8823529411764705E-2</v>
      </c>
      <c r="K24" s="1">
        <f>K23/415</f>
        <v>0.3566265060240964</v>
      </c>
      <c r="L24" s="1">
        <f>L23/415</f>
        <v>0.62409638554216873</v>
      </c>
    </row>
    <row r="27" spans="1:32" x14ac:dyDescent="0.3">
      <c r="E27" s="2"/>
      <c r="F27" s="2"/>
      <c r="G27" s="2"/>
      <c r="H27" s="2"/>
    </row>
    <row r="29" spans="1:32" x14ac:dyDescent="0.3">
      <c r="K29" s="2"/>
    </row>
    <row r="31" spans="1:32" x14ac:dyDescent="0.3">
      <c r="K31" s="2"/>
    </row>
  </sheetData>
  <pageMargins left="0.7" right="0.7" top="0.75" bottom="0.75" header="0.3" footer="0.3"/>
  <pageSetup paperSize="9" orientation="portrait" r:id="rId1"/>
  <ignoredErrors>
    <ignoredError sqref="V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2BFF-5F3D-42B3-B778-040C1DE270B9}">
  <dimension ref="A1:R12"/>
  <sheetViews>
    <sheetView zoomScale="95" zoomScaleNormal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4.4" x14ac:dyDescent="0.3"/>
  <cols>
    <col min="1" max="1" width="40.33203125" bestFit="1" customWidth="1"/>
    <col min="2" max="2" width="14" bestFit="1" customWidth="1"/>
    <col min="3" max="3" width="12.44140625" bestFit="1" customWidth="1"/>
    <col min="4" max="4" width="14.33203125" bestFit="1" customWidth="1"/>
    <col min="5" max="5" width="12" bestFit="1" customWidth="1"/>
    <col min="6" max="6" width="15.109375" bestFit="1" customWidth="1"/>
    <col min="7" max="7" width="9" bestFit="1" customWidth="1"/>
    <col min="8" max="8" width="11.6640625" bestFit="1" customWidth="1"/>
    <col min="9" max="9" width="12.88671875" bestFit="1" customWidth="1"/>
    <col min="10" max="10" width="11.44140625" bestFit="1" customWidth="1"/>
    <col min="11" max="11" width="13.109375" bestFit="1" customWidth="1"/>
    <col min="12" max="12" width="10.6640625" bestFit="1" customWidth="1"/>
    <col min="13" max="13" width="13.5546875" bestFit="1" customWidth="1"/>
    <col min="14" max="14" width="8.33203125" bestFit="1" customWidth="1"/>
    <col min="15" max="15" width="11.6640625" bestFit="1" customWidth="1"/>
    <col min="16" max="16" width="14.44140625" bestFit="1" customWidth="1"/>
    <col min="17" max="17" width="8.33203125" bestFit="1" customWidth="1"/>
    <col min="18" max="18" width="10.6640625" bestFit="1" customWidth="1"/>
  </cols>
  <sheetData>
    <row r="1" spans="1:18" x14ac:dyDescent="0.3">
      <c r="A1" s="3" t="s">
        <v>1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3" t="s">
        <v>100</v>
      </c>
    </row>
    <row r="2" spans="1:18" x14ac:dyDescent="0.3">
      <c r="A2" t="s">
        <v>33</v>
      </c>
      <c r="B2">
        <f>SUM(PyTreesRos_model_analysis!E6:F6)</f>
        <v>11</v>
      </c>
      <c r="C2">
        <f>SUM(PyTreesRos_model_analysis!G6:H6)</f>
        <v>5</v>
      </c>
      <c r="D2">
        <f>SUM(PyTreesRos_model_analysis!J6)</f>
        <v>0</v>
      </c>
      <c r="E2">
        <f>SUM(PyTreesRos_model_analysis!I6)</f>
        <v>4</v>
      </c>
      <c r="F2">
        <f>SUM(B2:E2)</f>
        <v>20</v>
      </c>
      <c r="G2">
        <f>SUM(PyTreesRos_model_analysis!L6)</f>
        <v>33</v>
      </c>
      <c r="H2">
        <f>SUM(F2:G2)</f>
        <v>53</v>
      </c>
      <c r="I2" s="2">
        <f>(B2/F2)</f>
        <v>0.55000000000000004</v>
      </c>
      <c r="J2" s="2">
        <f>(C2/F2)</f>
        <v>0.25</v>
      </c>
      <c r="K2" s="2">
        <f>(D2/F2)</f>
        <v>0</v>
      </c>
      <c r="L2" s="2">
        <f>(E2/F2)</f>
        <v>0.2</v>
      </c>
      <c r="M2" s="2">
        <f>(F2/H2)</f>
        <v>0.37735849056603776</v>
      </c>
      <c r="N2" s="2">
        <f>(G2/H2)</f>
        <v>0.62264150943396224</v>
      </c>
      <c r="O2">
        <v>1</v>
      </c>
      <c r="P2">
        <f>SUM(PyTreesRos_model_analysis!AD6)/O2</f>
        <v>9</v>
      </c>
      <c r="Q2">
        <v>2.5263157894736841</v>
      </c>
      <c r="R2" s="6">
        <f>(SUM(F2:G2))/O2</f>
        <v>53</v>
      </c>
    </row>
    <row r="3" spans="1:18" x14ac:dyDescent="0.3">
      <c r="A3" t="s">
        <v>64</v>
      </c>
      <c r="B3">
        <f>SUM(PyTreesRos_model_analysis!E19:F20)</f>
        <v>12</v>
      </c>
      <c r="C3">
        <f>SUM(PyTreesRos_model_analysis!G19:H20)</f>
        <v>6</v>
      </c>
      <c r="D3">
        <f>SUM(PyTreesRos_model_analysis!J19:J20)</f>
        <v>0</v>
      </c>
      <c r="E3">
        <f>SUM(PyTreesRos_model_analysis!I19:I20)</f>
        <v>3</v>
      </c>
      <c r="F3">
        <f>SUM(B3:E3)</f>
        <v>21</v>
      </c>
      <c r="G3">
        <f>SUM(PyTreesRos_model_analysis!L19:L20)</f>
        <v>37</v>
      </c>
      <c r="H3">
        <f t="shared" ref="H3:H10" si="0">SUM(F3:G3)</f>
        <v>58</v>
      </c>
      <c r="I3" s="2">
        <f t="shared" ref="I3:I10" si="1">(B3/F3)</f>
        <v>0.5714285714285714</v>
      </c>
      <c r="J3" s="2">
        <f t="shared" ref="J3:J10" si="2">(C3/F3)</f>
        <v>0.2857142857142857</v>
      </c>
      <c r="K3" s="2">
        <f t="shared" ref="K3:K10" si="3">(D3/F3)</f>
        <v>0</v>
      </c>
      <c r="L3" s="2">
        <f t="shared" ref="L3:L10" si="4">(E3/F3)</f>
        <v>0.14285714285714285</v>
      </c>
      <c r="M3" s="2">
        <f t="shared" ref="M3:M10" si="5">(F3/H3)</f>
        <v>0.36206896551724138</v>
      </c>
      <c r="N3" s="2">
        <f t="shared" ref="N3:N10" si="6">(G3/H3)</f>
        <v>0.63793103448275867</v>
      </c>
      <c r="O3">
        <v>2</v>
      </c>
      <c r="P3" s="6">
        <f>SUM(PyTreesRos_model_analysis!AD19:AD20)/O3</f>
        <v>6.5</v>
      </c>
      <c r="Q3">
        <v>2.677083333333333</v>
      </c>
      <c r="R3" s="6">
        <f t="shared" ref="R3:R5" si="7">(SUM(F3:G3))/O3</f>
        <v>29</v>
      </c>
    </row>
    <row r="4" spans="1:18" x14ac:dyDescent="0.3">
      <c r="A4" t="s">
        <v>61</v>
      </c>
      <c r="B4">
        <f>SUM(PyTreesRos_model_analysis!E18:F18)</f>
        <v>3</v>
      </c>
      <c r="C4">
        <f>SUM(PyTreesRos_model_analysis!G18:H18)</f>
        <v>8</v>
      </c>
      <c r="D4">
        <f>SUM(PyTreesRos_model_analysis!J18)</f>
        <v>1</v>
      </c>
      <c r="E4">
        <f>SUM(PyTreesRos_model_analysis!I18)</f>
        <v>0</v>
      </c>
      <c r="F4">
        <f t="shared" ref="F4:F10" si="8">SUM(B4:E4)</f>
        <v>12</v>
      </c>
      <c r="G4">
        <f>SUM(PyTreesRos_model_analysis!L18)</f>
        <v>18</v>
      </c>
      <c r="H4">
        <f t="shared" si="0"/>
        <v>30</v>
      </c>
      <c r="I4" s="2">
        <f t="shared" si="1"/>
        <v>0.25</v>
      </c>
      <c r="J4" s="2">
        <f t="shared" si="2"/>
        <v>0.66666666666666663</v>
      </c>
      <c r="K4" s="2">
        <f t="shared" si="3"/>
        <v>8.3333333333333329E-2</v>
      </c>
      <c r="L4" s="2">
        <f t="shared" si="4"/>
        <v>0</v>
      </c>
      <c r="M4" s="2">
        <f t="shared" si="5"/>
        <v>0.4</v>
      </c>
      <c r="N4" s="2">
        <f t="shared" si="6"/>
        <v>0.6</v>
      </c>
      <c r="O4">
        <v>1</v>
      </c>
      <c r="P4">
        <f>SUM(PyTreesRos_model_analysis!AD18)/O4</f>
        <v>5</v>
      </c>
      <c r="Q4" s="7">
        <v>2.5454545454545454</v>
      </c>
      <c r="R4" s="6">
        <f t="shared" si="7"/>
        <v>30</v>
      </c>
    </row>
    <row r="5" spans="1:18" x14ac:dyDescent="0.3">
      <c r="A5" t="s">
        <v>56</v>
      </c>
      <c r="B5">
        <f>SUM(PyTreesRos_model_analysis!E16:F17)</f>
        <v>10</v>
      </c>
      <c r="C5">
        <f>SUM(PyTreesRos_model_analysis!G16:H17)</f>
        <v>6</v>
      </c>
      <c r="D5">
        <f>SUM(PyTreesRos_model_analysis!J16:J17)</f>
        <v>4</v>
      </c>
      <c r="E5">
        <f>SUM(PyTreesRos_model_analysis!I16:I17)</f>
        <v>2</v>
      </c>
      <c r="F5">
        <f t="shared" si="8"/>
        <v>22</v>
      </c>
      <c r="G5">
        <f>SUM(PyTreesRos_model_analysis!L16:L17)</f>
        <v>36</v>
      </c>
      <c r="H5">
        <f t="shared" si="0"/>
        <v>58</v>
      </c>
      <c r="I5" s="2">
        <f t="shared" si="1"/>
        <v>0.45454545454545453</v>
      </c>
      <c r="J5" s="2">
        <f t="shared" si="2"/>
        <v>0.27272727272727271</v>
      </c>
      <c r="K5" s="2">
        <f t="shared" si="3"/>
        <v>0.18181818181818182</v>
      </c>
      <c r="L5" s="2">
        <f t="shared" si="4"/>
        <v>9.0909090909090912E-2</v>
      </c>
      <c r="M5" s="2">
        <f t="shared" si="5"/>
        <v>0.37931034482758619</v>
      </c>
      <c r="N5" s="2">
        <f t="shared" si="6"/>
        <v>0.62068965517241381</v>
      </c>
      <c r="O5">
        <v>2</v>
      </c>
      <c r="P5">
        <f>SUM(PyTreesRos_model_analysis!AD16:AD17)/O5</f>
        <v>6</v>
      </c>
      <c r="Q5" s="7">
        <v>2.8888888888888888</v>
      </c>
      <c r="R5" s="6">
        <f t="shared" si="7"/>
        <v>29</v>
      </c>
    </row>
    <row r="6" spans="1:18" x14ac:dyDescent="0.3">
      <c r="A6" t="s">
        <v>23</v>
      </c>
      <c r="B6">
        <f>SUM(PyTreesRos_model_analysis!E2:F2)</f>
        <v>2</v>
      </c>
      <c r="C6">
        <f>SUM(PyTreesRos_model_analysis!G2:H2)</f>
        <v>2</v>
      </c>
      <c r="D6">
        <f>SUM(PyTreesRos_model_analysis!J2)</f>
        <v>0</v>
      </c>
      <c r="E6">
        <f>SUM(PyTreesRos_model_analysis!I2)</f>
        <v>0</v>
      </c>
      <c r="F6">
        <f t="shared" si="8"/>
        <v>4</v>
      </c>
      <c r="G6">
        <f>SUM(PyTreesRos_model_analysis!L2)</f>
        <v>8</v>
      </c>
      <c r="H6">
        <f t="shared" si="0"/>
        <v>12</v>
      </c>
      <c r="I6" s="2">
        <f t="shared" si="1"/>
        <v>0.5</v>
      </c>
      <c r="J6" s="2">
        <f t="shared" si="2"/>
        <v>0.5</v>
      </c>
      <c r="K6" s="2">
        <f t="shared" si="3"/>
        <v>0</v>
      </c>
      <c r="L6" s="2">
        <f t="shared" si="4"/>
        <v>0</v>
      </c>
      <c r="M6" s="2">
        <f t="shared" si="5"/>
        <v>0.33333333333333331</v>
      </c>
      <c r="N6" s="2">
        <f t="shared" si="6"/>
        <v>0.66666666666666663</v>
      </c>
      <c r="O6">
        <v>1</v>
      </c>
      <c r="P6" s="6">
        <f>SUM(PyTreesRos_model_analysis!AD2)/O6</f>
        <v>4</v>
      </c>
      <c r="Q6" s="7">
        <v>2.8333333333333335</v>
      </c>
      <c r="R6" s="6">
        <f>(SUM(F6:G6))/O6</f>
        <v>12</v>
      </c>
    </row>
    <row r="7" spans="1:18" x14ac:dyDescent="0.3">
      <c r="A7" t="s">
        <v>36</v>
      </c>
      <c r="B7">
        <f>SUM(PyTreesRos_model_analysis!E7:F14)</f>
        <v>30</v>
      </c>
      <c r="C7">
        <f>SUM(PyTreesRos_model_analysis!G7:H14)</f>
        <v>9</v>
      </c>
      <c r="D7">
        <f>SUM(PyTreesRos_model_analysis!J7:J14)</f>
        <v>3</v>
      </c>
      <c r="E7">
        <f>SUM(PyTreesRos_model_analysis!I7:I14)</f>
        <v>10</v>
      </c>
      <c r="F7">
        <f t="shared" si="8"/>
        <v>52</v>
      </c>
      <c r="G7">
        <f>SUM(PyTreesRos_model_analysis!L7:L14)</f>
        <v>85</v>
      </c>
      <c r="H7">
        <f t="shared" si="0"/>
        <v>137</v>
      </c>
      <c r="I7" s="2">
        <f t="shared" si="1"/>
        <v>0.57692307692307687</v>
      </c>
      <c r="J7" s="2">
        <f t="shared" si="2"/>
        <v>0.17307692307692307</v>
      </c>
      <c r="K7" s="2">
        <f t="shared" si="3"/>
        <v>5.7692307692307696E-2</v>
      </c>
      <c r="L7" s="2">
        <f t="shared" si="4"/>
        <v>0.19230769230769232</v>
      </c>
      <c r="M7" s="2">
        <f t="shared" si="5"/>
        <v>0.37956204379562042</v>
      </c>
      <c r="N7" s="2">
        <f t="shared" si="6"/>
        <v>0.62043795620437958</v>
      </c>
      <c r="O7">
        <v>8</v>
      </c>
      <c r="P7" s="6">
        <f>SUM(PyTreesRos_model_analysis!AD7:AD14)/O7</f>
        <v>4.875</v>
      </c>
      <c r="Q7" s="7">
        <v>2.4330357142857144</v>
      </c>
      <c r="R7" s="6">
        <f>(SUM(F7:G7))/O7</f>
        <v>17.125</v>
      </c>
    </row>
    <row r="8" spans="1:18" x14ac:dyDescent="0.3">
      <c r="A8" t="s">
        <v>69</v>
      </c>
      <c r="B8">
        <f>SUM(PyTreesRos_model_analysis!E21:F21)</f>
        <v>5</v>
      </c>
      <c r="C8">
        <f>SUM(PyTreesRos_model_analysis!G21:H21)</f>
        <v>1</v>
      </c>
      <c r="D8">
        <f>SUM(PyTreesRos_model_analysis!J21)</f>
        <v>0</v>
      </c>
      <c r="E8">
        <f>SUM(PyTreesRos_model_analysis!I21)</f>
        <v>0</v>
      </c>
      <c r="F8">
        <f t="shared" si="8"/>
        <v>6</v>
      </c>
      <c r="G8">
        <f>SUM(PyTreesRos_model_analysis!L21)</f>
        <v>10</v>
      </c>
      <c r="H8">
        <f t="shared" si="0"/>
        <v>16</v>
      </c>
      <c r="I8" s="2">
        <f t="shared" si="1"/>
        <v>0.83333333333333337</v>
      </c>
      <c r="J8" s="2">
        <f t="shared" si="2"/>
        <v>0.16666666666666666</v>
      </c>
      <c r="K8" s="2">
        <f t="shared" si="3"/>
        <v>0</v>
      </c>
      <c r="L8" s="2">
        <f t="shared" si="4"/>
        <v>0</v>
      </c>
      <c r="M8" s="2">
        <f t="shared" si="5"/>
        <v>0.375</v>
      </c>
      <c r="N8" s="2">
        <f t="shared" si="6"/>
        <v>0.625</v>
      </c>
      <c r="O8">
        <v>1</v>
      </c>
      <c r="P8">
        <f>SUM(PyTreesRos_model_analysis!AD21)/O8</f>
        <v>3</v>
      </c>
      <c r="Q8" s="7">
        <v>2.5</v>
      </c>
      <c r="R8" s="6">
        <f>(SUM(F8:G8))/O8</f>
        <v>16</v>
      </c>
    </row>
    <row r="9" spans="1:18" x14ac:dyDescent="0.3">
      <c r="A9" t="s">
        <v>26</v>
      </c>
      <c r="B9">
        <f>SUM(PyTreesRos_model_analysis!E3:F5)</f>
        <v>3</v>
      </c>
      <c r="C9">
        <f>SUM(PyTreesRos_model_analysis!G3:H5)</f>
        <v>5</v>
      </c>
      <c r="D9">
        <f>SUM(PyTreesRos_model_analysis!J3:J5)</f>
        <v>0</v>
      </c>
      <c r="E9">
        <f>SUM(PyTreesRos_model_analysis!I3:I5)</f>
        <v>0</v>
      </c>
      <c r="F9">
        <f t="shared" si="8"/>
        <v>8</v>
      </c>
      <c r="G9">
        <f>SUM(PyTreesRos_model_analysis!L3:L5)</f>
        <v>27</v>
      </c>
      <c r="H9">
        <f t="shared" si="0"/>
        <v>35</v>
      </c>
      <c r="I9" s="2">
        <f t="shared" si="1"/>
        <v>0.375</v>
      </c>
      <c r="J9" s="2">
        <f t="shared" si="2"/>
        <v>0.625</v>
      </c>
      <c r="K9" s="2">
        <f t="shared" si="3"/>
        <v>0</v>
      </c>
      <c r="L9" s="2">
        <f t="shared" si="4"/>
        <v>0</v>
      </c>
      <c r="M9" s="2">
        <f t="shared" si="5"/>
        <v>0.22857142857142856</v>
      </c>
      <c r="N9" s="2">
        <f t="shared" si="6"/>
        <v>0.77142857142857146</v>
      </c>
      <c r="O9">
        <v>3</v>
      </c>
      <c r="P9">
        <f>SUM(PyTreesRos_model_analysis!AD3:AD5)/O9</f>
        <v>3</v>
      </c>
      <c r="Q9" s="7">
        <v>4.416666666666667</v>
      </c>
      <c r="R9" s="6">
        <f>(SUM(F9:G9))/O9</f>
        <v>11.666666666666666</v>
      </c>
    </row>
    <row r="10" spans="1:18" x14ac:dyDescent="0.3">
      <c r="A10" t="s">
        <v>102</v>
      </c>
      <c r="B10">
        <f>SUM(PyTreesRos_model_analysis!E15:F15)</f>
        <v>2</v>
      </c>
      <c r="C10">
        <f>SUM(PyTreesRos_model_analysis!G15:H15)</f>
        <v>0</v>
      </c>
      <c r="D10">
        <f>SUM(PyTreesRos_model_analysis!J15)</f>
        <v>1</v>
      </c>
      <c r="E10">
        <f>SUM(PyTreesRos_model_analysis!I15)</f>
        <v>0</v>
      </c>
      <c r="F10">
        <f t="shared" si="8"/>
        <v>3</v>
      </c>
      <c r="G10">
        <f>SUM(PyTreesRos_model_analysis!L15)</f>
        <v>5</v>
      </c>
      <c r="H10">
        <f t="shared" si="0"/>
        <v>8</v>
      </c>
      <c r="I10" s="2">
        <f t="shared" si="1"/>
        <v>0.66666666666666663</v>
      </c>
      <c r="J10" s="2">
        <f t="shared" si="2"/>
        <v>0</v>
      </c>
      <c r="K10" s="2">
        <f t="shared" si="3"/>
        <v>0.33333333333333331</v>
      </c>
      <c r="L10" s="2">
        <f t="shared" si="4"/>
        <v>0</v>
      </c>
      <c r="M10" s="2">
        <f t="shared" si="5"/>
        <v>0.375</v>
      </c>
      <c r="N10" s="2">
        <f t="shared" si="6"/>
        <v>0.625</v>
      </c>
      <c r="O10">
        <v>1</v>
      </c>
      <c r="P10" s="6">
        <f>SUM(PyTreesRos_model_analysis!AD15)/O10</f>
        <v>4</v>
      </c>
      <c r="Q10" s="7">
        <v>2.3333333333333335</v>
      </c>
      <c r="R10" s="6">
        <f>(SUM(F10:G10))/O10</f>
        <v>8</v>
      </c>
    </row>
    <row r="11" spans="1:18" x14ac:dyDescent="0.3">
      <c r="A11" s="8"/>
      <c r="B11" s="8"/>
      <c r="C11" s="8"/>
      <c r="D11" s="8"/>
      <c r="E11" s="8"/>
      <c r="F11" s="8"/>
      <c r="G11" s="8"/>
      <c r="H11" s="8"/>
      <c r="I11" s="9"/>
      <c r="J11" s="9"/>
      <c r="K11" s="9"/>
      <c r="L11" s="9"/>
      <c r="M11" s="9"/>
      <c r="N11" s="9"/>
      <c r="O11" s="8"/>
      <c r="P11" s="8"/>
      <c r="Q11" s="8"/>
      <c r="R11" s="8"/>
    </row>
    <row r="12" spans="1:18" x14ac:dyDescent="0.3">
      <c r="A12" s="3" t="s">
        <v>101</v>
      </c>
      <c r="B12">
        <f t="shared" ref="B12:H12" si="9">SUM(B2:B10)</f>
        <v>78</v>
      </c>
      <c r="C12">
        <f t="shared" si="9"/>
        <v>42</v>
      </c>
      <c r="D12">
        <f t="shared" si="9"/>
        <v>9</v>
      </c>
      <c r="E12">
        <f t="shared" si="9"/>
        <v>19</v>
      </c>
      <c r="F12">
        <f t="shared" si="9"/>
        <v>148</v>
      </c>
      <c r="G12">
        <f t="shared" si="9"/>
        <v>259</v>
      </c>
      <c r="H12">
        <f t="shared" si="9"/>
        <v>407</v>
      </c>
      <c r="I12" s="2">
        <f>B12/F12</f>
        <v>0.52702702702702697</v>
      </c>
      <c r="J12" s="2">
        <f>C12/F12</f>
        <v>0.28378378378378377</v>
      </c>
      <c r="K12" s="2">
        <f>D12/F12</f>
        <v>6.0810810810810814E-2</v>
      </c>
      <c r="L12" s="2">
        <f>E12/F12</f>
        <v>0.12837837837837837</v>
      </c>
      <c r="M12" s="2">
        <f>F12/H12</f>
        <v>0.36363636363636365</v>
      </c>
      <c r="N12" s="2">
        <f>G12/H12</f>
        <v>0.63636363636363635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PyTreesRos_model_analysis</vt:lpstr>
      <vt:lpstr>aggregated_data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2020-05-24T23:12:48Z</dcterms:created>
  <dcterms:modified xsi:type="dcterms:W3CDTF">2022-08-09T12:14:08Z</dcterms:modified>
</cp:coreProperties>
</file>