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C:\Users\rahim\Downloads\KiCad Projects\PCB_Business_Card\Resource_Documents\AN11276\"/>
    </mc:Choice>
  </mc:AlternateContent>
  <xr:revisionPtr revIDLastSave="0" documentId="13_ncr:1_{6A590CDB-F97D-48FE-8C14-22C2602922E6}" xr6:coauthVersionLast="47" xr6:coauthVersionMax="47" xr10:uidLastSave="{00000000-0000-0000-0000-000000000000}"/>
  <bookViews>
    <workbookView xWindow="-90" yWindow="0" windowWidth="9780" windowHeight="10170" xr2:uid="{00000000-000D-0000-FFFF-FFFF00000000}"/>
  </bookViews>
  <sheets>
    <sheet name="Coil Design Guide - Calculatio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E12" i="2" s="1"/>
  <c r="C143" i="2"/>
  <c r="C66" i="2"/>
  <c r="C67" i="2" s="1"/>
  <c r="E8" i="2"/>
  <c r="D66" i="2"/>
  <c r="D67" i="2" s="1"/>
  <c r="E66" i="2"/>
  <c r="E67" i="2" s="1"/>
  <c r="F66" i="2"/>
  <c r="F67" i="2" s="1"/>
  <c r="G66" i="2"/>
  <c r="G67" i="2" s="1"/>
  <c r="G25" i="2"/>
  <c r="G38" i="2" s="1"/>
  <c r="G29" i="2"/>
  <c r="G32" i="2"/>
  <c r="G98" i="2"/>
  <c r="F98" i="2"/>
  <c r="E98" i="2"/>
  <c r="D98" i="2"/>
  <c r="C98" i="2"/>
  <c r="D29" i="2"/>
  <c r="D25" i="2"/>
  <c r="D32" i="2"/>
  <c r="E25" i="2"/>
  <c r="E29" i="2"/>
  <c r="E32" i="2"/>
  <c r="F25" i="2"/>
  <c r="F38" i="2" s="1"/>
  <c r="F45" i="2" s="1"/>
  <c r="F54" i="2" s="1"/>
  <c r="F29" i="2"/>
  <c r="F32" i="2"/>
  <c r="C25" i="2"/>
  <c r="C29" i="2"/>
  <c r="C32" i="2"/>
  <c r="C95" i="2"/>
  <c r="E95" i="2" s="1"/>
  <c r="E26" i="2"/>
  <c r="F35" i="2" s="1"/>
  <c r="B93" i="2"/>
  <c r="C139" i="2"/>
  <c r="C142" i="2" s="1"/>
  <c r="D139" i="2"/>
  <c r="D142" i="2" s="1"/>
  <c r="D146" i="2" s="1"/>
  <c r="E139" i="2"/>
  <c r="E142" i="2"/>
  <c r="F139" i="2"/>
  <c r="F142" i="2" s="1"/>
  <c r="G139" i="2"/>
  <c r="G142" i="2" s="1"/>
  <c r="C19" i="2"/>
  <c r="E22" i="2" s="1"/>
  <c r="C140" i="2"/>
  <c r="E140" i="2"/>
  <c r="C20" i="2"/>
  <c r="E38" i="2" l="1"/>
  <c r="E39" i="2" s="1"/>
  <c r="D38" i="2"/>
  <c r="D39" i="2" s="1"/>
  <c r="C38" i="2"/>
  <c r="C45" i="2" s="1"/>
  <c r="C54" i="2" s="1"/>
  <c r="G35" i="2"/>
  <c r="D35" i="2"/>
  <c r="D69" i="2"/>
  <c r="D70" i="2" s="1"/>
  <c r="D73" i="2" s="1"/>
  <c r="F69" i="2"/>
  <c r="F70" i="2" s="1"/>
  <c r="F73" i="2" s="1"/>
  <c r="E69" i="2"/>
  <c r="E70" i="2" s="1"/>
  <c r="E73" i="2" s="1"/>
  <c r="C14" i="2"/>
  <c r="E14" i="2" s="1"/>
  <c r="E51" i="2" s="1"/>
  <c r="G51" i="2" s="1"/>
  <c r="G22" i="2"/>
  <c r="F22" i="2"/>
  <c r="F146" i="2"/>
  <c r="D140" i="2"/>
  <c r="E146" i="2"/>
  <c r="G140" i="2"/>
  <c r="C35" i="2"/>
  <c r="G104" i="2"/>
  <c r="E104" i="2"/>
  <c r="D104" i="2"/>
  <c r="C104" i="2"/>
  <c r="F104" i="2"/>
  <c r="G39" i="2"/>
  <c r="G47" i="2" s="1"/>
  <c r="G48" i="2" s="1"/>
  <c r="G53" i="2" s="1"/>
  <c r="G45" i="2"/>
  <c r="G54" i="2" s="1"/>
  <c r="C146" i="2"/>
  <c r="C151" i="2" s="1"/>
  <c r="F39" i="2"/>
  <c r="F47" i="2" s="1"/>
  <c r="F48" i="2" s="1"/>
  <c r="F53" i="2" s="1"/>
  <c r="G69" i="2"/>
  <c r="G70" i="2" s="1"/>
  <c r="G73" i="2" s="1"/>
  <c r="C69" i="2"/>
  <c r="C70" i="2" s="1"/>
  <c r="C73" i="2" s="1"/>
  <c r="C22" i="2"/>
  <c r="D22" i="2"/>
  <c r="F140" i="2"/>
  <c r="G146" i="2"/>
  <c r="E35" i="2"/>
  <c r="E47" i="2" l="1"/>
  <c r="E48" i="2" s="1"/>
  <c r="E53" i="2" s="1"/>
  <c r="E45" i="2"/>
  <c r="E54" i="2" s="1"/>
  <c r="D45" i="2"/>
  <c r="D54" i="2" s="1"/>
  <c r="D47" i="2"/>
  <c r="D48" i="2" s="1"/>
  <c r="D53" i="2" s="1"/>
  <c r="C39" i="2"/>
  <c r="C47" i="2" s="1"/>
  <c r="C48" i="2" s="1"/>
  <c r="C53" i="2" s="1"/>
  <c r="F51" i="2"/>
  <c r="F52" i="2" s="1"/>
  <c r="D51" i="2"/>
  <c r="C51" i="2"/>
  <c r="C76" i="2"/>
  <c r="C80" i="2" s="1"/>
  <c r="D80" i="2" s="1"/>
  <c r="E93" i="2" s="1"/>
  <c r="C154" i="2"/>
  <c r="D154" i="2" s="1"/>
  <c r="C155" i="2"/>
  <c r="D155" i="2" s="1"/>
  <c r="D151" i="2"/>
  <c r="C152" i="2"/>
  <c r="D152" i="2" s="1"/>
  <c r="C153" i="2"/>
  <c r="D153" i="2" s="1"/>
  <c r="G52" i="2"/>
  <c r="E52" i="2" l="1"/>
  <c r="D52" i="2"/>
  <c r="C52" i="2"/>
  <c r="C83" i="2"/>
  <c r="D83" i="2" s="1"/>
  <c r="C81" i="2"/>
  <c r="D81" i="2" s="1"/>
  <c r="C79" i="2"/>
  <c r="D79" i="2" s="1"/>
  <c r="C78" i="2"/>
  <c r="D78" i="2" s="1"/>
  <c r="C84" i="2"/>
  <c r="D84" i="2" s="1"/>
  <c r="E100" i="2" s="1"/>
  <c r="E101" i="2" s="1"/>
  <c r="C77" i="2"/>
  <c r="D77" i="2" s="1"/>
  <c r="G86" i="2"/>
  <c r="C82" i="2"/>
  <c r="D82" i="2" s="1"/>
  <c r="E103" i="2" s="1"/>
  <c r="F103" i="2" s="1"/>
  <c r="G83" i="2"/>
  <c r="G81" i="2"/>
  <c r="C86" i="2"/>
  <c r="D86" i="2" s="1"/>
  <c r="E109" i="2" s="1"/>
  <c r="G109" i="2" s="1"/>
  <c r="G91" i="2" s="1"/>
  <c r="G84" i="2"/>
  <c r="G82" i="2"/>
  <c r="G93" i="2"/>
  <c r="G94" i="2" s="1"/>
  <c r="D93" i="2"/>
  <c r="D94" i="2" s="1"/>
  <c r="C93" i="2"/>
  <c r="C94" i="2" s="1"/>
  <c r="F93" i="2"/>
  <c r="F94" i="2" s="1"/>
  <c r="E94" i="2"/>
  <c r="E120" i="2"/>
  <c r="F100" i="2" l="1"/>
  <c r="F101" i="2" s="1"/>
  <c r="G100" i="2"/>
  <c r="G101" i="2" s="1"/>
  <c r="C109" i="2"/>
  <c r="C91" i="2" s="1"/>
  <c r="F109" i="2"/>
  <c r="F91" i="2" s="1"/>
  <c r="E91" i="2"/>
  <c r="D109" i="2"/>
  <c r="D91" i="2" s="1"/>
  <c r="C103" i="2"/>
  <c r="D103" i="2"/>
  <c r="C100" i="2"/>
  <c r="C101" i="2" s="1"/>
  <c r="D100" i="2"/>
  <c r="D101" i="2" s="1"/>
  <c r="G103" i="2"/>
  <c r="D85" i="2"/>
  <c r="C105" i="2" s="1"/>
  <c r="E107" i="2"/>
  <c r="F120" i="2"/>
  <c r="D120" i="2"/>
  <c r="G120" i="2"/>
  <c r="C120" i="2"/>
  <c r="F107" i="2" l="1"/>
  <c r="F108" i="2" s="1"/>
  <c r="F116" i="2" s="1"/>
  <c r="F117" i="2" s="1"/>
  <c r="F122" i="2" s="1"/>
  <c r="D107" i="2"/>
  <c r="D114" i="2" s="1"/>
  <c r="D123" i="2" s="1"/>
  <c r="G107" i="2"/>
  <c r="G108" i="2" s="1"/>
  <c r="G116" i="2" s="1"/>
  <c r="G117" i="2" s="1"/>
  <c r="G122" i="2" s="1"/>
  <c r="C107" i="2"/>
  <c r="C108" i="2" s="1"/>
  <c r="C116" i="2" s="1"/>
  <c r="C117" i="2" s="1"/>
  <c r="C122" i="2" s="1"/>
  <c r="E114" i="2"/>
  <c r="E123" i="2" s="1"/>
  <c r="E108" i="2"/>
  <c r="E116" i="2" s="1"/>
  <c r="E117" i="2" s="1"/>
  <c r="F114" i="2" l="1"/>
  <c r="F123" i="2" s="1"/>
  <c r="D108" i="2"/>
  <c r="D116" i="2" s="1"/>
  <c r="D117" i="2" s="1"/>
  <c r="D122" i="2" s="1"/>
  <c r="G114" i="2"/>
  <c r="G123" i="2" s="1"/>
  <c r="C114" i="2"/>
  <c r="C123" i="2" s="1"/>
  <c r="G121" i="2"/>
  <c r="C121" i="2"/>
  <c r="E122" i="2"/>
  <c r="E121" i="2"/>
  <c r="F121" i="2"/>
  <c r="D12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Gerald Schaffler</author>
  </authors>
  <commentList>
    <comment ref="A8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Depending on the Systems requirements choose the Ideal resonance frequency of the coil.
I Code:
Operating frequency = 13,56 MHz
Consider asymetry of the system and lamination shift.
(Asymetry ~ -100kHz; Lamination ~ +100-400kHz)
Please refer to the I Code Coil Design Guide!
Mifare:
Operation frequency = 13,56MHz
ID1 Cards acc. Mifare Certification Institute fideal = 14,5-18MHz (center=16,25MHz)
Other applications may require frequencies at ~14MHz
Please refer to the Mifare Coil Design Guide!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<sst xmlns="http://schemas.openxmlformats.org/spreadsheetml/2006/main" count="326" uniqueCount="217">
  <si>
    <t>Vs/Am</t>
  </si>
  <si>
    <t>PI</t>
  </si>
  <si>
    <t>_mue0</t>
  </si>
  <si>
    <t>_pi</t>
  </si>
  <si>
    <t>_k</t>
  </si>
  <si>
    <t>_aavg</t>
  </si>
  <si>
    <t>_t</t>
  </si>
  <si>
    <t>_w</t>
  </si>
  <si>
    <t>_g</t>
  </si>
  <si>
    <t>_nc</t>
  </si>
  <si>
    <t>_d</t>
  </si>
  <si>
    <t>_a0</t>
  </si>
  <si>
    <t>_p</t>
  </si>
  <si>
    <t>mm</t>
  </si>
  <si>
    <t>Track Thickness</t>
  </si>
  <si>
    <t>Track width</t>
  </si>
  <si>
    <t>Gap between Tracks</t>
  </si>
  <si>
    <t>Number of turns</t>
  </si>
  <si>
    <t>Equi. Diameter of track</t>
  </si>
  <si>
    <t>µm</t>
  </si>
  <si>
    <t>mm²</t>
  </si>
  <si>
    <t>Average Coil Area</t>
  </si>
  <si>
    <t>_ac</t>
  </si>
  <si>
    <t>MATRIX 1</t>
  </si>
  <si>
    <t>Wired:1,8-1,9  /  Etched: 1,75-1,85  /  Printed: 1,7-1,8</t>
  </si>
  <si>
    <t>Perm. Der Luft</t>
  </si>
  <si>
    <t>Formkonstante</t>
  </si>
  <si>
    <t>Calculated Induct</t>
  </si>
  <si>
    <t>_lcalc</t>
  </si>
  <si>
    <t>H</t>
  </si>
  <si>
    <t>_w[µm]</t>
  </si>
  <si>
    <t>_w1</t>
  </si>
  <si>
    <t>_w2</t>
  </si>
  <si>
    <t>_w4</t>
  </si>
  <si>
    <t>_w5</t>
  </si>
  <si>
    <t>_aavg1</t>
  </si>
  <si>
    <t>_aavg2</t>
  </si>
  <si>
    <t>_aavg4</t>
  </si>
  <si>
    <t>_aavg5</t>
  </si>
  <si>
    <t>_k1</t>
  </si>
  <si>
    <t>_k2</t>
  </si>
  <si>
    <t>_k4</t>
  </si>
  <si>
    <t>_k5</t>
  </si>
  <si>
    <t>_lcalc1</t>
  </si>
  <si>
    <t>_lcalc2</t>
  </si>
  <si>
    <t>_lcalc4</t>
  </si>
  <si>
    <t>_lcalc5</t>
  </si>
  <si>
    <t>_nc1</t>
  </si>
  <si>
    <t>_nc2</t>
  </si>
  <si>
    <t>_nc4</t>
  </si>
  <si>
    <t>_nc5</t>
  </si>
  <si>
    <t>_ac1</t>
  </si>
  <si>
    <t>_ac2</t>
  </si>
  <si>
    <t>_ac4</t>
  </si>
  <si>
    <t>_ac5</t>
  </si>
  <si>
    <t>_a01</t>
  </si>
  <si>
    <t>_a02</t>
  </si>
  <si>
    <t>_a04</t>
  </si>
  <si>
    <t>_a05</t>
  </si>
  <si>
    <t>Calculation</t>
  </si>
  <si>
    <t>Calculation1</t>
  </si>
  <si>
    <t>Calculation2</t>
  </si>
  <si>
    <t>Calculation4</t>
  </si>
  <si>
    <t>Calculation5</t>
  </si>
  <si>
    <t>_Lcalc,i</t>
  </si>
  <si>
    <t>Diff</t>
  </si>
  <si>
    <t>Connection Capacitance</t>
  </si>
  <si>
    <t>Coil Capacitance</t>
  </si>
  <si>
    <t>Parallel Cap</t>
  </si>
  <si>
    <t>_cpl</t>
  </si>
  <si>
    <t>_cc</t>
  </si>
  <si>
    <t>_ccon</t>
  </si>
  <si>
    <t>_cict</t>
  </si>
  <si>
    <t>Chip Capacitance (Threshold)</t>
  </si>
  <si>
    <t>(0,5-2 pF)</t>
  </si>
  <si>
    <t>Wired: 5-7 / Etched: 2-4 / Printed: 2-4</t>
  </si>
  <si>
    <t>pF</t>
  </si>
  <si>
    <t>First Inductance Estimation</t>
  </si>
  <si>
    <t>_l0</t>
  </si>
  <si>
    <t>_frt</t>
  </si>
  <si>
    <t>MHz</t>
  </si>
  <si>
    <t>Hz</t>
  </si>
  <si>
    <t>µH</t>
  </si>
  <si>
    <t>m</t>
  </si>
  <si>
    <t>_w[m]</t>
  </si>
  <si>
    <t>_ac,I*nc,I</t>
  </si>
  <si>
    <t>Amax</t>
  </si>
  <si>
    <t>L0 +/-20%</t>
  </si>
  <si>
    <t>F</t>
  </si>
  <si>
    <t>_g1</t>
  </si>
  <si>
    <t>_g2</t>
  </si>
  <si>
    <t>_g4</t>
  </si>
  <si>
    <t>_g5</t>
  </si>
  <si>
    <t>Coil Capacity</t>
  </si>
  <si>
    <t>Parallel Coil Inductance</t>
  </si>
  <si>
    <t>Parallel Coil Resistance</t>
  </si>
  <si>
    <t xml:space="preserve">Quality Factor </t>
  </si>
  <si>
    <t>_lpc</t>
  </si>
  <si>
    <t>_rpc</t>
  </si>
  <si>
    <t>_qpc</t>
  </si>
  <si>
    <t>Parallel Equiv. Label Capa.</t>
  </si>
  <si>
    <t>_cplt,I</t>
  </si>
  <si>
    <t>Difference Lpc,i : Lo,i</t>
  </si>
  <si>
    <t>_lo</t>
  </si>
  <si>
    <t>_lo1</t>
  </si>
  <si>
    <t>_lo2</t>
  </si>
  <si>
    <t>_lo3</t>
  </si>
  <si>
    <t>_lo4</t>
  </si>
  <si>
    <t>_lo5</t>
  </si>
  <si>
    <t>Delta</t>
  </si>
  <si>
    <t>Recalculation and defining the best parameters</t>
  </si>
  <si>
    <t>i</t>
  </si>
  <si>
    <t>_lpc,j</t>
  </si>
  <si>
    <t>_cc,j</t>
  </si>
  <si>
    <t>_nc,j</t>
  </si>
  <si>
    <t>_w,j</t>
  </si>
  <si>
    <t>_j</t>
  </si>
  <si>
    <t>_g,j</t>
  </si>
  <si>
    <t>_p,j</t>
  </si>
  <si>
    <t>x1,j</t>
  </si>
  <si>
    <t>x2,j</t>
  </si>
  <si>
    <t>x3,j</t>
  </si>
  <si>
    <t>x4,j</t>
  </si>
  <si>
    <t>_lo,j</t>
  </si>
  <si>
    <t>Ohm</t>
  </si>
  <si>
    <t>Objectivew Coil Inductance</t>
  </si>
  <si>
    <t>_M2k</t>
  </si>
  <si>
    <t>_M2a01</t>
  </si>
  <si>
    <t>_M2a02</t>
  </si>
  <si>
    <t>_M2a0</t>
  </si>
  <si>
    <t>_M2a04</t>
  </si>
  <si>
    <t>_M2a05</t>
  </si>
  <si>
    <t>_M2t</t>
  </si>
  <si>
    <t>_M2w1</t>
  </si>
  <si>
    <t>_M2w2</t>
  </si>
  <si>
    <t>_M2w</t>
  </si>
  <si>
    <t>_M2w4</t>
  </si>
  <si>
    <t>_M2w5</t>
  </si>
  <si>
    <t>_M2w[µm]</t>
  </si>
  <si>
    <t>_M2w[m]</t>
  </si>
  <si>
    <t>_M2g1</t>
  </si>
  <si>
    <t>_M2g2</t>
  </si>
  <si>
    <t>_M2g</t>
  </si>
  <si>
    <t>_M2g4</t>
  </si>
  <si>
    <t>_M2g5</t>
  </si>
  <si>
    <t>_M2nc1</t>
  </si>
  <si>
    <t>_M2nc2</t>
  </si>
  <si>
    <t>_M2nc</t>
  </si>
  <si>
    <t>_M2nc4</t>
  </si>
  <si>
    <t>_M2nc5</t>
  </si>
  <si>
    <t>_M2d</t>
  </si>
  <si>
    <t>_M2p</t>
  </si>
  <si>
    <t>_M2aavg1</t>
  </si>
  <si>
    <t>_M2aavg2</t>
  </si>
  <si>
    <t>_M2aavg</t>
  </si>
  <si>
    <t>_M2aavg4</t>
  </si>
  <si>
    <t>_M2aavg5</t>
  </si>
  <si>
    <t>_M2Lcalc,i</t>
  </si>
  <si>
    <t>_M2ac,I*nc,I</t>
  </si>
  <si>
    <t>MATRIX RUN 1</t>
  </si>
  <si>
    <t>GENERAL PARAMETERS</t>
  </si>
  <si>
    <t>Measurements of MATRIX RUN 1</t>
  </si>
  <si>
    <t>Decision on "best fit" coil</t>
  </si>
  <si>
    <t>MATRIX RUN 2</t>
  </si>
  <si>
    <t>MATRIX 2</t>
  </si>
  <si>
    <t>k</t>
  </si>
  <si>
    <t>j</t>
  </si>
  <si>
    <t>Decision Process</t>
  </si>
  <si>
    <t>Chip Capacitance</t>
  </si>
  <si>
    <t>Measurements of MATRIX RUN 2</t>
  </si>
  <si>
    <t>Resonance frequency threshold</t>
  </si>
  <si>
    <t>Resonance frequency unloaded</t>
  </si>
  <si>
    <t>_fr0</t>
  </si>
  <si>
    <t>Measurement of Label (Coil with IC)</t>
  </si>
  <si>
    <t>Measurement of Coil without IC</t>
  </si>
  <si>
    <t>Calculation of Nominal Label Resonance frequency</t>
  </si>
  <si>
    <t>_cplt,k</t>
  </si>
  <si>
    <t>Nominal Coil res. Frequency T</t>
  </si>
  <si>
    <t>_lfrtnom</t>
  </si>
  <si>
    <t>_lfrtnom1</t>
  </si>
  <si>
    <t>_lfrtnom2</t>
  </si>
  <si>
    <t>_lfrtnom3</t>
  </si>
  <si>
    <t>_lfrtnom4</t>
  </si>
  <si>
    <t>_lfrtnom5</t>
  </si>
  <si>
    <t>Ideal Label Resonance Frequency</t>
  </si>
  <si>
    <t>_fideal</t>
  </si>
  <si>
    <t>Label/Coil Number</t>
  </si>
  <si>
    <t>Turn Numbers</t>
  </si>
  <si>
    <t>Track Width</t>
  </si>
  <si>
    <t>Decision on best Label</t>
  </si>
  <si>
    <t>a</t>
  </si>
  <si>
    <t>N</t>
  </si>
  <si>
    <t>w</t>
  </si>
  <si>
    <t>g</t>
  </si>
  <si>
    <t>Coil Design Guide - Calculation Sheet</t>
  </si>
  <si>
    <t>Fields in this colour have to be filled out</t>
  </si>
  <si>
    <t>Fields in this colour contain unchangeabel or calculated data and cannot be changes manually</t>
  </si>
  <si>
    <t>IMPORTANT NOTE:</t>
  </si>
  <si>
    <t>Overall Diameter</t>
  </si>
  <si>
    <t>Average coil circiumference</t>
  </si>
  <si>
    <t>_l</t>
  </si>
  <si>
    <t>Average Diameter</t>
  </si>
  <si>
    <t>_avgD</t>
  </si>
  <si>
    <t>_D0</t>
  </si>
  <si>
    <t>nH</t>
  </si>
  <si>
    <t>_ac3</t>
  </si>
  <si>
    <t>_lcalc3</t>
  </si>
  <si>
    <t>_d0,j</t>
  </si>
  <si>
    <t>Diameter</t>
  </si>
  <si>
    <t>_Lg</t>
  </si>
  <si>
    <t>Lagen</t>
  </si>
  <si>
    <t>Turn Exponent</t>
  </si>
  <si>
    <t>Turn exponent (determined)</t>
  </si>
  <si>
    <t>Number of layers (usually 1)</t>
  </si>
  <si>
    <t>Ideal resonance frequency</t>
  </si>
  <si>
    <t>Asked at NXP</t>
  </si>
  <si>
    <t>(17pF or 50 pF)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</si>
</sst>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b/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sz val="10"/>
      <color indexed="43"/>
      <name val="Arial"/>
      <family val="2"/>
    </font>
    <font>
      <b/>
      <sz val="20"/>
      <name val="Arial"/>
      <family val="2"/>
    </font>
    <font>
      <sz val="10"/>
      <color indexed="11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8"/>
      <color indexed="11"/>
      <name val="Arial"/>
      <family val="2"/>
    </font>
    <font>
      <sz val="14"/>
      <name val="Arial"/>
      <family val="2"/>
    </font>
    <font>
      <b/>
      <sz val="24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 applyProtection="1">
      <protection locked="0"/>
    </xf>
    <xf numFmtId="0" fontId="1" fillId="0" borderId="0" xfId="0" applyFont="1"/>
    <xf numFmtId="0" fontId="5" fillId="0" borderId="0" xfId="0" applyFont="1"/>
    <xf numFmtId="0" fontId="0" fillId="3" borderId="0" xfId="0" applyFill="1"/>
    <xf numFmtId="0" fontId="2" fillId="0" borderId="0" xfId="0" applyFont="1"/>
    <xf numFmtId="11" fontId="2" fillId="0" borderId="0" xfId="0" quotePrefix="1" applyNumberFormat="1" applyFont="1"/>
    <xf numFmtId="0" fontId="2" fillId="3" borderId="0" xfId="0" applyFont="1" applyFill="1"/>
    <xf numFmtId="0" fontId="3" fillId="3" borderId="0" xfId="0" applyFont="1" applyFill="1"/>
    <xf numFmtId="0" fontId="1" fillId="3" borderId="0" xfId="0" applyFont="1" applyFill="1"/>
    <xf numFmtId="9" fontId="0" fillId="3" borderId="0" xfId="0" applyNumberFormat="1" applyFill="1"/>
    <xf numFmtId="0" fontId="0" fillId="2" borderId="0" xfId="0" applyFill="1" applyProtection="1">
      <protection locked="0"/>
    </xf>
    <xf numFmtId="0" fontId="7" fillId="0" borderId="0" xfId="0" applyFont="1"/>
    <xf numFmtId="0" fontId="0" fillId="4" borderId="0" xfId="0" applyFill="1"/>
    <xf numFmtId="0" fontId="6" fillId="4" borderId="0" xfId="0" applyFont="1" applyFill="1"/>
    <xf numFmtId="0" fontId="4" fillId="3" borderId="0" xfId="0" applyFont="1" applyFill="1"/>
    <xf numFmtId="0" fontId="5" fillId="4" borderId="1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1" fillId="4" borderId="4" xfId="0" applyFont="1" applyFill="1" applyBorder="1"/>
    <xf numFmtId="0" fontId="0" fillId="4" borderId="5" xfId="0" applyFill="1" applyBorder="1"/>
    <xf numFmtId="0" fontId="10" fillId="4" borderId="4" xfId="0" applyFont="1" applyFill="1" applyBorder="1"/>
    <xf numFmtId="0" fontId="8" fillId="4" borderId="0" xfId="0" applyFont="1" applyFill="1"/>
    <xf numFmtId="0" fontId="9" fillId="4" borderId="0" xfId="0" applyFont="1" applyFill="1"/>
    <xf numFmtId="0" fontId="10" fillId="4" borderId="6" xfId="0" applyFont="1" applyFill="1" applyBorder="1"/>
    <xf numFmtId="0" fontId="8" fillId="4" borderId="7" xfId="0" applyFont="1" applyFill="1" applyBorder="1"/>
    <xf numFmtId="0" fontId="9" fillId="4" borderId="7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11" fillId="5" borderId="9" xfId="0" applyFont="1" applyFill="1" applyBorder="1" applyAlignment="1">
      <alignment horizontal="center"/>
    </xf>
    <xf numFmtId="0" fontId="11" fillId="5" borderId="10" xfId="0" applyFont="1" applyFill="1" applyBorder="1" applyAlignment="1">
      <alignment horizontal="center"/>
    </xf>
    <xf numFmtId="0" fontId="11" fillId="5" borderId="11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5"/>
  <sheetViews>
    <sheetView tabSelected="1" topLeftCell="B19" zoomScale="135" zoomScaleNormal="124" workbookViewId="0">
      <selection activeCell="D31" sqref="D31"/>
    </sheetView>
  </sheetViews>
  <sheetFormatPr defaultColWidth="9.1796875" defaultRowHeight="12.5" x14ac:dyDescent="0.25"/>
  <cols>
    <col min="1" max="1" width="27.54296875" customWidth="1"/>
    <col min="3" max="3" width="15.7265625" customWidth="1"/>
    <col min="4" max="4" width="14.26953125" bestFit="1" customWidth="1"/>
    <col min="5" max="7" width="15.7265625" customWidth="1"/>
  </cols>
  <sheetData>
    <row r="1" spans="1:8" ht="30.5" thickBot="1" x14ac:dyDescent="0.65">
      <c r="A1" s="29" t="s">
        <v>194</v>
      </c>
      <c r="B1" s="30"/>
      <c r="C1" s="30"/>
      <c r="D1" s="30"/>
      <c r="E1" s="30"/>
      <c r="F1" s="30"/>
      <c r="G1" s="30"/>
      <c r="H1" s="31"/>
    </row>
    <row r="2" spans="1:8" ht="13.5" thickBot="1" x14ac:dyDescent="0.35">
      <c r="A2" s="2" t="s">
        <v>197</v>
      </c>
    </row>
    <row r="3" spans="1:8" ht="13.5" thickBot="1" x14ac:dyDescent="0.35">
      <c r="A3" s="35" t="s">
        <v>195</v>
      </c>
      <c r="B3" s="36"/>
      <c r="C3" s="36"/>
      <c r="D3" s="36"/>
      <c r="E3" s="36"/>
      <c r="F3" s="36"/>
      <c r="G3" s="36"/>
      <c r="H3" s="37"/>
    </row>
    <row r="4" spans="1:8" ht="13.5" thickBot="1" x14ac:dyDescent="0.35">
      <c r="A4" s="32" t="s">
        <v>196</v>
      </c>
      <c r="B4" s="33"/>
      <c r="C4" s="33"/>
      <c r="D4" s="33"/>
      <c r="E4" s="33"/>
      <c r="F4" s="33"/>
      <c r="G4" s="33"/>
      <c r="H4" s="34"/>
    </row>
    <row r="6" spans="1:8" ht="25" x14ac:dyDescent="0.5">
      <c r="A6" s="3" t="s">
        <v>160</v>
      </c>
    </row>
    <row r="8" spans="1:8" ht="13" x14ac:dyDescent="0.3">
      <c r="A8" s="4" t="s">
        <v>214</v>
      </c>
      <c r="B8" s="4" t="s">
        <v>185</v>
      </c>
      <c r="C8" s="1">
        <v>13.56</v>
      </c>
      <c r="D8" s="4" t="s">
        <v>80</v>
      </c>
      <c r="E8" s="4">
        <f>C8*1000000</f>
        <v>13560000</v>
      </c>
      <c r="F8" s="4" t="s">
        <v>81</v>
      </c>
      <c r="G8" s="4"/>
      <c r="H8" s="4"/>
    </row>
    <row r="9" spans="1:8" ht="13" x14ac:dyDescent="0.3">
      <c r="A9" s="4" t="s">
        <v>73</v>
      </c>
      <c r="B9" s="4" t="s">
        <v>72</v>
      </c>
      <c r="C9" s="1">
        <v>50</v>
      </c>
      <c r="D9" s="4" t="s">
        <v>76</v>
      </c>
      <c r="E9" s="4" t="s">
        <v>216</v>
      </c>
      <c r="F9" s="4"/>
      <c r="G9" s="4"/>
      <c r="H9" s="4"/>
    </row>
    <row r="10" spans="1:8" ht="13" x14ac:dyDescent="0.3">
      <c r="A10" s="4" t="s">
        <v>66</v>
      </c>
      <c r="B10" s="4" t="s">
        <v>71</v>
      </c>
      <c r="C10" s="1">
        <v>0</v>
      </c>
      <c r="D10" s="4" t="s">
        <v>76</v>
      </c>
      <c r="E10" s="4" t="s">
        <v>74</v>
      </c>
      <c r="F10" s="4"/>
      <c r="G10" s="4"/>
      <c r="H10" s="4"/>
    </row>
    <row r="11" spans="1:8" ht="13" x14ac:dyDescent="0.3">
      <c r="A11" s="4" t="s">
        <v>67</v>
      </c>
      <c r="B11" s="4" t="s">
        <v>70</v>
      </c>
      <c r="C11" s="1">
        <v>0</v>
      </c>
      <c r="D11" s="4" t="s">
        <v>76</v>
      </c>
      <c r="E11" s="4" t="s">
        <v>75</v>
      </c>
      <c r="F11" s="4"/>
      <c r="G11" s="4"/>
      <c r="H11" s="4"/>
    </row>
    <row r="12" spans="1:8" x14ac:dyDescent="0.25">
      <c r="A12" s="4" t="s">
        <v>68</v>
      </c>
      <c r="B12" s="4" t="s">
        <v>69</v>
      </c>
      <c r="C12" s="8">
        <f>SUM(C9:C11)</f>
        <v>50</v>
      </c>
      <c r="D12" s="4" t="s">
        <v>76</v>
      </c>
      <c r="E12" s="4">
        <f>C12*0.000000000001</f>
        <v>5.0000000000000002E-11</v>
      </c>
      <c r="F12" s="4" t="s">
        <v>88</v>
      </c>
      <c r="G12" s="4"/>
      <c r="H12" s="4"/>
    </row>
    <row r="14" spans="1:8" x14ac:dyDescent="0.25">
      <c r="A14" s="4" t="s">
        <v>77</v>
      </c>
      <c r="B14" s="4" t="s">
        <v>78</v>
      </c>
      <c r="C14" s="4">
        <f>1/((2*PI()*E8)^2*E12)</f>
        <v>2.7551857265626438E-6</v>
      </c>
      <c r="D14" s="4" t="s">
        <v>29</v>
      </c>
      <c r="E14" s="4">
        <f>C14*1000000</f>
        <v>2.7551857265626438</v>
      </c>
      <c r="F14" s="4" t="s">
        <v>82</v>
      </c>
      <c r="G14" s="4"/>
      <c r="H14" s="4"/>
    </row>
    <row r="17" spans="1:8" ht="25" x14ac:dyDescent="0.5">
      <c r="A17" s="3" t="s">
        <v>159</v>
      </c>
    </row>
    <row r="19" spans="1:8" s="5" customFormat="1" ht="8" x14ac:dyDescent="0.2">
      <c r="A19" s="5" t="s">
        <v>25</v>
      </c>
      <c r="B19" s="5" t="s">
        <v>2</v>
      </c>
      <c r="C19" s="6">
        <f>4*PI()*0.0000001</f>
        <v>1.2566370614359173E-6</v>
      </c>
      <c r="D19" s="5" t="s">
        <v>0</v>
      </c>
    </row>
    <row r="20" spans="1:8" s="5" customFormat="1" ht="8" x14ac:dyDescent="0.2">
      <c r="A20" s="5" t="s">
        <v>1</v>
      </c>
      <c r="B20" s="5" t="s">
        <v>3</v>
      </c>
      <c r="C20" s="5">
        <f>PI()</f>
        <v>3.1415926535897931</v>
      </c>
    </row>
    <row r="21" spans="1:8" s="5" customFormat="1" ht="8" x14ac:dyDescent="0.2">
      <c r="C21" s="5" t="s">
        <v>39</v>
      </c>
      <c r="D21" s="5" t="s">
        <v>40</v>
      </c>
      <c r="E21" s="5" t="s">
        <v>4</v>
      </c>
      <c r="F21" s="5" t="s">
        <v>41</v>
      </c>
      <c r="G21" s="5" t="s">
        <v>42</v>
      </c>
    </row>
    <row r="22" spans="1:8" s="5" customFormat="1" ht="8" x14ac:dyDescent="0.2">
      <c r="A22" s="5" t="s">
        <v>26</v>
      </c>
      <c r="B22" s="5" t="s">
        <v>4</v>
      </c>
      <c r="C22" s="5">
        <f>$C$19/PI()*(C40+C41-C42+C43)</f>
        <v>4.0000000000000003E-7</v>
      </c>
      <c r="D22" s="5">
        <f>$C$19/PI()*(D40+D41-D42+D43)</f>
        <v>4.0000000000000003E-7</v>
      </c>
      <c r="E22" s="5">
        <f>$C$19/PI()*(E40+E41-E42+E43)</f>
        <v>0</v>
      </c>
      <c r="F22" s="5">
        <f>$C$19/PI()*(F40+F41-F42+F43)</f>
        <v>0</v>
      </c>
      <c r="G22" s="5">
        <f>$C$19/PI()*(G40+G41-G42+G43)</f>
        <v>0</v>
      </c>
    </row>
    <row r="23" spans="1:8" x14ac:dyDescent="0.25">
      <c r="A23" s="7"/>
      <c r="B23" s="7" t="s">
        <v>86</v>
      </c>
      <c r="C23" s="7" t="s">
        <v>55</v>
      </c>
      <c r="D23" s="7" t="s">
        <v>56</v>
      </c>
      <c r="E23" s="7" t="s">
        <v>11</v>
      </c>
      <c r="F23" s="7" t="s">
        <v>57</v>
      </c>
      <c r="G23" s="7" t="s">
        <v>58</v>
      </c>
      <c r="H23" s="7"/>
    </row>
    <row r="24" spans="1:8" ht="13" x14ac:dyDescent="0.3">
      <c r="A24" s="4" t="s">
        <v>198</v>
      </c>
      <c r="B24" s="1"/>
      <c r="C24" s="1">
        <v>41</v>
      </c>
      <c r="D24" s="1">
        <v>46</v>
      </c>
      <c r="E24" s="1"/>
      <c r="F24" s="1"/>
      <c r="G24" s="1"/>
      <c r="H24" s="4" t="s">
        <v>13</v>
      </c>
    </row>
    <row r="25" spans="1:8" s="5" customFormat="1" ht="8" x14ac:dyDescent="0.2">
      <c r="B25" s="5" t="s">
        <v>203</v>
      </c>
      <c r="C25" s="5">
        <f>C24/1000</f>
        <v>4.1000000000000002E-2</v>
      </c>
      <c r="D25" s="5">
        <f>D24/1000</f>
        <v>4.5999999999999999E-2</v>
      </c>
      <c r="E25" s="5">
        <f>E24/1000</f>
        <v>0</v>
      </c>
      <c r="F25" s="5">
        <f>F24/1000</f>
        <v>0</v>
      </c>
      <c r="G25" s="5">
        <f>G24/1000</f>
        <v>0</v>
      </c>
      <c r="H25" s="5" t="s">
        <v>83</v>
      </c>
    </row>
    <row r="26" spans="1:8" ht="13" x14ac:dyDescent="0.3">
      <c r="A26" s="4" t="s">
        <v>14</v>
      </c>
      <c r="B26" s="4" t="s">
        <v>6</v>
      </c>
      <c r="C26" s="1">
        <v>34.79</v>
      </c>
      <c r="D26" s="4" t="s">
        <v>19</v>
      </c>
      <c r="E26" s="4">
        <f>C26/1000000</f>
        <v>3.4789999999999997E-5</v>
      </c>
      <c r="F26" s="4" t="s">
        <v>83</v>
      </c>
      <c r="G26" s="4"/>
      <c r="H26" s="4"/>
    </row>
    <row r="27" spans="1:8" s="5" customFormat="1" ht="8" x14ac:dyDescent="0.2">
      <c r="C27" s="5" t="s">
        <v>31</v>
      </c>
      <c r="D27" s="5" t="s">
        <v>32</v>
      </c>
      <c r="E27" s="5" t="s">
        <v>7</v>
      </c>
      <c r="F27" s="5" t="s">
        <v>33</v>
      </c>
      <c r="G27" s="5" t="s">
        <v>34</v>
      </c>
    </row>
    <row r="28" spans="1:8" ht="13" x14ac:dyDescent="0.3">
      <c r="A28" s="4" t="s">
        <v>15</v>
      </c>
      <c r="B28" s="4" t="s">
        <v>30</v>
      </c>
      <c r="C28" s="1">
        <v>300</v>
      </c>
      <c r="D28" s="1">
        <v>240</v>
      </c>
      <c r="E28" s="1"/>
      <c r="F28" s="1"/>
      <c r="G28" s="1"/>
      <c r="H28" s="4" t="s">
        <v>19</v>
      </c>
    </row>
    <row r="29" spans="1:8" s="5" customFormat="1" ht="8" x14ac:dyDescent="0.2">
      <c r="B29" s="5" t="s">
        <v>84</v>
      </c>
      <c r="C29" s="5">
        <f>C28/1000000</f>
        <v>2.9999999999999997E-4</v>
      </c>
      <c r="D29" s="5">
        <f>D28/1000000</f>
        <v>2.4000000000000001E-4</v>
      </c>
      <c r="E29" s="5">
        <f>E28/1000000</f>
        <v>0</v>
      </c>
      <c r="F29" s="5">
        <f>F28/1000000</f>
        <v>0</v>
      </c>
      <c r="G29" s="5">
        <f>G28/1000000</f>
        <v>0</v>
      </c>
    </row>
    <row r="30" spans="1:8" s="5" customFormat="1" ht="8" x14ac:dyDescent="0.2">
      <c r="C30" s="5" t="s">
        <v>89</v>
      </c>
      <c r="D30" s="5" t="s">
        <v>90</v>
      </c>
      <c r="E30" s="5" t="s">
        <v>8</v>
      </c>
      <c r="F30" s="5" t="s">
        <v>91</v>
      </c>
      <c r="G30" s="5" t="s">
        <v>92</v>
      </c>
    </row>
    <row r="31" spans="1:8" ht="13" x14ac:dyDescent="0.3">
      <c r="A31" s="4" t="s">
        <v>16</v>
      </c>
      <c r="B31" s="8" t="s">
        <v>8</v>
      </c>
      <c r="C31" s="1">
        <v>300</v>
      </c>
      <c r="D31" s="1">
        <v>300</v>
      </c>
      <c r="E31" s="1"/>
      <c r="F31" s="1"/>
      <c r="G31" s="1"/>
      <c r="H31" s="4" t="s">
        <v>19</v>
      </c>
    </row>
    <row r="32" spans="1:8" s="5" customFormat="1" ht="8" x14ac:dyDescent="0.2">
      <c r="C32" s="5">
        <f>C31/1000000</f>
        <v>2.9999999999999997E-4</v>
      </c>
      <c r="D32" s="5">
        <f>D31/1000000</f>
        <v>2.9999999999999997E-4</v>
      </c>
      <c r="E32" s="5">
        <f>E31/1000000</f>
        <v>0</v>
      </c>
      <c r="F32" s="5">
        <f>F31/1000000</f>
        <v>0</v>
      </c>
      <c r="G32" s="5">
        <f>G31/1000000</f>
        <v>0</v>
      </c>
      <c r="H32" s="5" t="s">
        <v>83</v>
      </c>
    </row>
    <row r="33" spans="1:8" s="5" customFormat="1" ht="8" x14ac:dyDescent="0.2">
      <c r="C33" s="5" t="s">
        <v>47</v>
      </c>
      <c r="D33" s="5" t="s">
        <v>48</v>
      </c>
      <c r="E33" s="5" t="s">
        <v>9</v>
      </c>
      <c r="F33" s="5" t="s">
        <v>49</v>
      </c>
      <c r="G33" s="5" t="s">
        <v>50</v>
      </c>
    </row>
    <row r="34" spans="1:8" ht="13" x14ac:dyDescent="0.3">
      <c r="A34" s="4" t="s">
        <v>17</v>
      </c>
      <c r="B34" s="4" t="s">
        <v>9</v>
      </c>
      <c r="C34" s="1">
        <v>5</v>
      </c>
      <c r="D34" s="1">
        <v>5</v>
      </c>
      <c r="E34" s="1"/>
      <c r="F34" s="1"/>
      <c r="G34" s="1"/>
      <c r="H34" s="4"/>
    </row>
    <row r="35" spans="1:8" s="5" customFormat="1" ht="8" x14ac:dyDescent="0.2">
      <c r="A35" s="5" t="s">
        <v>18</v>
      </c>
      <c r="B35" s="5" t="s">
        <v>10</v>
      </c>
      <c r="C35" s="5">
        <f>(2*($E$26+C29))/PI()</f>
        <v>2.1313393359094254E-4</v>
      </c>
      <c r="D35" s="5">
        <f>(2*($E$26+D29))/PI()</f>
        <v>1.7493674724888771E-4</v>
      </c>
      <c r="E35" s="5">
        <f>(2*($E$26+E29))/PI()</f>
        <v>2.2148001880668153E-5</v>
      </c>
      <c r="F35" s="5">
        <f>(2*($E$26+F29))/PI()</f>
        <v>2.2148001880668153E-5</v>
      </c>
      <c r="G35" s="5">
        <f>(2*($E$26+G29))/PI()</f>
        <v>2.2148001880668153E-5</v>
      </c>
    </row>
    <row r="36" spans="1:8" ht="13" x14ac:dyDescent="0.3">
      <c r="A36" s="4" t="s">
        <v>211</v>
      </c>
      <c r="B36" s="4" t="s">
        <v>12</v>
      </c>
      <c r="C36" s="1">
        <v>1.8</v>
      </c>
      <c r="D36" s="4"/>
      <c r="E36" s="4" t="s">
        <v>24</v>
      </c>
      <c r="F36" s="4"/>
      <c r="G36" s="4"/>
      <c r="H36" s="4"/>
    </row>
    <row r="37" spans="1:8" s="5" customFormat="1" ht="8" x14ac:dyDescent="0.2">
      <c r="C37" s="5" t="s">
        <v>35</v>
      </c>
      <c r="D37" s="5" t="s">
        <v>36</v>
      </c>
      <c r="E37" s="5" t="s">
        <v>5</v>
      </c>
      <c r="F37" s="5" t="s">
        <v>37</v>
      </c>
      <c r="G37" s="5" t="s">
        <v>38</v>
      </c>
    </row>
    <row r="38" spans="1:8" s="5" customFormat="1" ht="8" x14ac:dyDescent="0.2">
      <c r="A38" s="5" t="s">
        <v>201</v>
      </c>
      <c r="B38" s="5" t="s">
        <v>202</v>
      </c>
      <c r="C38" s="5">
        <f>C25-C34*(C32+C29)/C40</f>
        <v>3.7999999999999999E-2</v>
      </c>
      <c r="D38" s="5">
        <f>D25-D34*(D32+D29)/D40</f>
        <v>4.3299999999999998E-2</v>
      </c>
      <c r="E38" s="5" t="e">
        <f>E25-E34*(E32+E29)/E40</f>
        <v>#DIV/0!</v>
      </c>
      <c r="F38" s="5" t="e">
        <f>F25-F34*(F32+F29)/F40</f>
        <v>#DIV/0!</v>
      </c>
      <c r="G38" s="5" t="e">
        <f>G25-G34*(G32+G29)/G40</f>
        <v>#DIV/0!</v>
      </c>
    </row>
    <row r="39" spans="1:8" s="5" customFormat="1" ht="8" x14ac:dyDescent="0.2">
      <c r="A39" s="5" t="s">
        <v>199</v>
      </c>
      <c r="B39" s="5" t="s">
        <v>200</v>
      </c>
      <c r="C39" s="5">
        <f>C38*PI()</f>
        <v>0.11938052083641214</v>
      </c>
      <c r="D39" s="5">
        <f>D38*PI()</f>
        <v>0.13603096190043804</v>
      </c>
      <c r="E39" s="5" t="e">
        <f>E38*PI()</f>
        <v>#DIV/0!</v>
      </c>
      <c r="F39" s="5" t="e">
        <f>F38*PI()</f>
        <v>#DIV/0!</v>
      </c>
      <c r="G39" s="5" t="e">
        <f>G38*PI()</f>
        <v>#DIV/0!</v>
      </c>
    </row>
    <row r="40" spans="1:8" s="5" customFormat="1" ht="13" x14ac:dyDescent="0.3">
      <c r="A40" s="8" t="s">
        <v>213</v>
      </c>
      <c r="B40" s="8" t="s">
        <v>209</v>
      </c>
      <c r="C40" s="1">
        <v>1</v>
      </c>
      <c r="D40" s="1">
        <v>1</v>
      </c>
      <c r="E40" s="1"/>
      <c r="F40" s="1"/>
      <c r="G40" s="1"/>
      <c r="H40" s="7"/>
    </row>
    <row r="41" spans="1:8" s="5" customFormat="1" ht="8" x14ac:dyDescent="0.2"/>
    <row r="42" spans="1:8" s="5" customFormat="1" ht="8" x14ac:dyDescent="0.2"/>
    <row r="43" spans="1:8" s="5" customFormat="1" ht="8" x14ac:dyDescent="0.2"/>
    <row r="44" spans="1:8" s="5" customFormat="1" ht="8" x14ac:dyDescent="0.2">
      <c r="C44" s="5" t="s">
        <v>51</v>
      </c>
      <c r="D44" s="5" t="s">
        <v>52</v>
      </c>
      <c r="E44" s="5" t="s">
        <v>205</v>
      </c>
      <c r="F44" s="5" t="s">
        <v>53</v>
      </c>
      <c r="G44" s="5" t="s">
        <v>54</v>
      </c>
    </row>
    <row r="45" spans="1:8" s="5" customFormat="1" ht="8" x14ac:dyDescent="0.2">
      <c r="A45" s="5" t="s">
        <v>21</v>
      </c>
      <c r="B45" s="5" t="s">
        <v>22</v>
      </c>
      <c r="C45" s="5">
        <f>C38^2*PI()/4*1000000</f>
        <v>1134.1149479459152</v>
      </c>
      <c r="D45" s="5">
        <f>D38^2*PI()/4*1000000</f>
        <v>1472.5351625722417</v>
      </c>
      <c r="E45" s="5" t="e">
        <f>E38^2*PI()/4*1000000</f>
        <v>#DIV/0!</v>
      </c>
      <c r="F45" s="5" t="e">
        <f>F38^2*PI()/4*1000000</f>
        <v>#DIV/0!</v>
      </c>
      <c r="G45" s="5" t="e">
        <f>G38^2*PI()/4*1000000</f>
        <v>#DIV/0!</v>
      </c>
      <c r="H45" s="5" t="s">
        <v>20</v>
      </c>
    </row>
    <row r="46" spans="1:8" s="5" customFormat="1" ht="8" x14ac:dyDescent="0.2">
      <c r="C46" s="5" t="s">
        <v>43</v>
      </c>
      <c r="D46" s="5" t="s">
        <v>44</v>
      </c>
      <c r="E46" s="5" t="s">
        <v>206</v>
      </c>
      <c r="F46" s="5" t="s">
        <v>45</v>
      </c>
      <c r="G46" s="5" t="s">
        <v>46</v>
      </c>
    </row>
    <row r="47" spans="1:8" s="5" customFormat="1" ht="8" x14ac:dyDescent="0.2">
      <c r="A47" s="5" t="s">
        <v>27</v>
      </c>
      <c r="B47" s="5" t="s">
        <v>28</v>
      </c>
      <c r="C47" s="5">
        <f>2*C39*100*(LN((C39*100)/(C35*100))-1.07)*C34^$C36</f>
        <v>2274.7961794736175</v>
      </c>
      <c r="D47" s="5">
        <f>2*D39*100*(LN((D39*100)/(D35*100))-1.07)*D34^$C36</f>
        <v>2753.7929880064362</v>
      </c>
      <c r="E47" s="5" t="e">
        <f>2*E39*100*(LN((E39*100)/(E35*100))-1.07)*E34^$C36</f>
        <v>#DIV/0!</v>
      </c>
      <c r="F47" s="5" t="e">
        <f>2*F39*100*(LN((F39*100)/(F35*100))-1.07)*F34^$C36</f>
        <v>#DIV/0!</v>
      </c>
      <c r="G47" s="5" t="e">
        <f>2*G39*100*(LN((G39*100)/(G35*100))-1.07)*G34^$C36</f>
        <v>#DIV/0!</v>
      </c>
      <c r="H47" s="5" t="s">
        <v>204</v>
      </c>
    </row>
    <row r="48" spans="1:8" s="5" customFormat="1" ht="8" x14ac:dyDescent="0.2">
      <c r="C48" s="5">
        <f>C47/1000</f>
        <v>2.2747961794736176</v>
      </c>
      <c r="D48" s="5">
        <f>D47/1000</f>
        <v>2.753792988006436</v>
      </c>
      <c r="E48" s="5" t="e">
        <f>E47/1000</f>
        <v>#DIV/0!</v>
      </c>
      <c r="F48" s="5" t="e">
        <f>F47/1000</f>
        <v>#DIV/0!</v>
      </c>
      <c r="G48" s="5" t="e">
        <f>G47/1000</f>
        <v>#DIV/0!</v>
      </c>
      <c r="H48" s="5" t="s">
        <v>82</v>
      </c>
    </row>
    <row r="49" spans="1:8" ht="13" x14ac:dyDescent="0.3">
      <c r="A49" s="4" t="s">
        <v>23</v>
      </c>
      <c r="B49" s="4" t="s">
        <v>111</v>
      </c>
      <c r="C49" s="9" t="s">
        <v>60</v>
      </c>
      <c r="D49" s="9" t="s">
        <v>61</v>
      </c>
      <c r="E49" s="9" t="s">
        <v>59</v>
      </c>
      <c r="F49" s="9" t="s">
        <v>62</v>
      </c>
      <c r="G49" s="9" t="s">
        <v>63</v>
      </c>
      <c r="H49" s="4"/>
    </row>
    <row r="50" spans="1:8" x14ac:dyDescent="0.25">
      <c r="A50" s="4"/>
      <c r="B50" s="4"/>
      <c r="C50" s="10">
        <v>-0.2</v>
      </c>
      <c r="D50" s="10">
        <v>-0.1</v>
      </c>
      <c r="E50" s="4"/>
      <c r="F50" s="10">
        <v>0.1</v>
      </c>
      <c r="G50" s="10">
        <v>0.2</v>
      </c>
      <c r="H50" s="4"/>
    </row>
    <row r="51" spans="1:8" x14ac:dyDescent="0.25">
      <c r="A51" s="4"/>
      <c r="B51" s="4" t="s">
        <v>87</v>
      </c>
      <c r="C51" s="4">
        <f>0.8*E51</f>
        <v>2.2041485812501151</v>
      </c>
      <c r="D51" s="4">
        <f>0.9*E51</f>
        <v>2.4796671539063797</v>
      </c>
      <c r="E51" s="4">
        <f>E14</f>
        <v>2.7551857265626438</v>
      </c>
      <c r="F51" s="4">
        <f>1.1*E51</f>
        <v>3.0307042992189084</v>
      </c>
      <c r="G51" s="4">
        <f>1.2*E51</f>
        <v>3.3062228718751725</v>
      </c>
      <c r="H51" s="4"/>
    </row>
    <row r="52" spans="1:8" ht="13" x14ac:dyDescent="0.3">
      <c r="A52" s="4"/>
      <c r="B52" s="4" t="s">
        <v>65</v>
      </c>
      <c r="C52" s="9">
        <f>C51-C48</f>
        <v>-7.0647598223502417E-2</v>
      </c>
      <c r="D52" s="9">
        <f>D51-D48</f>
        <v>-0.27412583410005631</v>
      </c>
      <c r="E52" s="9" t="e">
        <f>E51-E48</f>
        <v>#DIV/0!</v>
      </c>
      <c r="F52" s="9" t="e">
        <f>F51-F48</f>
        <v>#DIV/0!</v>
      </c>
      <c r="G52" s="9" t="e">
        <f>G51-G48</f>
        <v>#DIV/0!</v>
      </c>
      <c r="H52" s="4"/>
    </row>
    <row r="53" spans="1:8" x14ac:dyDescent="0.25">
      <c r="A53" s="4"/>
      <c r="B53" s="4" t="s">
        <v>64</v>
      </c>
      <c r="C53" s="4">
        <f>C48</f>
        <v>2.2747961794736176</v>
      </c>
      <c r="D53" s="4">
        <f>D48</f>
        <v>2.753792988006436</v>
      </c>
      <c r="E53" s="4" t="e">
        <f>E48</f>
        <v>#DIV/0!</v>
      </c>
      <c r="F53" s="4" t="e">
        <f>F48</f>
        <v>#DIV/0!</v>
      </c>
      <c r="G53" s="4" t="e">
        <f>G48</f>
        <v>#DIV/0!</v>
      </c>
      <c r="H53" s="4"/>
    </row>
    <row r="54" spans="1:8" x14ac:dyDescent="0.25">
      <c r="A54" s="4"/>
      <c r="B54" s="4" t="s">
        <v>85</v>
      </c>
      <c r="C54" s="4">
        <f>C45*C34</f>
        <v>5670.5747397295763</v>
      </c>
      <c r="D54" s="4">
        <f>D45*D34</f>
        <v>7362.6758128612082</v>
      </c>
      <c r="E54" s="4" t="e">
        <f>E45*E34</f>
        <v>#DIV/0!</v>
      </c>
      <c r="F54" s="4" t="e">
        <f>F45*F34</f>
        <v>#DIV/0!</v>
      </c>
      <c r="G54" s="4" t="e">
        <f>G45*G34</f>
        <v>#DIV/0!</v>
      </c>
      <c r="H54" s="4"/>
    </row>
    <row r="57" spans="1:8" ht="25" x14ac:dyDescent="0.5">
      <c r="A57" s="3" t="s">
        <v>161</v>
      </c>
    </row>
    <row r="59" spans="1:8" x14ac:dyDescent="0.25">
      <c r="A59" s="4"/>
      <c r="B59" s="4" t="s">
        <v>166</v>
      </c>
      <c r="C59" s="4">
        <v>1</v>
      </c>
      <c r="D59" s="4">
        <v>2</v>
      </c>
      <c r="E59" s="4">
        <v>3</v>
      </c>
      <c r="F59" s="4">
        <v>4</v>
      </c>
      <c r="G59" s="4">
        <v>5</v>
      </c>
      <c r="H59" s="4"/>
    </row>
    <row r="60" spans="1:8" x14ac:dyDescent="0.25">
      <c r="A60" s="4" t="s">
        <v>93</v>
      </c>
      <c r="B60" s="4" t="s">
        <v>70</v>
      </c>
      <c r="C60" s="11"/>
      <c r="D60" s="11"/>
      <c r="E60" s="11"/>
      <c r="F60" s="11"/>
      <c r="G60" s="11"/>
      <c r="H60" s="4" t="s">
        <v>76</v>
      </c>
    </row>
    <row r="61" spans="1:8" x14ac:dyDescent="0.25">
      <c r="A61" s="4" t="s">
        <v>94</v>
      </c>
      <c r="B61" s="4" t="s">
        <v>97</v>
      </c>
      <c r="C61" s="11"/>
      <c r="D61" s="11"/>
      <c r="E61" s="11"/>
      <c r="F61" s="11"/>
      <c r="G61" s="11"/>
      <c r="H61" s="4" t="s">
        <v>82</v>
      </c>
    </row>
    <row r="62" spans="1:8" x14ac:dyDescent="0.25">
      <c r="A62" s="4" t="s">
        <v>95</v>
      </c>
      <c r="B62" s="4" t="s">
        <v>98</v>
      </c>
      <c r="C62" s="11"/>
      <c r="D62" s="11"/>
      <c r="E62" s="11"/>
      <c r="F62" s="11"/>
      <c r="G62" s="11"/>
      <c r="H62" s="4" t="s">
        <v>124</v>
      </c>
    </row>
    <row r="63" spans="1:8" x14ac:dyDescent="0.25">
      <c r="A63" s="4" t="s">
        <v>96</v>
      </c>
      <c r="B63" s="4" t="s">
        <v>99</v>
      </c>
      <c r="C63" s="11"/>
      <c r="D63" s="11"/>
      <c r="E63" s="11"/>
      <c r="F63" s="11"/>
      <c r="G63" s="11"/>
      <c r="H63" s="4"/>
    </row>
    <row r="65" spans="1:8" ht="15.5" x14ac:dyDescent="0.35">
      <c r="A65" s="12" t="s">
        <v>110</v>
      </c>
    </row>
    <row r="66" spans="1:8" x14ac:dyDescent="0.25">
      <c r="A66" s="4" t="s">
        <v>100</v>
      </c>
      <c r="B66" s="4" t="s">
        <v>101</v>
      </c>
      <c r="C66" s="4">
        <f>C60+$C$9+$C$10</f>
        <v>50</v>
      </c>
      <c r="D66" s="4">
        <f>D60+$C$9+$C$10</f>
        <v>50</v>
      </c>
      <c r="E66" s="4">
        <f>E60+$C$9+$C$10</f>
        <v>50</v>
      </c>
      <c r="F66" s="4">
        <f>F60+$C$9+$C$10</f>
        <v>50</v>
      </c>
      <c r="G66" s="4">
        <f>G60+$C$9+$C$10</f>
        <v>50</v>
      </c>
      <c r="H66" s="4" t="s">
        <v>76</v>
      </c>
    </row>
    <row r="67" spans="1:8" s="5" customFormat="1" ht="8" x14ac:dyDescent="0.2">
      <c r="C67" s="5">
        <f>C66*0.000000000001</f>
        <v>5.0000000000000002E-11</v>
      </c>
      <c r="D67" s="5">
        <f>D66*0.000000000001</f>
        <v>5.0000000000000002E-11</v>
      </c>
      <c r="E67" s="5">
        <f>E66*0.000000000001</f>
        <v>5.0000000000000002E-11</v>
      </c>
      <c r="F67" s="5">
        <f>F66*0.000000000001</f>
        <v>5.0000000000000002E-11</v>
      </c>
      <c r="G67" s="5">
        <f>G66*0.000000000001</f>
        <v>5.0000000000000002E-11</v>
      </c>
      <c r="H67" s="5" t="s">
        <v>88</v>
      </c>
    </row>
    <row r="68" spans="1:8" s="5" customFormat="1" ht="8" x14ac:dyDescent="0.2">
      <c r="C68" s="5" t="s">
        <v>104</v>
      </c>
      <c r="D68" s="5" t="s">
        <v>105</v>
      </c>
      <c r="E68" s="5" t="s">
        <v>106</v>
      </c>
      <c r="F68" s="5" t="s">
        <v>107</v>
      </c>
      <c r="G68" s="5" t="s">
        <v>108</v>
      </c>
    </row>
    <row r="69" spans="1:8" s="5" customFormat="1" ht="8" x14ac:dyDescent="0.2">
      <c r="C69" s="5">
        <f>1/((2*PI()*$E$8)^2*C67)</f>
        <v>2.7551857265626438E-6</v>
      </c>
      <c r="D69" s="5">
        <f>1/((2*PI()*$E$8)^2*D67)</f>
        <v>2.7551857265626438E-6</v>
      </c>
      <c r="E69" s="5">
        <f>1/((2*PI()*$E$8)^2*E67)</f>
        <v>2.7551857265626438E-6</v>
      </c>
      <c r="F69" s="5">
        <f>1/((2*PI()*$E$8)^2*F67)</f>
        <v>2.7551857265626438E-6</v>
      </c>
      <c r="G69" s="5">
        <f>1/((2*PI()*$E$8)^2*G67)</f>
        <v>2.7551857265626438E-6</v>
      </c>
      <c r="H69" s="5" t="s">
        <v>29</v>
      </c>
    </row>
    <row r="70" spans="1:8" x14ac:dyDescent="0.25">
      <c r="A70" s="4" t="s">
        <v>125</v>
      </c>
      <c r="B70" s="4" t="s">
        <v>103</v>
      </c>
      <c r="C70" s="4">
        <f>C69*1000000</f>
        <v>2.7551857265626438</v>
      </c>
      <c r="D70" s="4">
        <f>D69*1000000</f>
        <v>2.7551857265626438</v>
      </c>
      <c r="E70" s="4">
        <f>E69*1000000</f>
        <v>2.7551857265626438</v>
      </c>
      <c r="F70" s="4">
        <f>F69*1000000</f>
        <v>2.7551857265626438</v>
      </c>
      <c r="G70" s="4">
        <f>G69*1000000</f>
        <v>2.7551857265626438</v>
      </c>
      <c r="H70" s="4" t="s">
        <v>82</v>
      </c>
    </row>
    <row r="71" spans="1:8" s="5" customFormat="1" ht="8" x14ac:dyDescent="0.2"/>
    <row r="72" spans="1:8" s="5" customFormat="1" ht="8" x14ac:dyDescent="0.2">
      <c r="B72" s="5" t="s">
        <v>111</v>
      </c>
      <c r="C72" s="5">
        <v>1</v>
      </c>
      <c r="D72" s="5">
        <v>2</v>
      </c>
      <c r="E72" s="5">
        <v>3</v>
      </c>
      <c r="F72" s="5">
        <v>4</v>
      </c>
      <c r="G72" s="5">
        <v>5</v>
      </c>
    </row>
    <row r="73" spans="1:8" x14ac:dyDescent="0.25">
      <c r="A73" s="13" t="s">
        <v>102</v>
      </c>
      <c r="B73" s="13" t="s">
        <v>109</v>
      </c>
      <c r="C73" s="13">
        <f>ABS(C61-C70)</f>
        <v>2.7551857265626438</v>
      </c>
      <c r="D73" s="13">
        <f>ABS(D61-D70)</f>
        <v>2.7551857265626438</v>
      </c>
      <c r="E73" s="13">
        <f>ABS(E61-E70)</f>
        <v>2.7551857265626438</v>
      </c>
      <c r="F73" s="13">
        <f>ABS(F61-F70)</f>
        <v>2.7551857265626438</v>
      </c>
      <c r="G73" s="13">
        <f>ABS(G61-G70)</f>
        <v>2.7551857265626438</v>
      </c>
      <c r="H73" s="13" t="s">
        <v>82</v>
      </c>
    </row>
    <row r="74" spans="1:8" s="5" customFormat="1" ht="8" x14ac:dyDescent="0.2">
      <c r="C74" s="5">
        <v>1</v>
      </c>
      <c r="D74" s="5">
        <v>2</v>
      </c>
      <c r="E74" s="5">
        <v>3</v>
      </c>
      <c r="F74" s="5">
        <v>4</v>
      </c>
      <c r="G74" s="5">
        <v>5</v>
      </c>
    </row>
    <row r="75" spans="1:8" ht="15.5" x14ac:dyDescent="0.35">
      <c r="A75" s="12" t="s">
        <v>162</v>
      </c>
    </row>
    <row r="76" spans="1:8" x14ac:dyDescent="0.25">
      <c r="A76" s="13"/>
      <c r="B76" s="13" t="s">
        <v>116</v>
      </c>
      <c r="C76" s="13">
        <f>HLOOKUP((MIN(C73:G73)),C73:G74,2,FALSE)</f>
        <v>1</v>
      </c>
      <c r="D76" s="13"/>
      <c r="E76" s="13"/>
      <c r="F76" s="13"/>
      <c r="G76" s="13"/>
      <c r="H76" s="13"/>
    </row>
    <row r="77" spans="1:8" x14ac:dyDescent="0.25">
      <c r="A77" s="13"/>
      <c r="B77" s="13" t="s">
        <v>112</v>
      </c>
      <c r="C77" s="14">
        <f>IF(C$76=1,C61,IF(C$76=2,D61,IF(C$76=3,E61,IF(C$76=4,F61,IF(C$76=5,G61,"ERROR")))))</f>
        <v>0</v>
      </c>
      <c r="D77" s="13">
        <f>C77</f>
        <v>0</v>
      </c>
      <c r="E77" s="13" t="s">
        <v>82</v>
      </c>
      <c r="F77" s="13"/>
      <c r="G77" s="13"/>
      <c r="H77" s="13"/>
    </row>
    <row r="78" spans="1:8" x14ac:dyDescent="0.25">
      <c r="A78" s="13"/>
      <c r="B78" s="13" t="s">
        <v>123</v>
      </c>
      <c r="C78" s="14">
        <f>IF(C$76=1,C69,IF(C$76=2,D69,IF(C$76=3,E69,IF(C$76=4,F69,IF(C$76=5,G69,"ERROR")))))</f>
        <v>2.7551857265626438E-6</v>
      </c>
      <c r="D78" s="13">
        <f>C78*1000000</f>
        <v>2.7551857265626438</v>
      </c>
      <c r="E78" s="13" t="s">
        <v>82</v>
      </c>
      <c r="F78" s="13"/>
      <c r="G78" s="13"/>
      <c r="H78" s="13"/>
    </row>
    <row r="79" spans="1:8" x14ac:dyDescent="0.25">
      <c r="A79" s="13"/>
      <c r="B79" s="13" t="s">
        <v>113</v>
      </c>
      <c r="C79" s="14">
        <f>IF(C$76=1,C60,IF(C$76=2,D60,IF(C$76=3,E60,IF(C$76=4,F60,IF(C$76=5,G60,"ERROR")))))</f>
        <v>0</v>
      </c>
      <c r="D79" s="13">
        <f>C79</f>
        <v>0</v>
      </c>
      <c r="E79" s="13" t="s">
        <v>76</v>
      </c>
      <c r="F79" s="13"/>
      <c r="G79" s="13"/>
      <c r="H79" s="13"/>
    </row>
    <row r="80" spans="1:8" x14ac:dyDescent="0.25">
      <c r="A80" s="13"/>
      <c r="B80" s="13" t="s">
        <v>207</v>
      </c>
      <c r="C80" s="14">
        <f>IF(C$76=1,C25,IF(C$76=2,D25,IF(C$76=3,E25,IF(C$76=4,F25,IF(C$76=5,G25,"ERROR")))))</f>
        <v>4.1000000000000002E-2</v>
      </c>
      <c r="D80" s="13">
        <f>C80*1000</f>
        <v>41</v>
      </c>
      <c r="E80" s="13" t="s">
        <v>13</v>
      </c>
      <c r="F80" s="13"/>
      <c r="G80" s="13"/>
      <c r="H80" s="13"/>
    </row>
    <row r="81" spans="1:8" x14ac:dyDescent="0.25">
      <c r="A81" s="13"/>
      <c r="B81" s="13" t="s">
        <v>123</v>
      </c>
      <c r="C81" s="14">
        <f>IF(C$76=1,C39,IF(C$76=2,D39,IF(C$76=3,E39,IF(C$76=4,F39,IF(C$76=5,G39,"ERROR")))))</f>
        <v>0.11938052083641214</v>
      </c>
      <c r="D81" s="13">
        <f>C81*1000</f>
        <v>119.38052083641213</v>
      </c>
      <c r="E81" s="13" t="s">
        <v>13</v>
      </c>
      <c r="F81" s="14" t="s">
        <v>119</v>
      </c>
      <c r="G81" s="14">
        <f>IF(C$76=1,C40,IF(C$76=2,D40,IF(C$76=3,E40,IF(C$76=4,F40,IF(C$76=5,G40,"ERROR")))))</f>
        <v>1</v>
      </c>
      <c r="H81" s="13"/>
    </row>
    <row r="82" spans="1:8" x14ac:dyDescent="0.25">
      <c r="A82" s="13"/>
      <c r="B82" s="13" t="s">
        <v>114</v>
      </c>
      <c r="C82" s="14">
        <f>IF(C$76=1,C34,IF(C$76=2,D34,IF(C$76=3,E34,IF(C$76=4,F34,IF(C$76=5,G34,"ERROR")))))</f>
        <v>5</v>
      </c>
      <c r="D82" s="13">
        <f>C82</f>
        <v>5</v>
      </c>
      <c r="E82" s="13"/>
      <c r="F82" s="14" t="s">
        <v>120</v>
      </c>
      <c r="G82" s="14">
        <f>IF(C$76=1,C41,IF(C$76=2,D41,IF(C$76=3,E41,IF(C$76=4,F41,IF(C$76=5,G41,"ERROR")))))</f>
        <v>0</v>
      </c>
      <c r="H82" s="13"/>
    </row>
    <row r="83" spans="1:8" x14ac:dyDescent="0.25">
      <c r="A83" s="13"/>
      <c r="B83" s="13" t="s">
        <v>115</v>
      </c>
      <c r="C83" s="14">
        <f>IF(C$76=1,C29,IF(C$76=2,D29,IF(C$76=3,E29,IF(C$76=4,F29,IF(C$76=5,G29,"ERROR")))))</f>
        <v>2.9999999999999997E-4</v>
      </c>
      <c r="D83" s="13">
        <f>C83*1000000</f>
        <v>300</v>
      </c>
      <c r="E83" s="13" t="s">
        <v>19</v>
      </c>
      <c r="F83" s="14" t="s">
        <v>121</v>
      </c>
      <c r="G83" s="14">
        <f>IF(C$76=1,C42,IF(C$76=2,D42,IF(C$76=3,E42,IF(C$76=4,F42,IF(C$76=5,G42,"ERROR")))))</f>
        <v>0</v>
      </c>
      <c r="H83" s="13"/>
    </row>
    <row r="84" spans="1:8" x14ac:dyDescent="0.25">
      <c r="A84" s="13"/>
      <c r="B84" s="13" t="s">
        <v>117</v>
      </c>
      <c r="C84" s="14">
        <f>IF(C$76=1,C32,IF(C$76=2,D32,IF(C$76=3,E32,IF(C$76=4,F32,IF(C$76=5,G32,"ERROR")))))</f>
        <v>2.9999999999999997E-4</v>
      </c>
      <c r="D84" s="13">
        <f>C84*1000000</f>
        <v>300</v>
      </c>
      <c r="E84" s="13" t="s">
        <v>19</v>
      </c>
      <c r="F84" s="14" t="s">
        <v>122</v>
      </c>
      <c r="G84" s="14">
        <f>IF(C$76=1,C43,IF(C$76=2,D43,IF(C$76=3,E43,IF(C$76=4,F43,IF(C$76=5,G43,"ERROR")))))</f>
        <v>0</v>
      </c>
      <c r="H84" s="13"/>
    </row>
    <row r="85" spans="1:8" x14ac:dyDescent="0.25">
      <c r="A85" s="13"/>
      <c r="B85" s="13" t="s">
        <v>118</v>
      </c>
      <c r="C85" s="13"/>
      <c r="D85" s="13">
        <f>LN((D78*1000)/(2*D81/10*(LN((D81/10)/(C35*100))*1.07)))/LN(D82)</f>
        <v>1.7619165717803658</v>
      </c>
      <c r="E85" s="13"/>
      <c r="F85" s="14"/>
      <c r="G85" s="14"/>
      <c r="H85" s="13"/>
    </row>
    <row r="86" spans="1:8" x14ac:dyDescent="0.25">
      <c r="A86" s="13"/>
      <c r="B86" s="13" t="s">
        <v>209</v>
      </c>
      <c r="C86" s="14">
        <f>IF(C$76=1,C40,IF(C$76=2,D40,IF(C$76=3,E40,IF(C$76=4,F40,IF(C$76=5,G40,"ERROR")))))</f>
        <v>1</v>
      </c>
      <c r="D86" s="13">
        <f>C86</f>
        <v>1</v>
      </c>
      <c r="E86" s="13" t="s">
        <v>210</v>
      </c>
      <c r="F86" s="14" t="s">
        <v>119</v>
      </c>
      <c r="G86" s="14">
        <f>IF(C$76=1,C45,IF(C$76=2,D45,IF(C$76=3,E45,IF(C$76=4,F45,IF(C$76=5,G45,"ERROR")))))</f>
        <v>1134.1149479459152</v>
      </c>
      <c r="H86" s="13"/>
    </row>
    <row r="88" spans="1:8" ht="25" x14ac:dyDescent="0.5">
      <c r="A88" s="3" t="s">
        <v>163</v>
      </c>
    </row>
    <row r="90" spans="1:8" s="5" customFormat="1" ht="8" x14ac:dyDescent="0.2">
      <c r="C90" s="5" t="s">
        <v>39</v>
      </c>
      <c r="D90" s="5" t="s">
        <v>40</v>
      </c>
      <c r="E90" s="5" t="s">
        <v>4</v>
      </c>
      <c r="F90" s="5" t="s">
        <v>41</v>
      </c>
      <c r="G90" s="5" t="s">
        <v>42</v>
      </c>
    </row>
    <row r="91" spans="1:8" s="5" customFormat="1" ht="8" x14ac:dyDescent="0.2">
      <c r="A91" s="5" t="s">
        <v>26</v>
      </c>
      <c r="B91" s="5" t="s">
        <v>126</v>
      </c>
      <c r="C91" s="5">
        <f>$C$19/PI()*(C109+C110-C111+C112)</f>
        <v>4.0000000000000003E-7</v>
      </c>
      <c r="D91" s="5">
        <f>$C$19/PI()*(D109+D110-D111+D112)</f>
        <v>4.0000000000000003E-7</v>
      </c>
      <c r="E91" s="5">
        <f>$C$19/PI()*(E109+E110-E111+E112)</f>
        <v>4.0000000000000003E-7</v>
      </c>
      <c r="F91" s="5">
        <f>$C$19/PI()*(F109+F110-F111+F112)</f>
        <v>4.0000000000000003E-7</v>
      </c>
      <c r="G91" s="5">
        <f>$C$19/PI()*(G109+G110-G111+G112)</f>
        <v>4.0000000000000003E-7</v>
      </c>
    </row>
    <row r="92" spans="1:8" x14ac:dyDescent="0.25">
      <c r="A92" s="5"/>
      <c r="B92" s="7" t="s">
        <v>86</v>
      </c>
      <c r="C92" s="5" t="s">
        <v>127</v>
      </c>
      <c r="D92" s="5" t="s">
        <v>128</v>
      </c>
      <c r="E92" s="5" t="s">
        <v>129</v>
      </c>
      <c r="F92" s="5" t="s">
        <v>130</v>
      </c>
      <c r="G92" s="5" t="s">
        <v>131</v>
      </c>
      <c r="H92" s="5"/>
    </row>
    <row r="93" spans="1:8" ht="13" x14ac:dyDescent="0.3">
      <c r="A93" s="4" t="s">
        <v>198</v>
      </c>
      <c r="B93" s="4">
        <f>B24</f>
        <v>0</v>
      </c>
      <c r="C93" s="9">
        <f>E93</f>
        <v>41</v>
      </c>
      <c r="D93" s="9">
        <f>E93</f>
        <v>41</v>
      </c>
      <c r="E93" s="9">
        <f>D80</f>
        <v>41</v>
      </c>
      <c r="F93" s="9">
        <f>E93</f>
        <v>41</v>
      </c>
      <c r="G93" s="9">
        <f>E93</f>
        <v>41</v>
      </c>
      <c r="H93" s="4" t="s">
        <v>13</v>
      </c>
    </row>
    <row r="94" spans="1:8" s="5" customFormat="1" ht="8" x14ac:dyDescent="0.2">
      <c r="B94" s="5" t="s">
        <v>129</v>
      </c>
      <c r="C94" s="5">
        <f>C93/1000</f>
        <v>4.1000000000000002E-2</v>
      </c>
      <c r="D94" s="5">
        <f>D93/1000</f>
        <v>4.1000000000000002E-2</v>
      </c>
      <c r="E94" s="5">
        <f>E93/1000</f>
        <v>4.1000000000000002E-2</v>
      </c>
      <c r="F94" s="5">
        <f>F93/1000</f>
        <v>4.1000000000000002E-2</v>
      </c>
      <c r="G94" s="5">
        <f>G93/1000</f>
        <v>4.1000000000000002E-2</v>
      </c>
      <c r="H94" s="5" t="s">
        <v>83</v>
      </c>
    </row>
    <row r="95" spans="1:8" ht="13" x14ac:dyDescent="0.3">
      <c r="A95" s="4" t="s">
        <v>14</v>
      </c>
      <c r="B95" s="4" t="s">
        <v>132</v>
      </c>
      <c r="C95" s="9">
        <f>C26</f>
        <v>34.79</v>
      </c>
      <c r="D95" t="s">
        <v>19</v>
      </c>
      <c r="E95">
        <f>C95/1000000</f>
        <v>3.4789999999999997E-5</v>
      </c>
      <c r="F95" t="s">
        <v>83</v>
      </c>
    </row>
    <row r="96" spans="1:8" s="5" customFormat="1" ht="8" x14ac:dyDescent="0.2">
      <c r="C96" s="5" t="s">
        <v>133</v>
      </c>
      <c r="D96" s="5" t="s">
        <v>134</v>
      </c>
      <c r="E96" s="5" t="s">
        <v>135</v>
      </c>
      <c r="F96" s="5" t="s">
        <v>136</v>
      </c>
      <c r="G96" s="5" t="s">
        <v>137</v>
      </c>
    </row>
    <row r="97" spans="1:8" ht="13" x14ac:dyDescent="0.3">
      <c r="A97" s="4" t="s">
        <v>15</v>
      </c>
      <c r="B97" s="4" t="s">
        <v>138</v>
      </c>
      <c r="C97" s="1"/>
      <c r="D97" s="1"/>
      <c r="E97" s="1"/>
      <c r="F97" s="1"/>
      <c r="G97" s="1"/>
      <c r="H97" s="4" t="s">
        <v>19</v>
      </c>
    </row>
    <row r="98" spans="1:8" s="5" customFormat="1" ht="8" x14ac:dyDescent="0.2">
      <c r="B98" s="5" t="s">
        <v>139</v>
      </c>
      <c r="C98" s="5">
        <f>C97/1000000</f>
        <v>0</v>
      </c>
      <c r="D98" s="5">
        <f>D97/1000000</f>
        <v>0</v>
      </c>
      <c r="E98" s="5">
        <f>E97/1000000</f>
        <v>0</v>
      </c>
      <c r="F98" s="5">
        <f>F97/1000000</f>
        <v>0</v>
      </c>
      <c r="G98" s="5">
        <f>G97/1000000</f>
        <v>0</v>
      </c>
    </row>
    <row r="99" spans="1:8" s="5" customFormat="1" ht="8" x14ac:dyDescent="0.2">
      <c r="C99" s="5" t="s">
        <v>140</v>
      </c>
      <c r="D99" s="5" t="s">
        <v>141</v>
      </c>
      <c r="E99" s="5" t="s">
        <v>142</v>
      </c>
      <c r="F99" s="5" t="s">
        <v>143</v>
      </c>
      <c r="G99" s="5" t="s">
        <v>144</v>
      </c>
    </row>
    <row r="100" spans="1:8" ht="13" x14ac:dyDescent="0.3">
      <c r="A100" s="4" t="s">
        <v>16</v>
      </c>
      <c r="B100" s="8" t="s">
        <v>142</v>
      </c>
      <c r="C100" s="9">
        <f>E100</f>
        <v>300</v>
      </c>
      <c r="D100" s="9">
        <f>E100</f>
        <v>300</v>
      </c>
      <c r="E100" s="9">
        <f>D84</f>
        <v>300</v>
      </c>
      <c r="F100" s="9">
        <f>E100</f>
        <v>300</v>
      </c>
      <c r="G100" s="9">
        <f>E100</f>
        <v>300</v>
      </c>
      <c r="H100" s="4" t="s">
        <v>19</v>
      </c>
    </row>
    <row r="101" spans="1:8" s="5" customFormat="1" ht="8" x14ac:dyDescent="0.2">
      <c r="C101" s="5">
        <f>C100/1000000</f>
        <v>2.9999999999999997E-4</v>
      </c>
      <c r="D101" s="5">
        <f>D100/1000000</f>
        <v>2.9999999999999997E-4</v>
      </c>
      <c r="E101" s="5">
        <f>E100/1000000</f>
        <v>2.9999999999999997E-4</v>
      </c>
      <c r="F101" s="5">
        <f>F100/1000000</f>
        <v>2.9999999999999997E-4</v>
      </c>
      <c r="G101" s="5">
        <f>G100/1000000</f>
        <v>2.9999999999999997E-4</v>
      </c>
      <c r="H101" s="5" t="s">
        <v>83</v>
      </c>
    </row>
    <row r="102" spans="1:8" s="5" customFormat="1" ht="8" x14ac:dyDescent="0.2">
      <c r="C102" s="5" t="s">
        <v>145</v>
      </c>
      <c r="D102" s="5" t="s">
        <v>146</v>
      </c>
      <c r="E102" s="5" t="s">
        <v>147</v>
      </c>
      <c r="F102" s="5" t="s">
        <v>148</v>
      </c>
      <c r="G102" s="5" t="s">
        <v>149</v>
      </c>
    </row>
    <row r="103" spans="1:8" ht="13" x14ac:dyDescent="0.3">
      <c r="A103" s="4" t="s">
        <v>17</v>
      </c>
      <c r="B103" s="4" t="s">
        <v>147</v>
      </c>
      <c r="C103" s="9">
        <f>E103</f>
        <v>5</v>
      </c>
      <c r="D103" s="9">
        <f>E103</f>
        <v>5</v>
      </c>
      <c r="E103" s="9">
        <f>D82</f>
        <v>5</v>
      </c>
      <c r="F103" s="9">
        <f>E103</f>
        <v>5</v>
      </c>
      <c r="G103" s="9">
        <f>E103</f>
        <v>5</v>
      </c>
      <c r="H103" s="4"/>
    </row>
    <row r="104" spans="1:8" s="5" customFormat="1" ht="8" x14ac:dyDescent="0.2">
      <c r="A104" s="5" t="s">
        <v>18</v>
      </c>
      <c r="B104" s="5" t="s">
        <v>150</v>
      </c>
      <c r="C104" s="5">
        <f>(2*($E$95+C98))/PI()</f>
        <v>2.2148001880668153E-5</v>
      </c>
      <c r="D104" s="5">
        <f>(2*($E$95+D98))/PI()</f>
        <v>2.2148001880668153E-5</v>
      </c>
      <c r="E104" s="5">
        <f>(2*($E$95+E98))/PI()</f>
        <v>2.2148001880668153E-5</v>
      </c>
      <c r="F104" s="5">
        <f>(2*($E$95+F98))/PI()</f>
        <v>2.2148001880668153E-5</v>
      </c>
      <c r="G104" s="5">
        <f>(2*($E$95+G98))/PI()</f>
        <v>2.2148001880668153E-5</v>
      </c>
    </row>
    <row r="105" spans="1:8" ht="13" x14ac:dyDescent="0.3">
      <c r="A105" s="4" t="s">
        <v>212</v>
      </c>
      <c r="B105" s="4" t="s">
        <v>151</v>
      </c>
      <c r="C105" s="9">
        <f>D85</f>
        <v>1.7619165717803658</v>
      </c>
      <c r="D105" s="15"/>
      <c r="E105" s="8" t="s">
        <v>24</v>
      </c>
      <c r="F105" s="15"/>
      <c r="G105" s="15"/>
      <c r="H105" s="4"/>
    </row>
    <row r="106" spans="1:8" s="5" customFormat="1" ht="8" x14ac:dyDescent="0.2">
      <c r="C106" s="5" t="s">
        <v>152</v>
      </c>
      <c r="D106" s="5" t="s">
        <v>153</v>
      </c>
      <c r="E106" s="5" t="s">
        <v>154</v>
      </c>
      <c r="F106" s="5" t="s">
        <v>155</v>
      </c>
      <c r="G106" s="5" t="s">
        <v>156</v>
      </c>
    </row>
    <row r="107" spans="1:8" s="5" customFormat="1" ht="8" x14ac:dyDescent="0.2">
      <c r="A107" s="5" t="s">
        <v>201</v>
      </c>
      <c r="B107" s="5" t="s">
        <v>202</v>
      </c>
      <c r="C107" s="5">
        <f>C94-C103*(C101+C98)/C109</f>
        <v>3.95E-2</v>
      </c>
      <c r="D107" s="5">
        <f>D94-D103*(D101+D98)/D109</f>
        <v>3.95E-2</v>
      </c>
      <c r="E107" s="5">
        <f>E94-E103*(E101+E98)/E109</f>
        <v>3.95E-2</v>
      </c>
      <c r="F107" s="5">
        <f>F94-F103*(F101+F98)/F109</f>
        <v>3.95E-2</v>
      </c>
      <c r="G107" s="5">
        <f>G94-G103*(G101+G98)/G109</f>
        <v>3.95E-2</v>
      </c>
    </row>
    <row r="108" spans="1:8" s="5" customFormat="1" ht="8" x14ac:dyDescent="0.2">
      <c r="A108" s="5" t="s">
        <v>199</v>
      </c>
      <c r="B108" s="5" t="s">
        <v>200</v>
      </c>
      <c r="C108" s="5">
        <f>C107*PI()</f>
        <v>0.12409290981679683</v>
      </c>
      <c r="D108" s="5">
        <f>D107*PI()</f>
        <v>0.12409290981679683</v>
      </c>
      <c r="E108" s="5">
        <f>E107*PI()</f>
        <v>0.12409290981679683</v>
      </c>
      <c r="F108" s="5">
        <f>F107*PI()</f>
        <v>0.12409290981679683</v>
      </c>
      <c r="G108" s="5">
        <f>G107*PI()</f>
        <v>0.12409290981679683</v>
      </c>
    </row>
    <row r="109" spans="1:8" s="5" customFormat="1" x14ac:dyDescent="0.25">
      <c r="A109" s="8" t="s">
        <v>213</v>
      </c>
      <c r="B109" s="8" t="s">
        <v>209</v>
      </c>
      <c r="C109" s="8">
        <f>E109</f>
        <v>1</v>
      </c>
      <c r="D109" s="8">
        <f>E109</f>
        <v>1</v>
      </c>
      <c r="E109" s="8">
        <f>D86</f>
        <v>1</v>
      </c>
      <c r="F109" s="8">
        <f>E109</f>
        <v>1</v>
      </c>
      <c r="G109" s="8">
        <f>E109</f>
        <v>1</v>
      </c>
      <c r="H109" s="7"/>
    </row>
    <row r="110" spans="1:8" s="5" customFormat="1" ht="8" x14ac:dyDescent="0.2"/>
    <row r="111" spans="1:8" s="5" customFormat="1" ht="8" x14ac:dyDescent="0.2"/>
    <row r="112" spans="1:8" s="5" customFormat="1" ht="8" x14ac:dyDescent="0.2"/>
    <row r="113" spans="1:8" s="5" customFormat="1" ht="8" x14ac:dyDescent="0.2">
      <c r="C113" s="5" t="s">
        <v>51</v>
      </c>
      <c r="D113" s="5" t="s">
        <v>52</v>
      </c>
      <c r="E113" s="5" t="s">
        <v>205</v>
      </c>
      <c r="F113" s="5" t="s">
        <v>53</v>
      </c>
      <c r="G113" s="5" t="s">
        <v>54</v>
      </c>
    </row>
    <row r="114" spans="1:8" s="5" customFormat="1" ht="8" x14ac:dyDescent="0.2">
      <c r="A114" s="5" t="s">
        <v>21</v>
      </c>
      <c r="B114" s="5" t="s">
        <v>22</v>
      </c>
      <c r="C114" s="5">
        <f>C107^2*PI()/4*1000000</f>
        <v>1225.4174844408685</v>
      </c>
      <c r="D114" s="5">
        <f>D107^2*PI()/4*1000000</f>
        <v>1225.4174844408685</v>
      </c>
      <c r="E114" s="5">
        <f>E107^2*PI()/4*1000000</f>
        <v>1225.4174844408685</v>
      </c>
      <c r="F114" s="5">
        <f>F107^2*PI()/4*1000000</f>
        <v>1225.4174844408685</v>
      </c>
      <c r="G114" s="5">
        <f>G107^2*PI()/4*1000000</f>
        <v>1225.4174844408685</v>
      </c>
      <c r="H114" s="5" t="s">
        <v>20</v>
      </c>
    </row>
    <row r="115" spans="1:8" s="5" customFormat="1" ht="8" x14ac:dyDescent="0.2">
      <c r="C115" s="5" t="s">
        <v>43</v>
      </c>
      <c r="D115" s="5" t="s">
        <v>44</v>
      </c>
      <c r="E115" s="5" t="s">
        <v>206</v>
      </c>
      <c r="F115" s="5" t="s">
        <v>45</v>
      </c>
      <c r="G115" s="5" t="s">
        <v>46</v>
      </c>
    </row>
    <row r="116" spans="1:8" s="5" customFormat="1" ht="8" x14ac:dyDescent="0.2">
      <c r="A116" s="5" t="s">
        <v>27</v>
      </c>
      <c r="B116" s="5" t="s">
        <v>28</v>
      </c>
      <c r="C116" s="5">
        <f>2*C108*100*(LN((C108*100)/(C104*100))-1.07)*C103^$C105</f>
        <v>3198.0500061469475</v>
      </c>
      <c r="D116" s="5">
        <f>2*D108*100*(LN((D108*100)/(D104*100))-1.07)*D103^$C105</f>
        <v>3198.0500061469475</v>
      </c>
      <c r="E116" s="5">
        <f>2*E108*100*(LN((E108*100)/(E104*100))-1.07)*E103^$C105</f>
        <v>3198.0500061469475</v>
      </c>
      <c r="F116" s="5">
        <f>2*F108*100*(LN((F108*100)/(F104*100))-1.07)*F103^$C105</f>
        <v>3198.0500061469475</v>
      </c>
      <c r="G116" s="5">
        <f>2*G108*100*(LN((G108*100)/(G104*100))-1.07)*G103^$C105</f>
        <v>3198.0500061469475</v>
      </c>
      <c r="H116" s="5" t="s">
        <v>29</v>
      </c>
    </row>
    <row r="117" spans="1:8" s="5" customFormat="1" ht="8" x14ac:dyDescent="0.2">
      <c r="C117" s="5">
        <f>C116/1000</f>
        <v>3.1980500061469472</v>
      </c>
      <c r="D117" s="5">
        <f>D116/1000</f>
        <v>3.1980500061469472</v>
      </c>
      <c r="E117" s="5">
        <f>E116/1000</f>
        <v>3.1980500061469472</v>
      </c>
      <c r="F117" s="5">
        <f>F116/1000</f>
        <v>3.1980500061469472</v>
      </c>
      <c r="G117" s="5">
        <f>G116/1000</f>
        <v>3.1980500061469472</v>
      </c>
      <c r="H117" s="5" t="s">
        <v>82</v>
      </c>
    </row>
    <row r="118" spans="1:8" ht="13" x14ac:dyDescent="0.3">
      <c r="A118" s="4" t="s">
        <v>164</v>
      </c>
      <c r="B118" s="4" t="s">
        <v>165</v>
      </c>
      <c r="C118" s="9" t="s">
        <v>60</v>
      </c>
      <c r="D118" s="9" t="s">
        <v>61</v>
      </c>
      <c r="E118" s="9" t="s">
        <v>59</v>
      </c>
      <c r="F118" s="9" t="s">
        <v>62</v>
      </c>
      <c r="G118" s="9" t="s">
        <v>63</v>
      </c>
      <c r="H118" s="4"/>
    </row>
    <row r="119" spans="1:8" x14ac:dyDescent="0.25">
      <c r="A119" s="4"/>
      <c r="B119" s="4"/>
      <c r="C119" s="10">
        <v>-0.08</v>
      </c>
      <c r="D119" s="10">
        <v>-0.04</v>
      </c>
      <c r="E119" s="4"/>
      <c r="F119" s="10">
        <v>0.04</v>
      </c>
      <c r="G119" s="10">
        <v>0.08</v>
      </c>
      <c r="H119" s="4"/>
    </row>
    <row r="120" spans="1:8" x14ac:dyDescent="0.25">
      <c r="A120" s="4"/>
      <c r="B120" s="4" t="s">
        <v>87</v>
      </c>
      <c r="C120" s="4">
        <f>0.92*E120</f>
        <v>2.5347708684376324</v>
      </c>
      <c r="D120" s="4">
        <f>0.96*E120</f>
        <v>2.6449782975001379</v>
      </c>
      <c r="E120" s="4">
        <f>D78</f>
        <v>2.7551857265626438</v>
      </c>
      <c r="F120" s="4">
        <f>1.04*E120</f>
        <v>2.8653931556251497</v>
      </c>
      <c r="G120" s="4">
        <f>1.08*E120</f>
        <v>2.9756005846876556</v>
      </c>
      <c r="H120" s="4"/>
    </row>
    <row r="121" spans="1:8" ht="13" x14ac:dyDescent="0.3">
      <c r="A121" s="4"/>
      <c r="B121" s="4" t="s">
        <v>65</v>
      </c>
      <c r="C121" s="9">
        <f>C120-C117</f>
        <v>-0.66327913770931479</v>
      </c>
      <c r="D121" s="9">
        <f>D120-D117</f>
        <v>-0.55307170864680932</v>
      </c>
      <c r="E121" s="9">
        <f>E120-E117</f>
        <v>-0.44286427958430341</v>
      </c>
      <c r="F121" s="9">
        <f>F120-F117</f>
        <v>-0.3326568505217975</v>
      </c>
      <c r="G121" s="9">
        <f>G120-G117</f>
        <v>-0.22244942145929159</v>
      </c>
      <c r="H121" s="4"/>
    </row>
    <row r="122" spans="1:8" x14ac:dyDescent="0.25">
      <c r="A122" s="4"/>
      <c r="B122" s="4" t="s">
        <v>157</v>
      </c>
      <c r="C122" s="4">
        <f>C117</f>
        <v>3.1980500061469472</v>
      </c>
      <c r="D122" s="4">
        <f>D117</f>
        <v>3.1980500061469472</v>
      </c>
      <c r="E122" s="4">
        <f>E117</f>
        <v>3.1980500061469472</v>
      </c>
      <c r="F122" s="4">
        <f>F117</f>
        <v>3.1980500061469472</v>
      </c>
      <c r="G122" s="4">
        <f>G117</f>
        <v>3.1980500061469472</v>
      </c>
      <c r="H122" s="4"/>
    </row>
    <row r="123" spans="1:8" x14ac:dyDescent="0.25">
      <c r="A123" s="4"/>
      <c r="B123" s="4" t="s">
        <v>158</v>
      </c>
      <c r="C123" s="4">
        <f>C114*C103</f>
        <v>6127.0874222043421</v>
      </c>
      <c r="D123" s="4">
        <f>D114*D103</f>
        <v>6127.0874222043421</v>
      </c>
      <c r="E123" s="4">
        <f>E114*E103</f>
        <v>6127.0874222043421</v>
      </c>
      <c r="F123" s="4">
        <f>F114*F103</f>
        <v>6127.0874222043421</v>
      </c>
      <c r="G123" s="4">
        <f>G114*G103</f>
        <v>6127.0874222043421</v>
      </c>
      <c r="H123" s="4"/>
    </row>
    <row r="126" spans="1:8" ht="25" x14ac:dyDescent="0.5">
      <c r="A126" s="3" t="s">
        <v>167</v>
      </c>
    </row>
    <row r="127" spans="1:8" ht="15.5" x14ac:dyDescent="0.35">
      <c r="A127" s="12" t="s">
        <v>169</v>
      </c>
    </row>
    <row r="129" spans="1:8" ht="13" x14ac:dyDescent="0.3">
      <c r="A129" s="4" t="s">
        <v>168</v>
      </c>
      <c r="B129" s="4" t="s">
        <v>72</v>
      </c>
      <c r="C129" s="1"/>
      <c r="D129" s="4" t="s">
        <v>76</v>
      </c>
      <c r="E129" s="4" t="s">
        <v>215</v>
      </c>
      <c r="F129" s="4"/>
      <c r="G129" s="4"/>
      <c r="H129" s="4"/>
    </row>
    <row r="130" spans="1:8" ht="15.5" x14ac:dyDescent="0.35">
      <c r="A130" s="12" t="s">
        <v>174</v>
      </c>
    </row>
    <row r="131" spans="1:8" s="5" customFormat="1" ht="8" x14ac:dyDescent="0.2">
      <c r="B131" s="5" t="s">
        <v>165</v>
      </c>
      <c r="C131" s="5">
        <v>1</v>
      </c>
      <c r="D131" s="5">
        <v>2</v>
      </c>
      <c r="E131" s="5">
        <v>3</v>
      </c>
      <c r="F131" s="5">
        <v>4</v>
      </c>
      <c r="G131" s="5">
        <v>5</v>
      </c>
    </row>
    <row r="132" spans="1:8" ht="13" x14ac:dyDescent="0.3">
      <c r="A132" s="4" t="s">
        <v>94</v>
      </c>
      <c r="B132" s="4" t="s">
        <v>97</v>
      </c>
      <c r="C132" s="1"/>
      <c r="D132" s="1"/>
      <c r="E132" s="1"/>
      <c r="F132" s="1"/>
      <c r="G132" s="1"/>
      <c r="H132" s="4" t="s">
        <v>82</v>
      </c>
    </row>
    <row r="133" spans="1:8" ht="15.5" x14ac:dyDescent="0.35">
      <c r="A133" s="12" t="s">
        <v>173</v>
      </c>
    </row>
    <row r="134" spans="1:8" x14ac:dyDescent="0.25">
      <c r="A134" s="4"/>
      <c r="B134" s="4" t="s">
        <v>165</v>
      </c>
      <c r="C134" s="4">
        <v>1</v>
      </c>
      <c r="D134" s="4">
        <v>2</v>
      </c>
      <c r="E134" s="4">
        <v>3</v>
      </c>
      <c r="F134" s="4">
        <v>4</v>
      </c>
      <c r="G134" s="4">
        <v>5</v>
      </c>
      <c r="H134" s="4"/>
    </row>
    <row r="135" spans="1:8" ht="13" x14ac:dyDescent="0.3">
      <c r="A135" s="4" t="s">
        <v>170</v>
      </c>
      <c r="B135" s="4" t="s">
        <v>79</v>
      </c>
      <c r="C135" s="1"/>
      <c r="D135" s="1"/>
      <c r="E135" s="1"/>
      <c r="F135" s="1"/>
      <c r="G135" s="1"/>
      <c r="H135" s="4" t="s">
        <v>80</v>
      </c>
    </row>
    <row r="136" spans="1:8" ht="13" x14ac:dyDescent="0.3">
      <c r="A136" s="4" t="s">
        <v>171</v>
      </c>
      <c r="B136" s="4" t="s">
        <v>172</v>
      </c>
      <c r="C136" s="1"/>
      <c r="D136" s="1"/>
      <c r="E136" s="1"/>
      <c r="F136" s="1"/>
      <c r="G136" s="1"/>
      <c r="H136" s="4" t="s">
        <v>80</v>
      </c>
    </row>
    <row r="137" spans="1:8" ht="13" x14ac:dyDescent="0.3">
      <c r="A137" s="4" t="s">
        <v>96</v>
      </c>
      <c r="B137" s="4" t="s">
        <v>99</v>
      </c>
      <c r="C137" s="1"/>
      <c r="D137" s="1"/>
      <c r="E137" s="1"/>
      <c r="F137" s="1"/>
      <c r="G137" s="1"/>
      <c r="H137" s="4"/>
    </row>
    <row r="138" spans="1:8" ht="15.5" x14ac:dyDescent="0.35">
      <c r="A138" s="12" t="s">
        <v>175</v>
      </c>
    </row>
    <row r="139" spans="1:8" x14ac:dyDescent="0.25">
      <c r="A139" s="4" t="s">
        <v>100</v>
      </c>
      <c r="B139" s="4" t="s">
        <v>176</v>
      </c>
      <c r="C139" s="4" t="e">
        <f>1000000000000/(C132/1000000*(2*PI()*C135*1000000)^2)</f>
        <v>#DIV/0!</v>
      </c>
      <c r="D139" s="4" t="e">
        <f>1000000000000/(D132/1000000*(2*PI()*D135*1000000)^2)</f>
        <v>#DIV/0!</v>
      </c>
      <c r="E139" s="4" t="e">
        <f>1000000000000/(E132/1000000*(2*PI()*E135*1000000)^2)</f>
        <v>#DIV/0!</v>
      </c>
      <c r="F139" s="4" t="e">
        <f>1000000000000/(F132/1000000*(2*PI()*F135*1000000)^2)</f>
        <v>#DIV/0!</v>
      </c>
      <c r="G139" s="4" t="e">
        <f>1000000000000/(G132/1000000*(2*PI()*G135*1000000)^2)</f>
        <v>#DIV/0!</v>
      </c>
      <c r="H139" s="4" t="s">
        <v>76</v>
      </c>
    </row>
    <row r="140" spans="1:8" s="5" customFormat="1" ht="8" x14ac:dyDescent="0.2">
      <c r="C140" s="5" t="e">
        <f>C139*0.000000000001</f>
        <v>#DIV/0!</v>
      </c>
      <c r="D140" s="5" t="e">
        <f>D139*0.000000000001</f>
        <v>#DIV/0!</v>
      </c>
      <c r="E140" s="5" t="e">
        <f>E139*0.000000000001</f>
        <v>#DIV/0!</v>
      </c>
      <c r="F140" s="5" t="e">
        <f>F139*0.000000000001</f>
        <v>#DIV/0!</v>
      </c>
      <c r="G140" s="5" t="e">
        <f>G139*0.000000000001</f>
        <v>#DIV/0!</v>
      </c>
      <c r="H140" s="5" t="s">
        <v>88</v>
      </c>
    </row>
    <row r="141" spans="1:8" s="5" customFormat="1" ht="8" x14ac:dyDescent="0.2">
      <c r="C141" s="5" t="s">
        <v>179</v>
      </c>
      <c r="D141" s="5" t="s">
        <v>180</v>
      </c>
      <c r="E141" s="5" t="s">
        <v>181</v>
      </c>
      <c r="F141" s="5" t="s">
        <v>182</v>
      </c>
      <c r="G141" s="5" t="s">
        <v>183</v>
      </c>
    </row>
    <row r="142" spans="1:8" x14ac:dyDescent="0.25">
      <c r="A142" s="4" t="s">
        <v>177</v>
      </c>
      <c r="B142" s="4" t="s">
        <v>178</v>
      </c>
      <c r="C142" s="4" t="e">
        <f>C135*(SQRT(C139)/(SQRT(C139-$C129+$C9)))</f>
        <v>#DIV/0!</v>
      </c>
      <c r="D142" s="4" t="e">
        <f>D135*(SQRT(D139)/(SQRT(D139-$C129+$C9)))</f>
        <v>#DIV/0!</v>
      </c>
      <c r="E142" s="4" t="e">
        <f>E135*(SQRT(E139)/(SQRT(E139-$C129+$C9)))</f>
        <v>#DIV/0!</v>
      </c>
      <c r="F142" s="4" t="e">
        <f>F135*(SQRT(F139)/(SQRT(F139-$C129+$C9)))</f>
        <v>#DIV/0!</v>
      </c>
      <c r="G142" s="4" t="e">
        <f>G135*(SQRT(G139)/(SQRT(G139-$C129+$C9)))</f>
        <v>#DIV/0!</v>
      </c>
      <c r="H142" s="4" t="s">
        <v>80</v>
      </c>
    </row>
    <row r="143" spans="1:8" x14ac:dyDescent="0.25">
      <c r="A143" s="4" t="s">
        <v>184</v>
      </c>
      <c r="B143" s="4" t="s">
        <v>185</v>
      </c>
      <c r="C143" s="4">
        <f>C8</f>
        <v>13.56</v>
      </c>
      <c r="D143" s="4"/>
      <c r="E143" s="4"/>
      <c r="F143" s="4"/>
      <c r="G143" s="4"/>
      <c r="H143" s="4" t="s">
        <v>80</v>
      </c>
    </row>
    <row r="144" spans="1:8" s="5" customFormat="1" ht="8" x14ac:dyDescent="0.2"/>
    <row r="145" spans="1:8" s="5" customFormat="1" ht="8" x14ac:dyDescent="0.2">
      <c r="B145" s="5" t="s">
        <v>111</v>
      </c>
      <c r="C145" s="5">
        <v>1</v>
      </c>
      <c r="D145" s="5">
        <v>2</v>
      </c>
      <c r="E145" s="5">
        <v>3</v>
      </c>
      <c r="F145" s="5">
        <v>4</v>
      </c>
      <c r="G145" s="5">
        <v>5</v>
      </c>
    </row>
    <row r="146" spans="1:8" x14ac:dyDescent="0.25">
      <c r="A146" s="13" t="s">
        <v>102</v>
      </c>
      <c r="B146" s="13" t="s">
        <v>109</v>
      </c>
      <c r="C146" s="13" t="e">
        <f>ABS($C143-C142)</f>
        <v>#DIV/0!</v>
      </c>
      <c r="D146" s="13" t="e">
        <f>ABS($C143-D142)</f>
        <v>#DIV/0!</v>
      </c>
      <c r="E146" s="13" t="e">
        <f>ABS($C143-E142)</f>
        <v>#DIV/0!</v>
      </c>
      <c r="F146" s="13" t="e">
        <f>ABS($C143-F142)</f>
        <v>#DIV/0!</v>
      </c>
      <c r="G146" s="13" t="e">
        <f>ABS($C143-G142)</f>
        <v>#DIV/0!</v>
      </c>
      <c r="H146" s="13"/>
    </row>
    <row r="147" spans="1:8" s="5" customFormat="1" ht="8" x14ac:dyDescent="0.2">
      <c r="C147" s="5">
        <v>1</v>
      </c>
      <c r="D147" s="5">
        <v>2</v>
      </c>
      <c r="E147" s="5">
        <v>3</v>
      </c>
      <c r="F147" s="5">
        <v>4</v>
      </c>
      <c r="G147" s="5">
        <v>5</v>
      </c>
    </row>
    <row r="148" spans="1:8" ht="13" thickBot="1" x14ac:dyDescent="0.3"/>
    <row r="149" spans="1:8" ht="25" x14ac:dyDescent="0.5">
      <c r="A149" s="16" t="s">
        <v>189</v>
      </c>
      <c r="B149" s="17"/>
      <c r="C149" s="17"/>
      <c r="D149" s="17"/>
      <c r="E149" s="17"/>
      <c r="F149" s="17"/>
      <c r="G149" s="17"/>
      <c r="H149" s="18"/>
    </row>
    <row r="150" spans="1:8" ht="13" x14ac:dyDescent="0.3">
      <c r="A150" s="19"/>
      <c r="B150" s="13"/>
      <c r="C150" s="13"/>
      <c r="D150" s="13"/>
      <c r="E150" s="13"/>
      <c r="F150" s="13"/>
      <c r="G150" s="13"/>
      <c r="H150" s="20"/>
    </row>
    <row r="151" spans="1:8" ht="23" x14ac:dyDescent="0.5">
      <c r="A151" s="21" t="s">
        <v>186</v>
      </c>
      <c r="B151" s="22" t="s">
        <v>165</v>
      </c>
      <c r="C151" s="23" t="e">
        <f>HLOOKUP((MIN(C146:G146)),C146:G147,2,FALSE)</f>
        <v>#DIV/0!</v>
      </c>
      <c r="D151" s="22" t="e">
        <f>C151</f>
        <v>#DIV/0!</v>
      </c>
      <c r="E151" s="22"/>
      <c r="F151" s="13"/>
      <c r="G151" s="13"/>
      <c r="H151" s="20"/>
    </row>
    <row r="152" spans="1:8" ht="23" x14ac:dyDescent="0.5">
      <c r="A152" s="21" t="s">
        <v>208</v>
      </c>
      <c r="B152" s="22" t="s">
        <v>190</v>
      </c>
      <c r="C152" s="23" t="e">
        <f>IF(C$151=1,C94,IF(C$151=2,D94,IF(C$151=3,E94,IF(C$151=4,F94,IF(C$151=5,G94,"ERROR")))))</f>
        <v>#DIV/0!</v>
      </c>
      <c r="D152" s="22" t="e">
        <f>C152*1000</f>
        <v>#DIV/0!</v>
      </c>
      <c r="E152" s="22" t="s">
        <v>13</v>
      </c>
      <c r="F152" s="13"/>
      <c r="G152" s="13"/>
      <c r="H152" s="20"/>
    </row>
    <row r="153" spans="1:8" ht="23" x14ac:dyDescent="0.5">
      <c r="A153" s="21" t="s">
        <v>187</v>
      </c>
      <c r="B153" s="22" t="s">
        <v>191</v>
      </c>
      <c r="C153" s="23" t="e">
        <f>IF(C$151=1,C103,IF(C$151=2,D103,IF(C$151=3,E103,IF(C$151=4,F103,IF(C$151=5,G103,"ERROR")))))</f>
        <v>#DIV/0!</v>
      </c>
      <c r="D153" s="22" t="e">
        <f>C153</f>
        <v>#DIV/0!</v>
      </c>
      <c r="E153" s="22"/>
      <c r="F153" s="13"/>
      <c r="G153" s="13"/>
      <c r="H153" s="20"/>
    </row>
    <row r="154" spans="1:8" ht="23" x14ac:dyDescent="0.5">
      <c r="A154" s="21" t="s">
        <v>188</v>
      </c>
      <c r="B154" s="22" t="s">
        <v>192</v>
      </c>
      <c r="C154" s="23" t="e">
        <f>IF(C$151=1,C98,IF(C$151=2,D98,IF(C$151=3,E98,IF(C$151=4,F98,IF(C$151=5,G98,"ERROR")))))</f>
        <v>#DIV/0!</v>
      </c>
      <c r="D154" s="22" t="e">
        <f>C154*1000000</f>
        <v>#DIV/0!</v>
      </c>
      <c r="E154" s="22" t="s">
        <v>19</v>
      </c>
      <c r="F154" s="13"/>
      <c r="G154" s="13"/>
      <c r="H154" s="20"/>
    </row>
    <row r="155" spans="1:8" ht="23.5" thickBot="1" x14ac:dyDescent="0.55000000000000004">
      <c r="A155" s="24" t="s">
        <v>16</v>
      </c>
      <c r="B155" s="25" t="s">
        <v>193</v>
      </c>
      <c r="C155" s="26" t="e">
        <f>IF(C$151=1,C101,IF(C$151=2,D101,IF(C$151=3,E101,IF(C$151=4,F101,IF(C$151=5,G101,"ERROR")))))</f>
        <v>#DIV/0!</v>
      </c>
      <c r="D155" s="25" t="e">
        <f>C155*1000000</f>
        <v>#DIV/0!</v>
      </c>
      <c r="E155" s="25" t="s">
        <v>19</v>
      </c>
      <c r="F155" s="27"/>
      <c r="G155" s="27"/>
      <c r="H155" s="28"/>
    </row>
  </sheetData>
  <sheetProtection sheet="1" objects="1" scenarios="1"/>
  <mergeCells count="3">
    <mergeCell ref="A1:H1"/>
    <mergeCell ref="A4:H4"/>
    <mergeCell ref="A3:H3"/>
  </mergeCells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Coil Design Guide - Calculation</vt:lpstr>
    </vt:vector>
  </TitlesOfParts>
  <Company>Philips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Schaffler</dc:creator>
  <cp:lastModifiedBy>Rahim Aziz</cp:lastModifiedBy>
  <cp:lastPrinted>2000-10-10T14:14:40Z</cp:lastPrinted>
  <dcterms:created xsi:type="dcterms:W3CDTF">2000-10-02T07:23:36Z</dcterms:created>
  <dcterms:modified xsi:type="dcterms:W3CDTF">2024-03-21T22:10:34Z</dcterms:modified>
</cp:coreProperties>
</file>