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DEAE7A57-6108-4938-B2B7-E672D68B6046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I29" i="2"/>
  <c r="J29" i="2"/>
  <c r="K29" i="2"/>
  <c r="C8" i="2"/>
  <c r="P26" i="7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D36" i="2"/>
  <c r="I23" i="2"/>
  <c r="C20" i="1"/>
  <c r="C21" i="1"/>
  <c r="C22" i="1" s="1"/>
  <c r="C42" i="2" l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<sst xmlns="http://schemas.openxmlformats.org/spreadsheetml/2006/main" count="227" uniqueCount="162">
  <si>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</si>
  <si>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</si>
  <si>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</si>
  <si>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</si>
  <si>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</si>
  <si>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</si>
  <si>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</si>
  <si>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</si>
  <si>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</si>
  <si>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</si>
  <si>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</si>
  <si>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</si>
  <si>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</si>
  <si>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</si>
  <si>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</si>
  <si>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</si>
  <si>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</si>
  <si>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</si>
  <si>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</si>
  <si>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</si>
  <si>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</si>
  <si>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</si>
  <si>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</si>
  <si>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</si>
  <si>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</si>
  <si>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</si>
  <si>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</si>
  <si>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</si>
  <si>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</si>
  <si>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</si>
  <si>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</si>
  <si>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</si>
  <si>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</si>
  <si>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</si>
  <si>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</si>
  <si>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</si>
  <si>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</si>
  <si>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</si>
  <si>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</si>
  <si>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</si>
  <si>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</si>
  <si>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</si>
  <si>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</si>
  <si>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</si>
  <si>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</si>
  <si>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</si>
  <si>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</si>
  <si>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</si>
  <si>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</si>
  <si>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</si>
  <si>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</si>
  <si>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</si>
  <si>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</si>
  <si>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</si>
  <si>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</si>
  <si>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</si>
  <si>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</si>
  <si>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</si>
  <si>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</si>
  <si>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</si>
  <si>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</si>
  <si>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</si>
  <si>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</si>
  <si>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</si>
  <si>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</si>
  <si>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</si>
  <si>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</si>
  <si>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</si>
  <si>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</si>
  <si>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</si>
  <si>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</si>
  <si>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</si>
  <si>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</si>
  <si>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</si>
  <si>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</si>
  <si>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</si>
  <si>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</si>
  <si>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</si>
  <si>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</si>
  <si>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</si>
  <si>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</si>
  <si>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</si>
  <si>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</si>
  <si>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</si>
  <si>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</si>
  <si>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</si>
  <si>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</si>
  <si>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</si>
  <si>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</si>
  <si>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</si>
  <si>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</si>
  <si>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</si>
  <si>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</si>
  <si>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</si>
  <si>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</si>
  <si>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</si>
  <si>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</si>
  <si>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</si>
  <si>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</si>
  <si>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</si>
  <si>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</si>
  <si>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</si>
  <si>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</si>
  <si>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</si>
  <si>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</si>
  <si>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</si>
  <si>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</si>
  <si>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</si>
  <si>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</si>
  <si>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</si>
  <si>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</si>
  <si>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</si>
  <si>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</si>
  <si>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</si>
  <si>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</si>
  <si>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</si>
  <si>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</si>
  <si>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</si>
  <si>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</si>
  <si>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</si>
  <si>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</si>
  <si>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</si>
  <si>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</si>
  <si>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</si>
  <si>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</si>
  <si>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</si>
  <si>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</si>
  <si>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</si>
  <si>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</si>
  <si>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</si>
  <si>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</si>
  <si>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</si>
  <si>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</si>
  <si>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</si>
  <si>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</si>
  <si>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</si>
  <si>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</si>
  <si>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</si>
  <si>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</si>
  <si>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</si>
  <si>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</si>
  <si>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</si>
  <si>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</si>
  <si>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</si>
  <si>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</si>
  <si>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</si>
  <si>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</si>
  <si>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</si>
  <si>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</si>
  <si>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</si>
  <si>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</si>
  <si>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</si>
  <si>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</si>
  <si>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</si>
  <si>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</si>
  <si>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</si>
  <si>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</si>
  <si>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</si>
  <si>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</si>
  <si>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CVS_CVS Health Corporation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</si>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</sst>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3.6225653000528553E-2</c:v>
                </c:pt>
                <c:pt idx="1">
                  <c:v>3.3322092030394566E-2</c:v>
                </c:pt>
                <c:pt idx="2">
                  <c:v>3.4164002870376409E-2</c:v>
                </c:pt>
                <c:pt idx="3">
                  <c:v>2.9947168621089745E-2</c:v>
                </c:pt>
                <c:pt idx="4">
                  <c:v>3.5836048185468594E-2</c:v>
                </c:pt>
                <c:pt idx="5">
                  <c:v>-3.0527446435637969E-3</c:v>
                </c:pt>
                <c:pt idx="6">
                  <c:v>2.5835747889210829E-2</c:v>
                </c:pt>
                <c:pt idx="7">
                  <c:v>2.6716932260537538E-2</c:v>
                </c:pt>
                <c:pt idx="8">
                  <c:v>2.7078747462437224E-2</c:v>
                </c:pt>
                <c:pt idx="9">
                  <c:v>1.2866432844291044E-2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7.8154953021828483E-2</c:v>
                </c:pt>
                <c:pt idx="1">
                  <c:v>7.6990966297617078E-2</c:v>
                </c:pt>
                <c:pt idx="2">
                  <c:v>7.5458281688303222E-2</c:v>
                </c:pt>
                <c:pt idx="3">
                  <c:v>7.2437565475989327E-2</c:v>
                </c:pt>
                <c:pt idx="4">
                  <c:v>6.601149437727967E-2</c:v>
                </c:pt>
                <c:pt idx="5">
                  <c:v>6.6235308023990261E-2</c:v>
                </c:pt>
                <c:pt idx="6">
                  <c:v>6.3705330716266315E-2</c:v>
                </c:pt>
                <c:pt idx="7">
                  <c:v>6.8297693389801489E-2</c:v>
                </c:pt>
                <c:pt idx="8">
                  <c:v>6.208598786077895E-2</c:v>
                </c:pt>
                <c:pt idx="9">
                  <c:v>3.7191402531111709E-2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3.0395784192298894E-2</c:v>
                </c:pt>
                <c:pt idx="1">
                  <c:v>4.3137902085859638E-2</c:v>
                </c:pt>
                <c:pt idx="2">
                  <c:v>4.0491878139474198E-2</c:v>
                </c:pt>
                <c:pt idx="3">
                  <c:v>4.4591260856341457E-2</c:v>
                </c:pt>
                <c:pt idx="4">
                  <c:v>3.2951630534780771E-2</c:v>
                </c:pt>
                <c:pt idx="5">
                  <c:v>3.509114549874344E-2</c:v>
                </c:pt>
                <c:pt idx="6">
                  <c:v>4.0467177617845906E-2</c:v>
                </c:pt>
                <c:pt idx="7">
                  <c:v>4.9972832761456761E-2</c:v>
                </c:pt>
                <c:pt idx="8">
                  <c:v>5.3900743210628835E-2</c:v>
                </c:pt>
                <c:pt idx="9">
                  <c:v>4.1709694325310805E-2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19.940000534057617</c:v>
                </c:pt>
                <c:pt idx="1">
                  <c:v>24.889999389648438</c:v>
                </c:pt>
                <c:pt idx="2">
                  <c:v>22.120000839233398</c:v>
                </c:pt>
                <c:pt idx="3">
                  <c:v>16.930000305175781</c:v>
                </c:pt>
                <c:pt idx="4">
                  <c:v>14.979999542236328</c:v>
                </c:pt>
                <c:pt idx="5">
                  <c:v>21.620000839233398</c:v>
                </c:pt>
                <c:pt idx="6">
                  <c:v>22.180000305175781</c:v>
                </c:pt>
                <c:pt idx="7">
                  <c:v>11.289999961853027</c:v>
                </c:pt>
                <c:pt idx="8">
                  <c:v>18</c:v>
                </c:pt>
                <c:pt idx="9">
                  <c:v>39.319999694824219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14.829999923706055</c:v>
                </c:pt>
                <c:pt idx="1">
                  <c:v>18.200000762939453</c:v>
                </c:pt>
                <c:pt idx="2">
                  <c:v>13.430000305175781</c:v>
                </c:pt>
                <c:pt idx="3">
                  <c:v>7.4699997901916504</c:v>
                </c:pt>
                <c:pt idx="4">
                  <c:v>7.380000114440918</c:v>
                </c:pt>
                <c:pt idx="5">
                  <c:v>10.670000076293945</c:v>
                </c:pt>
                <c:pt idx="6">
                  <c:v>7.3600001335144043</c:v>
                </c:pt>
                <c:pt idx="7">
                  <c:v>6.0100002288818359</c:v>
                </c:pt>
                <c:pt idx="8">
                  <c:v>7.6599998474121094</c:v>
                </c:pt>
                <c:pt idx="9">
                  <c:v>5.5900001525878906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3.7400000095367432</c:v>
                </c:pt>
                <c:pt idx="1">
                  <c:v>3.9600000381469727</c:v>
                </c:pt>
                <c:pt idx="2">
                  <c:v>4.630000114440918</c:v>
                </c:pt>
                <c:pt idx="3">
                  <c:v>4.9000000953674316</c:v>
                </c:pt>
                <c:pt idx="4">
                  <c:v>6.440000057220459</c:v>
                </c:pt>
                <c:pt idx="5">
                  <c:v>-0.56999999284744263</c:v>
                </c:pt>
                <c:pt idx="6">
                  <c:v>5.0799999237060547</c:v>
                </c:pt>
                <c:pt idx="7">
                  <c:v>5.4600000381469727</c:v>
                </c:pt>
                <c:pt idx="8">
                  <c:v>5.9499998092651367</c:v>
                </c:pt>
                <c:pt idx="9">
                  <c:v>3.1400001049041748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126761</c:v>
                </c:pt>
                <c:pt idx="1">
                  <c:v>139367</c:v>
                </c:pt>
                <c:pt idx="2">
                  <c:v>153290</c:v>
                </c:pt>
                <c:pt idx="3">
                  <c:v>177546</c:v>
                </c:pt>
                <c:pt idx="4">
                  <c:v>184786</c:v>
                </c:pt>
                <c:pt idx="5">
                  <c:v>194579</c:v>
                </c:pt>
                <c:pt idx="6">
                  <c:v>256776</c:v>
                </c:pt>
                <c:pt idx="7">
                  <c:v>268706</c:v>
                </c:pt>
                <c:pt idx="8">
                  <c:v>292111</c:v>
                </c:pt>
                <c:pt idx="9">
                  <c:v>322467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12841</c:v>
                </c:pt>
                <c:pt idx="1">
                  <c:v>11630</c:v>
                </c:pt>
                <c:pt idx="2">
                  <c:v>26267</c:v>
                </c:pt>
                <c:pt idx="3">
                  <c:v>25615</c:v>
                </c:pt>
                <c:pt idx="4">
                  <c:v>22181</c:v>
                </c:pt>
                <c:pt idx="5">
                  <c:v>71444</c:v>
                </c:pt>
                <c:pt idx="6">
                  <c:v>64699</c:v>
                </c:pt>
                <c:pt idx="7">
                  <c:v>59207</c:v>
                </c:pt>
                <c:pt idx="8">
                  <c:v>51971</c:v>
                </c:pt>
                <c:pt idx="9">
                  <c:v>50476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9907</c:v>
                </c:pt>
                <c:pt idx="1">
                  <c:v>10730</c:v>
                </c:pt>
                <c:pt idx="2">
                  <c:v>11567</c:v>
                </c:pt>
                <c:pt idx="3">
                  <c:v>12861</c:v>
                </c:pt>
                <c:pt idx="4">
                  <c:v>12198</c:v>
                </c:pt>
                <c:pt idx="5">
                  <c:v>12888</c:v>
                </c:pt>
                <c:pt idx="6">
                  <c:v>16358</c:v>
                </c:pt>
                <c:pt idx="7">
                  <c:v>18352</c:v>
                </c:pt>
                <c:pt idx="8">
                  <c:v>18136</c:v>
                </c:pt>
                <c:pt idx="9">
                  <c:v>11993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1.2961542343797314</c:v>
                </c:pt>
                <c:pt idx="1">
                  <c:v>1.0838769804287045</c:v>
                </c:pt>
                <c:pt idx="2">
                  <c:v>2.2708567476441601</c:v>
                </c:pt>
                <c:pt idx="3">
                  <c:v>1.9916802736956691</c:v>
                </c:pt>
                <c:pt idx="4">
                  <c:v>1.8184128545663223</c:v>
                </c:pt>
                <c:pt idx="5">
                  <c:v>5.5434512725015521</c:v>
                </c:pt>
                <c:pt idx="6">
                  <c:v>3.9551901210416922</c:v>
                </c:pt>
                <c:pt idx="7">
                  <c:v>3.2261878814298171</c:v>
                </c:pt>
                <c:pt idx="8">
                  <c:v>2.8656263784737539</c:v>
                </c:pt>
                <c:pt idx="9">
                  <c:v>4.2087884599349623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3853</c:v>
                </c:pt>
                <c:pt idx="1">
                  <c:v>6012</c:v>
                </c:pt>
                <c:pt idx="2">
                  <c:v>6207</c:v>
                </c:pt>
                <c:pt idx="3">
                  <c:v>7917</c:v>
                </c:pt>
                <c:pt idx="4">
                  <c:v>6089</c:v>
                </c:pt>
                <c:pt idx="5">
                  <c:v>6828</c:v>
                </c:pt>
                <c:pt idx="6">
                  <c:v>10391</c:v>
                </c:pt>
                <c:pt idx="7">
                  <c:v>13428</c:v>
                </c:pt>
                <c:pt idx="8">
                  <c:v>15745</c:v>
                </c:pt>
                <c:pt idx="9">
                  <c:v>13450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1097</c:v>
                </c:pt>
                <c:pt idx="1">
                  <c:v>1288</c:v>
                </c:pt>
                <c:pt idx="2">
                  <c:v>1576</c:v>
                </c:pt>
                <c:pt idx="3">
                  <c:v>1840</c:v>
                </c:pt>
                <c:pt idx="4">
                  <c:v>2049</c:v>
                </c:pt>
                <c:pt idx="5">
                  <c:v>2038</c:v>
                </c:pt>
                <c:pt idx="6">
                  <c:v>2603</c:v>
                </c:pt>
                <c:pt idx="7">
                  <c:v>2624</c:v>
                </c:pt>
                <c:pt idx="8">
                  <c:v>2625</c:v>
                </c:pt>
                <c:pt idx="9">
                  <c:v>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0.2847132104853361</c:v>
                </c:pt>
                <c:pt idx="1">
                  <c:v>0.21423819028609448</c:v>
                </c:pt>
                <c:pt idx="2">
                  <c:v>0.25390687932978895</c:v>
                </c:pt>
                <c:pt idx="3">
                  <c:v>0.23241126689402553</c:v>
                </c:pt>
                <c:pt idx="4">
                  <c:v>0.33650845787485628</c:v>
                </c:pt>
                <c:pt idx="5">
                  <c:v>0.29847685998828355</c:v>
                </c:pt>
                <c:pt idx="6">
                  <c:v>0.25050524492349147</c:v>
                </c:pt>
                <c:pt idx="7">
                  <c:v>0.19541257074769139</c:v>
                </c:pt>
                <c:pt idx="8">
                  <c:v>0.16671959352175295</c:v>
                </c:pt>
                <c:pt idx="9">
                  <c:v>0.21613382899628253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46201</c:v>
                </c:pt>
                <c:pt idx="1">
                  <c:v>48204</c:v>
                </c:pt>
                <c:pt idx="2">
                  <c:v>63279</c:v>
                </c:pt>
                <c:pt idx="3">
                  <c:v>63420</c:v>
                </c:pt>
                <c:pt idx="4">
                  <c:v>63902</c:v>
                </c:pt>
                <c:pt idx="5">
                  <c:v>151213</c:v>
                </c:pt>
                <c:pt idx="6">
                  <c:v>172147</c:v>
                </c:pt>
                <c:pt idx="7">
                  <c:v>174346</c:v>
                </c:pt>
                <c:pt idx="8">
                  <c:v>172991</c:v>
                </c:pt>
                <c:pt idx="9">
                  <c:v>162593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25325</c:v>
                </c:pt>
                <c:pt idx="1">
                  <c:v>25983</c:v>
                </c:pt>
                <c:pt idx="2">
                  <c:v>29158</c:v>
                </c:pt>
                <c:pt idx="3">
                  <c:v>31042</c:v>
                </c:pt>
                <c:pt idx="4">
                  <c:v>31229</c:v>
                </c:pt>
                <c:pt idx="5">
                  <c:v>45243</c:v>
                </c:pt>
                <c:pt idx="6">
                  <c:v>50302</c:v>
                </c:pt>
                <c:pt idx="7">
                  <c:v>56369</c:v>
                </c:pt>
                <c:pt idx="8">
                  <c:v>60008</c:v>
                </c:pt>
                <c:pt idx="9">
                  <c:v>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15425</c:v>
                </c:pt>
                <c:pt idx="1">
                  <c:v>19027</c:v>
                </c:pt>
                <c:pt idx="2">
                  <c:v>23169</c:v>
                </c:pt>
                <c:pt idx="3">
                  <c:v>26250</c:v>
                </c:pt>
                <c:pt idx="4">
                  <c:v>30648</c:v>
                </c:pt>
                <c:pt idx="5">
                  <c:v>44009</c:v>
                </c:pt>
                <c:pt idx="6">
                  <c:v>53303</c:v>
                </c:pt>
                <c:pt idx="7">
                  <c:v>62017</c:v>
                </c:pt>
                <c:pt idx="8">
                  <c:v>67807</c:v>
                </c:pt>
                <c:pt idx="9">
                  <c:v>69736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18163</c:v>
                </c:pt>
                <c:pt idx="1">
                  <c:v>17197</c:v>
                </c:pt>
                <c:pt idx="2">
                  <c:v>32065</c:v>
                </c:pt>
                <c:pt idx="3">
                  <c:v>31378</c:v>
                </c:pt>
                <c:pt idx="4">
                  <c:v>26788</c:v>
                </c:pt>
                <c:pt idx="5">
                  <c:v>93904</c:v>
                </c:pt>
                <c:pt idx="6">
                  <c:v>104976</c:v>
                </c:pt>
                <c:pt idx="7">
                  <c:v>98997</c:v>
                </c:pt>
                <c:pt idx="8">
                  <c:v>89811</c:v>
                </c:pt>
                <c:pt idx="9">
                  <c:v>87224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37938</c:v>
                </c:pt>
                <c:pt idx="1">
                  <c:v>37963</c:v>
                </c:pt>
                <c:pt idx="2">
                  <c:v>37203</c:v>
                </c:pt>
                <c:pt idx="3">
                  <c:v>36834</c:v>
                </c:pt>
                <c:pt idx="4">
                  <c:v>37695</c:v>
                </c:pt>
                <c:pt idx="5">
                  <c:v>58543</c:v>
                </c:pt>
                <c:pt idx="6">
                  <c:v>64170</c:v>
                </c:pt>
                <c:pt idx="7">
                  <c:v>69701</c:v>
                </c:pt>
                <c:pt idx="8">
                  <c:v>75381</c:v>
                </c:pt>
                <c:pt idx="9">
                  <c:v>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33588</c:v>
                </c:pt>
                <c:pt idx="1">
                  <c:v>36224</c:v>
                </c:pt>
                <c:pt idx="2">
                  <c:v>55234</c:v>
                </c:pt>
                <c:pt idx="3">
                  <c:v>57628</c:v>
                </c:pt>
                <c:pt idx="4">
                  <c:v>57436</c:v>
                </c:pt>
                <c:pt idx="5">
                  <c:v>137913</c:v>
                </c:pt>
                <c:pt idx="6">
                  <c:v>158279</c:v>
                </c:pt>
                <c:pt idx="7">
                  <c:v>161014</c:v>
                </c:pt>
                <c:pt idx="8">
                  <c:v>157618</c:v>
                </c:pt>
                <c:pt idx="9">
                  <c:v>156960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0.88533923770362166</c:v>
                </c:pt>
                <c:pt idx="1">
                  <c:v>0.95419223981244894</c:v>
                </c:pt>
                <c:pt idx="2">
                  <c:v>1.4846652151708195</c:v>
                </c:pt>
                <c:pt idx="3">
                  <c:v>1.5645327686376718</c:v>
                </c:pt>
                <c:pt idx="4">
                  <c:v>1.5237034089401778</c:v>
                </c:pt>
                <c:pt idx="5">
                  <c:v>2.3557555984490035</c:v>
                </c:pt>
                <c:pt idx="6">
                  <c:v>2.4665575814243414</c:v>
                </c:pt>
                <c:pt idx="7">
                  <c:v>2.3100672874133799</c:v>
                </c:pt>
                <c:pt idx="8">
                  <c:v>2.0909513007256471</c:v>
                </c:pt>
                <c:pt idx="9">
                  <c:v>2.2009394937951341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25325</c:v>
                </c:pt>
                <c:pt idx="1">
                  <c:v>25983</c:v>
                </c:pt>
                <c:pt idx="2">
                  <c:v>29158</c:v>
                </c:pt>
                <c:pt idx="3">
                  <c:v>31042</c:v>
                </c:pt>
                <c:pt idx="4">
                  <c:v>31229</c:v>
                </c:pt>
                <c:pt idx="5">
                  <c:v>45243</c:v>
                </c:pt>
                <c:pt idx="6">
                  <c:v>50302</c:v>
                </c:pt>
                <c:pt idx="7">
                  <c:v>56369</c:v>
                </c:pt>
                <c:pt idx="8">
                  <c:v>60008</c:v>
                </c:pt>
                <c:pt idx="9">
                  <c:v>65682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15425</c:v>
                </c:pt>
                <c:pt idx="1">
                  <c:v>19027</c:v>
                </c:pt>
                <c:pt idx="2">
                  <c:v>23169</c:v>
                </c:pt>
                <c:pt idx="3">
                  <c:v>26250</c:v>
                </c:pt>
                <c:pt idx="4">
                  <c:v>30648</c:v>
                </c:pt>
                <c:pt idx="5">
                  <c:v>44009</c:v>
                </c:pt>
                <c:pt idx="6">
                  <c:v>53303</c:v>
                </c:pt>
                <c:pt idx="7">
                  <c:v>62017</c:v>
                </c:pt>
                <c:pt idx="8">
                  <c:v>67807</c:v>
                </c:pt>
                <c:pt idx="9">
                  <c:v>69736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1.6418152350081037</c:v>
                </c:pt>
                <c:pt idx="1">
                  <c:v>1.3655857465706627</c:v>
                </c:pt>
                <c:pt idx="2">
                  <c:v>1.2584919504510337</c:v>
                </c:pt>
                <c:pt idx="3">
                  <c:v>1.182552380952381</c:v>
                </c:pt>
                <c:pt idx="4">
                  <c:v>1.0189571913338553</c:v>
                </c:pt>
                <c:pt idx="5">
                  <c:v>1.0280397191483561</c:v>
                </c:pt>
                <c:pt idx="6">
                  <c:v>0.94369922893645763</c:v>
                </c:pt>
                <c:pt idx="7">
                  <c:v>0.90892819710724482</c:v>
                </c:pt>
                <c:pt idx="8">
                  <c:v>0.88498237645080891</c:v>
                </c:pt>
                <c:pt idx="9">
                  <c:v>0.94186646782149819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9907</c:v>
                </c:pt>
                <c:pt idx="1">
                  <c:v>10730</c:v>
                </c:pt>
                <c:pt idx="2">
                  <c:v>11567</c:v>
                </c:pt>
                <c:pt idx="3">
                  <c:v>12861</c:v>
                </c:pt>
                <c:pt idx="4">
                  <c:v>12198</c:v>
                </c:pt>
                <c:pt idx="5">
                  <c:v>12888</c:v>
                </c:pt>
                <c:pt idx="6">
                  <c:v>16358</c:v>
                </c:pt>
                <c:pt idx="7">
                  <c:v>18352</c:v>
                </c:pt>
                <c:pt idx="8">
                  <c:v>18136</c:v>
                </c:pt>
                <c:pt idx="9">
                  <c:v>11993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4592</c:v>
                </c:pt>
                <c:pt idx="1">
                  <c:v>4644</c:v>
                </c:pt>
                <c:pt idx="2">
                  <c:v>5237</c:v>
                </c:pt>
                <c:pt idx="3">
                  <c:v>5317</c:v>
                </c:pt>
                <c:pt idx="4">
                  <c:v>6622</c:v>
                </c:pt>
                <c:pt idx="5">
                  <c:v>-594</c:v>
                </c:pt>
                <c:pt idx="6">
                  <c:v>6634</c:v>
                </c:pt>
                <c:pt idx="7">
                  <c:v>7179</c:v>
                </c:pt>
                <c:pt idx="8">
                  <c:v>7910</c:v>
                </c:pt>
                <c:pt idx="9">
                  <c:v>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3853</c:v>
                </c:pt>
                <c:pt idx="1">
                  <c:v>6012</c:v>
                </c:pt>
                <c:pt idx="2">
                  <c:v>6207</c:v>
                </c:pt>
                <c:pt idx="3">
                  <c:v>7917</c:v>
                </c:pt>
                <c:pt idx="4">
                  <c:v>6089</c:v>
                </c:pt>
                <c:pt idx="5">
                  <c:v>6828</c:v>
                </c:pt>
                <c:pt idx="6">
                  <c:v>10391</c:v>
                </c:pt>
                <c:pt idx="7">
                  <c:v>13428</c:v>
                </c:pt>
                <c:pt idx="8">
                  <c:v>15745</c:v>
                </c:pt>
                <c:pt idx="9">
                  <c:v>13450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6.420043061264435</c:v>
                </c:pt>
                <c:pt idx="1">
                  <c:v>6.2598568482348655</c:v>
                </c:pt>
                <c:pt idx="2">
                  <c:v>5.6654802730508349</c:v>
                </c:pt>
                <c:pt idx="3">
                  <c:v>5.6287184264571994</c:v>
                </c:pt>
                <c:pt idx="4">
                  <c:v>6.9609275630446437</c:v>
                </c:pt>
                <c:pt idx="5">
                  <c:v>-0.30235777985910334</c:v>
                </c:pt>
                <c:pt idx="6">
                  <c:v>2.9822566071324212</c:v>
                </c:pt>
                <c:pt idx="7">
                  <c:v>3.111631233339835</c:v>
                </c:pt>
                <c:pt idx="8">
                  <c:v>3.3948643556410114</c:v>
                </c:pt>
                <c:pt idx="9">
                  <c:v>1.8175446281896834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12.103959091148717</c:v>
                </c:pt>
                <c:pt idx="1">
                  <c:v>12.232963675157389</c:v>
                </c:pt>
                <c:pt idx="2">
                  <c:v>14.076821761685885</c:v>
                </c:pt>
                <c:pt idx="3">
                  <c:v>14.435032850084161</c:v>
                </c:pt>
                <c:pt idx="4">
                  <c:v>17.56731662024141</c:v>
                </c:pt>
                <c:pt idx="5">
                  <c:v>-1.0146388124967973</c:v>
                </c:pt>
                <c:pt idx="6">
                  <c:v>10.338164251207729</c:v>
                </c:pt>
                <c:pt idx="7">
                  <c:v>10.299708755971936</c:v>
                </c:pt>
                <c:pt idx="8">
                  <c:v>10.493360395855719</c:v>
                </c:pt>
                <c:pt idx="9">
                  <c:v>5.8178503821075509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9.9200000762939453</c:v>
                </c:pt>
                <c:pt idx="1">
                  <c:v>9.7899999618530273</c:v>
                </c:pt>
                <c:pt idx="2">
                  <c:v>9.9399995803833008</c:v>
                </c:pt>
                <c:pt idx="3">
                  <c:v>9.25</c:v>
                </c:pt>
                <c:pt idx="4">
                  <c:v>11.560000419616699</c:v>
                </c:pt>
                <c:pt idx="5">
                  <c:v>1.3400000333786011</c:v>
                </c:pt>
                <c:pt idx="6">
                  <c:v>6.2399997711181641</c:v>
                </c:pt>
                <c:pt idx="7">
                  <c:v>6.070000171661377</c:v>
                </c:pt>
                <c:pt idx="8">
                  <c:v>6.4200000762939453</c:v>
                </c:pt>
                <c:pt idx="9">
                  <c:v>3.9900000095367432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1226</c:v>
                </c:pt>
                <c:pt idx="1">
                  <c:v>1169</c:v>
                </c:pt>
                <c:pt idx="2">
                  <c:v>1126</c:v>
                </c:pt>
                <c:pt idx="3">
                  <c:v>1079</c:v>
                </c:pt>
                <c:pt idx="4">
                  <c:v>1024</c:v>
                </c:pt>
                <c:pt idx="5">
                  <c:v>1044</c:v>
                </c:pt>
                <c:pt idx="6">
                  <c:v>1305</c:v>
                </c:pt>
                <c:pt idx="7">
                  <c:v>1314</c:v>
                </c:pt>
                <c:pt idx="8">
                  <c:v>1329</c:v>
                </c:pt>
                <c:pt idx="9">
                  <c:v>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N36" sqref="N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6" t="str">
        <f>V11</f>
        <v>L</v>
      </c>
      <c r="E12" s="45" t="s">
        <v>141</v>
      </c>
      <c r="F12" s="123">
        <f>AVERAGE(L12:P12)</f>
        <v>2.2007878088887698</v>
      </c>
      <c r="G12" s="119">
        <f>Financials!D76</f>
        <v>6.420043061264435</v>
      </c>
      <c r="H12" s="119">
        <f>Financials!E76</f>
        <v>6.2598568482348655</v>
      </c>
      <c r="I12" s="119">
        <f>Financials!F76</f>
        <v>5.6654802730508349</v>
      </c>
      <c r="J12" s="119">
        <f>Financials!G76</f>
        <v>5.6287184264571994</v>
      </c>
      <c r="K12" s="119">
        <f>Financials!H76</f>
        <v>6.9609275630446437</v>
      </c>
      <c r="L12" s="119">
        <f>Financials!I76</f>
        <v>-0.30235777985910334</v>
      </c>
      <c r="M12" s="119">
        <f>Financials!J76</f>
        <v>2.9822566071324212</v>
      </c>
      <c r="N12" s="119">
        <f>Financials!K76</f>
        <v>3.111631233339835</v>
      </c>
      <c r="O12" s="119">
        <f>Financials!L76</f>
        <v>3.3948643556410114</v>
      </c>
      <c r="P12" s="119">
        <f>Financials!M76</f>
        <v>1.8175446281896834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6" t="str">
        <f>V11</f>
        <v>L</v>
      </c>
      <c r="E14" s="46">
        <v>0.08</v>
      </c>
      <c r="F14" s="124">
        <f>AVERAGE(L14:P14)</f>
        <v>7.1868889945292285</v>
      </c>
      <c r="G14" s="40">
        <f>Financials!D77</f>
        <v>12.103959091148717</v>
      </c>
      <c r="H14" s="40">
        <f>Financials!E77</f>
        <v>12.232963675157389</v>
      </c>
      <c r="I14" s="40">
        <f>Financials!F77</f>
        <v>14.076821761685885</v>
      </c>
      <c r="J14" s="40">
        <f>Financials!G77</f>
        <v>14.435032850084161</v>
      </c>
      <c r="K14" s="40">
        <f>Financials!H77</f>
        <v>17.56731662024141</v>
      </c>
      <c r="L14" s="40">
        <f>Financials!I77</f>
        <v>-1.0146388124967973</v>
      </c>
      <c r="M14" s="40">
        <f>Financials!J77</f>
        <v>10.338164251207729</v>
      </c>
      <c r="N14" s="40">
        <f>Financials!K77</f>
        <v>10.299708755971936</v>
      </c>
      <c r="O14" s="40">
        <f>Financials!L77</f>
        <v>10.493360395855719</v>
      </c>
      <c r="P14" s="40">
        <f>Financials!M77</f>
        <v>5.8178503821075509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6" t="str">
        <f>V11</f>
        <v>L</v>
      </c>
      <c r="E16" s="47">
        <f>WACC!$C$25</f>
        <v>4.1060923293995077E-2</v>
      </c>
      <c r="F16" s="124">
        <f>AVERAGE(L16:P16)</f>
        <v>4.8120000123977658</v>
      </c>
      <c r="G16" s="40">
        <f>Financials!D78</f>
        <v>9.9200000762939453</v>
      </c>
      <c r="H16" s="40">
        <f>Financials!E78</f>
        <v>9.7899999618530273</v>
      </c>
      <c r="I16" s="40">
        <f>Financials!F78</f>
        <v>9.9399995803833008</v>
      </c>
      <c r="J16" s="40">
        <f>Financials!G78</f>
        <v>9.25</v>
      </c>
      <c r="K16" s="40">
        <f>Financials!H78</f>
        <v>11.560000419616699</v>
      </c>
      <c r="L16" s="40">
        <f>Financials!I78</f>
        <v>1.3400000333786011</v>
      </c>
      <c r="M16" s="40">
        <f>Financials!J78</f>
        <v>6.2399997711181641</v>
      </c>
      <c r="N16" s="40">
        <f>Financials!K78</f>
        <v>6.070000171661377</v>
      </c>
      <c r="O16" s="40">
        <f>Financials!L78</f>
        <v>6.4200000762939453</v>
      </c>
      <c r="P16" s="40">
        <f>Financials!M78</f>
        <v>3.9900000095367432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>
        <f>AVERAGE(L18:P18)</f>
        <v>0.94150319789287307</v>
      </c>
      <c r="G18" s="42">
        <f>Financials!D59</f>
        <v>1.6418152350081037</v>
      </c>
      <c r="H18" s="42">
        <f>Financials!E59</f>
        <v>1.3655857465706627</v>
      </c>
      <c r="I18" s="42">
        <f>Financials!F59</f>
        <v>1.2584919504510337</v>
      </c>
      <c r="J18" s="42">
        <f>Financials!G59</f>
        <v>1.182552380952381</v>
      </c>
      <c r="K18" s="42">
        <f>Financials!H59</f>
        <v>1.0189571913338553</v>
      </c>
      <c r="L18" s="42">
        <f>Financials!I59</f>
        <v>1.0280397191483561</v>
      </c>
      <c r="M18" s="42">
        <f>Financials!J59</f>
        <v>0.94369922893645763</v>
      </c>
      <c r="N18" s="42">
        <f>Financials!K59</f>
        <v>0.90892819710724482</v>
      </c>
      <c r="O18" s="42">
        <f>Financials!L59</f>
        <v>0.88498237645080891</v>
      </c>
      <c r="P18" s="42">
        <f>Financials!M59</f>
        <v>0.94186646782149819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6" t="str">
        <f>V11</f>
        <v>L</v>
      </c>
      <c r="E20" s="49" t="s">
        <v>137</v>
      </c>
      <c r="F20" s="125">
        <f>AVERAGE(L20:P20)</f>
        <v>2.2848542523615012</v>
      </c>
      <c r="G20" s="42">
        <f>Financials!D58</f>
        <v>0.88533923770362166</v>
      </c>
      <c r="H20" s="42">
        <f>Financials!E58</f>
        <v>0.95419223981244894</v>
      </c>
      <c r="I20" s="42">
        <f>Financials!F58</f>
        <v>1.4846652151708195</v>
      </c>
      <c r="J20" s="42">
        <f>Financials!G58</f>
        <v>1.5645327686376718</v>
      </c>
      <c r="K20" s="42">
        <f>Financials!H58</f>
        <v>1.5237034089401778</v>
      </c>
      <c r="L20" s="42">
        <f>Financials!I58</f>
        <v>2.3557555984490035</v>
      </c>
      <c r="M20" s="42">
        <f>Financials!J58</f>
        <v>2.4665575814243414</v>
      </c>
      <c r="N20" s="42">
        <f>Financials!K58</f>
        <v>2.3100672874133799</v>
      </c>
      <c r="O20" s="42">
        <f>Financials!L58</f>
        <v>2.0909513007256471</v>
      </c>
      <c r="P20" s="42">
        <f>Financials!M58</f>
        <v>2.2009394937951341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5" t="str">
        <f>U11</f>
        <v>K</v>
      </c>
      <c r="E22" s="49" t="s">
        <v>158</v>
      </c>
      <c r="F22" s="125">
        <f>AVERAGE(L22:P22)</f>
        <v>3.9598488226763555</v>
      </c>
      <c r="G22" s="42">
        <f>Financials!D60</f>
        <v>1.2961542343797314</v>
      </c>
      <c r="H22" s="42">
        <f>Financials!E60</f>
        <v>1.0838769804287045</v>
      </c>
      <c r="I22" s="42">
        <f>Financials!F60</f>
        <v>2.2708567476441601</v>
      </c>
      <c r="J22" s="42">
        <f>Financials!G60</f>
        <v>1.9916802736956691</v>
      </c>
      <c r="K22" s="42">
        <f>Financials!H60</f>
        <v>1.8184128545663223</v>
      </c>
      <c r="L22" s="42">
        <f>Financials!I60</f>
        <v>5.5434512725015521</v>
      </c>
      <c r="M22" s="42">
        <f>Financials!J60</f>
        <v>3.9551901210416922</v>
      </c>
      <c r="N22" s="42">
        <f>Financials!K60</f>
        <v>3.2261878814298171</v>
      </c>
      <c r="O22" s="42">
        <f>Financials!L60</f>
        <v>2.8656263784737539</v>
      </c>
      <c r="P22" s="42">
        <f>Financials!M60</f>
        <v>4.2087884599349623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>
        <f>Financials!D12</f>
        <v>1226</v>
      </c>
      <c r="H24" s="40">
        <f>Financials!E12</f>
        <v>1169</v>
      </c>
      <c r="I24" s="40">
        <f>Financials!F12</f>
        <v>1126</v>
      </c>
      <c r="J24" s="40">
        <f>Financials!G12</f>
        <v>1079</v>
      </c>
      <c r="K24" s="40">
        <f>Financials!H12</f>
        <v>1024</v>
      </c>
      <c r="L24" s="40">
        <f>Financials!I12</f>
        <v>1044</v>
      </c>
      <c r="M24" s="40">
        <f>Financials!J12</f>
        <v>1305</v>
      </c>
      <c r="N24" s="40">
        <f>Financials!K12</f>
        <v>1314</v>
      </c>
      <c r="O24" s="40">
        <f>Financials!L12</f>
        <v>1329</v>
      </c>
      <c r="P24" s="40">
        <f>Financials!M12</f>
        <v>1323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22.482000160217286</v>
      </c>
      <c r="G26" s="44">
        <f>Financials!D81</f>
        <v>19.940000534057617</v>
      </c>
      <c r="H26" s="44">
        <f>Financials!E81</f>
        <v>24.889999389648438</v>
      </c>
      <c r="I26" s="44">
        <f>Financials!F81</f>
        <v>22.120000839233398</v>
      </c>
      <c r="J26" s="44">
        <f>Financials!G81</f>
        <v>16.930000305175781</v>
      </c>
      <c r="K26" s="44">
        <f>Financials!H81</f>
        <v>14.979999542236328</v>
      </c>
      <c r="L26" s="44">
        <f>Financials!I81</f>
        <v>21.620000839233398</v>
      </c>
      <c r="M26" s="44">
        <f>Financials!J81</f>
        <v>22.180000305175781</v>
      </c>
      <c r="N26" s="44">
        <f>Financials!K81</f>
        <v>11.289999961853027</v>
      </c>
      <c r="O26" s="44">
        <f>Financials!L81</f>
        <v>18</v>
      </c>
      <c r="P26" s="44">
        <f>Financials!M81</f>
        <v>39.319999694824219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7.4580000877380375</v>
      </c>
      <c r="G28" s="44">
        <f>Financials!D82</f>
        <v>14.829999923706055</v>
      </c>
      <c r="H28" s="44">
        <f>Financials!E82</f>
        <v>18.200000762939453</v>
      </c>
      <c r="I28" s="44">
        <f>Financials!F82</f>
        <v>13.430000305175781</v>
      </c>
      <c r="J28" s="44">
        <f>Financials!G82</f>
        <v>7.4699997901916504</v>
      </c>
      <c r="K28" s="44">
        <f>Financials!H82</f>
        <v>7.380000114440918</v>
      </c>
      <c r="L28" s="44">
        <f>Financials!I82</f>
        <v>10.670000076293945</v>
      </c>
      <c r="M28" s="44">
        <f>Financials!J82</f>
        <v>7.3600001335144043</v>
      </c>
      <c r="N28" s="44">
        <f>Financials!K82</f>
        <v>6.0100002288818359</v>
      </c>
      <c r="O28" s="44">
        <f>Financials!L82</f>
        <v>7.6599998474121094</v>
      </c>
      <c r="P28" s="44">
        <f>Financials!M82</f>
        <v>5.5900001525878906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5" t="str">
        <f>U11</f>
        <v>K</v>
      </c>
      <c r="E30" s="51" t="s">
        <v>70</v>
      </c>
      <c r="F30" s="127">
        <f>Financials!$C$83</f>
        <v>1.4299999475479126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0.1452116421409706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0.13316284872197515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6" t="str">
        <f>V11</f>
        <v>L</v>
      </c>
      <c r="E35" s="50" t="s">
        <v>77</v>
      </c>
      <c r="F35" s="52">
        <f>Financials!D69</f>
        <v>-1.4291591562926365E-2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3.8955948928354633E-2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6" t="str">
        <f>V11</f>
        <v>L</v>
      </c>
      <c r="E38" s="50" t="s">
        <v>77</v>
      </c>
      <c r="F38" s="52">
        <f>Financials!D65</f>
        <v>-2.4751337449065964</v>
      </c>
    </row>
    <row r="39" spans="2:17" ht="18.5">
      <c r="B39" s="154"/>
      <c r="C39" s="35" t="s">
        <v>81</v>
      </c>
      <c r="D39" s="56" t="str">
        <f>V11</f>
        <v>L</v>
      </c>
      <c r="E39" s="50" t="s">
        <v>77</v>
      </c>
      <c r="F39" s="52">
        <f>Financials!D66</f>
        <v>-1.0093546534068243E-2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0.1063126085431747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9.7867583786303447E-2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0.22544961963550039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7.3614010700210342E-2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7.7548278363380643E-2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0.15116228906359097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zoomScale="78" zoomScaleNormal="100" workbookViewId="0">
      <selection activeCell="AV24" sqref="AV24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93.120002746582031</v>
      </c>
    </row>
    <row r="6" spans="2:16">
      <c r="B6" s="4" t="s">
        <v>5</v>
      </c>
      <c r="C6" s="59">
        <v>69736000</v>
      </c>
    </row>
    <row r="7" spans="2:16">
      <c r="B7" s="4" t="s">
        <v>4</v>
      </c>
      <c r="C7" s="59">
        <v>87224000</v>
      </c>
    </row>
    <row r="8" spans="2:16">
      <c r="B8" s="4" t="s">
        <v>3</v>
      </c>
      <c r="C8" s="59">
        <v>2287000</v>
      </c>
    </row>
    <row r="9" spans="2:16">
      <c r="B9" s="10" t="s">
        <v>6</v>
      </c>
      <c r="C9" s="59">
        <v>5628000</v>
      </c>
    </row>
    <row r="10" spans="2:16">
      <c r="B10" s="10" t="s">
        <v>7</v>
      </c>
      <c r="C10" s="59">
        <v>1463000</v>
      </c>
    </row>
    <row r="11" spans="2:16">
      <c r="B11" s="10" t="s">
        <v>9</v>
      </c>
      <c r="C11" s="60">
        <v>0.61000001430511475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156960000</v>
      </c>
    </row>
    <row r="18" spans="2:15" ht="18" thickTop="1" thickBot="1">
      <c r="B18" s="2" t="s">
        <v>20</v>
      </c>
      <c r="C18" s="12">
        <f>C8/C17</f>
        <v>1.457059123343527E-2</v>
      </c>
    </row>
    <row r="19" spans="2:15" ht="18" thickTop="1" thickBot="1">
      <c r="B19" s="2" t="s">
        <v>19</v>
      </c>
      <c r="C19" s="12">
        <f>C14+C11*(C15-C14)</f>
        <v>8.6070001244545002E-2</v>
      </c>
    </row>
    <row r="20" spans="2:15" ht="18" thickTop="1" thickBot="1">
      <c r="B20" s="2" t="s">
        <v>18</v>
      </c>
      <c r="C20" s="12">
        <f>C8/C17</f>
        <v>1.457059123343527E-2</v>
      </c>
      <c r="K20" t="s">
        <v>17</v>
      </c>
    </row>
    <row r="21" spans="2:15" ht="18" thickTop="1" thickBot="1">
      <c r="B21" s="16" t="s">
        <v>22</v>
      </c>
      <c r="C21" s="11">
        <f>C17+C5*1000000</f>
        <v>250080002.746582</v>
      </c>
      <c r="K21" t="s">
        <v>11</v>
      </c>
    </row>
    <row r="22" spans="2:15" ht="18" thickTop="1" thickBot="1">
      <c r="B22" s="2" t="s">
        <v>23</v>
      </c>
      <c r="C22" s="12">
        <f>C5*1000000/C21</f>
        <v>0.37236085142299419</v>
      </c>
      <c r="K22" t="s">
        <v>12</v>
      </c>
    </row>
    <row r="23" spans="2:15" ht="18" thickTop="1" thickBot="1">
      <c r="B23" s="16" t="s">
        <v>24</v>
      </c>
      <c r="C23" s="12">
        <f>C17/C21</f>
        <v>0.62763914857700576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4.1060923293995077E-2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B66" sqref="B66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4.1060923293995077E-2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1.9999999552965164E-2</v>
      </c>
    </row>
    <row r="7" spans="2:12">
      <c r="B7" s="18" t="s">
        <v>31</v>
      </c>
      <c r="C7" s="13">
        <f>AVERAGEIF(C28:L28, "&lt;0.5")</f>
        <v>2.5894008052077068E-2</v>
      </c>
    </row>
    <row r="8" spans="2:12">
      <c r="B8" s="18" t="s">
        <v>112</v>
      </c>
      <c r="C8" s="13">
        <f>AVERAGEIF(C29:L29,"&lt;2")</f>
        <v>1.3943336536885151</v>
      </c>
    </row>
    <row r="9" spans="2:12">
      <c r="B9" s="18" t="s">
        <v>136</v>
      </c>
      <c r="C9" s="66">
        <v>9</v>
      </c>
    </row>
    <row r="10" spans="2:12">
      <c r="B10" s="18" t="s">
        <v>100</v>
      </c>
      <c r="C10" s="67">
        <v>2.9999999329447701E-2</v>
      </c>
    </row>
    <row r="11" spans="2:12">
      <c r="B11" s="18" t="s">
        <v>44</v>
      </c>
      <c r="C11" s="59">
        <v>1284111616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126761</v>
      </c>
      <c r="D16" s="21">
        <f>Financials!E3</f>
        <v>139367</v>
      </c>
      <c r="E16" s="21">
        <f>Financials!F3</f>
        <v>153290</v>
      </c>
      <c r="F16" s="21">
        <f>Financials!G3</f>
        <v>177546</v>
      </c>
      <c r="G16" s="21">
        <f>Financials!H3</f>
        <v>184786</v>
      </c>
      <c r="H16" s="21">
        <f>Financials!I3</f>
        <v>194579</v>
      </c>
      <c r="I16" s="21">
        <f>Financials!J3</f>
        <v>256776</v>
      </c>
      <c r="J16" s="21">
        <f>Financials!K3</f>
        <v>268706</v>
      </c>
      <c r="K16" s="21">
        <f>Financials!L3</f>
        <v>292111</v>
      </c>
      <c r="L16" s="21">
        <f>Financials!M3</f>
        <v>322467</v>
      </c>
    </row>
    <row r="17" spans="2:12">
      <c r="B17" s="18" t="s">
        <v>27</v>
      </c>
      <c r="C17" s="22"/>
      <c r="D17" s="20">
        <f t="shared" ref="D17:L17" si="0">(D16-C16)/C16</f>
        <v>9.9446990793698384E-2</v>
      </c>
      <c r="E17" s="20">
        <f t="shared" si="0"/>
        <v>9.990169839345038E-2</v>
      </c>
      <c r="F17" s="20">
        <f t="shared" si="0"/>
        <v>0.15823602322395461</v>
      </c>
      <c r="G17" s="20">
        <f t="shared" si="0"/>
        <v>4.0778164532008609E-2</v>
      </c>
      <c r="H17" s="20">
        <f t="shared" si="0"/>
        <v>5.2996439124176072E-2</v>
      </c>
      <c r="I17" s="20">
        <f t="shared" si="0"/>
        <v>0.31964908854501256</v>
      </c>
      <c r="J17" s="20">
        <f t="shared" si="0"/>
        <v>4.6460728416986008E-2</v>
      </c>
      <c r="K17" s="20">
        <f t="shared" si="0"/>
        <v>8.7102632617061027E-2</v>
      </c>
      <c r="L17" s="20">
        <f t="shared" si="0"/>
        <v>0.10391940050186402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4592</v>
      </c>
      <c r="D19" s="21">
        <f>Financials!E6</f>
        <v>4644</v>
      </c>
      <c r="E19" s="21">
        <f>Financials!F6</f>
        <v>5237</v>
      </c>
      <c r="F19" s="21">
        <f>Financials!G6</f>
        <v>5317</v>
      </c>
      <c r="G19" s="21">
        <f>Financials!H6</f>
        <v>6622</v>
      </c>
      <c r="H19" s="21">
        <f>Financials!I6</f>
        <v>-594</v>
      </c>
      <c r="I19" s="21">
        <f>Financials!J6</f>
        <v>6634</v>
      </c>
      <c r="J19" s="21">
        <f>Financials!K6</f>
        <v>7179</v>
      </c>
      <c r="K19" s="21">
        <f>Financials!L6</f>
        <v>7910</v>
      </c>
      <c r="L19" s="21">
        <f>Financials!M6</f>
        <v>4149</v>
      </c>
    </row>
    <row r="20" spans="2:12">
      <c r="B20" s="18" t="s">
        <v>27</v>
      </c>
      <c r="C20" s="22"/>
      <c r="D20" s="20">
        <f>(D19-C19)/C19</f>
        <v>1.1324041811846691E-2</v>
      </c>
      <c r="E20" s="20">
        <f t="shared" ref="E20:L20" si="1">(E19-D19)/D19</f>
        <v>0.12769164513350559</v>
      </c>
      <c r="F20" s="20">
        <f t="shared" si="1"/>
        <v>1.5275921329005156E-2</v>
      </c>
      <c r="G20" s="20">
        <f t="shared" si="1"/>
        <v>0.24543915741959751</v>
      </c>
      <c r="H20" s="20">
        <f t="shared" si="1"/>
        <v>-1.0897009966777409</v>
      </c>
      <c r="I20" s="20">
        <f t="shared" si="1"/>
        <v>-12.168350168350168</v>
      </c>
      <c r="J20" s="20">
        <f t="shared" si="1"/>
        <v>8.2152547482665053E-2</v>
      </c>
      <c r="K20" s="20">
        <f t="shared" si="1"/>
        <v>0.10182476668059619</v>
      </c>
      <c r="L20" s="20">
        <f t="shared" si="1"/>
        <v>-0.47547408343868519</v>
      </c>
    </row>
    <row r="22" spans="2:12">
      <c r="B22" s="18" t="s">
        <v>30</v>
      </c>
      <c r="C22" s="25">
        <f>Financials!D20</f>
        <v>3853</v>
      </c>
      <c r="D22" s="25">
        <f>Financials!E20</f>
        <v>6012</v>
      </c>
      <c r="E22" s="25">
        <f>Financials!F20</f>
        <v>6207</v>
      </c>
      <c r="F22" s="25">
        <f>Financials!G20</f>
        <v>7917</v>
      </c>
      <c r="G22" s="25">
        <f>Financials!H20</f>
        <v>6089</v>
      </c>
      <c r="H22" s="25">
        <f>Financials!I20</f>
        <v>6828</v>
      </c>
      <c r="I22" s="25">
        <f>Financials!J20</f>
        <v>10391</v>
      </c>
      <c r="J22" s="25">
        <f>Financials!K20</f>
        <v>13428</v>
      </c>
      <c r="K22" s="25">
        <f>Financials!L20</f>
        <v>15745</v>
      </c>
      <c r="L22" s="25">
        <f>Financials!M20</f>
        <v>13450</v>
      </c>
    </row>
    <row r="23" spans="2:12">
      <c r="B23" s="18" t="s">
        <v>27</v>
      </c>
      <c r="C23" s="26"/>
      <c r="D23" s="26">
        <f>(D22-C22)/C22</f>
        <v>0.56034259018946275</v>
      </c>
      <c r="E23" s="26">
        <f t="shared" ref="E23:L23" si="2">(E22-D22)/D22</f>
        <v>3.2435129740518959E-2</v>
      </c>
      <c r="F23" s="26">
        <f t="shared" si="2"/>
        <v>0.27549540840985981</v>
      </c>
      <c r="G23" s="26">
        <f t="shared" si="2"/>
        <v>-0.23089554124036882</v>
      </c>
      <c r="H23" s="26">
        <f t="shared" si="2"/>
        <v>0.12136639842338644</v>
      </c>
      <c r="I23" s="26">
        <f t="shared" si="2"/>
        <v>0.5218219097832455</v>
      </c>
      <c r="J23" s="26">
        <f t="shared" si="2"/>
        <v>0.29227215859878741</v>
      </c>
      <c r="K23" s="26">
        <f t="shared" si="2"/>
        <v>0.17254989574024426</v>
      </c>
      <c r="L23" s="26">
        <f t="shared" si="2"/>
        <v>-0.14576055890758971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9907</v>
      </c>
      <c r="D25" s="62">
        <f>Financials!E9</f>
        <v>10730</v>
      </c>
      <c r="E25" s="62">
        <f>Financials!F9</f>
        <v>11567</v>
      </c>
      <c r="F25" s="62">
        <f>Financials!G9</f>
        <v>12861</v>
      </c>
      <c r="G25" s="62">
        <f>Financials!H9</f>
        <v>12198</v>
      </c>
      <c r="H25" s="62">
        <f>Financials!I9</f>
        <v>12888</v>
      </c>
      <c r="I25" s="62">
        <f>Financials!J9</f>
        <v>16358</v>
      </c>
      <c r="J25" s="62">
        <f>Financials!K9</f>
        <v>18352</v>
      </c>
      <c r="K25" s="62">
        <f>Financials!L9</f>
        <v>18136</v>
      </c>
      <c r="L25" s="62">
        <f>Financials!M9</f>
        <v>11993</v>
      </c>
    </row>
    <row r="26" spans="2:12">
      <c r="B26" s="18" t="s">
        <v>27</v>
      </c>
      <c r="C26" s="63"/>
      <c r="D26" s="63">
        <f>Financials!E10</f>
        <v>8.3072574947007163E-2</v>
      </c>
      <c r="E26" s="63">
        <f>Financials!F10</f>
        <v>7.8005591798695248E-2</v>
      </c>
      <c r="F26" s="63">
        <f>Financials!G10</f>
        <v>0.11186997492867641</v>
      </c>
      <c r="G26" s="63">
        <f>Financials!H10</f>
        <v>-5.1551201306274781E-2</v>
      </c>
      <c r="H26" s="63">
        <f>Financials!I10</f>
        <v>5.6566650270536152E-2</v>
      </c>
      <c r="I26" s="63">
        <f>Financials!J10</f>
        <v>0.26924270639354436</v>
      </c>
      <c r="J26" s="63">
        <f>Financials!K10</f>
        <v>0.12189754248685658</v>
      </c>
      <c r="K26" s="63">
        <f>Financials!L10</f>
        <v>-1.1769834350479512E-2</v>
      </c>
      <c r="L26" s="63">
        <f>Financials!M10</f>
        <v>-0.338718570798412</v>
      </c>
    </row>
    <row r="28" spans="2:12" ht="15" thickBot="1">
      <c r="B28" s="1" t="s">
        <v>31</v>
      </c>
      <c r="C28" s="24">
        <f t="shared" ref="C28:L28" si="3">C19/C16</f>
        <v>3.6225653000528553E-2</v>
      </c>
      <c r="D28" s="24">
        <f t="shared" si="3"/>
        <v>3.3322092030394566E-2</v>
      </c>
      <c r="E28" s="24">
        <f t="shared" si="3"/>
        <v>3.4164002870376409E-2</v>
      </c>
      <c r="F28" s="24">
        <f t="shared" si="3"/>
        <v>2.9947168621089745E-2</v>
      </c>
      <c r="G28" s="24">
        <f t="shared" si="3"/>
        <v>3.5836048185468594E-2</v>
      </c>
      <c r="H28" s="24">
        <f t="shared" si="3"/>
        <v>-3.0527446435637969E-3</v>
      </c>
      <c r="I28" s="24">
        <f t="shared" si="3"/>
        <v>2.5835747889210829E-2</v>
      </c>
      <c r="J28" s="24">
        <f t="shared" si="3"/>
        <v>2.6716932260537538E-2</v>
      </c>
      <c r="K28" s="24">
        <f t="shared" si="3"/>
        <v>2.7078747462437224E-2</v>
      </c>
      <c r="L28" s="24">
        <f t="shared" si="3"/>
        <v>1.2866432844291044E-2</v>
      </c>
    </row>
    <row r="29" spans="2:12" ht="15" thickBot="1">
      <c r="B29" s="1" t="s">
        <v>32</v>
      </c>
      <c r="C29" s="24">
        <f t="shared" ref="C29:L29" si="4">C22/C19</f>
        <v>0.83906794425087106</v>
      </c>
      <c r="D29" s="24">
        <f t="shared" si="4"/>
        <v>1.2945736434108528</v>
      </c>
      <c r="E29" s="24">
        <f t="shared" si="4"/>
        <v>1.1852205461141876</v>
      </c>
      <c r="F29" s="24">
        <f t="shared" si="4"/>
        <v>1.488997555012225</v>
      </c>
      <c r="G29" s="24">
        <f t="shared" si="4"/>
        <v>0.91951072183630322</v>
      </c>
      <c r="H29" s="24"/>
      <c r="I29" s="24">
        <f t="shared" si="4"/>
        <v>1.5663249924630691</v>
      </c>
      <c r="J29" s="24">
        <f t="shared" si="4"/>
        <v>1.8704554951943169</v>
      </c>
      <c r="K29" s="24">
        <f t="shared" si="4"/>
        <v>1.9905183312262957</v>
      </c>
      <c r="L29" s="24">
        <f t="shared" si="4"/>
        <v>3.2417449987948905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339944.71174212458</v>
      </c>
      <c r="D36" s="21">
        <f>C36*(D37+1)</f>
        <v>334165.65132844349</v>
      </c>
      <c r="E36" s="21">
        <f>D36*(E37+1)</f>
        <v>349403.60528595996</v>
      </c>
      <c r="F36" s="21">
        <f t="shared" ref="F36:L36" si="5">E36*(F37+1)</f>
        <v>356391.67723548529</v>
      </c>
      <c r="G36" s="21">
        <f t="shared" si="5"/>
        <v>363519.51062087691</v>
      </c>
      <c r="H36" s="21">
        <f t="shared" si="5"/>
        <v>370789.9006707904</v>
      </c>
      <c r="I36" s="21">
        <f t="shared" si="5"/>
        <v>378205.69851845159</v>
      </c>
      <c r="J36" s="21">
        <f t="shared" si="5"/>
        <v>385769.81231975177</v>
      </c>
      <c r="K36" s="21">
        <f t="shared" si="5"/>
        <v>393485.20839369635</v>
      </c>
      <c r="L36" s="21">
        <f t="shared" si="5"/>
        <v>401354.91238567024</v>
      </c>
    </row>
    <row r="37" spans="2:12">
      <c r="B37" s="18" t="s">
        <v>27</v>
      </c>
      <c r="C37" s="68">
        <v>5.4200001060962677E-2</v>
      </c>
      <c r="D37" s="68">
        <v>-1.7000000923871994E-2</v>
      </c>
      <c r="E37" s="68">
        <v>4.5600000768899918E-2</v>
      </c>
      <c r="F37" s="27">
        <f>C6</f>
        <v>1.9999999552965164E-2</v>
      </c>
      <c r="G37" s="27">
        <f>C6</f>
        <v>1.9999999552965164E-2</v>
      </c>
      <c r="H37" s="27">
        <f>C6</f>
        <v>1.9999999552965164E-2</v>
      </c>
      <c r="I37" s="27">
        <f>C6</f>
        <v>1.9999999552965164E-2</v>
      </c>
      <c r="J37" s="27">
        <f>C6</f>
        <v>1.9999999552965164E-2</v>
      </c>
      <c r="K37" s="27">
        <f>C6</f>
        <v>1.9999999552965164E-2</v>
      </c>
      <c r="L37" s="27">
        <f>C6</f>
        <v>1.9999999552965164E-2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8802.5311031116125</v>
      </c>
      <c r="D39" s="21">
        <f>D36*C7</f>
        <v>8652.8880662262909</v>
      </c>
      <c r="E39" s="21">
        <f>E36*C7</f>
        <v>9047.4597686994166</v>
      </c>
      <c r="F39" s="21">
        <f>F36*C7</f>
        <v>9228.4089600289117</v>
      </c>
      <c r="G39" s="21">
        <f>G36*C7</f>
        <v>9412.9771351041163</v>
      </c>
      <c r="H39" s="21">
        <f>H36*C7</f>
        <v>9601.2366735983051</v>
      </c>
      <c r="I39" s="21">
        <f>I36*C7</f>
        <v>9793.2614027782402</v>
      </c>
      <c r="J39" s="21">
        <f>J36*C7</f>
        <v>9989.1266264559308</v>
      </c>
      <c r="K39" s="21">
        <f>K36*C7</f>
        <v>10188.909154519601</v>
      </c>
      <c r="L39" s="21">
        <f>L36*C7</f>
        <v>10392.687333055237</v>
      </c>
    </row>
    <row r="40" spans="2:12">
      <c r="B40" s="18"/>
      <c r="C40" s="20">
        <f>(C39-L19)/L19</f>
        <v>1.1216030617285153</v>
      </c>
      <c r="D40" s="20">
        <f>(D39-C39)/C39</f>
        <v>-1.7000000923873434E-2</v>
      </c>
      <c r="E40" s="20">
        <f t="shared" ref="E40:L40" si="6">(E39-D39)/D39</f>
        <v>4.5600000768900181E-2</v>
      </c>
      <c r="F40" s="20">
        <f t="shared" si="6"/>
        <v>1.9999999552969175E-2</v>
      </c>
      <c r="G40" s="20">
        <f t="shared" si="6"/>
        <v>1.9999999552970268E-2</v>
      </c>
      <c r="H40" s="20">
        <f t="shared" si="6"/>
        <v>1.9999999552968915E-2</v>
      </c>
      <c r="I40" s="20">
        <f t="shared" si="6"/>
        <v>1.9999999552971003E-2</v>
      </c>
      <c r="J40" s="20">
        <f t="shared" si="6"/>
        <v>1.9999999552970802E-2</v>
      </c>
      <c r="K40" s="20">
        <f t="shared" si="6"/>
        <v>1.9999999552969067E-2</v>
      </c>
      <c r="L40" s="20">
        <f t="shared" si="6"/>
        <v>1.999999955296922E-2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12273.66535470841</v>
      </c>
      <c r="D42" s="21">
        <f>D39*C8</f>
        <v>12065.013032339055</v>
      </c>
      <c r="E42" s="21">
        <f>E39*C8</f>
        <v>12615.177635890506</v>
      </c>
      <c r="F42" s="21">
        <f>F39*C8</f>
        <v>12867.481182968942</v>
      </c>
      <c r="G42" s="21">
        <f>G39*C8</f>
        <v>13124.830800876174</v>
      </c>
      <c r="H42" s="21">
        <f>H39*C8</f>
        <v>13387.32741102649</v>
      </c>
      <c r="I42" s="21">
        <f>I39*C8</f>
        <v>13655.073953262498</v>
      </c>
      <c r="J42" s="21">
        <f>J39*C8</f>
        <v>13928.17542622353</v>
      </c>
      <c r="K42" s="21">
        <f>K39*C8</f>
        <v>14206.738928521674</v>
      </c>
      <c r="L42" s="21">
        <f>L39*C8</f>
        <v>14490.873700741258</v>
      </c>
    </row>
    <row r="43" spans="2:12">
      <c r="B43" s="18" t="s">
        <v>27</v>
      </c>
      <c r="C43" s="20">
        <f>(C42-L22)/L22</f>
        <v>-8.7459824928742769E-2</v>
      </c>
      <c r="D43" s="20">
        <f>(D42-C42)/C42</f>
        <v>-1.7000000923873309E-2</v>
      </c>
      <c r="E43" s="20">
        <f t="shared" ref="E43:L43" si="7">(E42-D42)/D42</f>
        <v>4.560000076890016E-2</v>
      </c>
      <c r="F43" s="20">
        <f t="shared" si="7"/>
        <v>1.9999999552969119E-2</v>
      </c>
      <c r="G43" s="20">
        <f t="shared" si="7"/>
        <v>1.9999999552970233E-2</v>
      </c>
      <c r="H43" s="20">
        <f t="shared" si="7"/>
        <v>1.9999999552968904E-2</v>
      </c>
      <c r="I43" s="20">
        <f t="shared" si="7"/>
        <v>1.9999999552971087E-2</v>
      </c>
      <c r="J43" s="20">
        <f t="shared" si="7"/>
        <v>1.9999999552970747E-2</v>
      </c>
      <c r="K43" s="20">
        <f t="shared" si="7"/>
        <v>1.9999999552968981E-2</v>
      </c>
      <c r="L43" s="20">
        <f t="shared" si="7"/>
        <v>1.9999999552969241E-2</v>
      </c>
    </row>
    <row r="45" spans="2:12">
      <c r="B45" s="18" t="s">
        <v>47</v>
      </c>
      <c r="C45" s="60">
        <v>19874</v>
      </c>
      <c r="D45" s="60">
        <v>20519</v>
      </c>
      <c r="E45" s="60">
        <v>21056</v>
      </c>
      <c r="F45" s="21">
        <f t="shared" ref="F45:L45" si="8">E45*(1+F46)</f>
        <v>21687.679985880852</v>
      </c>
      <c r="G45" s="21">
        <f t="shared" si="8"/>
        <v>22338.310370914554</v>
      </c>
      <c r="H45" s="21">
        <f t="shared" si="8"/>
        <v>23008.459667062987</v>
      </c>
      <c r="I45" s="21">
        <f t="shared" si="8"/>
        <v>23698.713441646501</v>
      </c>
      <c r="J45" s="21">
        <f t="shared" si="8"/>
        <v>24409.674829004671</v>
      </c>
      <c r="K45" s="21">
        <f t="shared" si="8"/>
        <v>25141.965057506848</v>
      </c>
      <c r="L45" s="21">
        <f t="shared" si="8"/>
        <v>25896.223992373052</v>
      </c>
    </row>
    <row r="46" spans="2:12">
      <c r="B46" s="18" t="s">
        <v>27</v>
      </c>
      <c r="C46" s="20">
        <f>C10</f>
        <v>2.9999999329447701E-2</v>
      </c>
      <c r="D46" s="20">
        <f>C10</f>
        <v>2.9999999329447701E-2</v>
      </c>
      <c r="E46" s="20">
        <f>C10</f>
        <v>2.9999999329447701E-2</v>
      </c>
      <c r="F46" s="20">
        <f>C10</f>
        <v>2.9999999329447701E-2</v>
      </c>
      <c r="G46" s="20">
        <f>C10</f>
        <v>2.9999999329447701E-2</v>
      </c>
      <c r="H46" s="20">
        <f>C10</f>
        <v>2.9999999329447701E-2</v>
      </c>
      <c r="I46" s="20">
        <f>C10</f>
        <v>2.9999999329447701E-2</v>
      </c>
      <c r="J46" s="20">
        <f>C10</f>
        <v>2.9999999329447701E-2</v>
      </c>
      <c r="K46" s="20">
        <f>C10</f>
        <v>2.9999999329447701E-2</v>
      </c>
      <c r="L46" s="20">
        <f>C10</f>
        <v>2.9999999329447701E-2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1.0410609232939951</v>
      </c>
      <c r="D51" s="61">
        <f>POWER((1+C4),2)</f>
        <v>1.0838078460097456</v>
      </c>
      <c r="E51" s="61">
        <f>POWER((1+C4),3)</f>
        <v>1.128309996840182</v>
      </c>
      <c r="F51" s="61">
        <f>POWER((1+C4),4)</f>
        <v>1.1746394470722845</v>
      </c>
      <c r="G51" s="61">
        <f>POWER((1+C4),5)</f>
        <v>1.2228712273066205</v>
      </c>
      <c r="H51" s="61">
        <f>POWER((1+C4),6)</f>
        <v>1.2730834489694913</v>
      </c>
      <c r="I51" s="61">
        <f>POWER((1+C4),7)</f>
        <v>1.3253574308144822</v>
      </c>
      <c r="J51" s="61">
        <f>POWER((1+C4),8)</f>
        <v>1.3797778306182822</v>
      </c>
      <c r="K51" s="61">
        <f>POWER((1+C4),9)</f>
        <v>1.4364327822840546</v>
      </c>
      <c r="L51" s="61">
        <f>POWER((1+C4),10)</f>
        <v>1.4954140385744001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11789.574538897885</v>
      </c>
      <c r="D53" s="21">
        <f t="shared" si="9"/>
        <v>11132.059134613948</v>
      </c>
      <c r="E53" s="21">
        <f t="shared" si="9"/>
        <v>11180.595466865625</v>
      </c>
      <c r="F53" s="21">
        <f t="shared" si="9"/>
        <v>10954.409214708679</v>
      </c>
      <c r="G53" s="21">
        <f t="shared" si="9"/>
        <v>10732.798767196178</v>
      </c>
      <c r="H53" s="21">
        <f t="shared" si="9"/>
        <v>10515.671554651803</v>
      </c>
      <c r="I53" s="21">
        <f t="shared" si="9"/>
        <v>10302.936880107081</v>
      </c>
      <c r="J53" s="21">
        <f t="shared" si="9"/>
        <v>10094.505881415906</v>
      </c>
      <c r="K53" s="21">
        <f t="shared" si="9"/>
        <v>9890.2914941357085</v>
      </c>
      <c r="L53" s="21">
        <f t="shared" si="9"/>
        <v>9690.2084151594681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1.5568171197050669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618424.19914003601</v>
      </c>
    </row>
    <row r="60" spans="2:12" ht="15" thickBot="1">
      <c r="B60" s="5" t="s">
        <v>41</v>
      </c>
      <c r="C60" s="23">
        <f>C59/C55</f>
        <v>397236.2529371428</v>
      </c>
    </row>
    <row r="61" spans="2:12" ht="15" thickTop="1"/>
    <row r="62" spans="2:12" ht="14.5" customHeight="1" thickBot="1">
      <c r="B62" s="3" t="s">
        <v>43</v>
      </c>
      <c r="C62" s="71">
        <f>(SUM(C53:L53)+C59)</f>
        <v>724707.25048778835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564.36468719537572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233066.01593135745</v>
      </c>
    </row>
    <row r="70" spans="2:12" ht="15" thickBot="1">
      <c r="B70" s="5" t="s">
        <v>41</v>
      </c>
      <c r="C70" s="23">
        <f>C69/C55</f>
        <v>149706.7401054216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255989.79145317388</v>
      </c>
    </row>
    <row r="73" spans="2:12" ht="15" thickTop="1"/>
    <row r="74" spans="2:12" ht="18.5">
      <c r="B74" s="69" t="s">
        <v>42</v>
      </c>
      <c r="C74" s="70">
        <f>C72/(C11/1000000)</f>
        <v>199.35166714758066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8.6800003051757813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4.4800000190734863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99.195514964591396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2.4200000762939453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2.4200000762939453</v>
      </c>
    </row>
    <row r="7" spans="2:16" ht="15" thickBot="1">
      <c r="B7" s="89" t="s">
        <v>121</v>
      </c>
      <c r="C7" s="90">
        <f>P6*(1+P7)</f>
        <v>2.4684000767380163</v>
      </c>
      <c r="D7" s="90">
        <f>C7*(1+P7)</f>
        <v>2.5177680771693316</v>
      </c>
      <c r="E7" s="90">
        <f>D7*(1+P7)</f>
        <v>2.5681234375871989</v>
      </c>
      <c r="F7" s="90">
        <f>E7*(1+P7)</f>
        <v>2.6194859051909156</v>
      </c>
      <c r="G7" s="90">
        <f>F7*(1+P7)</f>
        <v>2.6718756221237494</v>
      </c>
      <c r="H7" s="90">
        <f>G7*(1+P7)</f>
        <v>2.7253131333718166</v>
      </c>
      <c r="I7" s="90">
        <f>H7*(1+P7)</f>
        <v>2.7798193948209597</v>
      </c>
      <c r="J7" s="90">
        <f>I7*(1+P7)</f>
        <v>2.8354157814747167</v>
      </c>
      <c r="K7" s="90">
        <f>J7*(1+P7)</f>
        <v>2.8921240958366985</v>
      </c>
      <c r="L7" s="90">
        <f>K7*(1+P7)</f>
        <v>2.9499665764605676</v>
      </c>
      <c r="M7" s="159">
        <f>L7*(1+P7)/(P8-P7)</f>
        <v>142.86960741466123</v>
      </c>
      <c r="N7" s="160"/>
      <c r="O7" s="88" t="s">
        <v>122</v>
      </c>
      <c r="P7" s="104">
        <v>1.9999999552965164E-2</v>
      </c>
    </row>
    <row r="8" spans="2:16" ht="15" thickBot="1">
      <c r="B8" s="89" t="s">
        <v>123</v>
      </c>
      <c r="C8" s="90">
        <f>C7/(1+P8)</f>
        <v>2.3710428674316244</v>
      </c>
      <c r="D8" s="90">
        <f>D7/(1+P8)^2</f>
        <v>2.3230760751908046</v>
      </c>
      <c r="E8" s="90">
        <f>E7/(1+P8)^3</f>
        <v>2.2760796631946913</v>
      </c>
      <c r="F8" s="90">
        <f>F7/(1+P8)^4</f>
        <v>2.2300340004073891</v>
      </c>
      <c r="G8" s="90">
        <f>G7/(1+P8)^5</f>
        <v>2.1849198529337954</v>
      </c>
      <c r="H8" s="90">
        <f>H7/(1+P8)^6</f>
        <v>2.1407183759853696</v>
      </c>
      <c r="I8" s="90">
        <f>I7/(1+P8)^7</f>
        <v>2.097411106008332</v>
      </c>
      <c r="J8" s="90">
        <f>J7/(1+P8)^8</f>
        <v>2.0549799529712454</v>
      </c>
      <c r="K8" s="90">
        <f>K7/(1+P8)^9</f>
        <v>2.0134071928085473</v>
      </c>
      <c r="L8" s="90">
        <f>L7/(1+P8)^10</f>
        <v>1.9726754600169569</v>
      </c>
      <c r="M8" s="159">
        <f>M7/POWER((1+P8),10)</f>
        <v>95.538495513162815</v>
      </c>
      <c r="N8" s="160"/>
      <c r="O8" s="91" t="s">
        <v>124</v>
      </c>
      <c r="P8" s="105">
        <f>WACC!$C$25</f>
        <v>4.1060923293995077E-2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117.202840060112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2.4200000762939453</v>
      </c>
    </row>
    <row r="16" spans="2:16" ht="15" thickBot="1">
      <c r="B16" s="89" t="s">
        <v>121</v>
      </c>
      <c r="C16" s="90">
        <f>P15*(1+P16)</f>
        <v>2.4744500801742135</v>
      </c>
      <c r="D16" s="90">
        <f>C16*(1+P16)</f>
        <v>2.5301252091904614</v>
      </c>
      <c r="E16" s="90">
        <f>D16*(1+P16)</f>
        <v>2.5870530286593545</v>
      </c>
      <c r="F16" s="90">
        <f>E16*(1+P16)</f>
        <v>2.6452617241171921</v>
      </c>
      <c r="G16" s="90">
        <f>F16*(1+P16)</f>
        <v>2.7047801152748758</v>
      </c>
      <c r="H16" s="90">
        <f>G16*(1+P16)</f>
        <v>2.7656376702868277</v>
      </c>
      <c r="I16" s="90">
        <f>H16*(1+P16)</f>
        <v>2.8278645203409574</v>
      </c>
      <c r="J16" s="90">
        <f>I16*(1+P16)</f>
        <v>2.8914914745769402</v>
      </c>
      <c r="K16" s="90">
        <f>J16*(1+P16)</f>
        <v>2.9565500353401171</v>
      </c>
      <c r="L16" s="90">
        <f>K16*(1+P16)</f>
        <v>3.0230724137786353</v>
      </c>
      <c r="M16" s="159">
        <f>L16*(1+P16)/(P17-P16)</f>
        <v>166.53760406885402</v>
      </c>
      <c r="N16" s="160"/>
      <c r="O16" s="88" t="s">
        <v>122</v>
      </c>
      <c r="P16" s="104">
        <v>2.2500000894069672E-2</v>
      </c>
    </row>
    <row r="17" spans="2:16" ht="15" thickBot="1">
      <c r="B17" s="89" t="s">
        <v>123</v>
      </c>
      <c r="C17" s="90">
        <f>C16/(1+P17)</f>
        <v>2.3768542501286594</v>
      </c>
      <c r="D17" s="90">
        <f>D16/(1+P17)^2</f>
        <v>2.3344776645653651</v>
      </c>
      <c r="E17" s="90">
        <f>E16/(1+P17)^3</f>
        <v>2.292856604926274</v>
      </c>
      <c r="F17" s="90">
        <f>F16/(1+P17)^4</f>
        <v>2.2519776010505606</v>
      </c>
      <c r="G17" s="90">
        <f>G16/(1+P17)^5</f>
        <v>2.2118274229349328</v>
      </c>
      <c r="H17" s="90">
        <f>H16/(1+P17)^6</f>
        <v>2.1723930764519035</v>
      </c>
      <c r="I17" s="90">
        <f>I16/(1+P17)^7</f>
        <v>2.1336617991443525</v>
      </c>
      <c r="J17" s="90">
        <f>J16/(1+P17)^8</f>
        <v>2.0956210560951392</v>
      </c>
      <c r="K17" s="90">
        <f>K16/(1+P17)^9</f>
        <v>2.0582585358703347</v>
      </c>
      <c r="L17" s="90">
        <f>L16/(1+P17)^10</f>
        <v>2.0215621465347344</v>
      </c>
      <c r="M17" s="159">
        <f>M16/POWER((1+P17),10)</f>
        <v>111.36554811777528</v>
      </c>
      <c r="N17" s="160"/>
      <c r="O17" s="91" t="s">
        <v>124</v>
      </c>
      <c r="P17" s="105">
        <f>WACC!$C$25</f>
        <v>4.1060923293995077E-2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133.315038275478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2.4200000762939453</v>
      </c>
    </row>
    <row r="25" spans="2:16" ht="15" thickBot="1">
      <c r="B25" s="89" t="s">
        <v>121</v>
      </c>
      <c r="C25" s="90">
        <f>P24*(1+P25)</f>
        <v>2.4865500780314296</v>
      </c>
      <c r="D25" s="90">
        <f>C25*(1+P25)</f>
        <v>2.5549302048067735</v>
      </c>
      <c r="E25" s="90">
        <f>D25*(1+P25)</f>
        <v>2.6251907850582459</v>
      </c>
      <c r="F25" s="90">
        <f>E25*(1+P25)</f>
        <v>2.6973835312561723</v>
      </c>
      <c r="G25" s="90">
        <f>F25*(1+P25)</f>
        <v>2.7715615779637774</v>
      </c>
      <c r="H25" s="90">
        <f>G25*(1+P25)</f>
        <v>2.8477795209447936</v>
      </c>
      <c r="I25" s="90">
        <f>H25*(1+P25)</f>
        <v>2.9260934573464241</v>
      </c>
      <c r="J25" s="90">
        <f>I25*(1+P25)</f>
        <v>3.0065610269874292</v>
      </c>
      <c r="K25" s="90">
        <f>J25*(1+P25)</f>
        <v>3.0892414547815767</v>
      </c>
      <c r="L25" s="90">
        <f>K25*(1+P25)</f>
        <v>3.1741955943277458</v>
      </c>
      <c r="M25" s="159">
        <f>L25*(1+P25)/(P26-P25)</f>
        <v>240.50618576279271</v>
      </c>
      <c r="N25" s="160"/>
      <c r="O25" s="88" t="s">
        <v>122</v>
      </c>
      <c r="P25" s="104">
        <v>2.7499999850988388E-2</v>
      </c>
    </row>
    <row r="26" spans="2:16" ht="15" thickBot="1">
      <c r="B26" s="89" t="s">
        <v>123</v>
      </c>
      <c r="C26" s="90">
        <f>C25/(1+P26)</f>
        <v>2.3884770068631398</v>
      </c>
      <c r="D26" s="90">
        <f>D25/(1+P26)^2</f>
        <v>2.3573645588682939</v>
      </c>
      <c r="E26" s="90">
        <f>E25/(1+P26)^3</f>
        <v>2.32665738352941</v>
      </c>
      <c r="F26" s="90">
        <f>F25/(1+P26)^4</f>
        <v>2.2963502017399811</v>
      </c>
      <c r="G26" s="90">
        <f>G25/(1+P26)^5</f>
        <v>2.2664378031595023</v>
      </c>
      <c r="H26" s="90">
        <f>H25/(1+P26)^6</f>
        <v>2.2369150453176916</v>
      </c>
      <c r="I26" s="90">
        <f>I25/(1+P26)^7</f>
        <v>2.2077768527303836</v>
      </c>
      <c r="J26" s="90">
        <f>J25/(1+P26)^8</f>
        <v>2.1790182160269866</v>
      </c>
      <c r="K26" s="90">
        <f>K25/(1+P26)^9</f>
        <v>2.1506341910892788</v>
      </c>
      <c r="L26" s="90">
        <f>L25/(1+P26)^10</f>
        <v>2.1226198982014086</v>
      </c>
      <c r="M26" s="159">
        <f>M25/POWER((1+P26),10)</f>
        <v>160.82916139537585</v>
      </c>
      <c r="N26" s="160"/>
      <c r="O26" s="91" t="s">
        <v>124</v>
      </c>
      <c r="P26" s="105">
        <f>WACC!$C$25</f>
        <v>4.1060923293995077E-2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183.36141255290201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123120</v>
      </c>
      <c r="D3" s="110">
        <v>126761</v>
      </c>
      <c r="E3" s="110">
        <v>139367</v>
      </c>
      <c r="F3" s="110">
        <v>153290</v>
      </c>
      <c r="G3" s="110">
        <v>177546</v>
      </c>
      <c r="H3" s="110">
        <v>184786</v>
      </c>
      <c r="I3" s="110">
        <v>194579</v>
      </c>
      <c r="J3" s="110">
        <v>256776</v>
      </c>
      <c r="K3" s="110">
        <v>268706</v>
      </c>
      <c r="L3" s="110">
        <v>292111</v>
      </c>
      <c r="M3" s="110">
        <v>322467</v>
      </c>
      <c r="Q3" s="107"/>
    </row>
    <row r="4" spans="2:17">
      <c r="B4" s="18" t="s">
        <v>27</v>
      </c>
      <c r="C4" s="113"/>
      <c r="D4" s="121">
        <f t="shared" ref="D4:M4" si="0">(D3-C3)/C3</f>
        <v>2.957277452891488E-2</v>
      </c>
      <c r="E4" s="121">
        <f t="shared" si="0"/>
        <v>9.9446990793698384E-2</v>
      </c>
      <c r="F4" s="121">
        <f t="shared" si="0"/>
        <v>9.990169839345038E-2</v>
      </c>
      <c r="G4" s="121">
        <f t="shared" si="0"/>
        <v>0.15823602322395461</v>
      </c>
      <c r="H4" s="121">
        <f t="shared" si="0"/>
        <v>4.0778164532008609E-2</v>
      </c>
      <c r="I4" s="121">
        <f t="shared" si="0"/>
        <v>5.2996439124176072E-2</v>
      </c>
      <c r="J4" s="121">
        <f t="shared" si="0"/>
        <v>0.31964908854501256</v>
      </c>
      <c r="K4" s="121">
        <f t="shared" si="0"/>
        <v>4.6460728416986008E-2</v>
      </c>
      <c r="L4" s="121">
        <f t="shared" si="0"/>
        <v>8.7102632617061027E-2</v>
      </c>
      <c r="M4" s="121">
        <f t="shared" si="0"/>
        <v>0.10391940050186402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3864</v>
      </c>
      <c r="D6" s="110">
        <v>4592</v>
      </c>
      <c r="E6" s="110">
        <v>4644</v>
      </c>
      <c r="F6" s="110">
        <v>5237</v>
      </c>
      <c r="G6" s="110">
        <v>5317</v>
      </c>
      <c r="H6" s="110">
        <v>6622</v>
      </c>
      <c r="I6" s="110">
        <v>-594</v>
      </c>
      <c r="J6" s="110">
        <v>6634</v>
      </c>
      <c r="K6" s="110">
        <v>7179</v>
      </c>
      <c r="L6" s="110">
        <v>7910</v>
      </c>
      <c r="M6" s="110">
        <v>4149</v>
      </c>
      <c r="Q6" s="107"/>
    </row>
    <row r="7" spans="2:17">
      <c r="B7" s="18" t="s">
        <v>27</v>
      </c>
      <c r="C7" s="113"/>
      <c r="D7" s="121">
        <f t="shared" ref="D7" si="1">(D6-C6)/C6</f>
        <v>0.18840579710144928</v>
      </c>
      <c r="E7" s="121">
        <f t="shared" ref="E7" si="2">(E6-D6)/D6</f>
        <v>1.1324041811846691E-2</v>
      </c>
      <c r="F7" s="121">
        <f t="shared" ref="F7" si="3">(F6-E6)/E6</f>
        <v>0.12769164513350559</v>
      </c>
      <c r="G7" s="121">
        <f t="shared" ref="G7" si="4">(G6-F6)/F6</f>
        <v>1.5275921329005156E-2</v>
      </c>
      <c r="H7" s="121">
        <f t="shared" ref="H7" si="5">(H6-G6)/G6</f>
        <v>0.24543915741959751</v>
      </c>
      <c r="I7" s="121">
        <f t="shared" ref="I7" si="6">(I6-H6)/H6</f>
        <v>-1.0897009966777409</v>
      </c>
      <c r="J7" s="121">
        <f t="shared" ref="J7" si="7">(J6-I6)/I6</f>
        <v>-12.168350168350168</v>
      </c>
      <c r="K7" s="121">
        <f t="shared" ref="K7" si="8">(K6-J6)/J6</f>
        <v>8.2152547482665053E-2</v>
      </c>
      <c r="L7" s="121">
        <f t="shared" ref="L7" si="9">(L6-K6)/K6</f>
        <v>0.10182476668059619</v>
      </c>
      <c r="M7" s="121">
        <f t="shared" ref="M7" si="10">(M6-L6)/L6</f>
        <v>-0.47547408343868519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8963</v>
      </c>
      <c r="D9" s="110">
        <v>9907</v>
      </c>
      <c r="E9" s="110">
        <v>10730</v>
      </c>
      <c r="F9" s="110">
        <v>11567</v>
      </c>
      <c r="G9" s="110">
        <v>12861</v>
      </c>
      <c r="H9" s="110">
        <v>12198</v>
      </c>
      <c r="I9" s="110">
        <v>12888</v>
      </c>
      <c r="J9" s="110">
        <v>16358</v>
      </c>
      <c r="K9" s="110">
        <v>18352</v>
      </c>
      <c r="L9" s="110">
        <v>18136</v>
      </c>
      <c r="M9" s="110">
        <v>11993</v>
      </c>
      <c r="Q9" s="107"/>
    </row>
    <row r="10" spans="2:17">
      <c r="B10" s="18" t="s">
        <v>27</v>
      </c>
      <c r="C10" s="113"/>
      <c r="D10" s="121">
        <f t="shared" ref="D10" si="11">(D9-C9)/C9</f>
        <v>0.10532187883521142</v>
      </c>
      <c r="E10" s="121">
        <f t="shared" ref="E10" si="12">(E9-D9)/D9</f>
        <v>8.3072574947007163E-2</v>
      </c>
      <c r="F10" s="121">
        <f t="shared" ref="F10" si="13">(F9-E9)/E9</f>
        <v>7.8005591798695248E-2</v>
      </c>
      <c r="G10" s="121">
        <f t="shared" ref="G10" si="14">(G9-F9)/F9</f>
        <v>0.11186997492867641</v>
      </c>
      <c r="H10" s="121">
        <f t="shared" ref="H10" si="15">(H9-G9)/G9</f>
        <v>-5.1551201306274781E-2</v>
      </c>
      <c r="I10" s="121">
        <f t="shared" ref="I10" si="16">(I9-H9)/H9</f>
        <v>5.6566650270536152E-2</v>
      </c>
      <c r="J10" s="121">
        <f t="shared" ref="J10" si="17">(J9-I9)/I9</f>
        <v>0.26924270639354436</v>
      </c>
      <c r="K10" s="121">
        <f t="shared" ref="K10" si="18">(K9-J9)/J9</f>
        <v>0.12189754248685658</v>
      </c>
      <c r="L10" s="121">
        <f t="shared" ref="L10" si="19">(L9-K9)/K9</f>
        <v>-1.1769834350479512E-2</v>
      </c>
      <c r="M10" s="121">
        <f t="shared" ref="M10" si="20">(M9-L9)/L9</f>
        <v>-0.338718570798412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1280</v>
      </c>
      <c r="D12" s="110">
        <v>1226</v>
      </c>
      <c r="E12" s="110">
        <v>1169</v>
      </c>
      <c r="F12" s="110">
        <v>1126</v>
      </c>
      <c r="G12" s="110">
        <v>1079</v>
      </c>
      <c r="H12" s="110">
        <v>1024</v>
      </c>
      <c r="I12" s="110">
        <v>1044</v>
      </c>
      <c r="J12" s="110">
        <v>1305</v>
      </c>
      <c r="K12" s="110">
        <v>1314</v>
      </c>
      <c r="L12" s="110">
        <v>1329</v>
      </c>
      <c r="M12" s="110">
        <v>1323</v>
      </c>
      <c r="Q12" s="107"/>
    </row>
    <row r="13" spans="2:17">
      <c r="B13" s="18" t="s">
        <v>27</v>
      </c>
      <c r="C13" s="113"/>
      <c r="D13" s="121">
        <f t="shared" ref="D13" si="21">(D12-C12)/C12</f>
        <v>-4.2187500000000003E-2</v>
      </c>
      <c r="E13" s="121">
        <f t="shared" ref="E13" si="22">(E12-D12)/D12</f>
        <v>-4.6492659053833603E-2</v>
      </c>
      <c r="F13" s="121">
        <f t="shared" ref="F13" si="23">(F12-E12)/E12</f>
        <v>-3.6783575705731396E-2</v>
      </c>
      <c r="G13" s="121">
        <f t="shared" ref="G13" si="24">(G12-F12)/F12</f>
        <v>-4.1740674955595025E-2</v>
      </c>
      <c r="H13" s="121">
        <f t="shared" ref="H13" si="25">(H12-G12)/G12</f>
        <v>-5.0973123262279887E-2</v>
      </c>
      <c r="I13" s="121">
        <f t="shared" ref="I13" si="26">(I12-H12)/H12</f>
        <v>1.953125E-2</v>
      </c>
      <c r="J13" s="121">
        <f t="shared" ref="J13" si="27">(J12-I12)/I12</f>
        <v>0.25</v>
      </c>
      <c r="K13" s="121">
        <f t="shared" ref="K13" si="28">(K12-J12)/J12</f>
        <v>6.8965517241379309E-3</v>
      </c>
      <c r="L13" s="121">
        <f t="shared" ref="L13" si="29">(L12-K12)/K12</f>
        <v>1.1415525114155251E-2</v>
      </c>
      <c r="M13" s="121">
        <f t="shared" ref="M13" si="30">(M12-L12)/L12</f>
        <v>-4.5146726862302479E-3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3.0199999809265137</v>
      </c>
      <c r="D15" s="110">
        <v>3.7400000095367432</v>
      </c>
      <c r="E15" s="110">
        <v>3.9600000381469727</v>
      </c>
      <c r="F15" s="110">
        <v>4.630000114440918</v>
      </c>
      <c r="G15" s="110">
        <v>4.9000000953674316</v>
      </c>
      <c r="H15" s="110">
        <v>6.440000057220459</v>
      </c>
      <c r="I15" s="110">
        <v>-0.56999999284744263</v>
      </c>
      <c r="J15" s="110">
        <v>5.0799999237060547</v>
      </c>
      <c r="K15" s="110">
        <v>5.4600000381469727</v>
      </c>
      <c r="L15" s="110">
        <v>5.9499998092651367</v>
      </c>
      <c r="M15" s="110">
        <v>3.1400001049041748</v>
      </c>
      <c r="Q15" s="107"/>
    </row>
    <row r="16" spans="2:17">
      <c r="B16" s="18" t="s">
        <v>27</v>
      </c>
      <c r="D16" s="121">
        <f t="shared" ref="D16" si="31">(D15-C15)/C15</f>
        <v>0.23841060700581171</v>
      </c>
      <c r="E16" s="121">
        <f t="shared" ref="E16" si="32">(E15-D15)/D15</f>
        <v>5.8823536911562627E-2</v>
      </c>
      <c r="F16" s="121">
        <f t="shared" ref="F16" si="33">(F15-E15)/E15</f>
        <v>0.16919193682822861</v>
      </c>
      <c r="G16" s="121">
        <f t="shared" ref="G16" si="34">(G15-F15)/F15</f>
        <v>5.8315329212279499E-2</v>
      </c>
      <c r="H16" s="121">
        <f t="shared" ref="H16" si="35">(H15-G15)/G15</f>
        <v>0.31428570038375725</v>
      </c>
      <c r="I16" s="121">
        <f t="shared" ref="I16" si="36">(I15-H15)/H15</f>
        <v>-1.0885093148731206</v>
      </c>
      <c r="J16" s="121">
        <f t="shared" ref="J16" si="37">(J15-I15)/I15</f>
        <v>-9.9122806797397409</v>
      </c>
      <c r="K16" s="121">
        <f t="shared" ref="K16" si="38">(K15-J15)/J15</f>
        <v>7.480317325746999E-2</v>
      </c>
      <c r="L16" s="121">
        <f t="shared" ref="L16" si="39">(L15-K15)/K15</f>
        <v>8.9743547196835097E-2</v>
      </c>
      <c r="M16" s="121">
        <f t="shared" ref="M16" si="40">(M15-L15)/L15</f>
        <v>-0.47226887301497433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4664</v>
      </c>
      <c r="D20" s="128">
        <v>3853</v>
      </c>
      <c r="E20" s="128">
        <v>6012</v>
      </c>
      <c r="F20" s="128">
        <v>6207</v>
      </c>
      <c r="G20" s="128">
        <v>7917</v>
      </c>
      <c r="H20" s="128">
        <v>6089</v>
      </c>
      <c r="I20" s="128">
        <v>6828</v>
      </c>
      <c r="J20" s="128">
        <v>10391</v>
      </c>
      <c r="K20" s="128">
        <v>13428</v>
      </c>
      <c r="L20" s="128">
        <v>15745</v>
      </c>
      <c r="M20" s="128">
        <v>13450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0.56034259018946275</v>
      </c>
      <c r="F21" s="131">
        <f t="shared" ref="F21" si="42">(F20-E20)/E20</f>
        <v>3.2435129740518959E-2</v>
      </c>
      <c r="G21" s="131">
        <f t="shared" ref="G21" si="43">(G20-F20)/F20</f>
        <v>0.27549540840985981</v>
      </c>
      <c r="H21" s="131">
        <f t="shared" ref="H21" si="44">(H20-G20)/G20</f>
        <v>-0.23089554124036882</v>
      </c>
      <c r="I21" s="131">
        <f t="shared" ref="I21" si="45">(I20-H20)/H20</f>
        <v>0.12136639842338644</v>
      </c>
      <c r="J21" s="131">
        <f t="shared" ref="J21" si="46">(J20-I20)/I20</f>
        <v>0.5218219097832455</v>
      </c>
      <c r="K21" s="131">
        <f t="shared" ref="K21" si="47">(K20-J20)/J20</f>
        <v>0.29227215859878741</v>
      </c>
      <c r="L21" s="131">
        <f t="shared" ref="L21" si="48">(L20-K20)/K20</f>
        <v>0.17254989574024426</v>
      </c>
      <c r="M21" s="131">
        <f t="shared" ref="M21" si="49">(M20-L20)/L20</f>
        <v>-0.14576055890758971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829</v>
      </c>
      <c r="D23" s="130">
        <v>1097</v>
      </c>
      <c r="E23" s="130">
        <v>1288</v>
      </c>
      <c r="F23" s="130">
        <v>1576</v>
      </c>
      <c r="G23" s="130">
        <v>1840</v>
      </c>
      <c r="H23" s="130">
        <v>2049</v>
      </c>
      <c r="I23" s="130">
        <v>2038</v>
      </c>
      <c r="J23" s="130">
        <v>2603</v>
      </c>
      <c r="K23" s="130">
        <v>2624</v>
      </c>
      <c r="L23" s="130">
        <v>2625</v>
      </c>
      <c r="M23" s="130">
        <v>2907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0.32328106151990349</v>
      </c>
      <c r="E24" s="121">
        <f t="shared" ref="E24" si="51">(E23-D23)/D23</f>
        <v>0.17411121239744759</v>
      </c>
      <c r="F24" s="121">
        <f t="shared" ref="F24" si="52">(F23-E23)/E23</f>
        <v>0.2236024844720497</v>
      </c>
      <c r="G24" s="121">
        <f t="shared" ref="G24" si="53">(G23-F23)/F23</f>
        <v>0.16751269035532995</v>
      </c>
      <c r="H24" s="121">
        <f t="shared" ref="H24" si="54">(H23-G23)/G23</f>
        <v>0.11358695652173913</v>
      </c>
      <c r="I24" s="121">
        <f t="shared" ref="I24" si="55">(I23-H23)/H23</f>
        <v>-5.3684724255734506E-3</v>
      </c>
      <c r="J24" s="121">
        <f t="shared" ref="J24" si="56">(J23-I23)/I23</f>
        <v>0.2772325809617272</v>
      </c>
      <c r="K24" s="121">
        <f t="shared" ref="K24" si="57">(K23-J23)/J23</f>
        <v>8.0676142912024587E-3</v>
      </c>
      <c r="L24" s="121">
        <f t="shared" ref="L24" si="58">(L23-K23)/K23</f>
        <v>3.8109756097560977E-4</v>
      </c>
      <c r="M24" s="121">
        <f t="shared" ref="M24" si="59">(M23-L23)/L23</f>
        <v>0.10742857142857143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20161</v>
      </c>
      <c r="D28" s="110">
        <v>25325</v>
      </c>
      <c r="E28" s="110">
        <v>25983</v>
      </c>
      <c r="F28" s="110">
        <v>29158</v>
      </c>
      <c r="G28" s="110">
        <v>31042</v>
      </c>
      <c r="H28" s="110">
        <v>31229</v>
      </c>
      <c r="I28" s="110">
        <v>45243</v>
      </c>
      <c r="J28" s="110">
        <v>50302</v>
      </c>
      <c r="K28" s="110">
        <v>56369</v>
      </c>
      <c r="L28" s="110">
        <v>60008</v>
      </c>
      <c r="M28" s="110">
        <v>65682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0.2561380883884728</v>
      </c>
      <c r="E29" s="121">
        <f t="shared" ref="E29" si="61">(E28-D28)/D28</f>
        <v>2.5982230997038499E-2</v>
      </c>
      <c r="F29" s="121">
        <f t="shared" ref="F29" si="62">(F28-E28)/E28</f>
        <v>0.12219528153023131</v>
      </c>
      <c r="G29" s="121">
        <f t="shared" ref="G29" si="63">(G28-F28)/F28</f>
        <v>6.4613485149873098E-2</v>
      </c>
      <c r="H29" s="121">
        <f t="shared" ref="H29" si="64">(H28-G28)/G28</f>
        <v>6.024096385542169E-3</v>
      </c>
      <c r="I29" s="121">
        <f t="shared" ref="I29" si="65">(I28-H28)/H28</f>
        <v>0.44874955970412117</v>
      </c>
      <c r="J29" s="121">
        <f t="shared" ref="J29" si="66">(J28-I28)/I28</f>
        <v>0.11181840284684924</v>
      </c>
      <c r="K29" s="121">
        <f t="shared" ref="K29" si="67">(K28-J28)/J28</f>
        <v>0.12061150650073556</v>
      </c>
      <c r="L29" s="121">
        <f t="shared" ref="L29" si="68">(L28-K28)/K28</f>
        <v>6.4556759921233303E-2</v>
      </c>
      <c r="M29" s="121">
        <f t="shared" ref="M29" si="69">(M28-L28)/L28</f>
        <v>9.4554059458738834E-2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46060</v>
      </c>
      <c r="D31" s="110">
        <v>46201</v>
      </c>
      <c r="E31" s="110">
        <v>48204</v>
      </c>
      <c r="F31" s="110">
        <v>63279</v>
      </c>
      <c r="G31" s="110">
        <v>63420</v>
      </c>
      <c r="H31" s="110">
        <v>63902</v>
      </c>
      <c r="I31" s="110">
        <v>151213</v>
      </c>
      <c r="J31" s="110">
        <v>172147</v>
      </c>
      <c r="K31" s="110">
        <v>174346</v>
      </c>
      <c r="L31" s="110">
        <v>172991</v>
      </c>
      <c r="M31" s="110">
        <v>162593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3.0612244897959182E-3</v>
      </c>
      <c r="E32" s="121">
        <f t="shared" ref="E32" si="71">(E31-D31)/D31</f>
        <v>4.3354039955845108E-2</v>
      </c>
      <c r="F32" s="121">
        <f t="shared" ref="F32" si="72">(F31-E31)/E31</f>
        <v>0.31273338312173266</v>
      </c>
      <c r="G32" s="121">
        <f t="shared" ref="G32" si="73">(G31-F31)/F31</f>
        <v>2.228227374010335E-3</v>
      </c>
      <c r="H32" s="121">
        <f t="shared" ref="H32" si="74">(H31-G31)/G31</f>
        <v>7.6001261431725012E-3</v>
      </c>
      <c r="I32" s="121">
        <f t="shared" ref="I32" si="75">(I31-H31)/H31</f>
        <v>1.3663265625489029</v>
      </c>
      <c r="J32" s="121">
        <f t="shared" ref="J32" si="76">(J31-I31)/I31</f>
        <v>0.13844047800123005</v>
      </c>
      <c r="K32" s="121">
        <f t="shared" ref="K32" si="77">(K31-J31)/J31</f>
        <v>1.2773966435662544E-2</v>
      </c>
      <c r="L32" s="121">
        <f t="shared" ref="L32" si="78">(L31-K31)/K31</f>
        <v>-7.7719018503435693E-3</v>
      </c>
      <c r="M32" s="121">
        <f t="shared" ref="M32" si="79">(M31-L31)/L31</f>
        <v>-6.0107173205542486E-2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71526</v>
      </c>
      <c r="E34" s="111">
        <f t="shared" ref="E34:M34" si="80">E28+E31</f>
        <v>74187</v>
      </c>
      <c r="F34" s="111">
        <f t="shared" si="80"/>
        <v>92437</v>
      </c>
      <c r="G34" s="111">
        <f t="shared" si="80"/>
        <v>94462</v>
      </c>
      <c r="H34" s="111">
        <f t="shared" si="80"/>
        <v>95131</v>
      </c>
      <c r="I34" s="111">
        <f t="shared" si="80"/>
        <v>196456</v>
      </c>
      <c r="J34" s="111">
        <f t="shared" si="80"/>
        <v>222449</v>
      </c>
      <c r="K34" s="111">
        <f t="shared" si="80"/>
        <v>230715</v>
      </c>
      <c r="L34" s="111">
        <f t="shared" si="80"/>
        <v>232999</v>
      </c>
      <c r="M34" s="111">
        <f t="shared" si="80"/>
        <v>228275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14150</v>
      </c>
      <c r="D36" s="118">
        <v>15425</v>
      </c>
      <c r="E36" s="110">
        <v>19027</v>
      </c>
      <c r="F36" s="110">
        <v>23169</v>
      </c>
      <c r="G36" s="110">
        <v>26250</v>
      </c>
      <c r="H36" s="110">
        <v>30648</v>
      </c>
      <c r="I36" s="110">
        <v>44009</v>
      </c>
      <c r="J36" s="110">
        <v>53303</v>
      </c>
      <c r="K36" s="110">
        <v>62017</v>
      </c>
      <c r="L36" s="110">
        <v>67807</v>
      </c>
      <c r="M36" s="110">
        <v>69736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9.0106007067137811E-2</v>
      </c>
      <c r="E37" s="121">
        <f t="shared" ref="E37" si="82">(E36-D36)/D36</f>
        <v>0.23351701782820097</v>
      </c>
      <c r="F37" s="121">
        <f t="shared" ref="F37" si="83">(F36-E36)/E36</f>
        <v>0.21769065012876437</v>
      </c>
      <c r="G37" s="121">
        <f t="shared" ref="G37" si="84">(G36-F36)/F36</f>
        <v>0.13297941214553929</v>
      </c>
      <c r="H37" s="121">
        <f t="shared" ref="H37" si="85">(H36-G36)/G36</f>
        <v>0.16754285714285713</v>
      </c>
      <c r="I37" s="121">
        <f t="shared" ref="I37" si="86">(I36-H36)/H36</f>
        <v>0.43595014356564865</v>
      </c>
      <c r="J37" s="121">
        <f t="shared" ref="J37" si="87">(J36-I36)/I36</f>
        <v>0.21118407598445774</v>
      </c>
      <c r="K37" s="121">
        <f t="shared" ref="K37" si="88">(K36-J36)/J36</f>
        <v>0.16348047952272854</v>
      </c>
      <c r="L37" s="121">
        <f t="shared" ref="L37" si="89">(L36-K36)/K36</f>
        <v>9.3361497653869099E-2</v>
      </c>
      <c r="M37" s="121">
        <f t="shared" ref="M37" si="90">(M36-L36)/L36</f>
        <v>2.8448390284188947E-2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14418</v>
      </c>
      <c r="D39" s="110">
        <v>18163</v>
      </c>
      <c r="E39" s="110">
        <v>17197</v>
      </c>
      <c r="F39" s="110">
        <v>32065</v>
      </c>
      <c r="G39" s="110">
        <v>31378</v>
      </c>
      <c r="H39" s="110">
        <v>26788</v>
      </c>
      <c r="I39" s="110">
        <v>93904</v>
      </c>
      <c r="J39" s="110">
        <v>104976</v>
      </c>
      <c r="K39" s="110">
        <v>98997</v>
      </c>
      <c r="L39" s="110">
        <v>89811</v>
      </c>
      <c r="M39" s="110">
        <v>87224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0.25974476349008185</v>
      </c>
      <c r="E40" s="121">
        <f t="shared" ref="E40" si="92">(E39-D39)/D39</f>
        <v>-5.3185046523151459E-2</v>
      </c>
      <c r="F40" s="121">
        <f t="shared" ref="F40" si="93">(F39-E39)/E39</f>
        <v>0.86456940163982088</v>
      </c>
      <c r="G40" s="121">
        <f t="shared" ref="G40" si="94">(G39-F39)/F39</f>
        <v>-2.1425230001559332E-2</v>
      </c>
      <c r="H40" s="121">
        <f t="shared" ref="H40" si="95">(H39-G39)/G39</f>
        <v>-0.14628083370514372</v>
      </c>
      <c r="I40" s="121">
        <f t="shared" ref="I40" si="96">(I39-H39)/H39</f>
        <v>2.5054502015827982</v>
      </c>
      <c r="J40" s="121">
        <f t="shared" ref="J40" si="97">(J39-I39)/I39</f>
        <v>0.11790765036633158</v>
      </c>
      <c r="K40" s="121">
        <f t="shared" ref="K40" si="98">(K39-J39)/J39</f>
        <v>-5.6955875628715132E-2</v>
      </c>
      <c r="L40" s="121">
        <f t="shared" ref="L40" si="99">(L39-K39)/K39</f>
        <v>-9.2790690626988692E-2</v>
      </c>
      <c r="M40" s="121">
        <f t="shared" ref="M40" si="100">(M39-L39)/L39</f>
        <v>-2.8804934807540278E-2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33588</v>
      </c>
      <c r="E42" s="111">
        <f t="shared" ref="E42:M42" si="101">E36+E39</f>
        <v>36224</v>
      </c>
      <c r="F42" s="111">
        <f t="shared" si="101"/>
        <v>55234</v>
      </c>
      <c r="G42" s="111">
        <f t="shared" si="101"/>
        <v>57628</v>
      </c>
      <c r="H42" s="111">
        <f t="shared" si="101"/>
        <v>57436</v>
      </c>
      <c r="I42" s="111">
        <f t="shared" si="101"/>
        <v>137913</v>
      </c>
      <c r="J42" s="111">
        <f t="shared" si="101"/>
        <v>158279</v>
      </c>
      <c r="K42" s="111">
        <f t="shared" si="101"/>
        <v>161014</v>
      </c>
      <c r="L42" s="111">
        <f t="shared" si="101"/>
        <v>157618</v>
      </c>
      <c r="M42" s="111">
        <f t="shared" si="101"/>
        <v>156960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37938</v>
      </c>
      <c r="E44" s="134">
        <f t="shared" ref="E44:M44" si="102">E34-E42</f>
        <v>37963</v>
      </c>
      <c r="F44" s="134">
        <f t="shared" si="102"/>
        <v>37203</v>
      </c>
      <c r="G44" s="134">
        <f t="shared" si="102"/>
        <v>36834</v>
      </c>
      <c r="H44" s="134">
        <f t="shared" si="102"/>
        <v>37695</v>
      </c>
      <c r="I44" s="134">
        <f t="shared" si="102"/>
        <v>58543</v>
      </c>
      <c r="J44" s="134">
        <f t="shared" si="102"/>
        <v>64170</v>
      </c>
      <c r="K44" s="134">
        <f t="shared" si="102"/>
        <v>69701</v>
      </c>
      <c r="L44" s="134">
        <f t="shared" si="102"/>
        <v>75381</v>
      </c>
      <c r="M44" s="134">
        <f t="shared" si="102"/>
        <v>71315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9133</v>
      </c>
      <c r="D46" s="133">
        <v>12841</v>
      </c>
      <c r="E46" s="133">
        <v>11630</v>
      </c>
      <c r="F46" s="133">
        <v>26267</v>
      </c>
      <c r="G46" s="133">
        <v>25615</v>
      </c>
      <c r="H46" s="133">
        <v>22181</v>
      </c>
      <c r="I46" s="133">
        <v>71444</v>
      </c>
      <c r="J46" s="133">
        <v>64699</v>
      </c>
      <c r="K46" s="136">
        <v>59207</v>
      </c>
      <c r="L46" s="133">
        <v>51971</v>
      </c>
      <c r="M46" s="133">
        <v>50476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3.6225653000528553E-2</v>
      </c>
      <c r="E50" s="126">
        <f t="shared" si="103"/>
        <v>3.3322092030394566E-2</v>
      </c>
      <c r="F50" s="126">
        <f t="shared" si="103"/>
        <v>3.4164002870376409E-2</v>
      </c>
      <c r="G50" s="126">
        <f t="shared" si="103"/>
        <v>2.9947168621089745E-2</v>
      </c>
      <c r="H50" s="126">
        <f t="shared" si="103"/>
        <v>3.5836048185468594E-2</v>
      </c>
      <c r="I50" s="126">
        <f t="shared" si="103"/>
        <v>-3.0527446435637969E-3</v>
      </c>
      <c r="J50" s="126">
        <f t="shared" si="103"/>
        <v>2.5835747889210829E-2</v>
      </c>
      <c r="K50" s="126">
        <f t="shared" si="103"/>
        <v>2.6716932260537538E-2</v>
      </c>
      <c r="L50" s="126">
        <f t="shared" si="103"/>
        <v>2.7078747462437224E-2</v>
      </c>
      <c r="M50" s="126">
        <f t="shared" si="103"/>
        <v>1.2866432844291044E-2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7.8154953021828483E-2</v>
      </c>
      <c r="E51" s="126">
        <f t="shared" si="104"/>
        <v>7.6990966297617078E-2</v>
      </c>
      <c r="F51" s="126">
        <f t="shared" si="104"/>
        <v>7.5458281688303222E-2</v>
      </c>
      <c r="G51" s="126">
        <f t="shared" si="104"/>
        <v>7.2437565475989327E-2</v>
      </c>
      <c r="H51" s="126">
        <f t="shared" si="104"/>
        <v>6.601149437727967E-2</v>
      </c>
      <c r="I51" s="126">
        <f t="shared" si="104"/>
        <v>6.6235308023990261E-2</v>
      </c>
      <c r="J51" s="126">
        <f t="shared" si="104"/>
        <v>6.3705330716266315E-2</v>
      </c>
      <c r="K51" s="126">
        <f t="shared" si="104"/>
        <v>6.8297693389801489E-2</v>
      </c>
      <c r="L51" s="126">
        <f t="shared" si="104"/>
        <v>6.208598786077895E-2</v>
      </c>
      <c r="M51" s="126">
        <f t="shared" si="104"/>
        <v>3.7191402531111709E-2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3.0395784192298894E-2</v>
      </c>
      <c r="E52" s="126">
        <f t="shared" si="105"/>
        <v>4.3137902085859638E-2</v>
      </c>
      <c r="F52" s="126">
        <f t="shared" si="105"/>
        <v>4.0491878139474198E-2</v>
      </c>
      <c r="G52" s="126">
        <f t="shared" si="105"/>
        <v>4.4591260856341457E-2</v>
      </c>
      <c r="H52" s="126">
        <f t="shared" si="105"/>
        <v>3.2951630534780771E-2</v>
      </c>
      <c r="I52" s="126">
        <f t="shared" si="105"/>
        <v>3.509114549874344E-2</v>
      </c>
      <c r="J52" s="126">
        <f t="shared" si="105"/>
        <v>4.0467177617845906E-2</v>
      </c>
      <c r="K52" s="126">
        <f t="shared" si="105"/>
        <v>4.9972832761456761E-2</v>
      </c>
      <c r="L52" s="126">
        <f t="shared" si="105"/>
        <v>5.3900743210628835E-2</v>
      </c>
      <c r="M52" s="126">
        <f t="shared" si="105"/>
        <v>4.1709694325310805E-2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0.2847132104853361</v>
      </c>
      <c r="E55" s="126">
        <f t="shared" ref="E55:M55" si="106">E23/E20</f>
        <v>0.21423819028609448</v>
      </c>
      <c r="F55" s="126">
        <f t="shared" si="106"/>
        <v>0.25390687932978895</v>
      </c>
      <c r="G55" s="126">
        <f t="shared" si="106"/>
        <v>0.23241126689402553</v>
      </c>
      <c r="H55" s="126">
        <f t="shared" si="106"/>
        <v>0.33650845787485628</v>
      </c>
      <c r="I55" s="126">
        <f t="shared" si="106"/>
        <v>0.29847685998828355</v>
      </c>
      <c r="J55" s="126">
        <f t="shared" si="106"/>
        <v>0.25050524492349147</v>
      </c>
      <c r="K55" s="126">
        <f t="shared" si="106"/>
        <v>0.19541257074769139</v>
      </c>
      <c r="L55" s="126">
        <f t="shared" si="106"/>
        <v>0.16671959352175295</v>
      </c>
      <c r="M55" s="126">
        <f t="shared" si="106"/>
        <v>0.21613382899628253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0.88533923770362166</v>
      </c>
      <c r="E58" s="112">
        <f t="shared" ref="E58:M58" si="107">E42/E44</f>
        <v>0.95419223981244894</v>
      </c>
      <c r="F58" s="112">
        <f t="shared" si="107"/>
        <v>1.4846652151708195</v>
      </c>
      <c r="G58" s="112">
        <f t="shared" si="107"/>
        <v>1.5645327686376718</v>
      </c>
      <c r="H58" s="112">
        <f t="shared" si="107"/>
        <v>1.5237034089401778</v>
      </c>
      <c r="I58" s="112">
        <f t="shared" si="107"/>
        <v>2.3557555984490035</v>
      </c>
      <c r="J58" s="112">
        <f t="shared" si="107"/>
        <v>2.4665575814243414</v>
      </c>
      <c r="K58" s="112">
        <f t="shared" si="107"/>
        <v>2.3100672874133799</v>
      </c>
      <c r="L58" s="112">
        <f t="shared" si="107"/>
        <v>2.0909513007256471</v>
      </c>
      <c r="M58" s="112">
        <f t="shared" si="107"/>
        <v>2.2009394937951341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1.6418152350081037</v>
      </c>
      <c r="E59" s="112">
        <f t="shared" ref="E59:M59" si="108">E28/E36</f>
        <v>1.3655857465706627</v>
      </c>
      <c r="F59" s="112">
        <f t="shared" si="108"/>
        <v>1.2584919504510337</v>
      </c>
      <c r="G59" s="112">
        <f t="shared" si="108"/>
        <v>1.182552380952381</v>
      </c>
      <c r="H59" s="112">
        <f t="shared" si="108"/>
        <v>1.0189571913338553</v>
      </c>
      <c r="I59" s="112">
        <f t="shared" si="108"/>
        <v>1.0280397191483561</v>
      </c>
      <c r="J59" s="112">
        <f t="shared" si="108"/>
        <v>0.94369922893645763</v>
      </c>
      <c r="K59" s="112">
        <f t="shared" si="108"/>
        <v>0.90892819710724482</v>
      </c>
      <c r="L59" s="112">
        <f t="shared" si="108"/>
        <v>0.88498237645080891</v>
      </c>
      <c r="M59" s="112">
        <f t="shared" si="108"/>
        <v>0.94186646782149819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1.2961542343797314</v>
      </c>
      <c r="E60" s="112">
        <f t="shared" ref="E60:M60" si="109">E46/E9</f>
        <v>1.0838769804287045</v>
      </c>
      <c r="F60" s="112">
        <f t="shared" si="109"/>
        <v>2.2708567476441601</v>
      </c>
      <c r="G60" s="112">
        <f t="shared" si="109"/>
        <v>1.9916802736956691</v>
      </c>
      <c r="H60" s="112">
        <f t="shared" si="109"/>
        <v>1.8184128545663223</v>
      </c>
      <c r="I60" s="112">
        <f t="shared" si="109"/>
        <v>5.5434512725015521</v>
      </c>
      <c r="J60" s="112">
        <f t="shared" si="109"/>
        <v>3.9551901210416922</v>
      </c>
      <c r="K60" s="112">
        <f t="shared" si="109"/>
        <v>3.2261878814298171</v>
      </c>
      <c r="L60" s="112">
        <f t="shared" si="109"/>
        <v>2.8656263784737539</v>
      </c>
      <c r="M60" s="112">
        <f t="shared" si="109"/>
        <v>4.2087884599349623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0.1452116421409706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0.13316284872197515</v>
      </c>
    </row>
    <row r="65" spans="2:13">
      <c r="B65" s="10" t="s">
        <v>74</v>
      </c>
      <c r="C65" s="114"/>
      <c r="D65" s="121">
        <f>(M6/I6)^0.2 - 1</f>
        <v>-2.4751337449065964</v>
      </c>
    </row>
    <row r="66" spans="2:13">
      <c r="B66" s="10" t="s">
        <v>84</v>
      </c>
      <c r="C66" s="114"/>
      <c r="D66" s="121">
        <f>(M6/D6)^0.1 - 1</f>
        <v>-1.0093546534068243E-2</v>
      </c>
    </row>
    <row r="67" spans="2:13">
      <c r="B67" s="10" t="s">
        <v>75</v>
      </c>
      <c r="C67" s="114"/>
      <c r="D67" s="121">
        <f>(M3/I3)^0.2 - 1</f>
        <v>0.1063126085431747</v>
      </c>
    </row>
    <row r="68" spans="2:13">
      <c r="B68" s="10" t="s">
        <v>85</v>
      </c>
      <c r="C68" s="114"/>
      <c r="D68" s="121">
        <f>(M3/D3)^0.1 - 1</f>
        <v>9.7867583786303447E-2</v>
      </c>
    </row>
    <row r="69" spans="2:13">
      <c r="B69" s="10" t="s">
        <v>88</v>
      </c>
      <c r="C69" s="114"/>
      <c r="D69" s="121">
        <f>(M9/I9)^0.2 - 1</f>
        <v>-1.4291591562926365E-2</v>
      </c>
    </row>
    <row r="70" spans="2:13">
      <c r="B70" s="10" t="s">
        <v>89</v>
      </c>
      <c r="C70" s="114"/>
      <c r="D70" s="121">
        <f>(M9/D9)^0.2 - 1</f>
        <v>3.8955948928354633E-2</v>
      </c>
    </row>
    <row r="71" spans="2:13">
      <c r="B71" s="10" t="s">
        <v>131</v>
      </c>
      <c r="D71" s="121">
        <f>(M23/I23)^0.2 - 1</f>
        <v>7.3614010700210342E-2</v>
      </c>
    </row>
    <row r="72" spans="2:13">
      <c r="B72" s="10" t="s">
        <v>132</v>
      </c>
      <c r="D72" s="121">
        <f>AVERAGE(I24:M24)</f>
        <v>7.7548278363380643E-2</v>
      </c>
    </row>
    <row r="73" spans="2:13">
      <c r="B73" s="10" t="s">
        <v>135</v>
      </c>
      <c r="D73" s="121">
        <f>AVERAGE(I55:M55)</f>
        <v>0.22544961963550039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6.420043061264435</v>
      </c>
      <c r="E76" s="110">
        <f t="shared" si="110"/>
        <v>6.2598568482348655</v>
      </c>
      <c r="F76" s="110">
        <f t="shared" si="110"/>
        <v>5.6654802730508349</v>
      </c>
      <c r="G76" s="110">
        <f t="shared" si="110"/>
        <v>5.6287184264571994</v>
      </c>
      <c r="H76" s="110">
        <f t="shared" si="110"/>
        <v>6.9609275630446437</v>
      </c>
      <c r="I76" s="110">
        <f t="shared" si="110"/>
        <v>-0.30235777985910334</v>
      </c>
      <c r="J76" s="110">
        <f t="shared" si="110"/>
        <v>2.9822566071324212</v>
      </c>
      <c r="K76" s="110">
        <f t="shared" si="110"/>
        <v>3.111631233339835</v>
      </c>
      <c r="L76" s="110">
        <f t="shared" si="110"/>
        <v>3.3948643556410114</v>
      </c>
      <c r="M76" s="110">
        <f t="shared" si="110"/>
        <v>1.8175446281896834</v>
      </c>
    </row>
    <row r="77" spans="2:13">
      <c r="B77" s="10" t="s">
        <v>139</v>
      </c>
      <c r="C77" s="110">
        <v>0</v>
      </c>
      <c r="D77" s="110">
        <f t="shared" ref="D77:M77" si="111">100*D6/D44</f>
        <v>12.103959091148717</v>
      </c>
      <c r="E77" s="110">
        <f t="shared" si="111"/>
        <v>12.232963675157389</v>
      </c>
      <c r="F77" s="110">
        <f t="shared" si="111"/>
        <v>14.076821761685885</v>
      </c>
      <c r="G77" s="110">
        <f t="shared" si="111"/>
        <v>14.435032850084161</v>
      </c>
      <c r="H77" s="110">
        <f t="shared" si="111"/>
        <v>17.56731662024141</v>
      </c>
      <c r="I77" s="110">
        <f t="shared" si="111"/>
        <v>-1.0146388124967973</v>
      </c>
      <c r="J77" s="110">
        <f t="shared" si="111"/>
        <v>10.338164251207729</v>
      </c>
      <c r="K77" s="110">
        <f t="shared" si="111"/>
        <v>10.299708755971936</v>
      </c>
      <c r="L77" s="110">
        <f t="shared" si="111"/>
        <v>10.493360395855719</v>
      </c>
      <c r="M77" s="110">
        <f t="shared" si="111"/>
        <v>5.8178503821075509</v>
      </c>
    </row>
    <row r="78" spans="2:13">
      <c r="B78" s="10" t="s">
        <v>140</v>
      </c>
      <c r="C78" s="110">
        <v>0</v>
      </c>
      <c r="D78" s="40">
        <v>9.9200000762939453</v>
      </c>
      <c r="E78" s="40">
        <v>9.7899999618530273</v>
      </c>
      <c r="F78" s="40">
        <v>9.9399995803833008</v>
      </c>
      <c r="G78" s="40">
        <v>9.25</v>
      </c>
      <c r="H78" s="40">
        <v>11.560000419616699</v>
      </c>
      <c r="I78" s="40">
        <v>1.3400000333786011</v>
      </c>
      <c r="J78" s="40">
        <v>6.2399997711181641</v>
      </c>
      <c r="K78" s="40">
        <v>6.070000171661377</v>
      </c>
      <c r="L78" s="40">
        <v>6.4200000762939453</v>
      </c>
      <c r="M78" s="40">
        <v>3.9900000095367432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19.940000534057617</v>
      </c>
      <c r="E81" s="40">
        <v>24.889999389648438</v>
      </c>
      <c r="F81" s="40">
        <v>22.120000839233398</v>
      </c>
      <c r="G81" s="40">
        <v>16.930000305175781</v>
      </c>
      <c r="H81" s="40">
        <v>14.979999542236328</v>
      </c>
      <c r="I81" s="40">
        <v>21.620000839233398</v>
      </c>
      <c r="J81" s="40">
        <v>22.180000305175781</v>
      </c>
      <c r="K81" s="40">
        <v>11.289999961853027</v>
      </c>
      <c r="L81" s="40">
        <v>18</v>
      </c>
      <c r="M81" s="40">
        <v>39.319999694824219</v>
      </c>
    </row>
    <row r="82" spans="2:13">
      <c r="B82" s="122" t="s">
        <v>148</v>
      </c>
      <c r="C82" s="110">
        <v>0</v>
      </c>
      <c r="D82" s="40">
        <v>14.829999923706055</v>
      </c>
      <c r="E82" s="40">
        <v>18.200000762939453</v>
      </c>
      <c r="F82" s="40">
        <v>13.430000305175781</v>
      </c>
      <c r="G82" s="40">
        <v>7.4699997901916504</v>
      </c>
      <c r="H82" s="40">
        <v>7.380000114440918</v>
      </c>
      <c r="I82" s="40">
        <v>10.670000076293945</v>
      </c>
      <c r="J82" s="40">
        <v>7.3600001335144043</v>
      </c>
      <c r="K82" s="40">
        <v>6.0100002288818359</v>
      </c>
      <c r="L82" s="40">
        <v>7.6599998474121094</v>
      </c>
      <c r="M82" s="40">
        <v>5.5900001525878906</v>
      </c>
    </row>
    <row r="83" spans="2:13">
      <c r="B83" s="122" t="s">
        <v>153</v>
      </c>
      <c r="C83" s="110">
        <v>1.4299999475479126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2023-05-05T07:54:28Z</dcterms:modified>
</cp:coreProperties>
</file>