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 activeTab="3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<sst xmlns="http://schemas.openxmlformats.org/spreadsheetml/2006/main" count="227" uniqueCount="162">
  <si>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</si>
  <si>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</si>
  <si>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</si>
  <si>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</si>
  <si>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</si>
  <si>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</si>
  <si>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</si>
  <si>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</si>
  <si>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</si>
  <si>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</si>
  <si>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</si>
  <si>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</si>
  <si>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</si>
  <si>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</si>
  <si>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</si>
  <si>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</si>
  <si>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</si>
  <si>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</si>
  <si>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</si>
  <si>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</si>
  <si>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</si>
  <si>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</si>
  <si>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</si>
  <si>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</si>
  <si>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</si>
  <si>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</si>
  <si>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</si>
  <si>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</si>
  <si>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</si>
  <si>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</si>
  <si>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</si>
  <si>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</si>
  <si>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</si>
  <si>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</si>
  <si>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</si>
  <si>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</si>
  <si>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</si>
  <si>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</si>
  <si>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</si>
  <si>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</si>
  <si>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</si>
  <si>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</si>
  <si>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</si>
  <si>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</si>
  <si>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</si>
  <si>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</si>
  <si>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</si>
  <si>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</si>
  <si>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</si>
  <si>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</si>
  <si>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</si>
  <si>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</si>
  <si>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</si>
  <si>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</si>
  <si>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</si>
  <si>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</si>
  <si>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</si>
  <si>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</si>
  <si>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</si>
  <si>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</si>
  <si>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</si>
  <si>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</si>
  <si>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</si>
  <si>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</si>
  <si>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</si>
  <si>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</si>
  <si>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</si>
  <si>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</si>
  <si>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</si>
  <si>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</si>
  <si>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</si>
  <si>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</si>
  <si>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</si>
  <si>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</si>
  <si>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</si>
  <si>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</si>
  <si>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</si>
  <si>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</si>
  <si>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</si>
  <si>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</si>
  <si>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</si>
  <si>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</si>
  <si>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</si>
  <si>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</si>
  <si>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</si>
  <si>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</si>
  <si>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</si>
  <si>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</si>
  <si>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</si>
  <si>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</si>
  <si>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</si>
  <si>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</si>
  <si>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</si>
  <si>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</si>
  <si>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</si>
  <si>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</si>
  <si>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</si>
  <si>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</si>
  <si>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</si>
  <si>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</si>
  <si>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</si>
  <si>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</si>
  <si>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</si>
  <si>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</si>
  <si>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</si>
  <si>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</si>
  <si>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</si>
  <si>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</si>
  <si>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</si>
  <si>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</si>
  <si>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</si>
  <si>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</si>
  <si>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</si>
  <si>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</si>
  <si>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</si>
  <si>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</si>
  <si>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</si>
  <si>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</si>
  <si>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</si>
  <si>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</si>
  <si>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</si>
  <si>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</si>
  <si>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</si>
  <si>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</si>
  <si>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</si>
  <si>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</si>
  <si>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</si>
  <si>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</si>
  <si>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</si>
  <si>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</si>
  <si>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</si>
  <si>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</si>
  <si>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</si>
  <si>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</si>
  <si>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</si>
  <si>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</si>
  <si>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</si>
  <si>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</si>
  <si>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</si>
  <si>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</si>
  <si>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</si>
  <si>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</si>
  <si>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</si>
  <si>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</si>
  <si>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</si>
  <si>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</si>
  <si>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</si>
  <si>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</si>
  <si>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</si>
  <si>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</si>
  <si>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</si>
  <si>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</si>
  <si>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</si>
  <si>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</si>
  <si>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</si>
  <si>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</si>
  <si>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</si>
  <si>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</si>
  <si>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</si>
  <si>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MSFT_Microsoft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</si>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</sst>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0.28083854641678119</c:v>
                </c:pt>
                <c:pt idx="1">
                  <c:v>0.25421210829983992</c:v>
                </c:pt>
                <c:pt idx="2">
                  <c:v>0.13029493481513144</c:v>
                </c:pt>
                <c:pt idx="3">
                  <c:v>0.22532198257893235</c:v>
                </c:pt>
                <c:pt idx="4">
                  <c:v>0.26394052044609667</c:v>
                </c:pt>
                <c:pt idx="5">
                  <c:v>0.15015404131931859</c:v>
                </c:pt>
                <c:pt idx="6">
                  <c:v>0.31181710544090652</c:v>
                </c:pt>
                <c:pt idx="7">
                  <c:v>0.30962486452470023</c:v>
                </c:pt>
                <c:pt idx="8">
                  <c:v>0.36451739564989766</c:v>
                </c:pt>
                <c:pt idx="9">
                  <c:v>0.36686336813436221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0.39202815707330857</c:v>
                </c:pt>
                <c:pt idx="1">
                  <c:v>0.37970587219144797</c:v>
                </c:pt>
                <c:pt idx="2">
                  <c:v>0.33784996794186795</c:v>
                </c:pt>
                <c:pt idx="3">
                  <c:v>0.36564495249797047</c:v>
                </c:pt>
                <c:pt idx="4">
                  <c:v>0.39145292064905612</c:v>
                </c:pt>
                <c:pt idx="5">
                  <c:v>0.41064697354113811</c:v>
                </c:pt>
                <c:pt idx="6">
                  <c:v>0.43419975683987189</c:v>
                </c:pt>
                <c:pt idx="7">
                  <c:v>0.45977694647414608</c:v>
                </c:pt>
                <c:pt idx="8">
                  <c:v>0.48547189567369475</c:v>
                </c:pt>
                <c:pt idx="9">
                  <c:v>0.49348363342916224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0.3156880627882182</c:v>
                </c:pt>
                <c:pt idx="1">
                  <c:v>0.31113747077723908</c:v>
                </c:pt>
                <c:pt idx="2">
                  <c:v>0.25351570848471894</c:v>
                </c:pt>
                <c:pt idx="3">
                  <c:v>0.27406367246637559</c:v>
                </c:pt>
                <c:pt idx="4">
                  <c:v>0.32492156030278241</c:v>
                </c:pt>
                <c:pt idx="5">
                  <c:v>0.29224356650960492</c:v>
                </c:pt>
                <c:pt idx="6">
                  <c:v>0.30402962421429874</c:v>
                </c:pt>
                <c:pt idx="7">
                  <c:v>0.31628850120616719</c:v>
                </c:pt>
                <c:pt idx="8">
                  <c:v>0.33386083480081863</c:v>
                </c:pt>
                <c:pt idx="9">
                  <c:v>0.32858727997175569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9047080"/>
        <c:axId val="329047464"/>
      </c:lineChart>
      <c:catAx>
        <c:axId val="3290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47464"/>
        <c:crosses val="autoZero"/>
        <c:auto val="1"/>
        <c:lblAlgn val="ctr"/>
        <c:lblOffset val="100"/>
        <c:noMultiLvlLbl val="0"/>
      </c:catAx>
      <c:valAx>
        <c:axId val="3290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14.010000228881836</c:v>
                </c:pt>
                <c:pt idx="1">
                  <c:v>18.219999313354492</c:v>
                </c:pt>
                <c:pt idx="2">
                  <c:v>36.740001678466797</c:v>
                </c:pt>
                <c:pt idx="3">
                  <c:v>29.729999542236328</c:v>
                </c:pt>
                <c:pt idx="4">
                  <c:v>30.229999542236328</c:v>
                </c:pt>
                <c:pt idx="5">
                  <c:v>41.799999237060547</c:v>
                </c:pt>
                <c:pt idx="6">
                  <c:v>29.75</c:v>
                </c:pt>
                <c:pt idx="7">
                  <c:v>35.869998931884766</c:v>
                </c:pt>
                <c:pt idx="8">
                  <c:v>37.619998931884766</c:v>
                </c:pt>
                <c:pt idx="9">
                  <c:v>25.809999465942383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11.079999923706055</c:v>
                </c:pt>
                <c:pt idx="1">
                  <c:v>12.020000457763672</c:v>
                </c:pt>
                <c:pt idx="2">
                  <c:v>15.479999542236328</c:v>
                </c:pt>
                <c:pt idx="3">
                  <c:v>13.739999771118164</c:v>
                </c:pt>
                <c:pt idx="4">
                  <c:v>16.540000915527344</c:v>
                </c:pt>
                <c:pt idx="5">
                  <c:v>17.530000686645508</c:v>
                </c:pt>
                <c:pt idx="6">
                  <c:v>23.309999465942383</c:v>
                </c:pt>
                <c:pt idx="7">
                  <c:v>25.760000228881836</c:v>
                </c:pt>
                <c:pt idx="8">
                  <c:v>31.149999618530273</c:v>
                </c:pt>
                <c:pt idx="9">
                  <c:v>20.559999465942383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020048"/>
        <c:axId val="328079264"/>
      </c:lineChart>
      <c:catAx>
        <c:axId val="3300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9264"/>
        <c:crosses val="autoZero"/>
        <c:auto val="1"/>
        <c:lblAlgn val="ctr"/>
        <c:lblOffset val="100"/>
        <c:noMultiLvlLbl val="0"/>
      </c:catAx>
      <c:valAx>
        <c:axId val="3280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2.5799999237060547</c:v>
                </c:pt>
                <c:pt idx="1">
                  <c:v>2.630000114440918</c:v>
                </c:pt>
                <c:pt idx="2">
                  <c:v>1.4800000190734863</c:v>
                </c:pt>
                <c:pt idx="3">
                  <c:v>2.559999942779541</c:v>
                </c:pt>
                <c:pt idx="4">
                  <c:v>3.25</c:v>
                </c:pt>
                <c:pt idx="5">
                  <c:v>2.130000114440918</c:v>
                </c:pt>
                <c:pt idx="6">
                  <c:v>5.059999942779541</c:v>
                </c:pt>
                <c:pt idx="7">
                  <c:v>5.7600002288818359</c:v>
                </c:pt>
                <c:pt idx="8">
                  <c:v>8.0500001907348633</c:v>
                </c:pt>
                <c:pt idx="9">
                  <c:v>9.6499996185302734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876080"/>
        <c:axId val="382874904"/>
      </c:barChart>
      <c:catAx>
        <c:axId val="3828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4904"/>
        <c:crosses val="autoZero"/>
        <c:auto val="1"/>
        <c:lblAlgn val="ctr"/>
        <c:lblOffset val="100"/>
        <c:noMultiLvlLbl val="0"/>
      </c:catAx>
      <c:valAx>
        <c:axId val="3828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77849</c:v>
                </c:pt>
                <c:pt idx="1">
                  <c:v>86833</c:v>
                </c:pt>
                <c:pt idx="2">
                  <c:v>93580</c:v>
                </c:pt>
                <c:pt idx="3">
                  <c:v>91154</c:v>
                </c:pt>
                <c:pt idx="4">
                  <c:v>96571</c:v>
                </c:pt>
                <c:pt idx="5">
                  <c:v>110360</c:v>
                </c:pt>
                <c:pt idx="6">
                  <c:v>125843</c:v>
                </c:pt>
                <c:pt idx="7">
                  <c:v>143015</c:v>
                </c:pt>
                <c:pt idx="8">
                  <c:v>168088</c:v>
                </c:pt>
                <c:pt idx="9">
                  <c:v>198270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874512"/>
        <c:axId val="382879608"/>
      </c:barChart>
      <c:catAx>
        <c:axId val="3828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9608"/>
        <c:crosses val="autoZero"/>
        <c:auto val="1"/>
        <c:lblAlgn val="ctr"/>
        <c:lblOffset val="100"/>
        <c:noMultiLvlLbl val="0"/>
      </c:catAx>
      <c:valAx>
        <c:axId val="3828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12601</c:v>
                </c:pt>
                <c:pt idx="1">
                  <c:v>20645</c:v>
                </c:pt>
                <c:pt idx="2">
                  <c:v>27808</c:v>
                </c:pt>
                <c:pt idx="3">
                  <c:v>40557</c:v>
                </c:pt>
                <c:pt idx="4">
                  <c:v>76073</c:v>
                </c:pt>
                <c:pt idx="5">
                  <c:v>72242</c:v>
                </c:pt>
                <c:pt idx="6">
                  <c:v>66662</c:v>
                </c:pt>
                <c:pt idx="7">
                  <c:v>59578</c:v>
                </c:pt>
                <c:pt idx="8">
                  <c:v>50074</c:v>
                </c:pt>
                <c:pt idx="9">
                  <c:v>47032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30519</c:v>
                </c:pt>
                <c:pt idx="1">
                  <c:v>32971</c:v>
                </c:pt>
                <c:pt idx="2">
                  <c:v>31616</c:v>
                </c:pt>
                <c:pt idx="3">
                  <c:v>33330</c:v>
                </c:pt>
                <c:pt idx="4">
                  <c:v>37803</c:v>
                </c:pt>
                <c:pt idx="5">
                  <c:v>45319</c:v>
                </c:pt>
                <c:pt idx="6">
                  <c:v>54641</c:v>
                </c:pt>
                <c:pt idx="7">
                  <c:v>65755</c:v>
                </c:pt>
                <c:pt idx="8">
                  <c:v>81602</c:v>
                </c:pt>
                <c:pt idx="9">
                  <c:v>97843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2876864"/>
        <c:axId val="382877256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0.41289033061371605</c:v>
                </c:pt>
                <c:pt idx="1">
                  <c:v>0.6261563191895908</c:v>
                </c:pt>
                <c:pt idx="2">
                  <c:v>0.87955465587044535</c:v>
                </c:pt>
                <c:pt idx="3">
                  <c:v>1.2168316831683168</c:v>
                </c:pt>
                <c:pt idx="4">
                  <c:v>2.0123535169166469</c:v>
                </c:pt>
                <c:pt idx="5">
                  <c:v>1.5940775392219599</c:v>
                </c:pt>
                <c:pt idx="6">
                  <c:v>1.2199996339744881</c:v>
                </c:pt>
                <c:pt idx="7">
                  <c:v>0.90606037563683373</c:v>
                </c:pt>
                <c:pt idx="8">
                  <c:v>0.61363692066370923</c:v>
                </c:pt>
                <c:pt idx="9">
                  <c:v>0.48068844986355691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880000"/>
        <c:axId val="382878040"/>
      </c:lineChart>
      <c:catAx>
        <c:axId val="3828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7256"/>
        <c:crosses val="autoZero"/>
        <c:auto val="1"/>
        <c:lblAlgn val="ctr"/>
        <c:lblOffset val="100"/>
        <c:noMultiLvlLbl val="0"/>
      </c:catAx>
      <c:valAx>
        <c:axId val="3828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6864"/>
        <c:crosses val="autoZero"/>
        <c:crossBetween val="between"/>
      </c:valAx>
      <c:valAx>
        <c:axId val="382878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0000"/>
        <c:crosses val="max"/>
        <c:crossBetween val="between"/>
      </c:valAx>
      <c:catAx>
        <c:axId val="3828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78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24576</c:v>
                </c:pt>
                <c:pt idx="1">
                  <c:v>27017</c:v>
                </c:pt>
                <c:pt idx="2">
                  <c:v>23724</c:v>
                </c:pt>
                <c:pt idx="3">
                  <c:v>24982</c:v>
                </c:pt>
                <c:pt idx="4">
                  <c:v>31378</c:v>
                </c:pt>
                <c:pt idx="5">
                  <c:v>32252</c:v>
                </c:pt>
                <c:pt idx="6">
                  <c:v>38260</c:v>
                </c:pt>
                <c:pt idx="7">
                  <c:v>45234</c:v>
                </c:pt>
                <c:pt idx="8">
                  <c:v>56118</c:v>
                </c:pt>
                <c:pt idx="9">
                  <c:v>65149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7455</c:v>
                </c:pt>
                <c:pt idx="1">
                  <c:v>8879</c:v>
                </c:pt>
                <c:pt idx="2">
                  <c:v>9882</c:v>
                </c:pt>
                <c:pt idx="3">
                  <c:v>11006</c:v>
                </c:pt>
                <c:pt idx="4">
                  <c:v>11845</c:v>
                </c:pt>
                <c:pt idx="5">
                  <c:v>12699</c:v>
                </c:pt>
                <c:pt idx="6">
                  <c:v>13811</c:v>
                </c:pt>
                <c:pt idx="7">
                  <c:v>15137</c:v>
                </c:pt>
                <c:pt idx="8">
                  <c:v>16521</c:v>
                </c:pt>
                <c:pt idx="9">
                  <c:v>18135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515408"/>
        <c:axId val="329612256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0.3033447265625</c:v>
                </c:pt>
                <c:pt idx="1">
                  <c:v>0.32864492726801642</c:v>
                </c:pt>
                <c:pt idx="2">
                  <c:v>0.41654021244309558</c:v>
                </c:pt>
                <c:pt idx="3">
                  <c:v>0.44055720118485309</c:v>
                </c:pt>
                <c:pt idx="4">
                  <c:v>0.37749378545477724</c:v>
                </c:pt>
                <c:pt idx="5">
                  <c:v>0.39374302368845343</c:v>
                </c:pt>
                <c:pt idx="6">
                  <c:v>0.36097752221641399</c:v>
                </c:pt>
                <c:pt idx="7">
                  <c:v>0.33463766193571209</c:v>
                </c:pt>
                <c:pt idx="8">
                  <c:v>0.29439751951245591</c:v>
                </c:pt>
                <c:pt idx="9">
                  <c:v>0.27836190885508605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17128"/>
        <c:axId val="329616744"/>
      </c:scatterChart>
      <c:catAx>
        <c:axId val="3295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2256"/>
        <c:crosses val="autoZero"/>
        <c:auto val="1"/>
        <c:lblAlgn val="ctr"/>
        <c:lblOffset val="100"/>
        <c:noMultiLvlLbl val="0"/>
      </c:catAx>
      <c:valAx>
        <c:axId val="3296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5408"/>
        <c:crosses val="autoZero"/>
        <c:crossBetween val="between"/>
      </c:valAx>
      <c:valAx>
        <c:axId val="329616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7128"/>
        <c:crosses val="max"/>
        <c:crossBetween val="midCat"/>
      </c:valAx>
      <c:valAx>
        <c:axId val="329617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2961674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40965</c:v>
                </c:pt>
                <c:pt idx="1">
                  <c:v>58138</c:v>
                </c:pt>
                <c:pt idx="2">
                  <c:v>51675</c:v>
                </c:pt>
                <c:pt idx="3">
                  <c:v>53808</c:v>
                </c:pt>
                <c:pt idx="4">
                  <c:v>87616</c:v>
                </c:pt>
                <c:pt idx="5">
                  <c:v>89186</c:v>
                </c:pt>
                <c:pt idx="6">
                  <c:v>111004</c:v>
                </c:pt>
                <c:pt idx="7">
                  <c:v>119396</c:v>
                </c:pt>
                <c:pt idx="8">
                  <c:v>149373</c:v>
                </c:pt>
                <c:pt idx="9">
                  <c:v>195156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101466</c:v>
                </c:pt>
                <c:pt idx="1">
                  <c:v>114246</c:v>
                </c:pt>
                <c:pt idx="2">
                  <c:v>122797</c:v>
                </c:pt>
                <c:pt idx="3">
                  <c:v>139660</c:v>
                </c:pt>
                <c:pt idx="4">
                  <c:v>162696</c:v>
                </c:pt>
                <c:pt idx="5">
                  <c:v>169662</c:v>
                </c:pt>
                <c:pt idx="6">
                  <c:v>175552</c:v>
                </c:pt>
                <c:pt idx="7">
                  <c:v>181915</c:v>
                </c:pt>
                <c:pt idx="8">
                  <c:v>184406</c:v>
                </c:pt>
                <c:pt idx="9">
                  <c:v>169684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9644728"/>
        <c:axId val="329645112"/>
      </c:barChart>
      <c:catAx>
        <c:axId val="3296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5112"/>
        <c:crosses val="autoZero"/>
        <c:auto val="1"/>
        <c:lblAlgn val="ctr"/>
        <c:lblOffset val="100"/>
        <c:noMultiLvlLbl val="0"/>
      </c:catAx>
      <c:valAx>
        <c:axId val="32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37417</c:v>
                </c:pt>
                <c:pt idx="1">
                  <c:v>45625</c:v>
                </c:pt>
                <c:pt idx="2">
                  <c:v>49647</c:v>
                </c:pt>
                <c:pt idx="3">
                  <c:v>59357</c:v>
                </c:pt>
                <c:pt idx="4">
                  <c:v>55745</c:v>
                </c:pt>
                <c:pt idx="5">
                  <c:v>58488</c:v>
                </c:pt>
                <c:pt idx="6">
                  <c:v>69420</c:v>
                </c:pt>
                <c:pt idx="7">
                  <c:v>72310</c:v>
                </c:pt>
                <c:pt idx="8">
                  <c:v>88657</c:v>
                </c:pt>
                <c:pt idx="9">
                  <c:v>95082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26070</c:v>
                </c:pt>
                <c:pt idx="1">
                  <c:v>36975</c:v>
                </c:pt>
                <c:pt idx="2">
                  <c:v>44742</c:v>
                </c:pt>
                <c:pt idx="3">
                  <c:v>62114</c:v>
                </c:pt>
                <c:pt idx="4">
                  <c:v>106856</c:v>
                </c:pt>
                <c:pt idx="5">
                  <c:v>117642</c:v>
                </c:pt>
                <c:pt idx="6">
                  <c:v>114806</c:v>
                </c:pt>
                <c:pt idx="7">
                  <c:v>110697</c:v>
                </c:pt>
                <c:pt idx="8">
                  <c:v>103134</c:v>
                </c:pt>
                <c:pt idx="9">
                  <c:v>103216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080048"/>
        <c:axId val="328077696"/>
      </c:barChart>
      <c:catAx>
        <c:axId val="328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7696"/>
        <c:crosses val="autoZero"/>
        <c:auto val="1"/>
        <c:lblAlgn val="ctr"/>
        <c:lblOffset val="100"/>
        <c:noMultiLvlLbl val="0"/>
      </c:catAx>
      <c:valAx>
        <c:axId val="3280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78944</c:v>
                </c:pt>
                <c:pt idx="1">
                  <c:v>89784</c:v>
                </c:pt>
                <c:pt idx="2">
                  <c:v>80083</c:v>
                </c:pt>
                <c:pt idx="3">
                  <c:v>71997</c:v>
                </c:pt>
                <c:pt idx="4">
                  <c:v>87711</c:v>
                </c:pt>
                <c:pt idx="5">
                  <c:v>82718</c:v>
                </c:pt>
                <c:pt idx="6">
                  <c:v>102330</c:v>
                </c:pt>
                <c:pt idx="7">
                  <c:v>118304</c:v>
                </c:pt>
                <c:pt idx="8">
                  <c:v>141988</c:v>
                </c:pt>
                <c:pt idx="9">
                  <c:v>166542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63487</c:v>
                </c:pt>
                <c:pt idx="1">
                  <c:v>82600</c:v>
                </c:pt>
                <c:pt idx="2">
                  <c:v>94389</c:v>
                </c:pt>
                <c:pt idx="3">
                  <c:v>121471</c:v>
                </c:pt>
                <c:pt idx="4">
                  <c:v>162601</c:v>
                </c:pt>
                <c:pt idx="5">
                  <c:v>176130</c:v>
                </c:pt>
                <c:pt idx="6">
                  <c:v>184226</c:v>
                </c:pt>
                <c:pt idx="7">
                  <c:v>183007</c:v>
                </c:pt>
                <c:pt idx="8">
                  <c:v>191791</c:v>
                </c:pt>
                <c:pt idx="9">
                  <c:v>198298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0021616"/>
        <c:axId val="330020440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0.80420297932711793</c:v>
                </c:pt>
                <c:pt idx="1">
                  <c:v>0.91998574356232732</c:v>
                </c:pt>
                <c:pt idx="2">
                  <c:v>1.1786396613513479</c:v>
                </c:pt>
                <c:pt idx="3">
                  <c:v>1.6871675208689252</c:v>
                </c:pt>
                <c:pt idx="4">
                  <c:v>1.8538267720126325</c:v>
                </c:pt>
                <c:pt idx="5">
                  <c:v>2.1292826228874007</c:v>
                </c:pt>
                <c:pt idx="6">
                  <c:v>1.8003127137691781</c:v>
                </c:pt>
                <c:pt idx="7">
                  <c:v>1.5469214903976196</c:v>
                </c:pt>
                <c:pt idx="8">
                  <c:v>1.3507549933797223</c:v>
                </c:pt>
                <c:pt idx="9">
                  <c:v>1.1906786276134549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25928"/>
        <c:axId val="330020832"/>
      </c:scatterChart>
      <c:catAx>
        <c:axId val="3300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0440"/>
        <c:crosses val="autoZero"/>
        <c:auto val="1"/>
        <c:lblAlgn val="ctr"/>
        <c:lblOffset val="100"/>
        <c:noMultiLvlLbl val="0"/>
      </c:catAx>
      <c:valAx>
        <c:axId val="3300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1616"/>
        <c:crosses val="autoZero"/>
        <c:crossBetween val="between"/>
      </c:valAx>
      <c:valAx>
        <c:axId val="3300208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5928"/>
        <c:crosses val="max"/>
        <c:crossBetween val="midCat"/>
      </c:valAx>
      <c:valAx>
        <c:axId val="330025928"/>
        <c:scaling>
          <c:orientation val="minMax"/>
        </c:scaling>
        <c:delete val="1"/>
        <c:axPos val="b"/>
        <c:majorTickMark val="out"/>
        <c:minorTickMark val="none"/>
        <c:tickLblPos val="nextTo"/>
        <c:crossAx val="3300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101466</c:v>
                </c:pt>
                <c:pt idx="1">
                  <c:v>114246</c:v>
                </c:pt>
                <c:pt idx="2">
                  <c:v>122797</c:v>
                </c:pt>
                <c:pt idx="3">
                  <c:v>139660</c:v>
                </c:pt>
                <c:pt idx="4">
                  <c:v>162696</c:v>
                </c:pt>
                <c:pt idx="5">
                  <c:v>169662</c:v>
                </c:pt>
                <c:pt idx="6">
                  <c:v>175552</c:v>
                </c:pt>
                <c:pt idx="7">
                  <c:v>181915</c:v>
                </c:pt>
                <c:pt idx="8">
                  <c:v>184406</c:v>
                </c:pt>
                <c:pt idx="9">
                  <c:v>169684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37417</c:v>
                </c:pt>
                <c:pt idx="1">
                  <c:v>45625</c:v>
                </c:pt>
                <c:pt idx="2">
                  <c:v>49647</c:v>
                </c:pt>
                <c:pt idx="3">
                  <c:v>59357</c:v>
                </c:pt>
                <c:pt idx="4">
                  <c:v>55745</c:v>
                </c:pt>
                <c:pt idx="5">
                  <c:v>58488</c:v>
                </c:pt>
                <c:pt idx="6">
                  <c:v>69420</c:v>
                </c:pt>
                <c:pt idx="7">
                  <c:v>72310</c:v>
                </c:pt>
                <c:pt idx="8">
                  <c:v>88657</c:v>
                </c:pt>
                <c:pt idx="9">
                  <c:v>95082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0018872"/>
        <c:axId val="330021224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2.7117620333003716</c:v>
                </c:pt>
                <c:pt idx="1">
                  <c:v>2.504021917808219</c:v>
                </c:pt>
                <c:pt idx="2">
                  <c:v>2.4734022196708763</c:v>
                </c:pt>
                <c:pt idx="3">
                  <c:v>2.3528817157201343</c:v>
                </c:pt>
                <c:pt idx="4">
                  <c:v>2.9185756570095971</c:v>
                </c:pt>
                <c:pt idx="5">
                  <c:v>2.9008001641362329</c:v>
                </c:pt>
                <c:pt idx="6">
                  <c:v>2.5288389513108616</c:v>
                </c:pt>
                <c:pt idx="7">
                  <c:v>2.5157654542940118</c:v>
                </c:pt>
                <c:pt idx="8">
                  <c:v>2.0799936835218875</c:v>
                </c:pt>
                <c:pt idx="9">
                  <c:v>1.7846069708251824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022008"/>
        <c:axId val="330025144"/>
      </c:lineChart>
      <c:catAx>
        <c:axId val="3300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1224"/>
        <c:crosses val="autoZero"/>
        <c:auto val="1"/>
        <c:lblAlgn val="ctr"/>
        <c:lblOffset val="100"/>
        <c:noMultiLvlLbl val="0"/>
      </c:catAx>
      <c:valAx>
        <c:axId val="3300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8872"/>
        <c:crosses val="autoZero"/>
        <c:crossBetween val="between"/>
      </c:valAx>
      <c:valAx>
        <c:axId val="330025144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2008"/>
        <c:crosses val="max"/>
        <c:crossBetween val="between"/>
      </c:valAx>
      <c:catAx>
        <c:axId val="3300220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5144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30519</c:v>
                </c:pt>
                <c:pt idx="1">
                  <c:v>32971</c:v>
                </c:pt>
                <c:pt idx="2">
                  <c:v>31616</c:v>
                </c:pt>
                <c:pt idx="3">
                  <c:v>33330</c:v>
                </c:pt>
                <c:pt idx="4">
                  <c:v>37803</c:v>
                </c:pt>
                <c:pt idx="5">
                  <c:v>45319</c:v>
                </c:pt>
                <c:pt idx="6">
                  <c:v>54641</c:v>
                </c:pt>
                <c:pt idx="7">
                  <c:v>65755</c:v>
                </c:pt>
                <c:pt idx="8">
                  <c:v>81602</c:v>
                </c:pt>
                <c:pt idx="9">
                  <c:v>97843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21863</c:v>
                </c:pt>
                <c:pt idx="1">
                  <c:v>22074</c:v>
                </c:pt>
                <c:pt idx="2">
                  <c:v>12193</c:v>
                </c:pt>
                <c:pt idx="3">
                  <c:v>20539</c:v>
                </c:pt>
                <c:pt idx="4">
                  <c:v>25489</c:v>
                </c:pt>
                <c:pt idx="5">
                  <c:v>16571</c:v>
                </c:pt>
                <c:pt idx="6">
                  <c:v>39240</c:v>
                </c:pt>
                <c:pt idx="7">
                  <c:v>44281</c:v>
                </c:pt>
                <c:pt idx="8">
                  <c:v>61271</c:v>
                </c:pt>
                <c:pt idx="9">
                  <c:v>72738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24576</c:v>
                </c:pt>
                <c:pt idx="1">
                  <c:v>27017</c:v>
                </c:pt>
                <c:pt idx="2">
                  <c:v>23724</c:v>
                </c:pt>
                <c:pt idx="3">
                  <c:v>24982</c:v>
                </c:pt>
                <c:pt idx="4">
                  <c:v>31378</c:v>
                </c:pt>
                <c:pt idx="5">
                  <c:v>32252</c:v>
                </c:pt>
                <c:pt idx="6">
                  <c:v>38260</c:v>
                </c:pt>
                <c:pt idx="7">
                  <c:v>45234</c:v>
                </c:pt>
                <c:pt idx="8">
                  <c:v>56118</c:v>
                </c:pt>
                <c:pt idx="9">
                  <c:v>65149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0019656"/>
        <c:axId val="330023576"/>
      </c:barChart>
      <c:valAx>
        <c:axId val="330023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9656"/>
        <c:crosses val="max"/>
        <c:crossBetween val="between"/>
      </c:valAx>
      <c:catAx>
        <c:axId val="3300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15.34988871804593</c:v>
                </c:pt>
                <c:pt idx="1">
                  <c:v>12.805132726935215</c:v>
                </c:pt>
                <c:pt idx="2">
                  <c:v>6.9885139162730985</c:v>
                </c:pt>
                <c:pt idx="3">
                  <c:v>10.616225939173404</c:v>
                </c:pt>
                <c:pt idx="4">
                  <c:v>10.182891751094633</c:v>
                </c:pt>
                <c:pt idx="5">
                  <c:v>6.4018265545802944</c:v>
                </c:pt>
                <c:pt idx="6">
                  <c:v>13.693658482111699</c:v>
                </c:pt>
                <c:pt idx="7">
                  <c:v>14.696111326835064</c:v>
                </c:pt>
                <c:pt idx="8">
                  <c:v>18.356757015869782</c:v>
                </c:pt>
                <c:pt idx="9">
                  <c:v>19.936958666812849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27.694314957438184</c:v>
                </c:pt>
                <c:pt idx="1">
                  <c:v>24.585672280139001</c:v>
                </c:pt>
                <c:pt idx="2">
                  <c:v>15.225453591898406</c:v>
                </c:pt>
                <c:pt idx="3">
                  <c:v>28.527577537952972</c:v>
                </c:pt>
                <c:pt idx="4">
                  <c:v>29.060209095780461</c:v>
                </c:pt>
                <c:pt idx="5">
                  <c:v>20.033124591987235</c:v>
                </c:pt>
                <c:pt idx="6">
                  <c:v>38.346525945470539</c:v>
                </c:pt>
                <c:pt idx="7">
                  <c:v>37.429841763592101</c:v>
                </c:pt>
                <c:pt idx="8">
                  <c:v>43.152238217314142</c:v>
                </c:pt>
                <c:pt idx="9">
                  <c:v>43.675469250999747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25.700000762939453</c:v>
                </c:pt>
                <c:pt idx="1">
                  <c:v>21.790000915527344</c:v>
                </c:pt>
                <c:pt idx="2">
                  <c:v>11.159999847412109</c:v>
                </c:pt>
                <c:pt idx="3">
                  <c:v>14.810000419616699</c:v>
                </c:pt>
                <c:pt idx="4">
                  <c:v>16.360000610351562</c:v>
                </c:pt>
                <c:pt idx="5">
                  <c:v>11.489999771118164</c:v>
                </c:pt>
                <c:pt idx="6">
                  <c:v>22.690000534057617</c:v>
                </c:pt>
                <c:pt idx="7">
                  <c:v>23.899999618530273</c:v>
                </c:pt>
                <c:pt idx="8">
                  <c:v>30.799999237060547</c:v>
                </c:pt>
                <c:pt idx="9">
                  <c:v>33.229999542236328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022792"/>
        <c:axId val="330026320"/>
      </c:lineChart>
      <c:catAx>
        <c:axId val="330022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6320"/>
        <c:crosses val="autoZero"/>
        <c:auto val="1"/>
        <c:lblAlgn val="ctr"/>
        <c:lblOffset val="100"/>
        <c:noMultiLvlLbl val="1"/>
      </c:catAx>
      <c:valAx>
        <c:axId val="33002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8470</c:v>
                </c:pt>
                <c:pt idx="1">
                  <c:v>8399</c:v>
                </c:pt>
                <c:pt idx="2">
                  <c:v>8254</c:v>
                </c:pt>
                <c:pt idx="3">
                  <c:v>8013</c:v>
                </c:pt>
                <c:pt idx="4">
                  <c:v>7832</c:v>
                </c:pt>
                <c:pt idx="5">
                  <c:v>7794</c:v>
                </c:pt>
                <c:pt idx="6">
                  <c:v>7753</c:v>
                </c:pt>
                <c:pt idx="7">
                  <c:v>7683</c:v>
                </c:pt>
                <c:pt idx="8">
                  <c:v>7608</c:v>
                </c:pt>
                <c:pt idx="9">
                  <c:v>7540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024752"/>
        <c:axId val="330025536"/>
      </c:barChart>
      <c:catAx>
        <c:axId val="330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5536"/>
        <c:crosses val="autoZero"/>
        <c:auto val="1"/>
        <c:lblAlgn val="ctr"/>
        <c:lblOffset val="100"/>
        <c:noMultiLvlLbl val="0"/>
      </c:catAx>
      <c:valAx>
        <c:axId val="3300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14.617062409241935</v>
      </c>
      <c r="G12" s="119">
        <f>Financials!D76</f>
        <v>15.34988871804593</v>
      </c>
      <c r="H12" s="119">
        <f>Financials!E76</f>
        <v>12.805132726935215</v>
      </c>
      <c r="I12" s="119">
        <f>Financials!F76</f>
        <v>6.9885139162730985</v>
      </c>
      <c r="J12" s="119">
        <f>Financials!G76</f>
        <v>10.616225939173404</v>
      </c>
      <c r="K12" s="119">
        <f>Financials!H76</f>
        <v>10.182891751094633</v>
      </c>
      <c r="L12" s="119">
        <f>Financials!I76</f>
        <v>6.4018265545802944</v>
      </c>
      <c r="M12" s="119">
        <f>Financials!J76</f>
        <v>13.693658482111699</v>
      </c>
      <c r="N12" s="119">
        <f>Financials!K76</f>
        <v>14.696111326835064</v>
      </c>
      <c r="O12" s="119">
        <f>Financials!L76</f>
        <v>18.356757015869782</v>
      </c>
      <c r="P12" s="119">
        <f>Financials!M76</f>
        <v>19.936958666812849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36.527439953872758</v>
      </c>
      <c r="G14" s="40">
        <f>Financials!D77</f>
        <v>27.694314957438184</v>
      </c>
      <c r="H14" s="40">
        <f>Financials!E77</f>
        <v>24.585672280139001</v>
      </c>
      <c r="I14" s="40">
        <f>Financials!F77</f>
        <v>15.225453591898406</v>
      </c>
      <c r="J14" s="40">
        <f>Financials!G77</f>
        <v>28.527577537952972</v>
      </c>
      <c r="K14" s="40">
        <f>Financials!H77</f>
        <v>29.060209095780461</v>
      </c>
      <c r="L14" s="40">
        <f>Financials!I77</f>
        <v>20.033124591987235</v>
      </c>
      <c r="M14" s="40">
        <f>Financials!J77</f>
        <v>38.346525945470539</v>
      </c>
      <c r="N14" s="40">
        <f>Financials!K77</f>
        <v>37.429841763592101</v>
      </c>
      <c r="O14" s="40">
        <f>Financials!L77</f>
        <v>43.152238217314142</v>
      </c>
      <c r="P14" s="40">
        <f>Financials!M77</f>
        <v>43.675469250999747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0.1049774123316126</v>
      </c>
      <c r="F16" s="124">
        <f>AVERAGE(L16:P16)</f>
        <v>24.421999740600587</v>
      </c>
      <c r="G16" s="40">
        <f>Financials!D78</f>
        <v>25.700000762939453</v>
      </c>
      <c r="H16" s="40">
        <f>Financials!E78</f>
        <v>21.790000915527344</v>
      </c>
      <c r="I16" s="40">
        <f>Financials!F78</f>
        <v>11.159999847412109</v>
      </c>
      <c r="J16" s="40">
        <f>Financials!G78</f>
        <v>14.810000419616699</v>
      </c>
      <c r="K16" s="40">
        <f>Financials!H78</f>
        <v>16.360000610351562</v>
      </c>
      <c r="L16" s="40">
        <f>Financials!I78</f>
        <v>11.489999771118164</v>
      </c>
      <c r="M16" s="40">
        <f>Financials!J78</f>
        <v>22.690000534057617</v>
      </c>
      <c r="N16" s="40">
        <f>Financials!K78</f>
        <v>23.899999618530273</v>
      </c>
      <c r="O16" s="40">
        <f>Financials!L78</f>
        <v>30.799999237060547</v>
      </c>
      <c r="P16" s="40">
        <f>Financials!M78</f>
        <v>33.229999542236328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2.3620010448176352</v>
      </c>
      <c r="G18" s="42">
        <f>Financials!D59</f>
        <v>2.7117620333003716</v>
      </c>
      <c r="H18" s="42">
        <f>Financials!E59</f>
        <v>2.504021917808219</v>
      </c>
      <c r="I18" s="42">
        <f>Financials!F59</f>
        <v>2.4734022196708763</v>
      </c>
      <c r="J18" s="42">
        <f>Financials!G59</f>
        <v>2.3528817157201343</v>
      </c>
      <c r="K18" s="42">
        <f>Financials!H59</f>
        <v>2.9185756570095971</v>
      </c>
      <c r="L18" s="42">
        <f>Financials!I59</f>
        <v>2.9008001641362329</v>
      </c>
      <c r="M18" s="42">
        <f>Financials!J59</f>
        <v>2.5288389513108616</v>
      </c>
      <c r="N18" s="42">
        <f>Financials!K59</f>
        <v>2.5157654542940118</v>
      </c>
      <c r="O18" s="42">
        <f>Financials!L59</f>
        <v>2.0799936835218875</v>
      </c>
      <c r="P18" s="42">
        <f>Financials!M59</f>
        <v>1.7846069708251824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1.6035900896094752</v>
      </c>
      <c r="G20" s="42">
        <f>Financials!D58</f>
        <v>0.80420297932711793</v>
      </c>
      <c r="H20" s="42">
        <f>Financials!E58</f>
        <v>0.91998574356232732</v>
      </c>
      <c r="I20" s="42">
        <f>Financials!F58</f>
        <v>1.1786396613513479</v>
      </c>
      <c r="J20" s="42">
        <f>Financials!G58</f>
        <v>1.6871675208689252</v>
      </c>
      <c r="K20" s="42">
        <f>Financials!H58</f>
        <v>1.8538267720126325</v>
      </c>
      <c r="L20" s="42">
        <f>Financials!I58</f>
        <v>2.1292826228874007</v>
      </c>
      <c r="M20" s="42">
        <f>Financials!J58</f>
        <v>1.8003127137691781</v>
      </c>
      <c r="N20" s="42">
        <f>Financials!K58</f>
        <v>1.5469214903976196</v>
      </c>
      <c r="O20" s="42">
        <f>Financials!L58</f>
        <v>1.3507549933797223</v>
      </c>
      <c r="P20" s="42">
        <f>Financials!M58</f>
        <v>1.1906786276134549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0.96289258387210952</v>
      </c>
      <c r="G22" s="42">
        <f>Financials!D60</f>
        <v>0.41289033061371605</v>
      </c>
      <c r="H22" s="42">
        <f>Financials!E60</f>
        <v>0.6261563191895908</v>
      </c>
      <c r="I22" s="42">
        <f>Financials!F60</f>
        <v>0.87955465587044535</v>
      </c>
      <c r="J22" s="42">
        <f>Financials!G60</f>
        <v>1.2168316831683168</v>
      </c>
      <c r="K22" s="42">
        <f>Financials!H60</f>
        <v>2.0123535169166469</v>
      </c>
      <c r="L22" s="42">
        <f>Financials!I60</f>
        <v>1.5940775392219599</v>
      </c>
      <c r="M22" s="42">
        <f>Financials!J60</f>
        <v>1.2199996339744881</v>
      </c>
      <c r="N22" s="42">
        <f>Financials!K60</f>
        <v>0.90606037563683373</v>
      </c>
      <c r="O22" s="42">
        <f>Financials!L60</f>
        <v>0.61363692066370923</v>
      </c>
      <c r="P22" s="42">
        <f>Financials!M60</f>
        <v>0.48068844986355691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8470</v>
      </c>
      <c r="H24" s="40">
        <f>Financials!E12</f>
        <v>8399</v>
      </c>
      <c r="I24" s="40">
        <f>Financials!F12</f>
        <v>8254</v>
      </c>
      <c r="J24" s="40">
        <f>Financials!G12</f>
        <v>8013</v>
      </c>
      <c r="K24" s="40">
        <f>Financials!H12</f>
        <v>7832</v>
      </c>
      <c r="L24" s="40">
        <f>Financials!I12</f>
        <v>7794</v>
      </c>
      <c r="M24" s="40">
        <f>Financials!J12</f>
        <v>7753</v>
      </c>
      <c r="N24" s="40">
        <f>Financials!K12</f>
        <v>7683</v>
      </c>
      <c r="O24" s="40">
        <f>Financials!L12</f>
        <v>7608</v>
      </c>
      <c r="P24" s="40">
        <f>Financials!M12</f>
        <v>7540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34.169999313354495</v>
      </c>
      <c r="G26" s="44">
        <f>Financials!D81</f>
        <v>14.010000228881836</v>
      </c>
      <c r="H26" s="44">
        <f>Financials!E81</f>
        <v>18.219999313354492</v>
      </c>
      <c r="I26" s="44">
        <f>Financials!F81</f>
        <v>36.740001678466797</v>
      </c>
      <c r="J26" s="44">
        <f>Financials!G81</f>
        <v>29.729999542236328</v>
      </c>
      <c r="K26" s="44">
        <f>Financials!H81</f>
        <v>30.229999542236328</v>
      </c>
      <c r="L26" s="44">
        <f>Financials!I81</f>
        <v>41.799999237060547</v>
      </c>
      <c r="M26" s="44">
        <f>Financials!J81</f>
        <v>29.75</v>
      </c>
      <c r="N26" s="44">
        <f>Financials!K81</f>
        <v>35.869998931884766</v>
      </c>
      <c r="O26" s="44">
        <f>Financials!L81</f>
        <v>37.619998931884766</v>
      </c>
      <c r="P26" s="44">
        <f>Financials!M81</f>
        <v>25.809999465942383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23.661999893188476</v>
      </c>
      <c r="G28" s="44">
        <f>Financials!D82</f>
        <v>11.079999923706055</v>
      </c>
      <c r="H28" s="44">
        <f>Financials!E82</f>
        <v>12.020000457763672</v>
      </c>
      <c r="I28" s="44">
        <f>Financials!F82</f>
        <v>15.479999542236328</v>
      </c>
      <c r="J28" s="44">
        <f>Financials!G82</f>
        <v>13.739999771118164</v>
      </c>
      <c r="K28" s="44">
        <f>Financials!H82</f>
        <v>16.540000915527344</v>
      </c>
      <c r="L28" s="44">
        <f>Financials!I82</f>
        <v>17.530000686645508</v>
      </c>
      <c r="M28" s="44">
        <f>Financials!J82</f>
        <v>23.309999465942383</v>
      </c>
      <c r="N28" s="44">
        <f>Financials!K82</f>
        <v>25.760000228881836</v>
      </c>
      <c r="O28" s="44">
        <f>Financials!L82</f>
        <v>31.149999618530273</v>
      </c>
      <c r="P28" s="44">
        <f>Financials!M82</f>
        <v>20.559999465942383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2.130000114440918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0.15098647553880373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0.10240114479019535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0.16640638518275286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0.26238519394954185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0.34425768397181389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0.12773006839414247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0.12431773933039225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9.7995086932553654E-2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0.33242352724162433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7.3864800952310627E-2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8.895994876521883E-2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0.16282474971752947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B94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2110</v>
      </c>
    </row>
    <row r="6" spans="2:16">
      <c r="B6" s="4" t="s">
        <v>5</v>
      </c>
      <c r="C6" s="59">
        <v>95082000</v>
      </c>
    </row>
    <row r="7" spans="2:16">
      <c r="B7" s="4" t="s">
        <v>4</v>
      </c>
      <c r="C7" s="59">
        <v>103216000</v>
      </c>
    </row>
    <row r="8" spans="2:16">
      <c r="B8" s="4" t="s">
        <v>3</v>
      </c>
      <c r="C8" s="59">
        <v>1989000</v>
      </c>
    </row>
    <row r="9" spans="2:16">
      <c r="B9" s="10" t="s">
        <v>6</v>
      </c>
      <c r="C9" s="59">
        <v>82588000</v>
      </c>
    </row>
    <row r="10" spans="2:16">
      <c r="B10" s="10" t="s">
        <v>7</v>
      </c>
      <c r="C10" s="59">
        <v>15139000</v>
      </c>
    </row>
    <row r="11" spans="2:16">
      <c r="B11" s="10" t="s">
        <v>9</v>
      </c>
      <c r="C11" s="60">
        <v>0.93000000715255737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198298000</v>
      </c>
    </row>
    <row r="18" spans="2:15" ht="18" thickTop="1" thickBot="1">
      <c r="B18" s="2" t="s">
        <v>20</v>
      </c>
      <c r="C18" s="12">
        <f>C8/C17</f>
        <v>1.0030358349554711E-2</v>
      </c>
    </row>
    <row r="19" spans="2:15" ht="18" thickTop="1" thickBot="1">
      <c r="B19" s="2" t="s">
        <v>19</v>
      </c>
      <c r="C19" s="12">
        <f>C14+C11*(C15-C14)</f>
        <v>0.11391000062227247</v>
      </c>
    </row>
    <row r="20" spans="2:15" ht="18" thickTop="1" thickBot="1">
      <c r="B20" s="2" t="s">
        <v>18</v>
      </c>
      <c r="C20" s="12">
        <f>C8/C17</f>
        <v>1.0030358349554711E-2</v>
      </c>
      <c r="K20" t="s">
        <v>17</v>
      </c>
    </row>
    <row r="21" spans="2:15" ht="18" thickTop="1" thickBot="1">
      <c r="B21" s="16" t="s">
        <v>22</v>
      </c>
      <c r="C21" s="11">
        <f>C17+C5*1000000</f>
        <v>2308298000</v>
      </c>
      <c r="K21" t="s">
        <v>11</v>
      </c>
    </row>
    <row r="22" spans="2:15" ht="18" thickTop="1" thickBot="1">
      <c r="B22" s="2" t="s">
        <v>23</v>
      </c>
      <c r="C22" s="12">
        <f>C5*1000000/C21</f>
        <v>0.91409341428186486</v>
      </c>
      <c r="K22" t="s">
        <v>12</v>
      </c>
    </row>
    <row r="23" spans="2:15" ht="18" thickTop="1" thickBot="1">
      <c r="B23" s="16" t="s">
        <v>24</v>
      </c>
      <c r="C23" s="12">
        <f>C17/C21</f>
        <v>8.5906585718135184E-2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0.1049774123316126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4"/>
  <sheetViews>
    <sheetView showGridLines="0" tabSelected="1" zoomScale="82" workbookViewId="0">
      <selection activeCell="E77" sqref="E77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0.1049774123316126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0.1</v>
      </c>
    </row>
    <row r="7" spans="2:12">
      <c r="B7" s="18" t="s">
        <v>31</v>
      </c>
      <c r="C7" s="13">
        <f>AVERAGEIF(C28:L28, "&lt;0.5")</f>
        <v>0.26575848676259667</v>
      </c>
    </row>
    <row r="8" spans="2:12">
      <c r="B8" s="18" t="s">
        <v>112</v>
      </c>
      <c r="C8" s="13">
        <f>AVERAGEIF(C29:L29,"&lt;2")</f>
        <v>1.2495490805451668</v>
      </c>
    </row>
    <row r="9" spans="2:12">
      <c r="B9" s="18" t="s">
        <v>136</v>
      </c>
      <c r="C9" s="66">
        <v>20</v>
      </c>
    </row>
    <row r="10" spans="2:12">
      <c r="B10" s="18" t="s">
        <v>100</v>
      </c>
      <c r="C10" s="67">
        <v>7.0000000298023224E-2</v>
      </c>
    </row>
    <row r="11" spans="2:12">
      <c r="B11" s="18" t="s">
        <v>44</v>
      </c>
      <c r="C11" s="59">
        <v>7635409408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77849</v>
      </c>
      <c r="D16" s="21">
        <f>Financials!E3</f>
        <v>86833</v>
      </c>
      <c r="E16" s="21">
        <f>Financials!F3</f>
        <v>93580</v>
      </c>
      <c r="F16" s="21">
        <f>Financials!G3</f>
        <v>91154</v>
      </c>
      <c r="G16" s="21">
        <f>Financials!H3</f>
        <v>96571</v>
      </c>
      <c r="H16" s="21">
        <f>Financials!I3</f>
        <v>110360</v>
      </c>
      <c r="I16" s="21">
        <f>Financials!J3</f>
        <v>125843</v>
      </c>
      <c r="J16" s="21">
        <f>Financials!K3</f>
        <v>143015</v>
      </c>
      <c r="K16" s="21">
        <f>Financials!L3</f>
        <v>168088</v>
      </c>
      <c r="L16" s="21">
        <f>Financials!M3</f>
        <v>198270</v>
      </c>
    </row>
    <row r="17" spans="2:12">
      <c r="B17" s="18" t="s">
        <v>27</v>
      </c>
      <c r="C17" s="22"/>
      <c r="D17" s="20">
        <f t="shared" ref="D17:L17" si="0">(D16-C16)/C16</f>
        <v>0.11540289534868785</v>
      </c>
      <c r="E17" s="20">
        <f t="shared" si="0"/>
        <v>7.7700874091647179E-2</v>
      </c>
      <c r="F17" s="20">
        <f t="shared" si="0"/>
        <v>-2.592434280829237E-2</v>
      </c>
      <c r="G17" s="20">
        <f t="shared" si="0"/>
        <v>5.9426903920837264E-2</v>
      </c>
      <c r="H17" s="20">
        <f t="shared" si="0"/>
        <v>0.14278613662486667</v>
      </c>
      <c r="I17" s="20">
        <f t="shared" si="0"/>
        <v>0.14029539688292861</v>
      </c>
      <c r="J17" s="20">
        <f t="shared" si="0"/>
        <v>0.13645574247276368</v>
      </c>
      <c r="K17" s="20">
        <f t="shared" si="0"/>
        <v>0.175317274411775</v>
      </c>
      <c r="L17" s="20">
        <f t="shared" si="0"/>
        <v>0.17956070629670173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21863</v>
      </c>
      <c r="D19" s="21">
        <f>Financials!E6</f>
        <v>22074</v>
      </c>
      <c r="E19" s="21">
        <f>Financials!F6</f>
        <v>12193</v>
      </c>
      <c r="F19" s="21">
        <f>Financials!G6</f>
        <v>20539</v>
      </c>
      <c r="G19" s="21">
        <f>Financials!H6</f>
        <v>25489</v>
      </c>
      <c r="H19" s="21">
        <f>Financials!I6</f>
        <v>16571</v>
      </c>
      <c r="I19" s="21">
        <f>Financials!J6</f>
        <v>39240</v>
      </c>
      <c r="J19" s="21">
        <f>Financials!K6</f>
        <v>44281</v>
      </c>
      <c r="K19" s="21">
        <f>Financials!L6</f>
        <v>61271</v>
      </c>
      <c r="L19" s="21">
        <f>Financials!M6</f>
        <v>72738</v>
      </c>
    </row>
    <row r="20" spans="2:12">
      <c r="B20" s="18" t="s">
        <v>27</v>
      </c>
      <c r="C20" s="22"/>
      <c r="D20" s="20">
        <f>(D19-C19)/C19</f>
        <v>9.6510085532635053E-3</v>
      </c>
      <c r="E20" s="20">
        <f t="shared" ref="E20:L20" si="1">(E19-D19)/D19</f>
        <v>-0.44763069674730455</v>
      </c>
      <c r="F20" s="20">
        <f t="shared" si="1"/>
        <v>0.68449110145165259</v>
      </c>
      <c r="G20" s="20">
        <f t="shared" si="1"/>
        <v>0.24100491747407371</v>
      </c>
      <c r="H20" s="20">
        <f t="shared" si="1"/>
        <v>-0.34987641727804153</v>
      </c>
      <c r="I20" s="20">
        <f t="shared" si="1"/>
        <v>1.3679922756623015</v>
      </c>
      <c r="J20" s="20">
        <f t="shared" si="1"/>
        <v>0.12846585117227319</v>
      </c>
      <c r="K20" s="20">
        <f t="shared" si="1"/>
        <v>0.38368600528443353</v>
      </c>
      <c r="L20" s="20">
        <f t="shared" si="1"/>
        <v>0.18715216007572913</v>
      </c>
    </row>
    <row r="22" spans="2:12">
      <c r="B22" s="18" t="s">
        <v>30</v>
      </c>
      <c r="C22" s="25">
        <f>Financials!D20</f>
        <v>24576</v>
      </c>
      <c r="D22" s="25">
        <f>Financials!E20</f>
        <v>27017</v>
      </c>
      <c r="E22" s="25">
        <f>Financials!F20</f>
        <v>23724</v>
      </c>
      <c r="F22" s="25">
        <f>Financials!G20</f>
        <v>24982</v>
      </c>
      <c r="G22" s="25">
        <f>Financials!H20</f>
        <v>31378</v>
      </c>
      <c r="H22" s="25">
        <f>Financials!I20</f>
        <v>32252</v>
      </c>
      <c r="I22" s="25">
        <f>Financials!J20</f>
        <v>38260</v>
      </c>
      <c r="J22" s="25">
        <f>Financials!K20</f>
        <v>45234</v>
      </c>
      <c r="K22" s="25">
        <f>Financials!L20</f>
        <v>56118</v>
      </c>
      <c r="L22" s="25">
        <f>Financials!M20</f>
        <v>65149</v>
      </c>
    </row>
    <row r="23" spans="2:12">
      <c r="B23" s="18" t="s">
        <v>27</v>
      </c>
      <c r="C23" s="26"/>
      <c r="D23" s="26">
        <f>(D22-C22)/C22</f>
        <v>9.9324544270833329E-2</v>
      </c>
      <c r="E23" s="26">
        <f t="shared" ref="E23:L23" si="2">(E22-D22)/D22</f>
        <v>-0.12188621978754118</v>
      </c>
      <c r="F23" s="26">
        <f t="shared" si="2"/>
        <v>5.3026471084134212E-2</v>
      </c>
      <c r="G23" s="26">
        <f t="shared" si="2"/>
        <v>0.25602433752301657</v>
      </c>
      <c r="H23" s="26">
        <f t="shared" si="2"/>
        <v>2.7853910383070942E-2</v>
      </c>
      <c r="I23" s="26">
        <f t="shared" si="2"/>
        <v>0.18628302120798709</v>
      </c>
      <c r="J23" s="26">
        <f t="shared" si="2"/>
        <v>0.1822791427077888</v>
      </c>
      <c r="K23" s="26">
        <f t="shared" si="2"/>
        <v>0.2406154662422072</v>
      </c>
      <c r="L23" s="26">
        <f t="shared" si="2"/>
        <v>0.16092875726148473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30519</v>
      </c>
      <c r="D25" s="62">
        <f>Financials!E9</f>
        <v>32971</v>
      </c>
      <c r="E25" s="62">
        <f>Financials!F9</f>
        <v>31616</v>
      </c>
      <c r="F25" s="62">
        <f>Financials!G9</f>
        <v>33330</v>
      </c>
      <c r="G25" s="62">
        <f>Financials!H9</f>
        <v>37803</v>
      </c>
      <c r="H25" s="62">
        <f>Financials!I9</f>
        <v>45319</v>
      </c>
      <c r="I25" s="62">
        <f>Financials!J9</f>
        <v>54641</v>
      </c>
      <c r="J25" s="62">
        <f>Financials!K9</f>
        <v>65755</v>
      </c>
      <c r="K25" s="62">
        <f>Financials!L9</f>
        <v>81602</v>
      </c>
      <c r="L25" s="62">
        <f>Financials!M9</f>
        <v>97843</v>
      </c>
    </row>
    <row r="26" spans="2:12">
      <c r="B26" s="18" t="s">
        <v>27</v>
      </c>
      <c r="C26" s="63"/>
      <c r="D26" s="63">
        <f>Financials!E10</f>
        <v>8.0343392640650088E-2</v>
      </c>
      <c r="E26" s="63">
        <f>Financials!F10</f>
        <v>-4.1096721361196201E-2</v>
      </c>
      <c r="F26" s="63">
        <f>Financials!G10</f>
        <v>5.4213056680161943E-2</v>
      </c>
      <c r="G26" s="63">
        <f>Financials!H10</f>
        <v>0.1342034203420342</v>
      </c>
      <c r="H26" s="63">
        <f>Financials!I10</f>
        <v>0.19882019945506971</v>
      </c>
      <c r="I26" s="63">
        <f>Financials!J10</f>
        <v>0.20569738961583442</v>
      </c>
      <c r="J26" s="63">
        <f>Financials!K10</f>
        <v>0.20340037700627733</v>
      </c>
      <c r="K26" s="63">
        <f>Financials!L10</f>
        <v>0.24100068435860392</v>
      </c>
      <c r="L26" s="63">
        <f>Financials!M10</f>
        <v>0.19902698463272958</v>
      </c>
    </row>
    <row r="28" spans="2:12" ht="15" thickBot="1">
      <c r="B28" s="1" t="s">
        <v>31</v>
      </c>
      <c r="C28" s="24">
        <f t="shared" ref="C28:L28" si="3">C19/C16</f>
        <v>0.28083854641678119</v>
      </c>
      <c r="D28" s="24">
        <f t="shared" si="3"/>
        <v>0.25421210829983992</v>
      </c>
      <c r="E28" s="24">
        <f t="shared" si="3"/>
        <v>0.13029493481513144</v>
      </c>
      <c r="F28" s="24">
        <f t="shared" si="3"/>
        <v>0.22532198257893235</v>
      </c>
      <c r="G28" s="24">
        <f t="shared" si="3"/>
        <v>0.26394052044609667</v>
      </c>
      <c r="H28" s="24">
        <f t="shared" si="3"/>
        <v>0.15015404131931859</v>
      </c>
      <c r="I28" s="24">
        <f t="shared" si="3"/>
        <v>0.31181710544090652</v>
      </c>
      <c r="J28" s="24">
        <f t="shared" si="3"/>
        <v>0.30962486452470023</v>
      </c>
      <c r="K28" s="24">
        <f t="shared" si="3"/>
        <v>0.36451739564989766</v>
      </c>
      <c r="L28" s="24">
        <f t="shared" si="3"/>
        <v>0.36686336813436221</v>
      </c>
    </row>
    <row r="29" spans="2:12" ht="15" thickBot="1">
      <c r="B29" s="1" t="s">
        <v>32</v>
      </c>
      <c r="C29" s="24">
        <f t="shared" ref="C29:L29" si="4">C22/C19</f>
        <v>1.1240909298815349</v>
      </c>
      <c r="D29" s="24">
        <f t="shared" si="4"/>
        <v>1.223928603787261</v>
      </c>
      <c r="E29" s="24">
        <f t="shared" si="4"/>
        <v>1.9457065529402116</v>
      </c>
      <c r="F29" s="24">
        <f t="shared" si="4"/>
        <v>1.2163201713812746</v>
      </c>
      <c r="G29" s="24">
        <f t="shared" si="4"/>
        <v>1.2310408411471616</v>
      </c>
      <c r="H29" s="24">
        <f t="shared" si="4"/>
        <v>1.9462917144408907</v>
      </c>
      <c r="I29" s="24">
        <f t="shared" si="4"/>
        <v>0.97502548419979618</v>
      </c>
      <c r="J29" s="24">
        <f t="shared" si="4"/>
        <v>1.0215216458526231</v>
      </c>
      <c r="K29" s="24">
        <f t="shared" si="4"/>
        <v>0.91589822265019338</v>
      </c>
      <c r="L29" s="24">
        <f t="shared" si="4"/>
        <v>0.89566663917072231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208956.75294209327</v>
      </c>
      <c r="D36" s="21">
        <f>C36*(D37+1)</f>
        <v>232568.86717039102</v>
      </c>
      <c r="E36" s="21">
        <f>D36*(E37+1)</f>
        <v>262291.16902133776</v>
      </c>
      <c r="F36" s="21">
        <f t="shared" ref="F36:L36" si="5">E36*(F37+1)</f>
        <v>288520.28592347156</v>
      </c>
      <c r="G36" s="21">
        <f t="shared" si="5"/>
        <v>317372.31451581873</v>
      </c>
      <c r="H36" s="21">
        <f t="shared" si="5"/>
        <v>349109.5459674006</v>
      </c>
      <c r="I36" s="21">
        <f t="shared" si="5"/>
        <v>384020.50056414068</v>
      </c>
      <c r="J36" s="21">
        <f t="shared" si="5"/>
        <v>422422.55062055477</v>
      </c>
      <c r="K36" s="21">
        <f t="shared" si="5"/>
        <v>464664.80568261031</v>
      </c>
      <c r="L36" s="21">
        <f t="shared" si="5"/>
        <v>511131.28625087137</v>
      </c>
    </row>
    <row r="37" spans="2:12">
      <c r="B37" s="18" t="s">
        <v>27</v>
      </c>
      <c r="C37" s="68">
        <v>5.3899999707937241E-2</v>
      </c>
      <c r="D37" s="68">
        <v>0.11300000548362732</v>
      </c>
      <c r="E37" s="68">
        <v>0.12780000269412994</v>
      </c>
      <c r="F37" s="27">
        <f>C6</f>
        <v>0.1</v>
      </c>
      <c r="G37" s="27">
        <f>C6</f>
        <v>0.1</v>
      </c>
      <c r="H37" s="27">
        <f>C6</f>
        <v>0.1</v>
      </c>
      <c r="I37" s="27">
        <f>C6</f>
        <v>0.1</v>
      </c>
      <c r="J37" s="27">
        <f>C6</f>
        <v>0.1</v>
      </c>
      <c r="K37" s="27">
        <f>C6</f>
        <v>0.1</v>
      </c>
      <c r="L37" s="27">
        <f>C6</f>
        <v>0.1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55532.030460716473</v>
      </c>
      <c r="D39" s="21">
        <f>D36*C7</f>
        <v>61807.150207294537</v>
      </c>
      <c r="E39" s="21">
        <f>E36*C7</f>
        <v>69706.104170303341</v>
      </c>
      <c r="F39" s="21">
        <f>F36*C7</f>
        <v>76676.714587333525</v>
      </c>
      <c r="G39" s="21">
        <f>G36*C7</f>
        <v>84344.38604606688</v>
      </c>
      <c r="H39" s="21">
        <f>H36*C7</f>
        <v>92778.82465067356</v>
      </c>
      <c r="I39" s="21">
        <f>I36*C7</f>
        <v>102056.70711574092</v>
      </c>
      <c r="J39" s="21">
        <f>J36*C7</f>
        <v>112262.37782731502</v>
      </c>
      <c r="K39" s="21">
        <f>K36*C7</f>
        <v>123488.61561004655</v>
      </c>
      <c r="L39" s="21">
        <f>L36*C7</f>
        <v>135837.4771710512</v>
      </c>
    </row>
    <row r="40" spans="2:12">
      <c r="B40" s="18"/>
      <c r="C40" s="20">
        <f>(C39-L19)/L19</f>
        <v>-0.23654719045455608</v>
      </c>
      <c r="D40" s="20">
        <f>(D39-C39)/C39</f>
        <v>0.11300000548362978</v>
      </c>
      <c r="E40" s="20">
        <f t="shared" ref="E40:L40" si="6">(E39-D39)/D39</f>
        <v>0.12780000269413105</v>
      </c>
      <c r="F40" s="20">
        <f t="shared" si="6"/>
        <v>9.9999999999997854E-2</v>
      </c>
      <c r="G40" s="20">
        <f t="shared" si="6"/>
        <v>0.10000000000000003</v>
      </c>
      <c r="H40" s="20">
        <f t="shared" si="6"/>
        <v>9.9999999999999895E-2</v>
      </c>
      <c r="I40" s="20">
        <f t="shared" si="6"/>
        <v>0.10000000000000007</v>
      </c>
      <c r="J40" s="20">
        <f t="shared" si="6"/>
        <v>0.10000000000000009</v>
      </c>
      <c r="K40" s="20">
        <f t="shared" si="6"/>
        <v>0.10000000000000017</v>
      </c>
      <c r="L40" s="20">
        <f t="shared" si="6"/>
        <v>0.1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69389.99760299467</v>
      </c>
      <c r="D42" s="21">
        <f>D39*C8</f>
        <v>77231.067712642049</v>
      </c>
      <c r="E42" s="21">
        <f>E39*C8</f>
        <v>87101.198374388332</v>
      </c>
      <c r="F42" s="21">
        <f>F39*C8</f>
        <v>95811.318211826787</v>
      </c>
      <c r="G42" s="21">
        <f>G39*C8</f>
        <v>105392.45003300946</v>
      </c>
      <c r="H42" s="21">
        <f>H39*C8</f>
        <v>115931.6950363104</v>
      </c>
      <c r="I42" s="21">
        <f>I39*C8</f>
        <v>127524.86453994145</v>
      </c>
      <c r="J42" s="21">
        <f>J39*C8</f>
        <v>140277.3509939356</v>
      </c>
      <c r="K42" s="21">
        <f>K39*C8</f>
        <v>154305.08609332918</v>
      </c>
      <c r="L42" s="21">
        <f>L39*C8</f>
        <v>169735.59470266211</v>
      </c>
    </row>
    <row r="43" spans="2:12">
      <c r="B43" s="18" t="s">
        <v>27</v>
      </c>
      <c r="C43" s="20">
        <f>(C42-L22)/L22</f>
        <v>6.5096894856324278E-2</v>
      </c>
      <c r="D43" s="20">
        <f>(D42-C42)/C42</f>
        <v>0.11300000548362865</v>
      </c>
      <c r="E43" s="20">
        <f t="shared" ref="E43:L43" si="7">(E42-D42)/D42</f>
        <v>0.12780000269413125</v>
      </c>
      <c r="F43" s="20">
        <f t="shared" si="7"/>
        <v>9.9999999999995662E-2</v>
      </c>
      <c r="G43" s="20">
        <f t="shared" si="7"/>
        <v>9.9999999999999936E-2</v>
      </c>
      <c r="H43" s="20">
        <f t="shared" si="7"/>
        <v>9.9999999999999922E-2</v>
      </c>
      <c r="I43" s="20">
        <f t="shared" si="7"/>
        <v>0.10000000000000014</v>
      </c>
      <c r="J43" s="20">
        <f t="shared" si="7"/>
        <v>0.10000000000000002</v>
      </c>
      <c r="K43" s="20">
        <f t="shared" si="7"/>
        <v>0.10000000000000017</v>
      </c>
      <c r="L43" s="20">
        <f t="shared" si="7"/>
        <v>0.10000000000000007</v>
      </c>
    </row>
    <row r="45" spans="2:12">
      <c r="B45" s="18" t="s">
        <v>47</v>
      </c>
      <c r="C45" s="21">
        <f>L25*(1+C46)</f>
        <v>104692.01002915917</v>
      </c>
      <c r="D45" s="21">
        <f>C45*(1+D46)</f>
        <v>112020.45076240045</v>
      </c>
      <c r="E45" s="21">
        <f t="shared" ref="E45:L45" si="8">D45*(1+E46)</f>
        <v>119861.88234915234</v>
      </c>
      <c r="F45" s="21">
        <f t="shared" si="8"/>
        <v>128252.21414931388</v>
      </c>
      <c r="G45" s="21">
        <f t="shared" si="8"/>
        <v>137229.86917798771</v>
      </c>
      <c r="H45" s="21">
        <f t="shared" si="8"/>
        <v>146835.96006134441</v>
      </c>
      <c r="I45" s="21">
        <f t="shared" si="8"/>
        <v>157114.47730939812</v>
      </c>
      <c r="J45" s="21">
        <f t="shared" si="8"/>
        <v>168112.49076787912</v>
      </c>
      <c r="K45" s="21">
        <f t="shared" si="8"/>
        <v>179880.36517173142</v>
      </c>
      <c r="L45" s="21">
        <f t="shared" si="8"/>
        <v>192471.99078736012</v>
      </c>
    </row>
    <row r="46" spans="2:12">
      <c r="B46" s="18" t="s">
        <v>27</v>
      </c>
      <c r="C46" s="20">
        <f>C10</f>
        <v>7.0000000298023224E-2</v>
      </c>
      <c r="D46" s="20">
        <f>C10</f>
        <v>7.0000000298023224E-2</v>
      </c>
      <c r="E46" s="20">
        <f>C10</f>
        <v>7.0000000298023224E-2</v>
      </c>
      <c r="F46" s="20">
        <f>C10</f>
        <v>7.0000000298023224E-2</v>
      </c>
      <c r="G46" s="20">
        <f>C10</f>
        <v>7.0000000298023224E-2</v>
      </c>
      <c r="H46" s="20">
        <f>C10</f>
        <v>7.0000000298023224E-2</v>
      </c>
      <c r="I46" s="20">
        <f>C10</f>
        <v>7.0000000298023224E-2</v>
      </c>
      <c r="J46" s="20">
        <f>C10</f>
        <v>7.0000000298023224E-2</v>
      </c>
      <c r="K46" s="20">
        <f>C10</f>
        <v>7.0000000298023224E-2</v>
      </c>
      <c r="L46" s="20">
        <f>C10</f>
        <v>7.0000000298023224E-2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1.1049774123316125</v>
      </c>
      <c r="D51" s="61">
        <f>POWER((1+C4),2)</f>
        <v>1.2209750817630665</v>
      </c>
      <c r="E51" s="61">
        <f>POWER((1+C4),3)</f>
        <v>1.3491498863679321</v>
      </c>
      <c r="F51" s="61">
        <f>POWER((1+C4),4)</f>
        <v>1.4907801502863267</v>
      </c>
      <c r="G51" s="61">
        <f>POWER((1+C4),5)</f>
        <v>1.6472783928187176</v>
      </c>
      <c r="H51" s="61">
        <f>POWER((1+C4),6)</f>
        <v>1.8202054158866041</v>
      </c>
      <c r="I51" s="61">
        <f>POWER((1+C4),7)</f>
        <v>2.0112858703583663</v>
      </c>
      <c r="J51" s="61">
        <f>POWER((1+C4),8)</f>
        <v>2.2224254564877226</v>
      </c>
      <c r="K51" s="61">
        <f>POWER((1+C4),9)</f>
        <v>2.4557299300097064</v>
      </c>
      <c r="L51" s="61">
        <f>POWER((1+C4),10)</f>
        <v>2.7135261034474176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62797.661588914336</v>
      </c>
      <c r="D53" s="21">
        <f t="shared" si="9"/>
        <v>63253.59859197247</v>
      </c>
      <c r="E53" s="21">
        <f t="shared" si="9"/>
        <v>64560.060564415835</v>
      </c>
      <c r="F53" s="21">
        <f t="shared" si="9"/>
        <v>64269.247342356139</v>
      </c>
      <c r="G53" s="21">
        <f t="shared" si="9"/>
        <v>63979.74409939818</v>
      </c>
      <c r="H53" s="21">
        <f t="shared" si="9"/>
        <v>63691.544934691454</v>
      </c>
      <c r="I53" s="21">
        <f t="shared" si="9"/>
        <v>63404.643973966449</v>
      </c>
      <c r="J53" s="21">
        <f t="shared" si="9"/>
        <v>63119.035369414443</v>
      </c>
      <c r="K53" s="21">
        <f t="shared" si="9"/>
        <v>62834.713299568444</v>
      </c>
      <c r="L53" s="21">
        <f t="shared" si="9"/>
        <v>62551.671969184441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2.9983850520816109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801669.6452064527</v>
      </c>
    </row>
    <row r="60" spans="2:12" ht="15" thickBot="1">
      <c r="B60" s="5" t="s">
        <v>41</v>
      </c>
      <c r="C60" s="23">
        <f>C59/C55</f>
        <v>267367.14307253447</v>
      </c>
    </row>
    <row r="61" spans="2:12" ht="15" thickTop="1"/>
    <row r="62" spans="2:12" ht="14.5" customHeight="1" thickBot="1">
      <c r="B62" s="3" t="s">
        <v>43</v>
      </c>
      <c r="C62" s="71">
        <f>(SUM(C53:L53)+C59)</f>
        <v>1436131.5669403349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188.08835128547631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3849439.8157472</v>
      </c>
    </row>
    <row r="70" spans="2:12" ht="15" thickBot="1">
      <c r="B70" s="5" t="s">
        <v>41</v>
      </c>
      <c r="C70" s="23">
        <f>C69/C55</f>
        <v>1283837.7155978517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1918299.6373317339</v>
      </c>
    </row>
    <row r="73" spans="2:12" ht="15" thickTop="1"/>
    <row r="74" spans="2:12" ht="18.5">
      <c r="B74" s="69" t="s">
        <v>42</v>
      </c>
      <c r="C74" s="70">
        <f>C72/(C11/1000000)</f>
        <v>251.23729911873951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D27" sqref="D27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9.3599996566772461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12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177.03528762403118</v>
      </c>
    </row>
    <row r="21" spans="2:5" ht="15" thickTop="1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Q11" sqref="Q11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6.9699997901916504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6.9699997901916504</v>
      </c>
    </row>
    <row r="7" spans="2:16" ht="15" thickBot="1">
      <c r="B7" s="89" t="s">
        <v>121</v>
      </c>
      <c r="C7" s="90">
        <f>P6*(1+P7)</f>
        <v>7.5275997609436516</v>
      </c>
      <c r="D7" s="90">
        <f>C7*(1+P7)</f>
        <v>8.1298077283587471</v>
      </c>
      <c r="E7" s="90">
        <f>D7*(1+P7)</f>
        <v>8.780192332090218</v>
      </c>
      <c r="F7" s="90">
        <f>E7*(1+P7)</f>
        <v>9.4826077029572282</v>
      </c>
      <c r="G7" s="90">
        <f>F7*(1+P7)</f>
        <v>10.241216302237582</v>
      </c>
      <c r="H7" s="90">
        <f>G7*(1+P7)</f>
        <v>11.060513588103866</v>
      </c>
      <c r="I7" s="90">
        <f>H7*(1+P7)</f>
        <v>11.945354655374436</v>
      </c>
      <c r="J7" s="90">
        <f>I7*(1+P7)</f>
        <v>12.900983006444433</v>
      </c>
      <c r="K7" s="90">
        <f>J7*(1+P7)</f>
        <v>13.933061623891232</v>
      </c>
      <c r="L7" s="90">
        <f>K7*(1+P7)</f>
        <v>15.047706528888275</v>
      </c>
      <c r="M7" s="159">
        <f>L7*(1+P7)/(P8-P7)</f>
        <v>650.64873995264088</v>
      </c>
      <c r="N7" s="160"/>
      <c r="O7" s="88" t="s">
        <v>122</v>
      </c>
      <c r="P7" s="104">
        <v>7.9999998211860601E-2</v>
      </c>
    </row>
    <row r="8" spans="2:16" ht="15" thickBot="1">
      <c r="B8" s="89" t="s">
        <v>123</v>
      </c>
      <c r="C8" s="90">
        <f>C7/(1+P8)</f>
        <v>6.8124467314310664</v>
      </c>
      <c r="D8" s="90">
        <f>D7/(1+P8)^2</f>
        <v>6.6584550739720649</v>
      </c>
      <c r="E8" s="90">
        <f>E7/(1+P8)^3</f>
        <v>6.5079443142729776</v>
      </c>
      <c r="F8" s="90">
        <f>F7/(1+P8)^4</f>
        <v>6.3608357685309596</v>
      </c>
      <c r="G8" s="90">
        <f>G7/(1+P8)^5</f>
        <v>6.2170525315477878</v>
      </c>
      <c r="H8" s="90">
        <f>H7/(1+P8)^6</f>
        <v>6.0765194365254631</v>
      </c>
      <c r="I8" s="90">
        <f>I7/(1+P8)^7</f>
        <v>5.939163015770621</v>
      </c>
      <c r="J8" s="90">
        <f>J7/(1+P8)^8</f>
        <v>5.8049114622871922</v>
      </c>
      <c r="K8" s="90">
        <f>K7/(1+P8)^9</f>
        <v>5.6736945922372479</v>
      </c>
      <c r="L8" s="90">
        <f>L7/(1+P8)^10</f>
        <v>5.5454438082503827</v>
      </c>
      <c r="M8" s="159">
        <f>M7/POWER((1+P8),10)</f>
        <v>239.77979763158334</v>
      </c>
      <c r="N8" s="160"/>
      <c r="O8" s="91" t="s">
        <v>124</v>
      </c>
      <c r="P8" s="105">
        <f>WACC!$C$25</f>
        <v>0.1049774123316126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301.37626436640909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6.9699997901916504</v>
      </c>
    </row>
    <row r="16" spans="2:16" ht="15" thickBot="1">
      <c r="B16" s="89" t="s">
        <v>121</v>
      </c>
      <c r="C16" s="90">
        <f>P15*(1+P16)</f>
        <v>7.6669997795969511</v>
      </c>
      <c r="D16" s="90">
        <f>C16*(1+P16)</f>
        <v>8.4336997689813948</v>
      </c>
      <c r="E16" s="90">
        <f>D16*(1+P16)</f>
        <v>9.2770697584467534</v>
      </c>
      <c r="F16" s="90">
        <f>E16*(1+P16)</f>
        <v>10.204776748115373</v>
      </c>
      <c r="G16" s="90">
        <f>F16*(1+P16)</f>
        <v>11.225254438133282</v>
      </c>
      <c r="H16" s="90">
        <f>G16*(1+P16)</f>
        <v>12.347779898673606</v>
      </c>
      <c r="I16" s="90">
        <f>H16*(1+P16)</f>
        <v>13.582557906940634</v>
      </c>
      <c r="J16" s="90">
        <f>I16*(1+P16)</f>
        <v>14.940813717874301</v>
      </c>
      <c r="K16" s="90">
        <f>J16*(1+P16)</f>
        <v>16.434895111925336</v>
      </c>
      <c r="L16" s="90">
        <f>K16*(1+P16)</f>
        <v>18.078384647607795</v>
      </c>
      <c r="M16" s="159">
        <f>L16*(1+P16)/(P17-P16)</f>
        <v>3995.2946968967867</v>
      </c>
      <c r="N16" s="160"/>
      <c r="O16" s="88" t="s">
        <v>122</v>
      </c>
      <c r="P16" s="104">
        <v>0.10000000149011612</v>
      </c>
    </row>
    <row r="17" spans="2:16" ht="15" thickBot="1">
      <c r="B17" s="89" t="s">
        <v>123</v>
      </c>
      <c r="C17" s="90">
        <f>C16/(1+P17)</f>
        <v>6.9386031732710567</v>
      </c>
      <c r="D17" s="90">
        <f>D16/(1+P17)^2</f>
        <v>6.9073479835503706</v>
      </c>
      <c r="E17" s="90">
        <f>E16/(1+P17)^3</f>
        <v>6.8762335839657602</v>
      </c>
      <c r="F17" s="90">
        <f>F16/(1+P17)^4</f>
        <v>6.8452593403228486</v>
      </c>
      <c r="G17" s="90">
        <f>G16/(1+P17)^5</f>
        <v>6.8144246212841688</v>
      </c>
      <c r="H17" s="90">
        <f>H16/(1+P17)^6</f>
        <v>6.7837287983560612</v>
      </c>
      <c r="I17" s="90">
        <f>I16/(1+P17)^7</f>
        <v>6.7531712458758868</v>
      </c>
      <c r="J17" s="90">
        <f>J16/(1+P17)^8</f>
        <v>6.7227513409995243</v>
      </c>
      <c r="K17" s="90">
        <f>K16/(1+P17)^9</f>
        <v>6.6924684636882343</v>
      </c>
      <c r="L17" s="90">
        <f>L16/(1+P17)^10</f>
        <v>6.6623219966964671</v>
      </c>
      <c r="M17" s="159">
        <f>M16/POWER((1+P17),10)</f>
        <v>1472.3627282674515</v>
      </c>
      <c r="N17" s="160"/>
      <c r="O17" s="91" t="s">
        <v>124</v>
      </c>
      <c r="P17" s="105">
        <f>WACC!$C$25</f>
        <v>0.1049774123316126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1540.3590388154601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6.9699997901916504</v>
      </c>
    </row>
    <row r="25" spans="2:16" ht="15" thickBot="1">
      <c r="B25" s="89" t="s">
        <v>121</v>
      </c>
      <c r="C25" s="90">
        <f>P24*(1+P25)</f>
        <v>7.8063997463196451</v>
      </c>
      <c r="D25" s="90">
        <f>C25*(1+P25)</f>
        <v>8.7431676949396042</v>
      </c>
      <c r="E25" s="90">
        <f>D25*(1+P25)</f>
        <v>9.7923477948813407</v>
      </c>
      <c r="F25" s="90">
        <f>E25*(1+P25)</f>
        <v>10.967429504001968</v>
      </c>
      <c r="G25" s="90">
        <f>F25*(1+P25)</f>
        <v>12.283521015065292</v>
      </c>
      <c r="H25" s="90">
        <f>G25*(1+P25)</f>
        <v>13.757543503926152</v>
      </c>
      <c r="I25" s="90">
        <f>H25*(1+P25)</f>
        <v>15.408448687496723</v>
      </c>
      <c r="J25" s="90">
        <f>I25*(1+P25)</f>
        <v>17.25746248866761</v>
      </c>
      <c r="K25" s="90">
        <f>J25*(1+P25)</f>
        <v>19.328357941019572</v>
      </c>
      <c r="L25" s="90">
        <f>K25*(1+P25)</f>
        <v>21.647760842099238</v>
      </c>
      <c r="M25" s="159">
        <f>L25*(1+P25)/(P26-P25)</f>
        <v>-1613.9360907190394</v>
      </c>
      <c r="N25" s="160"/>
      <c r="O25" s="88" t="s">
        <v>122</v>
      </c>
      <c r="P25" s="104">
        <v>0.11999999731779099</v>
      </c>
    </row>
    <row r="26" spans="2:16" ht="15" thickBot="1">
      <c r="B26" s="89" t="s">
        <v>123</v>
      </c>
      <c r="C26" s="90">
        <f>C25/(1+P26)</f>
        <v>7.064759568114054</v>
      </c>
      <c r="D26" s="90">
        <f>D25/(1+P26)^2</f>
        <v>7.1608076409836263</v>
      </c>
      <c r="E26" s="90">
        <f>E25/(1+P26)^3</f>
        <v>7.2581615236565673</v>
      </c>
      <c r="F26" s="90">
        <f>F25/(1+P26)^4</f>
        <v>7.3568389691099094</v>
      </c>
      <c r="G26" s="90">
        <f>G25/(1+P26)^5</f>
        <v>7.4568579716792769</v>
      </c>
      <c r="H26" s="90">
        <f>H25/(1+P26)^6</f>
        <v>7.5582367703400486</v>
      </c>
      <c r="I26" s="90">
        <f>I25/(1+P26)^7</f>
        <v>7.6609938520331919</v>
      </c>
      <c r="J26" s="90">
        <f>J25/(1+P26)^8</f>
        <v>7.7651479550369142</v>
      </c>
      <c r="K26" s="90">
        <f>K25/(1+P26)^9</f>
        <v>7.8707180723831369</v>
      </c>
      <c r="L26" s="90">
        <f>L25/(1+P26)^10</f>
        <v>7.977723455321339</v>
      </c>
      <c r="M26" s="159">
        <f>M25/POWER((1+P26),10)</f>
        <v>-594.77448500259595</v>
      </c>
      <c r="N26" s="160"/>
      <c r="O26" s="91" t="s">
        <v>124</v>
      </c>
      <c r="P26" s="105">
        <f>WACC!$C$25</f>
        <v>0.1049774123316126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-519.64423922393803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73723</v>
      </c>
      <c r="D3" s="110">
        <v>77849</v>
      </c>
      <c r="E3" s="110">
        <v>86833</v>
      </c>
      <c r="F3" s="110">
        <v>93580</v>
      </c>
      <c r="G3" s="110">
        <v>91154</v>
      </c>
      <c r="H3" s="110">
        <v>96571</v>
      </c>
      <c r="I3" s="110">
        <v>110360</v>
      </c>
      <c r="J3" s="110">
        <v>125843</v>
      </c>
      <c r="K3" s="110">
        <v>143015</v>
      </c>
      <c r="L3" s="110">
        <v>168088</v>
      </c>
      <c r="M3" s="110">
        <v>198270</v>
      </c>
      <c r="Q3" s="107"/>
    </row>
    <row r="4" spans="2:17">
      <c r="B4" s="18" t="s">
        <v>27</v>
      </c>
      <c r="C4" s="113"/>
      <c r="D4" s="121">
        <f t="shared" ref="D4:M4" si="0">(D3-C3)/C3</f>
        <v>5.5966252051598553E-2</v>
      </c>
      <c r="E4" s="121">
        <f t="shared" si="0"/>
        <v>0.11540289534868785</v>
      </c>
      <c r="F4" s="121">
        <f t="shared" si="0"/>
        <v>7.7700874091647179E-2</v>
      </c>
      <c r="G4" s="121">
        <f t="shared" si="0"/>
        <v>-2.592434280829237E-2</v>
      </c>
      <c r="H4" s="121">
        <f t="shared" si="0"/>
        <v>5.9426903920837264E-2</v>
      </c>
      <c r="I4" s="121">
        <f t="shared" si="0"/>
        <v>0.14278613662486667</v>
      </c>
      <c r="J4" s="121">
        <f t="shared" si="0"/>
        <v>0.14029539688292861</v>
      </c>
      <c r="K4" s="121">
        <f t="shared" si="0"/>
        <v>0.13645574247276368</v>
      </c>
      <c r="L4" s="121">
        <f t="shared" si="0"/>
        <v>0.175317274411775</v>
      </c>
      <c r="M4" s="121">
        <f t="shared" si="0"/>
        <v>0.17956070629670173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16978</v>
      </c>
      <c r="D6" s="110">
        <v>21863</v>
      </c>
      <c r="E6" s="110">
        <v>22074</v>
      </c>
      <c r="F6" s="110">
        <v>12193</v>
      </c>
      <c r="G6" s="110">
        <v>20539</v>
      </c>
      <c r="H6" s="110">
        <v>25489</v>
      </c>
      <c r="I6" s="110">
        <v>16571</v>
      </c>
      <c r="J6" s="110">
        <v>39240</v>
      </c>
      <c r="K6" s="110">
        <v>44281</v>
      </c>
      <c r="L6" s="110">
        <v>61271</v>
      </c>
      <c r="M6" s="110">
        <v>72738</v>
      </c>
      <c r="Q6" s="107"/>
    </row>
    <row r="7" spans="2:17">
      <c r="B7" s="18" t="s">
        <v>27</v>
      </c>
      <c r="C7" s="113"/>
      <c r="D7" s="121">
        <f t="shared" ref="D7" si="1">(D6-C6)/C6</f>
        <v>0.28772529155377546</v>
      </c>
      <c r="E7" s="121">
        <f t="shared" ref="E7" si="2">(E6-D6)/D6</f>
        <v>9.6510085532635053E-3</v>
      </c>
      <c r="F7" s="121">
        <f t="shared" ref="F7" si="3">(F6-E6)/E6</f>
        <v>-0.44763069674730455</v>
      </c>
      <c r="G7" s="121">
        <f t="shared" ref="G7" si="4">(G6-F6)/F6</f>
        <v>0.68449110145165259</v>
      </c>
      <c r="H7" s="121">
        <f t="shared" ref="H7" si="5">(H6-G6)/G6</f>
        <v>0.24100491747407371</v>
      </c>
      <c r="I7" s="121">
        <f t="shared" ref="I7" si="6">(I6-H6)/H6</f>
        <v>-0.34987641727804153</v>
      </c>
      <c r="J7" s="121">
        <f t="shared" ref="J7" si="7">(J6-I6)/I6</f>
        <v>1.3679922756623015</v>
      </c>
      <c r="K7" s="121">
        <f t="shared" ref="K7" si="8">(K6-J6)/J6</f>
        <v>0.12846585117227319</v>
      </c>
      <c r="L7" s="121">
        <f t="shared" ref="L7" si="9">(L6-K6)/K6</f>
        <v>0.38368600528443353</v>
      </c>
      <c r="M7" s="121">
        <f t="shared" ref="M7" si="10">(M6-L6)/L6</f>
        <v>0.18715216007572913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30923</v>
      </c>
      <c r="D9" s="110">
        <v>30519</v>
      </c>
      <c r="E9" s="110">
        <v>32971</v>
      </c>
      <c r="F9" s="110">
        <v>31616</v>
      </c>
      <c r="G9" s="110">
        <v>33330</v>
      </c>
      <c r="H9" s="110">
        <v>37803</v>
      </c>
      <c r="I9" s="110">
        <v>45319</v>
      </c>
      <c r="J9" s="110">
        <v>54641</v>
      </c>
      <c r="K9" s="110">
        <v>65755</v>
      </c>
      <c r="L9" s="110">
        <v>81602</v>
      </c>
      <c r="M9" s="110">
        <v>97843</v>
      </c>
      <c r="Q9" s="107"/>
    </row>
    <row r="10" spans="2:17">
      <c r="B10" s="18" t="s">
        <v>27</v>
      </c>
      <c r="C10" s="113"/>
      <c r="D10" s="121">
        <f t="shared" ref="D10" si="11">(D9-C9)/C9</f>
        <v>-1.3064709116191831E-2</v>
      </c>
      <c r="E10" s="121">
        <f t="shared" ref="E10" si="12">(E9-D9)/D9</f>
        <v>8.0343392640650088E-2</v>
      </c>
      <c r="F10" s="121">
        <f t="shared" ref="F10" si="13">(F9-E9)/E9</f>
        <v>-4.1096721361196201E-2</v>
      </c>
      <c r="G10" s="121">
        <f t="shared" ref="G10" si="14">(G9-F9)/F9</f>
        <v>5.4213056680161943E-2</v>
      </c>
      <c r="H10" s="121">
        <f t="shared" ref="H10" si="15">(H9-G9)/G9</f>
        <v>0.1342034203420342</v>
      </c>
      <c r="I10" s="121">
        <f t="shared" ref="I10" si="16">(I9-H9)/H9</f>
        <v>0.19882019945506971</v>
      </c>
      <c r="J10" s="121">
        <f t="shared" ref="J10" si="17">(J9-I9)/I9</f>
        <v>0.20569738961583442</v>
      </c>
      <c r="K10" s="121">
        <f t="shared" ref="K10" si="18">(K9-J9)/J9</f>
        <v>0.20340037700627733</v>
      </c>
      <c r="L10" s="121">
        <f t="shared" ref="L10" si="19">(L9-K9)/K9</f>
        <v>0.24100068435860392</v>
      </c>
      <c r="M10" s="121">
        <f t="shared" ref="M10" si="20">(M9-L9)/L9</f>
        <v>0.19902698463272958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8506</v>
      </c>
      <c r="D12" s="110">
        <v>8470</v>
      </c>
      <c r="E12" s="110">
        <v>8399</v>
      </c>
      <c r="F12" s="110">
        <v>8254</v>
      </c>
      <c r="G12" s="110">
        <v>8013</v>
      </c>
      <c r="H12" s="110">
        <v>7832</v>
      </c>
      <c r="I12" s="110">
        <v>7794</v>
      </c>
      <c r="J12" s="110">
        <v>7753</v>
      </c>
      <c r="K12" s="110">
        <v>7683</v>
      </c>
      <c r="L12" s="110">
        <v>7608</v>
      </c>
      <c r="M12" s="110">
        <v>7540</v>
      </c>
      <c r="Q12" s="107"/>
    </row>
    <row r="13" spans="2:17">
      <c r="B13" s="18" t="s">
        <v>27</v>
      </c>
      <c r="C13" s="113"/>
      <c r="D13" s="121">
        <f t="shared" ref="D13" si="21">(D12-C12)/C12</f>
        <v>-4.2323066071008704E-3</v>
      </c>
      <c r="E13" s="121">
        <f t="shared" ref="E13" si="22">(E12-D12)/D12</f>
        <v>-8.3825265643447458E-3</v>
      </c>
      <c r="F13" s="121">
        <f t="shared" ref="F13" si="23">(F12-E12)/E12</f>
        <v>-1.7263959995237527E-2</v>
      </c>
      <c r="G13" s="121">
        <f t="shared" ref="G13" si="24">(G12-F12)/F12</f>
        <v>-2.9197964623212988E-2</v>
      </c>
      <c r="H13" s="121">
        <f t="shared" ref="H13" si="25">(H12-G12)/G12</f>
        <v>-2.2588294022213903E-2</v>
      </c>
      <c r="I13" s="121">
        <f t="shared" ref="I13" si="26">(I12-H12)/H12</f>
        <v>-4.8518896833503579E-3</v>
      </c>
      <c r="J13" s="121">
        <f t="shared" ref="J13" si="27">(J12-I12)/I12</f>
        <v>-5.2604567616114963E-3</v>
      </c>
      <c r="K13" s="121">
        <f t="shared" ref="K13" si="28">(K12-J12)/J12</f>
        <v>-9.0287630594608533E-3</v>
      </c>
      <c r="L13" s="121">
        <f t="shared" ref="L13" si="29">(L12-K12)/K12</f>
        <v>-9.7618117922686452E-3</v>
      </c>
      <c r="M13" s="121">
        <f t="shared" ref="M13" si="30">(M12-L12)/L12</f>
        <v>-8.9379600420609884E-3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2</v>
      </c>
      <c r="D15" s="110">
        <v>2.5799999237060547</v>
      </c>
      <c r="E15" s="110">
        <v>2.630000114440918</v>
      </c>
      <c r="F15" s="110">
        <v>1.4800000190734863</v>
      </c>
      <c r="G15" s="110">
        <v>2.559999942779541</v>
      </c>
      <c r="H15" s="110">
        <v>3.25</v>
      </c>
      <c r="I15" s="110">
        <v>2.130000114440918</v>
      </c>
      <c r="J15" s="110">
        <v>5.059999942779541</v>
      </c>
      <c r="K15" s="110">
        <v>5.7600002288818359</v>
      </c>
      <c r="L15" s="110">
        <v>8.0500001907348633</v>
      </c>
      <c r="M15" s="110">
        <v>9.6499996185302734</v>
      </c>
      <c r="Q15" s="107"/>
    </row>
    <row r="16" spans="2:17">
      <c r="B16" s="18" t="s">
        <v>27</v>
      </c>
      <c r="D16" s="121">
        <f t="shared" ref="D16" si="31">(D15-C15)/C15</f>
        <v>0.28999996185302751</v>
      </c>
      <c r="E16" s="121">
        <f t="shared" ref="E16" si="32">(E15-D15)/D15</f>
        <v>1.9379919462571282E-2</v>
      </c>
      <c r="F16" s="121">
        <f t="shared" ref="F16" si="33">(F15-E15)/E15</f>
        <v>-0.43726237464894357</v>
      </c>
      <c r="G16" s="121">
        <f t="shared" ref="G16" si="34">(G15-F15)/F15</f>
        <v>0.72972966877537737</v>
      </c>
      <c r="H16" s="121">
        <f t="shared" ref="H16" si="35">(H15-G15)/G15</f>
        <v>0.26953127837623542</v>
      </c>
      <c r="I16" s="121">
        <f t="shared" ref="I16" si="36">(I15-H15)/H15</f>
        <v>-0.34461534940279387</v>
      </c>
      <c r="J16" s="121">
        <f t="shared" ref="J16" si="37">(J15-I15)/I15</f>
        <v>1.3755866999601936</v>
      </c>
      <c r="K16" s="121">
        <f t="shared" ref="K16" si="38">(K15-J15)/J15</f>
        <v>0.13833997905497475</v>
      </c>
      <c r="L16" s="121">
        <f t="shared" ref="L16" si="39">(L15-K15)/K15</f>
        <v>0.39756942202371687</v>
      </c>
      <c r="M16" s="121">
        <f t="shared" ref="M16" si="40">(M15-L15)/L15</f>
        <v>0.19875768818452053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29321</v>
      </c>
      <c r="D20" s="128">
        <v>24576</v>
      </c>
      <c r="E20" s="128">
        <v>27017</v>
      </c>
      <c r="F20" s="128">
        <v>23724</v>
      </c>
      <c r="G20" s="128">
        <v>24982</v>
      </c>
      <c r="H20" s="128">
        <v>31378</v>
      </c>
      <c r="I20" s="128">
        <v>32252</v>
      </c>
      <c r="J20" s="128">
        <v>38260</v>
      </c>
      <c r="K20" s="128">
        <v>45234</v>
      </c>
      <c r="L20" s="128">
        <v>56118</v>
      </c>
      <c r="M20" s="128">
        <v>65149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9.9324544270833329E-2</v>
      </c>
      <c r="F21" s="131">
        <f t="shared" ref="F21" si="42">(F20-E20)/E20</f>
        <v>-0.12188621978754118</v>
      </c>
      <c r="G21" s="131">
        <f t="shared" ref="G21" si="43">(G20-F20)/F20</f>
        <v>5.3026471084134212E-2</v>
      </c>
      <c r="H21" s="131">
        <f t="shared" ref="H21" si="44">(H20-G20)/G20</f>
        <v>0.25602433752301657</v>
      </c>
      <c r="I21" s="131">
        <f t="shared" ref="I21" si="45">(I20-H20)/H20</f>
        <v>2.7853910383070942E-2</v>
      </c>
      <c r="J21" s="131">
        <f t="shared" ref="J21" si="46">(J20-I20)/I20</f>
        <v>0.18628302120798709</v>
      </c>
      <c r="K21" s="131">
        <f t="shared" ref="K21" si="47">(K20-J20)/J20</f>
        <v>0.1822791427077888</v>
      </c>
      <c r="L21" s="131">
        <f t="shared" ref="L21" si="48">(L20-K20)/K20</f>
        <v>0.2406154662422072</v>
      </c>
      <c r="M21" s="131">
        <f t="shared" ref="M21" si="49">(M20-L20)/L20</f>
        <v>0.16092875726148473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6385</v>
      </c>
      <c r="D23" s="130">
        <v>7455</v>
      </c>
      <c r="E23" s="130">
        <v>8879</v>
      </c>
      <c r="F23" s="130">
        <v>9882</v>
      </c>
      <c r="G23" s="130">
        <v>11006</v>
      </c>
      <c r="H23" s="130">
        <v>11845</v>
      </c>
      <c r="I23" s="130">
        <v>12699</v>
      </c>
      <c r="J23" s="130">
        <v>13811</v>
      </c>
      <c r="K23" s="130">
        <v>15137</v>
      </c>
      <c r="L23" s="130">
        <v>16521</v>
      </c>
      <c r="M23" s="130">
        <v>18135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0.16758026624902114</v>
      </c>
      <c r="E24" s="121">
        <f t="shared" ref="E24" si="51">(E23-D23)/D23</f>
        <v>0.19101274312541919</v>
      </c>
      <c r="F24" s="121">
        <f t="shared" ref="F24" si="52">(F23-E23)/E23</f>
        <v>0.11296317152832526</v>
      </c>
      <c r="G24" s="121">
        <f t="shared" ref="G24" si="53">(G23-F23)/F23</f>
        <v>0.11374215745800445</v>
      </c>
      <c r="H24" s="121">
        <f t="shared" ref="H24" si="54">(H23-G23)/G23</f>
        <v>7.6231146647283296E-2</v>
      </c>
      <c r="I24" s="121">
        <f t="shared" ref="I24" si="55">(I23-H23)/H23</f>
        <v>7.2097931616715918E-2</v>
      </c>
      <c r="J24" s="121">
        <f t="shared" ref="J24" si="56">(J23-I23)/I23</f>
        <v>8.7565950074809037E-2</v>
      </c>
      <c r="K24" s="121">
        <f t="shared" ref="K24" si="57">(K23-J23)/J23</f>
        <v>9.6010426471653032E-2</v>
      </c>
      <c r="L24" s="121">
        <f t="shared" ref="L24" si="58">(L23-K23)/K23</f>
        <v>9.143159146462311E-2</v>
      </c>
      <c r="M24" s="121">
        <f t="shared" ref="M24" si="59">(M23-L23)/L23</f>
        <v>9.7693844198293078E-2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85084</v>
      </c>
      <c r="D28" s="110">
        <v>101466</v>
      </c>
      <c r="E28" s="110">
        <v>114246</v>
      </c>
      <c r="F28" s="110">
        <v>122797</v>
      </c>
      <c r="G28" s="110">
        <v>139660</v>
      </c>
      <c r="H28" s="110">
        <v>162696</v>
      </c>
      <c r="I28" s="110">
        <v>169662</v>
      </c>
      <c r="J28" s="110">
        <v>175552</v>
      </c>
      <c r="K28" s="110">
        <v>181915</v>
      </c>
      <c r="L28" s="110">
        <v>184406</v>
      </c>
      <c r="M28" s="110">
        <v>169684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0.19253913779323961</v>
      </c>
      <c r="E29" s="121">
        <f t="shared" ref="E29" si="61">(E28-D28)/D28</f>
        <v>0.12595352137661878</v>
      </c>
      <c r="F29" s="121">
        <f t="shared" ref="F29" si="62">(F28-E28)/E28</f>
        <v>7.4847259422649373E-2</v>
      </c>
      <c r="G29" s="121">
        <f t="shared" ref="G29" si="63">(G28-F28)/F28</f>
        <v>0.13732420173131266</v>
      </c>
      <c r="H29" s="121">
        <f t="shared" ref="H29" si="64">(H28-G28)/G28</f>
        <v>0.16494343405413145</v>
      </c>
      <c r="I29" s="121">
        <f t="shared" ref="I29" si="65">(I28-H28)/H28</f>
        <v>4.2816049564832571E-2</v>
      </c>
      <c r="J29" s="121">
        <f t="shared" ref="J29" si="66">(J28-I28)/I28</f>
        <v>3.4716082564156973E-2</v>
      </c>
      <c r="K29" s="121">
        <f t="shared" ref="K29" si="67">(K28-J28)/J28</f>
        <v>3.6245670798395919E-2</v>
      </c>
      <c r="L29" s="121">
        <f t="shared" ref="L29" si="68">(L28-K28)/K28</f>
        <v>1.3693208366544815E-2</v>
      </c>
      <c r="M29" s="121">
        <f t="shared" ref="M29" si="69">(M28-L28)/L28</f>
        <v>-7.9834712536468441E-2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36187</v>
      </c>
      <c r="D31" s="110">
        <v>40965</v>
      </c>
      <c r="E31" s="110">
        <v>58138</v>
      </c>
      <c r="F31" s="110">
        <v>51675</v>
      </c>
      <c r="G31" s="110">
        <v>53808</v>
      </c>
      <c r="H31" s="110">
        <v>87616</v>
      </c>
      <c r="I31" s="110">
        <v>89186</v>
      </c>
      <c r="J31" s="110">
        <v>111004</v>
      </c>
      <c r="K31" s="110">
        <v>119396</v>
      </c>
      <c r="L31" s="110">
        <v>149373</v>
      </c>
      <c r="M31" s="110">
        <v>195156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0.13203636665100726</v>
      </c>
      <c r="E32" s="121">
        <f t="shared" ref="E32" si="71">(E31-D31)/D31</f>
        <v>0.41921152203100209</v>
      </c>
      <c r="F32" s="121">
        <f t="shared" ref="F32" si="72">(F31-E31)/E31</f>
        <v>-0.11116653479651863</v>
      </c>
      <c r="G32" s="121">
        <f t="shared" ref="G32" si="73">(G31-F31)/F31</f>
        <v>4.1277213352685048E-2</v>
      </c>
      <c r="H32" s="121">
        <f t="shared" ref="H32" si="74">(H31-G31)/G31</f>
        <v>0.62830805828129643</v>
      </c>
      <c r="I32" s="121">
        <f t="shared" ref="I32" si="75">(I31-H31)/H31</f>
        <v>1.7919101533966399E-2</v>
      </c>
      <c r="J32" s="121">
        <f t="shared" ref="J32" si="76">(J31-I31)/I31</f>
        <v>0.24463480815374611</v>
      </c>
      <c r="K32" s="121">
        <f t="shared" ref="K32" si="77">(K31-J31)/J31</f>
        <v>7.5600879247594677E-2</v>
      </c>
      <c r="L32" s="121">
        <f t="shared" ref="L32" si="78">(L31-K31)/K31</f>
        <v>0.25107206271566884</v>
      </c>
      <c r="M32" s="121">
        <f t="shared" ref="M32" si="79">(M31-L31)/L31</f>
        <v>0.30650117491112849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142431</v>
      </c>
      <c r="E34" s="111">
        <f t="shared" ref="E34:M34" si="80">E28+E31</f>
        <v>172384</v>
      </c>
      <c r="F34" s="111">
        <f t="shared" si="80"/>
        <v>174472</v>
      </c>
      <c r="G34" s="111">
        <f t="shared" si="80"/>
        <v>193468</v>
      </c>
      <c r="H34" s="111">
        <f t="shared" si="80"/>
        <v>250312</v>
      </c>
      <c r="I34" s="111">
        <f t="shared" si="80"/>
        <v>258848</v>
      </c>
      <c r="J34" s="111">
        <f t="shared" si="80"/>
        <v>286556</v>
      </c>
      <c r="K34" s="111">
        <f t="shared" si="80"/>
        <v>301311</v>
      </c>
      <c r="L34" s="111">
        <f t="shared" si="80"/>
        <v>333779</v>
      </c>
      <c r="M34" s="111">
        <f t="shared" si="80"/>
        <v>364840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32688</v>
      </c>
      <c r="D36" s="118">
        <v>37417</v>
      </c>
      <c r="E36" s="110">
        <v>45625</v>
      </c>
      <c r="F36" s="110">
        <v>49647</v>
      </c>
      <c r="G36" s="110">
        <v>59357</v>
      </c>
      <c r="H36" s="110">
        <v>55745</v>
      </c>
      <c r="I36" s="110">
        <v>58488</v>
      </c>
      <c r="J36" s="110">
        <v>69420</v>
      </c>
      <c r="K36" s="110">
        <v>72310</v>
      </c>
      <c r="L36" s="110">
        <v>88657</v>
      </c>
      <c r="M36" s="110">
        <v>95082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0.14467082721488009</v>
      </c>
      <c r="E37" s="121">
        <f t="shared" ref="E37" si="82">(E36-D36)/D36</f>
        <v>0.21936552903760323</v>
      </c>
      <c r="F37" s="121">
        <f t="shared" ref="F37" si="83">(F36-E36)/E36</f>
        <v>8.8153424657534243E-2</v>
      </c>
      <c r="G37" s="121">
        <f t="shared" ref="G37" si="84">(G36-F36)/F36</f>
        <v>0.19558080045118537</v>
      </c>
      <c r="H37" s="121">
        <f t="shared" ref="H37" si="85">(H36-G36)/G36</f>
        <v>-6.0852132014758156E-2</v>
      </c>
      <c r="I37" s="121">
        <f t="shared" ref="I37" si="86">(I36-H36)/H36</f>
        <v>4.9206206834693691E-2</v>
      </c>
      <c r="J37" s="121">
        <f t="shared" ref="J37" si="87">(J36-I36)/I36</f>
        <v>0.18691013541239229</v>
      </c>
      <c r="K37" s="121">
        <f t="shared" ref="K37" si="88">(K36-J36)/J36</f>
        <v>4.1630653990204554E-2</v>
      </c>
      <c r="L37" s="121">
        <f t="shared" ref="L37" si="89">(L36-K36)/K36</f>
        <v>0.22606831696860738</v>
      </c>
      <c r="M37" s="121">
        <f t="shared" ref="M37" si="90">(M36-L36)/L36</f>
        <v>7.2470306913159699E-2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22220</v>
      </c>
      <c r="D39" s="110">
        <v>26070</v>
      </c>
      <c r="E39" s="110">
        <v>36975</v>
      </c>
      <c r="F39" s="110">
        <v>44742</v>
      </c>
      <c r="G39" s="110">
        <v>62114</v>
      </c>
      <c r="H39" s="110">
        <v>106856</v>
      </c>
      <c r="I39" s="110">
        <v>117642</v>
      </c>
      <c r="J39" s="110">
        <v>114806</v>
      </c>
      <c r="K39" s="110">
        <v>110697</v>
      </c>
      <c r="L39" s="110">
        <v>103134</v>
      </c>
      <c r="M39" s="110">
        <v>103216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0.17326732673267325</v>
      </c>
      <c r="E40" s="121">
        <f t="shared" ref="E40" si="92">(E39-D39)/D39</f>
        <v>0.41829689298043726</v>
      </c>
      <c r="F40" s="121">
        <f t="shared" ref="F40" si="93">(F39-E39)/E39</f>
        <v>0.21006085192697768</v>
      </c>
      <c r="G40" s="121">
        <f t="shared" ref="G40" si="94">(G39-F39)/F39</f>
        <v>0.3882705288096196</v>
      </c>
      <c r="H40" s="121">
        <f t="shared" ref="H40" si="95">(H39-G39)/G39</f>
        <v>0.72032070064719711</v>
      </c>
      <c r="I40" s="121">
        <f t="shared" ref="I40" si="96">(I39-H39)/H39</f>
        <v>0.1009395822415213</v>
      </c>
      <c r="J40" s="121">
        <f t="shared" ref="J40" si="97">(J39-I39)/I39</f>
        <v>-2.4107036602573909E-2</v>
      </c>
      <c r="K40" s="121">
        <f t="shared" ref="K40" si="98">(K39-J39)/J39</f>
        <v>-3.5790812326881867E-2</v>
      </c>
      <c r="L40" s="121">
        <f t="shared" ref="L40" si="99">(L39-K39)/K39</f>
        <v>-6.8321634732648587E-2</v>
      </c>
      <c r="M40" s="121">
        <f t="shared" ref="M40" si="100">(M39-L39)/L39</f>
        <v>7.9508212616595888E-4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63487</v>
      </c>
      <c r="E42" s="111">
        <f t="shared" ref="E42:M42" si="101">E36+E39</f>
        <v>82600</v>
      </c>
      <c r="F42" s="111">
        <f t="shared" si="101"/>
        <v>94389</v>
      </c>
      <c r="G42" s="111">
        <f t="shared" si="101"/>
        <v>121471</v>
      </c>
      <c r="H42" s="111">
        <f t="shared" si="101"/>
        <v>162601</v>
      </c>
      <c r="I42" s="111">
        <f t="shared" si="101"/>
        <v>176130</v>
      </c>
      <c r="J42" s="111">
        <f t="shared" si="101"/>
        <v>184226</v>
      </c>
      <c r="K42" s="111">
        <f t="shared" si="101"/>
        <v>183007</v>
      </c>
      <c r="L42" s="111">
        <f t="shared" si="101"/>
        <v>191791</v>
      </c>
      <c r="M42" s="111">
        <f t="shared" si="101"/>
        <v>198298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78944</v>
      </c>
      <c r="E44" s="134">
        <f t="shared" ref="E44:M44" si="102">E34-E42</f>
        <v>89784</v>
      </c>
      <c r="F44" s="134">
        <f t="shared" si="102"/>
        <v>80083</v>
      </c>
      <c r="G44" s="134">
        <f t="shared" si="102"/>
        <v>71997</v>
      </c>
      <c r="H44" s="134">
        <f t="shared" si="102"/>
        <v>87711</v>
      </c>
      <c r="I44" s="134">
        <f t="shared" si="102"/>
        <v>82718</v>
      </c>
      <c r="J44" s="134">
        <f t="shared" si="102"/>
        <v>102330</v>
      </c>
      <c r="K44" s="134">
        <f t="shared" si="102"/>
        <v>118304</v>
      </c>
      <c r="L44" s="134">
        <f t="shared" si="102"/>
        <v>141988</v>
      </c>
      <c r="M44" s="134">
        <f t="shared" si="102"/>
        <v>166542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10713</v>
      </c>
      <c r="D46" s="133">
        <v>12601</v>
      </c>
      <c r="E46" s="133">
        <v>20645</v>
      </c>
      <c r="F46" s="133">
        <v>27808</v>
      </c>
      <c r="G46" s="133">
        <v>40557</v>
      </c>
      <c r="H46" s="133">
        <v>76073</v>
      </c>
      <c r="I46" s="133">
        <v>72242</v>
      </c>
      <c r="J46" s="133">
        <v>66662</v>
      </c>
      <c r="K46" s="136">
        <v>59578</v>
      </c>
      <c r="L46" s="133">
        <v>50074</v>
      </c>
      <c r="M46" s="133">
        <v>47032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0.28083854641678119</v>
      </c>
      <c r="E50" s="126">
        <f t="shared" si="103"/>
        <v>0.25421210829983992</v>
      </c>
      <c r="F50" s="126">
        <f t="shared" si="103"/>
        <v>0.13029493481513144</v>
      </c>
      <c r="G50" s="126">
        <f t="shared" si="103"/>
        <v>0.22532198257893235</v>
      </c>
      <c r="H50" s="126">
        <f t="shared" si="103"/>
        <v>0.26394052044609667</v>
      </c>
      <c r="I50" s="126">
        <f t="shared" si="103"/>
        <v>0.15015404131931859</v>
      </c>
      <c r="J50" s="126">
        <f t="shared" si="103"/>
        <v>0.31181710544090652</v>
      </c>
      <c r="K50" s="126">
        <f t="shared" si="103"/>
        <v>0.30962486452470023</v>
      </c>
      <c r="L50" s="126">
        <f t="shared" si="103"/>
        <v>0.36451739564989766</v>
      </c>
      <c r="M50" s="126">
        <f t="shared" si="103"/>
        <v>0.36686336813436221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0.39202815707330857</v>
      </c>
      <c r="E51" s="126">
        <f t="shared" si="104"/>
        <v>0.37970587219144797</v>
      </c>
      <c r="F51" s="126">
        <f t="shared" si="104"/>
        <v>0.33784996794186795</v>
      </c>
      <c r="G51" s="126">
        <f t="shared" si="104"/>
        <v>0.36564495249797047</v>
      </c>
      <c r="H51" s="126">
        <f t="shared" si="104"/>
        <v>0.39145292064905612</v>
      </c>
      <c r="I51" s="126">
        <f t="shared" si="104"/>
        <v>0.41064697354113811</v>
      </c>
      <c r="J51" s="126">
        <f t="shared" si="104"/>
        <v>0.43419975683987189</v>
      </c>
      <c r="K51" s="126">
        <f t="shared" si="104"/>
        <v>0.45977694647414608</v>
      </c>
      <c r="L51" s="126">
        <f t="shared" si="104"/>
        <v>0.48547189567369475</v>
      </c>
      <c r="M51" s="126">
        <f t="shared" si="104"/>
        <v>0.49348363342916224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0.3156880627882182</v>
      </c>
      <c r="E52" s="126">
        <f t="shared" si="105"/>
        <v>0.31113747077723908</v>
      </c>
      <c r="F52" s="126">
        <f t="shared" si="105"/>
        <v>0.25351570848471894</v>
      </c>
      <c r="G52" s="126">
        <f t="shared" si="105"/>
        <v>0.27406367246637559</v>
      </c>
      <c r="H52" s="126">
        <f t="shared" si="105"/>
        <v>0.32492156030278241</v>
      </c>
      <c r="I52" s="126">
        <f t="shared" si="105"/>
        <v>0.29224356650960492</v>
      </c>
      <c r="J52" s="126">
        <f t="shared" si="105"/>
        <v>0.30402962421429874</v>
      </c>
      <c r="K52" s="126">
        <f t="shared" si="105"/>
        <v>0.31628850120616719</v>
      </c>
      <c r="L52" s="126">
        <f t="shared" si="105"/>
        <v>0.33386083480081863</v>
      </c>
      <c r="M52" s="126">
        <f t="shared" si="105"/>
        <v>0.32858727997175569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0.3033447265625</v>
      </c>
      <c r="E55" s="126">
        <f t="shared" ref="E55:M55" si="106">E23/E20</f>
        <v>0.32864492726801642</v>
      </c>
      <c r="F55" s="126">
        <f t="shared" si="106"/>
        <v>0.41654021244309558</v>
      </c>
      <c r="G55" s="126">
        <f t="shared" si="106"/>
        <v>0.44055720118485309</v>
      </c>
      <c r="H55" s="126">
        <f t="shared" si="106"/>
        <v>0.37749378545477724</v>
      </c>
      <c r="I55" s="126">
        <f t="shared" si="106"/>
        <v>0.39374302368845343</v>
      </c>
      <c r="J55" s="126">
        <f t="shared" si="106"/>
        <v>0.36097752221641399</v>
      </c>
      <c r="K55" s="126">
        <f t="shared" si="106"/>
        <v>0.33463766193571209</v>
      </c>
      <c r="L55" s="126">
        <f t="shared" si="106"/>
        <v>0.29439751951245591</v>
      </c>
      <c r="M55" s="126">
        <f t="shared" si="106"/>
        <v>0.27836190885508605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0.80420297932711793</v>
      </c>
      <c r="E58" s="112">
        <f t="shared" ref="E58:M58" si="107">E42/E44</f>
        <v>0.91998574356232732</v>
      </c>
      <c r="F58" s="112">
        <f t="shared" si="107"/>
        <v>1.1786396613513479</v>
      </c>
      <c r="G58" s="112">
        <f t="shared" si="107"/>
        <v>1.6871675208689252</v>
      </c>
      <c r="H58" s="112">
        <f t="shared" si="107"/>
        <v>1.8538267720126325</v>
      </c>
      <c r="I58" s="112">
        <f t="shared" si="107"/>
        <v>2.1292826228874007</v>
      </c>
      <c r="J58" s="112">
        <f t="shared" si="107"/>
        <v>1.8003127137691781</v>
      </c>
      <c r="K58" s="112">
        <f t="shared" si="107"/>
        <v>1.5469214903976196</v>
      </c>
      <c r="L58" s="112">
        <f t="shared" si="107"/>
        <v>1.3507549933797223</v>
      </c>
      <c r="M58" s="112">
        <f t="shared" si="107"/>
        <v>1.1906786276134549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2.7117620333003716</v>
      </c>
      <c r="E59" s="112">
        <f t="shared" ref="E59:M59" si="108">E28/E36</f>
        <v>2.504021917808219</v>
      </c>
      <c r="F59" s="112">
        <f t="shared" si="108"/>
        <v>2.4734022196708763</v>
      </c>
      <c r="G59" s="112">
        <f t="shared" si="108"/>
        <v>2.3528817157201343</v>
      </c>
      <c r="H59" s="112">
        <f t="shared" si="108"/>
        <v>2.9185756570095971</v>
      </c>
      <c r="I59" s="112">
        <f t="shared" si="108"/>
        <v>2.9008001641362329</v>
      </c>
      <c r="J59" s="112">
        <f t="shared" si="108"/>
        <v>2.5288389513108616</v>
      </c>
      <c r="K59" s="112">
        <f t="shared" si="108"/>
        <v>2.5157654542940118</v>
      </c>
      <c r="L59" s="112">
        <f t="shared" si="108"/>
        <v>2.0799936835218875</v>
      </c>
      <c r="M59" s="112">
        <f t="shared" si="108"/>
        <v>1.7846069708251824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0.41289033061371605</v>
      </c>
      <c r="E60" s="112">
        <f t="shared" ref="E60:M60" si="109">E46/E9</f>
        <v>0.6261563191895908</v>
      </c>
      <c r="F60" s="112">
        <f t="shared" si="109"/>
        <v>0.87955465587044535</v>
      </c>
      <c r="G60" s="112">
        <f t="shared" si="109"/>
        <v>1.2168316831683168</v>
      </c>
      <c r="H60" s="112">
        <f t="shared" si="109"/>
        <v>2.0123535169166469</v>
      </c>
      <c r="I60" s="112">
        <f t="shared" si="109"/>
        <v>1.5940775392219599</v>
      </c>
      <c r="J60" s="112">
        <f t="shared" si="109"/>
        <v>1.2199996339744881</v>
      </c>
      <c r="K60" s="112">
        <f t="shared" si="109"/>
        <v>0.90606037563683373</v>
      </c>
      <c r="L60" s="112">
        <f t="shared" si="109"/>
        <v>0.61363692066370923</v>
      </c>
      <c r="M60" s="112">
        <f t="shared" si="109"/>
        <v>0.48068844986355691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0.15098647553880373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0.10240114479019535</v>
      </c>
    </row>
    <row r="65" spans="2:13">
      <c r="B65" s="10" t="s">
        <v>74</v>
      </c>
      <c r="C65" s="114"/>
      <c r="D65" s="121">
        <f>(M6/I6)^0.2 - 1</f>
        <v>0.34425768397181389</v>
      </c>
    </row>
    <row r="66" spans="2:13">
      <c r="B66" s="10" t="s">
        <v>84</v>
      </c>
      <c r="C66" s="114"/>
      <c r="D66" s="121">
        <f>(M6/D6)^0.1 - 1</f>
        <v>0.12773006839414247</v>
      </c>
    </row>
    <row r="67" spans="2:13">
      <c r="B67" s="10" t="s">
        <v>75</v>
      </c>
      <c r="C67" s="114"/>
      <c r="D67" s="121">
        <f>(M3/I3)^0.2 - 1</f>
        <v>0.12431773933039225</v>
      </c>
    </row>
    <row r="68" spans="2:13">
      <c r="B68" s="10" t="s">
        <v>85</v>
      </c>
      <c r="C68" s="114"/>
      <c r="D68" s="121">
        <f>(M3/D3)^0.1 - 1</f>
        <v>9.7995086932553654E-2</v>
      </c>
    </row>
    <row r="69" spans="2:13">
      <c r="B69" s="10" t="s">
        <v>88</v>
      </c>
      <c r="C69" s="114"/>
      <c r="D69" s="121">
        <f>(M9/I9)^0.2 - 1</f>
        <v>0.16640638518275286</v>
      </c>
    </row>
    <row r="70" spans="2:13">
      <c r="B70" s="10" t="s">
        <v>89</v>
      </c>
      <c r="C70" s="114"/>
      <c r="D70" s="121">
        <f>(M9/D9)^0.2 - 1</f>
        <v>0.26238519394954185</v>
      </c>
    </row>
    <row r="71" spans="2:13">
      <c r="B71" s="10" t="s">
        <v>131</v>
      </c>
      <c r="D71" s="121">
        <f>(M23/I23)^0.2 - 1</f>
        <v>7.3864800952310627E-2</v>
      </c>
    </row>
    <row r="72" spans="2:13">
      <c r="B72" s="10" t="s">
        <v>132</v>
      </c>
      <c r="D72" s="121">
        <f>AVERAGE(I24:M24)</f>
        <v>8.895994876521883E-2</v>
      </c>
    </row>
    <row r="73" spans="2:13">
      <c r="B73" s="10" t="s">
        <v>135</v>
      </c>
      <c r="D73" s="121">
        <f>AVERAGE(I55:M55)</f>
        <v>0.33242352724162433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15.34988871804593</v>
      </c>
      <c r="E76" s="110">
        <f t="shared" si="110"/>
        <v>12.805132726935215</v>
      </c>
      <c r="F76" s="110">
        <f t="shared" si="110"/>
        <v>6.9885139162730985</v>
      </c>
      <c r="G76" s="110">
        <f t="shared" si="110"/>
        <v>10.616225939173404</v>
      </c>
      <c r="H76" s="110">
        <f t="shared" si="110"/>
        <v>10.182891751094633</v>
      </c>
      <c r="I76" s="110">
        <f t="shared" si="110"/>
        <v>6.4018265545802944</v>
      </c>
      <c r="J76" s="110">
        <f t="shared" si="110"/>
        <v>13.693658482111699</v>
      </c>
      <c r="K76" s="110">
        <f t="shared" si="110"/>
        <v>14.696111326835064</v>
      </c>
      <c r="L76" s="110">
        <f t="shared" si="110"/>
        <v>18.356757015869782</v>
      </c>
      <c r="M76" s="110">
        <f t="shared" si="110"/>
        <v>19.936958666812849</v>
      </c>
    </row>
    <row r="77" spans="2:13">
      <c r="B77" s="10" t="s">
        <v>139</v>
      </c>
      <c r="C77" s="110">
        <v>0</v>
      </c>
      <c r="D77" s="110">
        <f t="shared" ref="D77:M77" si="111">100*D6/D44</f>
        <v>27.694314957438184</v>
      </c>
      <c r="E77" s="110">
        <f t="shared" si="111"/>
        <v>24.585672280139001</v>
      </c>
      <c r="F77" s="110">
        <f t="shared" si="111"/>
        <v>15.225453591898406</v>
      </c>
      <c r="G77" s="110">
        <f t="shared" si="111"/>
        <v>28.527577537952972</v>
      </c>
      <c r="H77" s="110">
        <f t="shared" si="111"/>
        <v>29.060209095780461</v>
      </c>
      <c r="I77" s="110">
        <f t="shared" si="111"/>
        <v>20.033124591987235</v>
      </c>
      <c r="J77" s="110">
        <f t="shared" si="111"/>
        <v>38.346525945470539</v>
      </c>
      <c r="K77" s="110">
        <f t="shared" si="111"/>
        <v>37.429841763592101</v>
      </c>
      <c r="L77" s="110">
        <f t="shared" si="111"/>
        <v>43.152238217314142</v>
      </c>
      <c r="M77" s="110">
        <f t="shared" si="111"/>
        <v>43.675469250999747</v>
      </c>
    </row>
    <row r="78" spans="2:13">
      <c r="B78" s="10" t="s">
        <v>140</v>
      </c>
      <c r="C78" s="110">
        <v>0</v>
      </c>
      <c r="D78" s="40">
        <v>25.700000762939453</v>
      </c>
      <c r="E78" s="40">
        <v>21.790000915527344</v>
      </c>
      <c r="F78" s="40">
        <v>11.159999847412109</v>
      </c>
      <c r="G78" s="40">
        <v>14.810000419616699</v>
      </c>
      <c r="H78" s="40">
        <v>16.360000610351562</v>
      </c>
      <c r="I78" s="40">
        <v>11.489999771118164</v>
      </c>
      <c r="J78" s="40">
        <v>22.690000534057617</v>
      </c>
      <c r="K78" s="40">
        <v>23.899999618530273</v>
      </c>
      <c r="L78" s="40">
        <v>30.799999237060547</v>
      </c>
      <c r="M78" s="40">
        <v>33.229999542236328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14.010000228881836</v>
      </c>
      <c r="E81" s="40">
        <v>18.219999313354492</v>
      </c>
      <c r="F81" s="40">
        <v>36.740001678466797</v>
      </c>
      <c r="G81" s="40">
        <v>29.729999542236328</v>
      </c>
      <c r="H81" s="40">
        <v>30.229999542236328</v>
      </c>
      <c r="I81" s="40">
        <v>41.799999237060547</v>
      </c>
      <c r="J81" s="40">
        <v>29.75</v>
      </c>
      <c r="K81" s="40">
        <v>35.869998931884766</v>
      </c>
      <c r="L81" s="40">
        <v>37.619998931884766</v>
      </c>
      <c r="M81" s="40">
        <v>25.809999465942383</v>
      </c>
    </row>
    <row r="82" spans="2:13">
      <c r="B82" s="122" t="s">
        <v>148</v>
      </c>
      <c r="C82" s="110">
        <v>0</v>
      </c>
      <c r="D82" s="40">
        <v>11.079999923706055</v>
      </c>
      <c r="E82" s="40">
        <v>12.020000457763672</v>
      </c>
      <c r="F82" s="40">
        <v>15.479999542236328</v>
      </c>
      <c r="G82" s="40">
        <v>13.739999771118164</v>
      </c>
      <c r="H82" s="40">
        <v>16.540000915527344</v>
      </c>
      <c r="I82" s="40">
        <v>17.530000686645508</v>
      </c>
      <c r="J82" s="40">
        <v>23.309999465942383</v>
      </c>
      <c r="K82" s="40">
        <v>25.760000228881836</v>
      </c>
      <c r="L82" s="40">
        <v>31.149999618530273</v>
      </c>
      <c r="M82" s="40">
        <v>20.559999465942383</v>
      </c>
    </row>
    <row r="83" spans="2:13">
      <c r="B83" s="122" t="s">
        <v>153</v>
      </c>
      <c r="C83" s="110">
        <v>2.130000114440918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2023-04-22T07:56:07Z</dcterms:modified>
</cp:coreProperties>
</file>