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6D87008F-4D84-43ED-991C-ED4982DC9D91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<sst xmlns="http://schemas.openxmlformats.org/spreadsheetml/2006/main" count="227" uniqueCount="162">
  <si>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</si>
  <si>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</si>
  <si>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</si>
  <si>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</si>
  <si>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</si>
  <si>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</si>
  <si>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</si>
  <si>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</si>
  <si>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</si>
  <si>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</si>
  <si>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</si>
  <si>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</si>
  <si>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</si>
  <si>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</si>
  <si>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</si>
  <si>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</si>
  <si>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</si>
  <si>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</si>
  <si>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</si>
  <si>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</si>
  <si>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</si>
  <si>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</si>
  <si>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</si>
  <si>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</si>
  <si>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</si>
  <si>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</si>
  <si>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</si>
  <si>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</si>
  <si>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</si>
  <si>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</si>
  <si>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</si>
  <si>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</si>
  <si>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</si>
  <si>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</si>
  <si>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</si>
  <si>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</si>
  <si>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</si>
  <si>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</si>
  <si>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</si>
  <si>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</si>
  <si>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</si>
  <si>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</si>
  <si>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</si>
  <si>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</si>
  <si>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</si>
  <si>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</si>
  <si>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</si>
  <si>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</si>
  <si>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</si>
  <si>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</si>
  <si>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</si>
  <si>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</si>
  <si>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</si>
  <si>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</si>
  <si>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</si>
  <si>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</si>
  <si>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</si>
  <si>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</si>
  <si>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</si>
  <si>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</si>
  <si>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</si>
  <si>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</si>
  <si>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</si>
  <si>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</si>
  <si>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</si>
  <si>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</si>
  <si>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</si>
  <si>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</si>
  <si>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</si>
  <si>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</si>
  <si>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</si>
  <si>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</si>
  <si>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</si>
  <si>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</si>
  <si>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</si>
  <si>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</si>
  <si>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</si>
  <si>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</si>
  <si>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</si>
  <si>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</si>
  <si>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</si>
  <si>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</si>
  <si>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</si>
  <si>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</si>
  <si>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</si>
  <si>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</si>
  <si>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</si>
  <si>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</si>
  <si>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</si>
  <si>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</si>
  <si>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</si>
  <si>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</si>
  <si>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</si>
  <si>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</si>
  <si>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</si>
  <si>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</si>
  <si>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</si>
  <si>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</si>
  <si>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</si>
  <si>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</si>
  <si>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</si>
  <si>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</si>
  <si>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</si>
  <si>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</si>
  <si>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</si>
  <si>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</si>
  <si>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</si>
  <si>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</si>
  <si>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</si>
  <si>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</si>
  <si>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</si>
  <si>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</si>
  <si>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</si>
  <si>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</si>
  <si>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</si>
  <si>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</si>
  <si>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</si>
  <si>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</si>
  <si>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</si>
  <si>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</si>
  <si>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</si>
  <si>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</si>
  <si>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</si>
  <si>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</si>
  <si>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</si>
  <si>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</si>
  <si>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</si>
  <si>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</si>
  <si>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</si>
  <si>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</si>
  <si>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</si>
  <si>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</si>
  <si>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</si>
  <si>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</si>
  <si>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</si>
  <si>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</si>
  <si>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</si>
  <si>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</si>
  <si>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</si>
  <si>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</si>
  <si>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</si>
  <si>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</si>
  <si>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</si>
  <si>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</si>
  <si>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</si>
  <si>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</si>
  <si>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</si>
  <si>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</si>
  <si>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</si>
  <si>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</si>
  <si>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</si>
  <si>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</si>
  <si>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</si>
  <si>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</si>
  <si>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</si>
  <si>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</si>
  <si>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</si>
  <si>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</si>
  <si>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</si>
  <si>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ABBV_Abbvie</t>
  </si>
  <si>
    <t>sector median (25.27)</t>
  </si>
  <si>
    <t>sector median (18.34)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</si>
</sst>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0.21969132517296433</c:v>
                </c:pt>
                <c:pt idx="1">
                  <c:v>8.8877755511022047E-2</c:v>
                </c:pt>
                <c:pt idx="2">
                  <c:v>0.22503171617306095</c:v>
                </c:pt>
                <c:pt idx="3">
                  <c:v>0.23219439893907481</c:v>
                </c:pt>
                <c:pt idx="4">
                  <c:v>0.18815565636518289</c:v>
                </c:pt>
                <c:pt idx="5">
                  <c:v>0.17363294965346684</c:v>
                </c:pt>
                <c:pt idx="6">
                  <c:v>0.23693861600432875</c:v>
                </c:pt>
                <c:pt idx="7">
                  <c:v>0.10077722469653305</c:v>
                </c:pt>
                <c:pt idx="8">
                  <c:v>0.20538462907272631</c:v>
                </c:pt>
                <c:pt idx="9">
                  <c:v>0.20387914700106796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0.34917509313464606</c:v>
                </c:pt>
                <c:pt idx="1">
                  <c:v>0.21027054108216434</c:v>
                </c:pt>
                <c:pt idx="2">
                  <c:v>0.36628898901964213</c:v>
                </c:pt>
                <c:pt idx="3">
                  <c:v>0.4106794601763008</c:v>
                </c:pt>
                <c:pt idx="4">
                  <c:v>0.39148001134108307</c:v>
                </c:pt>
                <c:pt idx="5">
                  <c:v>0.24877110493695234</c:v>
                </c:pt>
                <c:pt idx="6">
                  <c:v>0.45091083989659109</c:v>
                </c:pt>
                <c:pt idx="7">
                  <c:v>0.38935464151602478</c:v>
                </c:pt>
                <c:pt idx="8">
                  <c:v>0.47057672117728705</c:v>
                </c:pt>
                <c:pt idx="9">
                  <c:v>0.4579184896820202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0.30739755188930284</c:v>
                </c:pt>
                <c:pt idx="1">
                  <c:v>0.14714428857715431</c:v>
                </c:pt>
                <c:pt idx="2">
                  <c:v>0.30635635854586812</c:v>
                </c:pt>
                <c:pt idx="3">
                  <c:v>0.25594820188782275</c:v>
                </c:pt>
                <c:pt idx="4">
                  <c:v>0.33424298270484831</c:v>
                </c:pt>
                <c:pt idx="5">
                  <c:v>0.39046804872836077</c:v>
                </c:pt>
                <c:pt idx="6">
                  <c:v>0.38393554981061745</c:v>
                </c:pt>
                <c:pt idx="7">
                  <c:v>0.36656187232556109</c:v>
                </c:pt>
                <c:pt idx="8">
                  <c:v>0.39130202679858356</c:v>
                </c:pt>
                <c:pt idx="9">
                  <c:v>0.41768009094980535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18.510000228881836</c:v>
                </c:pt>
                <c:pt idx="1">
                  <c:v>28.450000762939453</c:v>
                </c:pt>
                <c:pt idx="2">
                  <c:v>34.639999389648438</c:v>
                </c:pt>
                <c:pt idx="3">
                  <c:v>16.920000076293945</c:v>
                </c:pt>
                <c:pt idx="4">
                  <c:v>23.469999313354492</c:v>
                </c:pt>
                <c:pt idx="5">
                  <c:v>19.129999160766602</c:v>
                </c:pt>
                <c:pt idx="6">
                  <c:v>39</c:v>
                </c:pt>
                <c:pt idx="7">
                  <c:v>23.090000152587891</c:v>
                </c:pt>
                <c:pt idx="8">
                  <c:v>32.709999084472656</c:v>
                </c:pt>
                <c:pt idx="9">
                  <c:v>21.549999237060547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14.090000152587891</c:v>
                </c:pt>
                <c:pt idx="1">
                  <c:v>19.600000381469727</c:v>
                </c:pt>
                <c:pt idx="2">
                  <c:v>19.329999923706055</c:v>
                </c:pt>
                <c:pt idx="3">
                  <c:v>13.720000267028809</c:v>
                </c:pt>
                <c:pt idx="4">
                  <c:v>17.440000534057617</c:v>
                </c:pt>
                <c:pt idx="5">
                  <c:v>11.489999771118164</c:v>
                </c:pt>
                <c:pt idx="6">
                  <c:v>9.8000001907348633</c:v>
                </c:pt>
                <c:pt idx="7">
                  <c:v>10.710000038146973</c:v>
                </c:pt>
                <c:pt idx="8">
                  <c:v>10.670000076293945</c:v>
                </c:pt>
                <c:pt idx="9">
                  <c:v>12.720000267028809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2.559999942779541</c:v>
                </c:pt>
                <c:pt idx="1">
                  <c:v>1.1000000238418579</c:v>
                </c:pt>
                <c:pt idx="2">
                  <c:v>3.130000114440918</c:v>
                </c:pt>
                <c:pt idx="3">
                  <c:v>3.630000114440918</c:v>
                </c:pt>
                <c:pt idx="4">
                  <c:v>3.2999999523162842</c:v>
                </c:pt>
                <c:pt idx="5">
                  <c:v>3.6600000858306885</c:v>
                </c:pt>
                <c:pt idx="6">
                  <c:v>5.2800002098083496</c:v>
                </c:pt>
                <c:pt idx="7">
                  <c:v>2.7200000286102295</c:v>
                </c:pt>
                <c:pt idx="8">
                  <c:v>6.4499998092651367</c:v>
                </c:pt>
                <c:pt idx="9">
                  <c:v>6.630000114440918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18790</c:v>
                </c:pt>
                <c:pt idx="1">
                  <c:v>19960</c:v>
                </c:pt>
                <c:pt idx="2">
                  <c:v>22859</c:v>
                </c:pt>
                <c:pt idx="3">
                  <c:v>25638</c:v>
                </c:pt>
                <c:pt idx="4">
                  <c:v>28216</c:v>
                </c:pt>
                <c:pt idx="5">
                  <c:v>32753</c:v>
                </c:pt>
                <c:pt idx="6">
                  <c:v>33266</c:v>
                </c:pt>
                <c:pt idx="7">
                  <c:v>45804</c:v>
                </c:pt>
                <c:pt idx="8">
                  <c:v>56197</c:v>
                </c:pt>
                <c:pt idx="9">
                  <c:v>58054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14292</c:v>
                </c:pt>
                <c:pt idx="1">
                  <c:v>10538</c:v>
                </c:pt>
                <c:pt idx="2">
                  <c:v>29240</c:v>
                </c:pt>
                <c:pt idx="3">
                  <c:v>36440</c:v>
                </c:pt>
                <c:pt idx="4">
                  <c:v>30953</c:v>
                </c:pt>
                <c:pt idx="5">
                  <c:v>35002</c:v>
                </c:pt>
                <c:pt idx="6">
                  <c:v>62975</c:v>
                </c:pt>
                <c:pt idx="7">
                  <c:v>77554</c:v>
                </c:pt>
                <c:pt idx="8">
                  <c:v>64189</c:v>
                </c:pt>
                <c:pt idx="9">
                  <c:v>59135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6561</c:v>
                </c:pt>
                <c:pt idx="1">
                  <c:v>4197</c:v>
                </c:pt>
                <c:pt idx="2">
                  <c:v>8373</c:v>
                </c:pt>
                <c:pt idx="3">
                  <c:v>10529</c:v>
                </c:pt>
                <c:pt idx="4">
                  <c:v>11046</c:v>
                </c:pt>
                <c:pt idx="5">
                  <c:v>8148</c:v>
                </c:pt>
                <c:pt idx="6">
                  <c:v>15000</c:v>
                </c:pt>
                <c:pt idx="7">
                  <c:v>17834</c:v>
                </c:pt>
                <c:pt idx="8">
                  <c:v>26445</c:v>
                </c:pt>
                <c:pt idx="9">
                  <c:v>26584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2.1783264746227711</c:v>
                </c:pt>
                <c:pt idx="1">
                  <c:v>2.5108410769597334</c:v>
                </c:pt>
                <c:pt idx="2">
                  <c:v>3.4921772363549506</c:v>
                </c:pt>
                <c:pt idx="3">
                  <c:v>3.4609174660461584</c:v>
                </c:pt>
                <c:pt idx="4">
                  <c:v>2.8021908383125114</c:v>
                </c:pt>
                <c:pt idx="5">
                  <c:v>4.2957781050564554</c:v>
                </c:pt>
                <c:pt idx="6">
                  <c:v>4.1983333333333333</c:v>
                </c:pt>
                <c:pt idx="7">
                  <c:v>4.3486598631826849</c:v>
                </c:pt>
                <c:pt idx="8">
                  <c:v>2.4272641331064473</c:v>
                </c:pt>
                <c:pt idx="9">
                  <c:v>2.2244583207944628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5776</c:v>
                </c:pt>
                <c:pt idx="1">
                  <c:v>2937</c:v>
                </c:pt>
                <c:pt idx="2">
                  <c:v>7003</c:v>
                </c:pt>
                <c:pt idx="3">
                  <c:v>6562</c:v>
                </c:pt>
                <c:pt idx="4">
                  <c:v>9431</c:v>
                </c:pt>
                <c:pt idx="5">
                  <c:v>12789</c:v>
                </c:pt>
                <c:pt idx="6">
                  <c:v>12772</c:v>
                </c:pt>
                <c:pt idx="7">
                  <c:v>16790</c:v>
                </c:pt>
                <c:pt idx="8">
                  <c:v>21990</c:v>
                </c:pt>
                <c:pt idx="9">
                  <c:v>24248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2555</c:v>
                </c:pt>
                <c:pt idx="1">
                  <c:v>2661</c:v>
                </c:pt>
                <c:pt idx="2">
                  <c:v>3294</c:v>
                </c:pt>
                <c:pt idx="3">
                  <c:v>3717</c:v>
                </c:pt>
                <c:pt idx="4">
                  <c:v>4107</c:v>
                </c:pt>
                <c:pt idx="5">
                  <c:v>5580</c:v>
                </c:pt>
                <c:pt idx="6">
                  <c:v>6366</c:v>
                </c:pt>
                <c:pt idx="7">
                  <c:v>7716</c:v>
                </c:pt>
                <c:pt idx="8">
                  <c:v>9261</c:v>
                </c:pt>
                <c:pt idx="9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0.44234764542936289</c:v>
                </c:pt>
                <c:pt idx="1">
                  <c:v>0.90602655771195095</c:v>
                </c:pt>
                <c:pt idx="2">
                  <c:v>0.47036984149650152</c:v>
                </c:pt>
                <c:pt idx="3">
                  <c:v>0.56644315757391039</c:v>
                </c:pt>
                <c:pt idx="4">
                  <c:v>0.43547874032446188</c:v>
                </c:pt>
                <c:pt idx="5">
                  <c:v>0.4363124560168895</c:v>
                </c:pt>
                <c:pt idx="6">
                  <c:v>0.498434074538052</c:v>
                </c:pt>
                <c:pt idx="7">
                  <c:v>0.45955926146515785</c:v>
                </c:pt>
                <c:pt idx="8">
                  <c:v>0.42114597544338334</c:v>
                </c:pt>
                <c:pt idx="9">
                  <c:v>0.41417848894754206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11350</c:v>
                </c:pt>
                <c:pt idx="1">
                  <c:v>11432</c:v>
                </c:pt>
                <c:pt idx="2">
                  <c:v>36736</c:v>
                </c:pt>
                <c:pt idx="3">
                  <c:v>49912</c:v>
                </c:pt>
                <c:pt idx="4">
                  <c:v>49563</c:v>
                </c:pt>
                <c:pt idx="5">
                  <c:v>42407</c:v>
                </c:pt>
                <c:pt idx="6">
                  <c:v>39596</c:v>
                </c:pt>
                <c:pt idx="7">
                  <c:v>126392</c:v>
                </c:pt>
                <c:pt idx="8">
                  <c:v>118601</c:v>
                </c:pt>
                <c:pt idx="9">
                  <c:v>110342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17848</c:v>
                </c:pt>
                <c:pt idx="1">
                  <c:v>16081</c:v>
                </c:pt>
                <c:pt idx="2">
                  <c:v>16314</c:v>
                </c:pt>
                <c:pt idx="3">
                  <c:v>16187</c:v>
                </c:pt>
                <c:pt idx="4">
                  <c:v>21223</c:v>
                </c:pt>
                <c:pt idx="5">
                  <c:v>16945</c:v>
                </c:pt>
                <c:pt idx="6">
                  <c:v>49519</c:v>
                </c:pt>
                <c:pt idx="7">
                  <c:v>24173</c:v>
                </c:pt>
                <c:pt idx="8">
                  <c:v>27928</c:v>
                </c:pt>
                <c:pt idx="9">
                  <c:v>28463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6879</c:v>
                </c:pt>
                <c:pt idx="1">
                  <c:v>11393</c:v>
                </c:pt>
                <c:pt idx="2">
                  <c:v>10894</c:v>
                </c:pt>
                <c:pt idx="3">
                  <c:v>9781</c:v>
                </c:pt>
                <c:pt idx="4">
                  <c:v>16641</c:v>
                </c:pt>
                <c:pt idx="5">
                  <c:v>17239</c:v>
                </c:pt>
                <c:pt idx="6">
                  <c:v>15585</c:v>
                </c:pt>
                <c:pt idx="7">
                  <c:v>28661</c:v>
                </c:pt>
                <c:pt idx="8">
                  <c:v>35194</c:v>
                </c:pt>
                <c:pt idx="9">
                  <c:v>29538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17827</c:v>
                </c:pt>
                <c:pt idx="1">
                  <c:v>14378</c:v>
                </c:pt>
                <c:pt idx="2">
                  <c:v>38211</c:v>
                </c:pt>
                <c:pt idx="3">
                  <c:v>51682</c:v>
                </c:pt>
                <c:pt idx="4">
                  <c:v>49048</c:v>
                </c:pt>
                <c:pt idx="5">
                  <c:v>50559</c:v>
                </c:pt>
                <c:pt idx="6">
                  <c:v>81702</c:v>
                </c:pt>
                <c:pt idx="7">
                  <c:v>108807</c:v>
                </c:pt>
                <c:pt idx="8">
                  <c:v>95899</c:v>
                </c:pt>
                <c:pt idx="9">
                  <c:v>91980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4492</c:v>
                </c:pt>
                <c:pt idx="1">
                  <c:v>1742</c:v>
                </c:pt>
                <c:pt idx="2">
                  <c:v>3945</c:v>
                </c:pt>
                <c:pt idx="3">
                  <c:v>4636</c:v>
                </c:pt>
                <c:pt idx="4">
                  <c:v>5097</c:v>
                </c:pt>
                <c:pt idx="5">
                  <c:v>-8446</c:v>
                </c:pt>
                <c:pt idx="6">
                  <c:v>-8172</c:v>
                </c:pt>
                <c:pt idx="7">
                  <c:v>13097</c:v>
                </c:pt>
                <c:pt idx="8">
                  <c:v>15436</c:v>
                </c:pt>
                <c:pt idx="9">
                  <c:v>17287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24706</c:v>
                </c:pt>
                <c:pt idx="1">
                  <c:v>25771</c:v>
                </c:pt>
                <c:pt idx="2">
                  <c:v>49105</c:v>
                </c:pt>
                <c:pt idx="3">
                  <c:v>61463</c:v>
                </c:pt>
                <c:pt idx="4">
                  <c:v>65689</c:v>
                </c:pt>
                <c:pt idx="5">
                  <c:v>67798</c:v>
                </c:pt>
                <c:pt idx="6">
                  <c:v>97287</c:v>
                </c:pt>
                <c:pt idx="7">
                  <c:v>137468</c:v>
                </c:pt>
                <c:pt idx="8">
                  <c:v>131093</c:v>
                </c:pt>
                <c:pt idx="9">
                  <c:v>121518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5.5</c:v>
                </c:pt>
                <c:pt idx="1">
                  <c:v>14.793915040183697</c:v>
                </c:pt>
                <c:pt idx="2">
                  <c:v>12.447401774397973</c:v>
                </c:pt>
                <c:pt idx="3">
                  <c:v>13.257765314926662</c:v>
                </c:pt>
                <c:pt idx="4">
                  <c:v>12.887777123798312</c:v>
                </c:pt>
                <c:pt idx="5">
                  <c:v>-8.0272318257163153</c:v>
                </c:pt>
                <c:pt idx="6">
                  <c:v>-11.904919236417033</c:v>
                </c:pt>
                <c:pt idx="7">
                  <c:v>10.496144155150034</c:v>
                </c:pt>
                <c:pt idx="8">
                  <c:v>8.4926794506348795</c:v>
                </c:pt>
                <c:pt idx="9">
                  <c:v>7.0294440909353852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17848</c:v>
                </c:pt>
                <c:pt idx="1">
                  <c:v>16081</c:v>
                </c:pt>
                <c:pt idx="2">
                  <c:v>16314</c:v>
                </c:pt>
                <c:pt idx="3">
                  <c:v>16187</c:v>
                </c:pt>
                <c:pt idx="4">
                  <c:v>21223</c:v>
                </c:pt>
                <c:pt idx="5">
                  <c:v>16945</c:v>
                </c:pt>
                <c:pt idx="6">
                  <c:v>49519</c:v>
                </c:pt>
                <c:pt idx="7">
                  <c:v>24173</c:v>
                </c:pt>
                <c:pt idx="8">
                  <c:v>27928</c:v>
                </c:pt>
                <c:pt idx="9">
                  <c:v>28463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6879</c:v>
                </c:pt>
                <c:pt idx="1">
                  <c:v>11393</c:v>
                </c:pt>
                <c:pt idx="2">
                  <c:v>10894</c:v>
                </c:pt>
                <c:pt idx="3">
                  <c:v>9781</c:v>
                </c:pt>
                <c:pt idx="4">
                  <c:v>16641</c:v>
                </c:pt>
                <c:pt idx="5">
                  <c:v>17239</c:v>
                </c:pt>
                <c:pt idx="6">
                  <c:v>15585</c:v>
                </c:pt>
                <c:pt idx="7">
                  <c:v>28661</c:v>
                </c:pt>
                <c:pt idx="8">
                  <c:v>35194</c:v>
                </c:pt>
                <c:pt idx="9">
                  <c:v>29538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2.5945631632504726</c:v>
                </c:pt>
                <c:pt idx="1">
                  <c:v>1.4114807337839024</c:v>
                </c:pt>
                <c:pt idx="2">
                  <c:v>1.4975215715072516</c:v>
                </c:pt>
                <c:pt idx="3">
                  <c:v>1.6549432573356508</c:v>
                </c:pt>
                <c:pt idx="4">
                  <c:v>1.2753440298059011</c:v>
                </c:pt>
                <c:pt idx="5">
                  <c:v>0.9829456464992169</c:v>
                </c:pt>
                <c:pt idx="6">
                  <c:v>3.177350016041065</c:v>
                </c:pt>
                <c:pt idx="7">
                  <c:v>0.84341090680715958</c:v>
                </c:pt>
                <c:pt idx="8">
                  <c:v>0.79354435415127578</c:v>
                </c:pt>
                <c:pt idx="9">
                  <c:v>0.9636062021802424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6561</c:v>
                </c:pt>
                <c:pt idx="1">
                  <c:v>4197</c:v>
                </c:pt>
                <c:pt idx="2">
                  <c:v>8373</c:v>
                </c:pt>
                <c:pt idx="3">
                  <c:v>10529</c:v>
                </c:pt>
                <c:pt idx="4">
                  <c:v>11046</c:v>
                </c:pt>
                <c:pt idx="5">
                  <c:v>8148</c:v>
                </c:pt>
                <c:pt idx="6">
                  <c:v>15000</c:v>
                </c:pt>
                <c:pt idx="7">
                  <c:v>17834</c:v>
                </c:pt>
                <c:pt idx="8">
                  <c:v>26445</c:v>
                </c:pt>
                <c:pt idx="9">
                  <c:v>26584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4128</c:v>
                </c:pt>
                <c:pt idx="1">
                  <c:v>1774</c:v>
                </c:pt>
                <c:pt idx="2">
                  <c:v>5144</c:v>
                </c:pt>
                <c:pt idx="3">
                  <c:v>5953</c:v>
                </c:pt>
                <c:pt idx="4">
                  <c:v>5309</c:v>
                </c:pt>
                <c:pt idx="5">
                  <c:v>5687</c:v>
                </c:pt>
                <c:pt idx="6">
                  <c:v>7882</c:v>
                </c:pt>
                <c:pt idx="7">
                  <c:v>4616</c:v>
                </c:pt>
                <c:pt idx="8">
                  <c:v>11542</c:v>
                </c:pt>
                <c:pt idx="9">
                  <c:v>11836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5776</c:v>
                </c:pt>
                <c:pt idx="1">
                  <c:v>2937</c:v>
                </c:pt>
                <c:pt idx="2">
                  <c:v>7003</c:v>
                </c:pt>
                <c:pt idx="3">
                  <c:v>6562</c:v>
                </c:pt>
                <c:pt idx="4">
                  <c:v>9431</c:v>
                </c:pt>
                <c:pt idx="5">
                  <c:v>12789</c:v>
                </c:pt>
                <c:pt idx="6">
                  <c:v>12772</c:v>
                </c:pt>
                <c:pt idx="7">
                  <c:v>16790</c:v>
                </c:pt>
                <c:pt idx="8">
                  <c:v>21990</c:v>
                </c:pt>
                <c:pt idx="9">
                  <c:v>24248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14.137954654428386</c:v>
                </c:pt>
                <c:pt idx="1">
                  <c:v>6.4478610111583619</c:v>
                </c:pt>
                <c:pt idx="2">
                  <c:v>9.6965127238454283</c:v>
                </c:pt>
                <c:pt idx="3">
                  <c:v>9.0061876881647223</c:v>
                </c:pt>
                <c:pt idx="4">
                  <c:v>7.5000706354363853</c:v>
                </c:pt>
                <c:pt idx="5">
                  <c:v>9.5818169564631344</c:v>
                </c:pt>
                <c:pt idx="6">
                  <c:v>8.8447511642260004</c:v>
                </c:pt>
                <c:pt idx="7">
                  <c:v>3.0657855411284163</c:v>
                </c:pt>
                <c:pt idx="8">
                  <c:v>7.8769390359587526</c:v>
                </c:pt>
                <c:pt idx="9">
                  <c:v>8.5270703504916963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91.896705253784503</c:v>
                </c:pt>
                <c:pt idx="1">
                  <c:v>101.83696900114811</c:v>
                </c:pt>
                <c:pt idx="2">
                  <c:v>130.39290240811152</c:v>
                </c:pt>
                <c:pt idx="3">
                  <c:v>128.40811044003451</c:v>
                </c:pt>
                <c:pt idx="4">
                  <c:v>104.15930939768491</c:v>
                </c:pt>
                <c:pt idx="5">
                  <c:v>-67.333649064645982</c:v>
                </c:pt>
                <c:pt idx="6">
                  <c:v>-96.45129711209006</c:v>
                </c:pt>
                <c:pt idx="7">
                  <c:v>35.244712529586927</c:v>
                </c:pt>
                <c:pt idx="8">
                  <c:v>74.773257320549362</c:v>
                </c:pt>
                <c:pt idx="9">
                  <c:v>68.467634638745878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22.709999084472656</c:v>
                </c:pt>
                <c:pt idx="1">
                  <c:v>11.489999771118164</c:v>
                </c:pt>
                <c:pt idx="2">
                  <c:v>21.659999847412109</c:v>
                </c:pt>
                <c:pt idx="3">
                  <c:v>17.270000457763672</c:v>
                </c:pt>
                <c:pt idx="4">
                  <c:v>14.239999771118164</c:v>
                </c:pt>
                <c:pt idx="5">
                  <c:v>0</c:v>
                </c:pt>
                <c:pt idx="6">
                  <c:v>0</c:v>
                </c:pt>
                <c:pt idx="7">
                  <c:v>7.8899998664855957</c:v>
                </c:pt>
                <c:pt idx="8">
                  <c:v>14.210000038146973</c:v>
                </c:pt>
                <c:pt idx="9">
                  <c:v>15.729999542236328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1604</c:v>
                </c:pt>
                <c:pt idx="1">
                  <c:v>1610</c:v>
                </c:pt>
                <c:pt idx="2">
                  <c:v>1637</c:v>
                </c:pt>
                <c:pt idx="3">
                  <c:v>1631</c:v>
                </c:pt>
                <c:pt idx="4">
                  <c:v>1603</c:v>
                </c:pt>
                <c:pt idx="5">
                  <c:v>1546</c:v>
                </c:pt>
                <c:pt idx="6">
                  <c:v>1484</c:v>
                </c:pt>
                <c:pt idx="7">
                  <c:v>1673</c:v>
                </c:pt>
                <c:pt idx="8">
                  <c:v>1777</c:v>
                </c:pt>
                <c:pt idx="9">
                  <c:v>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Y25" sqref="Y25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>
        <f>AVERAGE(L12:P12)</f>
        <v>7.5792726096536001</v>
      </c>
      <c r="G12" s="119">
        <f>Financials!D76</f>
        <v>14.137954654428386</v>
      </c>
      <c r="H12" s="119">
        <f>Financials!E76</f>
        <v>6.4478610111583619</v>
      </c>
      <c r="I12" s="119">
        <f>Financials!F76</f>
        <v>9.6965127238454283</v>
      </c>
      <c r="J12" s="119">
        <f>Financials!G76</f>
        <v>9.0061876881647223</v>
      </c>
      <c r="K12" s="119">
        <f>Financials!H76</f>
        <v>7.5000706354363853</v>
      </c>
      <c r="L12" s="119">
        <f>Financials!I76</f>
        <v>9.5818169564631344</v>
      </c>
      <c r="M12" s="119">
        <f>Financials!J76</f>
        <v>8.8447511642260004</v>
      </c>
      <c r="N12" s="119">
        <f>Financials!K76</f>
        <v>3.0657855411284163</v>
      </c>
      <c r="O12" s="119">
        <f>Financials!L76</f>
        <v>7.8769390359587526</v>
      </c>
      <c r="P12" s="119">
        <f>Financials!M76</f>
        <v>8.5270703504916963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6" t="str">
        <f>V11</f>
        <v>L</v>
      </c>
      <c r="E14" s="46">
        <v>0.08</v>
      </c>
      <c r="F14" s="124">
        <f>AVERAGE(L14:P14)</f>
        <v>2.9401316624292262</v>
      </c>
      <c r="G14" s="40">
        <f>Financials!D77</f>
        <v>91.896705253784503</v>
      </c>
      <c r="H14" s="40">
        <f>Financials!E77</f>
        <v>101.83696900114811</v>
      </c>
      <c r="I14" s="40">
        <f>Financials!F77</f>
        <v>130.39290240811152</v>
      </c>
      <c r="J14" s="40">
        <f>Financials!G77</f>
        <v>128.40811044003451</v>
      </c>
      <c r="K14" s="40">
        <f>Financials!H77</f>
        <v>104.15930939768491</v>
      </c>
      <c r="L14" s="40">
        <f>Financials!I77</f>
        <v>-67.333649064645982</v>
      </c>
      <c r="M14" s="40">
        <f>Financials!J77</f>
        <v>-96.45129711209006</v>
      </c>
      <c r="N14" s="40">
        <f>Financials!K77</f>
        <v>35.244712529586927</v>
      </c>
      <c r="O14" s="40">
        <f>Financials!L77</f>
        <v>74.773257320549362</v>
      </c>
      <c r="P14" s="40">
        <f>Financials!M77</f>
        <v>68.467634638745878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6.1905696694895776E-2</v>
      </c>
      <c r="F16" s="124">
        <f>AVERAGE(L16:P16)</f>
        <v>7.5659998893737797</v>
      </c>
      <c r="G16" s="40">
        <f>Financials!D78</f>
        <v>22.709999084472656</v>
      </c>
      <c r="H16" s="40">
        <f>Financials!E78</f>
        <v>11.489999771118164</v>
      </c>
      <c r="I16" s="40">
        <f>Financials!F78</f>
        <v>21.659999847412109</v>
      </c>
      <c r="J16" s="40">
        <f>Financials!G78</f>
        <v>17.270000457763672</v>
      </c>
      <c r="K16" s="40">
        <f>Financials!H78</f>
        <v>14.239999771118164</v>
      </c>
      <c r="L16" s="40">
        <f>Financials!I78</f>
        <v>0</v>
      </c>
      <c r="M16" s="40">
        <f>Financials!J78</f>
        <v>0</v>
      </c>
      <c r="N16" s="40">
        <f>Financials!K78</f>
        <v>7.8899998664855957</v>
      </c>
      <c r="O16" s="40">
        <f>Financials!L78</f>
        <v>14.210000038146973</v>
      </c>
      <c r="P16" s="40">
        <f>Financials!M78</f>
        <v>15.729999542236328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>
        <f>AVERAGE(L18:P18)</f>
        <v>1.3521714251357921</v>
      </c>
      <c r="G18" s="42">
        <f>Financials!D59</f>
        <v>2.5945631632504726</v>
      </c>
      <c r="H18" s="42">
        <f>Financials!E59</f>
        <v>1.4114807337839024</v>
      </c>
      <c r="I18" s="42">
        <f>Financials!F59</f>
        <v>1.4975215715072516</v>
      </c>
      <c r="J18" s="42">
        <f>Financials!G59</f>
        <v>1.6549432573356508</v>
      </c>
      <c r="K18" s="42">
        <f>Financials!H59</f>
        <v>1.2753440298059011</v>
      </c>
      <c r="L18" s="42">
        <f>Financials!I59</f>
        <v>0.9829456464992169</v>
      </c>
      <c r="M18" s="42">
        <f>Financials!J59</f>
        <v>3.177350016041065</v>
      </c>
      <c r="N18" s="42">
        <f>Financials!K59</f>
        <v>0.84341090680715958</v>
      </c>
      <c r="O18" s="42">
        <f>Financials!L59</f>
        <v>0.79354435415127578</v>
      </c>
      <c r="P18" s="42">
        <f>Financials!M59</f>
        <v>0.9636062021802424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5" t="str">
        <f>U11</f>
        <v>K</v>
      </c>
      <c r="E20" s="49" t="s">
        <v>137</v>
      </c>
      <c r="F20" s="125">
        <f>AVERAGE(L20:P20)</f>
        <v>1.2172233269173898</v>
      </c>
      <c r="G20" s="42">
        <f>Financials!D58</f>
        <v>5.5</v>
      </c>
      <c r="H20" s="42">
        <f>Financials!E58</f>
        <v>14.793915040183697</v>
      </c>
      <c r="I20" s="42">
        <f>Financials!F58</f>
        <v>12.447401774397973</v>
      </c>
      <c r="J20" s="42">
        <f>Financials!G58</f>
        <v>13.257765314926662</v>
      </c>
      <c r="K20" s="42">
        <f>Financials!H58</f>
        <v>12.887777123798312</v>
      </c>
      <c r="L20" s="42">
        <f>Financials!I58</f>
        <v>-8.0272318257163153</v>
      </c>
      <c r="M20" s="42">
        <f>Financials!J58</f>
        <v>-11.904919236417033</v>
      </c>
      <c r="N20" s="42">
        <f>Financials!K58</f>
        <v>10.496144155150034</v>
      </c>
      <c r="O20" s="42">
        <f>Financials!L58</f>
        <v>8.4926794506348795</v>
      </c>
      <c r="P20" s="42">
        <f>Financials!M58</f>
        <v>7.0294440909353852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5" t="str">
        <f>U11</f>
        <v>K</v>
      </c>
      <c r="E22" s="49" t="s">
        <v>158</v>
      </c>
      <c r="F22" s="125">
        <f>AVERAGE(L22:P22)</f>
        <v>3.4988987510946763</v>
      </c>
      <c r="G22" s="42">
        <f>Financials!D60</f>
        <v>2.1783264746227711</v>
      </c>
      <c r="H22" s="42">
        <f>Financials!E60</f>
        <v>2.5108410769597334</v>
      </c>
      <c r="I22" s="42">
        <f>Financials!F60</f>
        <v>3.4921772363549506</v>
      </c>
      <c r="J22" s="42">
        <f>Financials!G60</f>
        <v>3.4609174660461584</v>
      </c>
      <c r="K22" s="42">
        <f>Financials!H60</f>
        <v>2.8021908383125114</v>
      </c>
      <c r="L22" s="42">
        <f>Financials!I60</f>
        <v>4.2957781050564554</v>
      </c>
      <c r="M22" s="42">
        <f>Financials!J60</f>
        <v>4.1983333333333333</v>
      </c>
      <c r="N22" s="42">
        <f>Financials!K60</f>
        <v>4.3486598631826849</v>
      </c>
      <c r="O22" s="42">
        <f>Financials!L60</f>
        <v>2.4272641331064473</v>
      </c>
      <c r="P22" s="42">
        <f>Financials!M60</f>
        <v>2.2244583207944628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>
        <f>Financials!D12</f>
        <v>1604</v>
      </c>
      <c r="H24" s="40">
        <f>Financials!E12</f>
        <v>1610</v>
      </c>
      <c r="I24" s="40">
        <f>Financials!F12</f>
        <v>1637</v>
      </c>
      <c r="J24" s="40">
        <f>Financials!G12</f>
        <v>1631</v>
      </c>
      <c r="K24" s="40">
        <f>Financials!H12</f>
        <v>1603</v>
      </c>
      <c r="L24" s="40">
        <f>Financials!I12</f>
        <v>1546</v>
      </c>
      <c r="M24" s="40">
        <f>Financials!J12</f>
        <v>1484</v>
      </c>
      <c r="N24" s="40">
        <f>Financials!K12</f>
        <v>1673</v>
      </c>
      <c r="O24" s="40">
        <f>Financials!L12</f>
        <v>1777</v>
      </c>
      <c r="P24" s="40">
        <f>Financials!M12</f>
        <v>1778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160</v>
      </c>
      <c r="F26" s="57">
        <f>AVERAGEIF(L26:P26,"&lt;100")</f>
        <v>27.09599952697754</v>
      </c>
      <c r="G26" s="44">
        <f>Financials!D81</f>
        <v>18.510000228881836</v>
      </c>
      <c r="H26" s="44">
        <f>Financials!E81</f>
        <v>28.450000762939453</v>
      </c>
      <c r="I26" s="44">
        <f>Financials!F81</f>
        <v>34.639999389648438</v>
      </c>
      <c r="J26" s="44">
        <f>Financials!G81</f>
        <v>16.920000076293945</v>
      </c>
      <c r="K26" s="44">
        <f>Financials!H81</f>
        <v>23.469999313354492</v>
      </c>
      <c r="L26" s="44">
        <f>Financials!I81</f>
        <v>19.129999160766602</v>
      </c>
      <c r="M26" s="44">
        <f>Financials!J81</f>
        <v>39</v>
      </c>
      <c r="N26" s="44">
        <f>Financials!K81</f>
        <v>23.090000152587891</v>
      </c>
      <c r="O26" s="44">
        <f>Financials!L81</f>
        <v>32.709999084472656</v>
      </c>
      <c r="P26" s="44">
        <f>Financials!M81</f>
        <v>21.549999237060547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161</v>
      </c>
      <c r="F28" s="57">
        <f>AVERAGEIF(L28:P28, "&lt;100")</f>
        <v>11.078000068664551</v>
      </c>
      <c r="G28" s="44">
        <f>Financials!D82</f>
        <v>14.090000152587891</v>
      </c>
      <c r="H28" s="44">
        <f>Financials!E82</f>
        <v>19.600000381469727</v>
      </c>
      <c r="I28" s="44">
        <f>Financials!F82</f>
        <v>19.329999923706055</v>
      </c>
      <c r="J28" s="44">
        <f>Financials!G82</f>
        <v>13.720000267028809</v>
      </c>
      <c r="K28" s="44">
        <f>Financials!H82</f>
        <v>17.440000534057617</v>
      </c>
      <c r="L28" s="44">
        <f>Financials!I82</f>
        <v>11.489999771118164</v>
      </c>
      <c r="M28" s="44">
        <f>Financials!J82</f>
        <v>9.8000001907348633</v>
      </c>
      <c r="N28" s="44">
        <f>Financials!K82</f>
        <v>10.710000038146973</v>
      </c>
      <c r="O28" s="44">
        <f>Financials!L82</f>
        <v>10.670000076293945</v>
      </c>
      <c r="P28" s="44">
        <f>Financials!M82</f>
        <v>12.720000267028809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3.9900000095367432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0.13649588400268642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0.15426326403797708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0.26681693831260578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0.32290926516329632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0.15788211475917868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0.11108306144077407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0.12128551705139334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0.11941349150526581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>
        <f>Financials!$D$73</f>
        <v>0.44592605128220492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0.12472371587191211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0.19925073310688862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>
        <f>F45+F46</f>
        <v>0.32397444897880073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1" zoomScale="78" zoomScaleNormal="100" workbookViewId="0">
      <selection activeCell="X140" sqref="X140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281.54000854492188</v>
      </c>
    </row>
    <row r="6" spans="2:16">
      <c r="B6" s="4" t="s">
        <v>5</v>
      </c>
      <c r="C6" s="59">
        <v>29538000</v>
      </c>
    </row>
    <row r="7" spans="2:16">
      <c r="B7" s="4" t="s">
        <v>4</v>
      </c>
      <c r="C7" s="59">
        <v>91980000</v>
      </c>
    </row>
    <row r="8" spans="2:16">
      <c r="B8" s="4" t="s">
        <v>3</v>
      </c>
      <c r="C8" s="59">
        <v>2230000</v>
      </c>
    </row>
    <row r="9" spans="2:16">
      <c r="B9" s="10" t="s">
        <v>6</v>
      </c>
      <c r="C9" s="59">
        <v>13477000</v>
      </c>
    </row>
    <row r="10" spans="2:16">
      <c r="B10" s="10" t="s">
        <v>7</v>
      </c>
      <c r="C10" s="59">
        <v>1632000</v>
      </c>
    </row>
    <row r="11" spans="2:16">
      <c r="B11" s="10" t="s">
        <v>9</v>
      </c>
      <c r="C11" s="60">
        <v>0.55000001192092896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121518000</v>
      </c>
    </row>
    <row r="18" spans="2:15" ht="18" thickTop="1" thickBot="1">
      <c r="B18" s="2" t="s">
        <v>20</v>
      </c>
      <c r="C18" s="12">
        <f>C8/C17</f>
        <v>1.8351190770091674E-2</v>
      </c>
    </row>
    <row r="19" spans="2:15" ht="18" thickTop="1" thickBot="1">
      <c r="B19" s="2" t="s">
        <v>19</v>
      </c>
      <c r="C19" s="12">
        <f>C14+C11*(C15-C14)</f>
        <v>8.0850001037120825E-2</v>
      </c>
    </row>
    <row r="20" spans="2:15" ht="18" thickTop="1" thickBot="1">
      <c r="B20" s="2" t="s">
        <v>18</v>
      </c>
      <c r="C20" s="12">
        <f>C8/C17</f>
        <v>1.8351190770091674E-2</v>
      </c>
      <c r="K20" t="s">
        <v>17</v>
      </c>
    </row>
    <row r="21" spans="2:15" ht="18" thickTop="1" thickBot="1">
      <c r="B21" s="16" t="s">
        <v>22</v>
      </c>
      <c r="C21" s="11">
        <f>C17+C5*1000000</f>
        <v>403058008.54492199</v>
      </c>
      <c r="K21" t="s">
        <v>11</v>
      </c>
    </row>
    <row r="22" spans="2:15" ht="18" thickTop="1" thickBot="1">
      <c r="B22" s="2" t="s">
        <v>23</v>
      </c>
      <c r="C22" s="12">
        <f>C5*1000000/C21</f>
        <v>0.6985098982682626</v>
      </c>
      <c r="K22" t="s">
        <v>12</v>
      </c>
    </row>
    <row r="23" spans="2:15" ht="18" thickTop="1" thickBot="1">
      <c r="B23" s="16" t="s">
        <v>24</v>
      </c>
      <c r="C23" s="12">
        <f>C17/C21</f>
        <v>0.30149010173173735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6.1905696694895776E-2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opLeftCell="A10" zoomScale="82" workbookViewId="0">
      <selection activeCell="C42" sqref="C42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6.1905696694895776E-2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9.9999997764825821E-3</v>
      </c>
    </row>
    <row r="7" spans="2:12">
      <c r="B7" s="18" t="s">
        <v>31</v>
      </c>
      <c r="C7" s="13">
        <f>AVERAGEIF(C28:L28, "&lt;0.5")</f>
        <v>0.18745634185894278</v>
      </c>
    </row>
    <row r="8" spans="2:12">
      <c r="B8" s="18" t="s">
        <v>112</v>
      </c>
      <c r="C8" s="13">
        <f>AVERAGEIF(C29:L29,"&lt;2")</f>
        <v>1.5457903914692772</v>
      </c>
    </row>
    <row r="9" spans="2:12">
      <c r="B9" s="18" t="s">
        <v>136</v>
      </c>
      <c r="C9" s="66">
        <v>11.140000343322754</v>
      </c>
    </row>
    <row r="10" spans="2:12">
      <c r="B10" s="18" t="s">
        <v>100</v>
      </c>
      <c r="C10" s="67">
        <v>0.02</v>
      </c>
    </row>
    <row r="11" spans="2:12">
      <c r="B11" s="18" t="s">
        <v>44</v>
      </c>
      <c r="C11" s="59">
        <v>1769399936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18790</v>
      </c>
      <c r="D16" s="21">
        <f>Financials!E3</f>
        <v>19960</v>
      </c>
      <c r="E16" s="21">
        <f>Financials!F3</f>
        <v>22859</v>
      </c>
      <c r="F16" s="21">
        <f>Financials!G3</f>
        <v>25638</v>
      </c>
      <c r="G16" s="21">
        <f>Financials!H3</f>
        <v>28216</v>
      </c>
      <c r="H16" s="21">
        <f>Financials!I3</f>
        <v>32753</v>
      </c>
      <c r="I16" s="21">
        <f>Financials!J3</f>
        <v>33266</v>
      </c>
      <c r="J16" s="21">
        <f>Financials!K3</f>
        <v>45804</v>
      </c>
      <c r="K16" s="21">
        <f>Financials!L3</f>
        <v>56197</v>
      </c>
      <c r="L16" s="21">
        <f>Financials!M3</f>
        <v>58054</v>
      </c>
    </row>
    <row r="17" spans="2:12">
      <c r="B17" s="18" t="s">
        <v>27</v>
      </c>
      <c r="C17" s="22"/>
      <c r="D17" s="20">
        <f t="shared" ref="D17:L17" si="0">(D16-C16)/C16</f>
        <v>6.2267163384779139E-2</v>
      </c>
      <c r="E17" s="20">
        <f t="shared" si="0"/>
        <v>0.14524048096192385</v>
      </c>
      <c r="F17" s="20">
        <f t="shared" si="0"/>
        <v>0.12157137232599852</v>
      </c>
      <c r="G17" s="20">
        <f t="shared" si="0"/>
        <v>0.10055386535611202</v>
      </c>
      <c r="H17" s="20">
        <f t="shared" si="0"/>
        <v>0.16079529345052451</v>
      </c>
      <c r="I17" s="20">
        <f t="shared" si="0"/>
        <v>1.5662687387414893E-2</v>
      </c>
      <c r="J17" s="20">
        <f t="shared" si="0"/>
        <v>0.37690134070823061</v>
      </c>
      <c r="K17" s="20">
        <f t="shared" si="0"/>
        <v>0.22690158064797833</v>
      </c>
      <c r="L17" s="20">
        <f t="shared" si="0"/>
        <v>3.3044468565937686E-2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4128</v>
      </c>
      <c r="D19" s="21">
        <f>Financials!E6</f>
        <v>1774</v>
      </c>
      <c r="E19" s="21">
        <f>Financials!F6</f>
        <v>5144</v>
      </c>
      <c r="F19" s="21">
        <f>Financials!G6</f>
        <v>5953</v>
      </c>
      <c r="G19" s="21">
        <f>Financials!H6</f>
        <v>5309</v>
      </c>
      <c r="H19" s="21">
        <f>Financials!I6</f>
        <v>5687</v>
      </c>
      <c r="I19" s="21">
        <f>Financials!J6</f>
        <v>7882</v>
      </c>
      <c r="J19" s="21">
        <f>Financials!K6</f>
        <v>4616</v>
      </c>
      <c r="K19" s="21">
        <f>Financials!L6</f>
        <v>11542</v>
      </c>
      <c r="L19" s="21">
        <f>Financials!M6</f>
        <v>11836</v>
      </c>
    </row>
    <row r="20" spans="2:12">
      <c r="B20" s="18" t="s">
        <v>27</v>
      </c>
      <c r="C20" s="22"/>
      <c r="D20" s="20">
        <f>(D19-C19)/C19</f>
        <v>-0.57025193798449614</v>
      </c>
      <c r="E20" s="20">
        <f t="shared" ref="E20:L20" si="1">(E19-D19)/D19</f>
        <v>1.8996617812852312</v>
      </c>
      <c r="F20" s="20">
        <f t="shared" si="1"/>
        <v>0.1572706065318818</v>
      </c>
      <c r="G20" s="20">
        <f t="shared" si="1"/>
        <v>-0.10818074920208298</v>
      </c>
      <c r="H20" s="20">
        <f t="shared" si="1"/>
        <v>7.1199849312488225E-2</v>
      </c>
      <c r="I20" s="20">
        <f t="shared" si="1"/>
        <v>0.38596799718656583</v>
      </c>
      <c r="J20" s="20">
        <f t="shared" si="1"/>
        <v>-0.41436183709718344</v>
      </c>
      <c r="K20" s="20">
        <f t="shared" si="1"/>
        <v>1.5004332755632583</v>
      </c>
      <c r="L20" s="20">
        <f t="shared" si="1"/>
        <v>2.5472188528851154E-2</v>
      </c>
    </row>
    <row r="22" spans="2:12">
      <c r="B22" s="18" t="s">
        <v>30</v>
      </c>
      <c r="C22" s="25">
        <f>Financials!D20</f>
        <v>5776</v>
      </c>
      <c r="D22" s="25">
        <f>Financials!E20</f>
        <v>2937</v>
      </c>
      <c r="E22" s="25">
        <f>Financials!F20</f>
        <v>7003</v>
      </c>
      <c r="F22" s="25">
        <f>Financials!G20</f>
        <v>6562</v>
      </c>
      <c r="G22" s="25">
        <f>Financials!H20</f>
        <v>9431</v>
      </c>
      <c r="H22" s="25">
        <f>Financials!I20</f>
        <v>12789</v>
      </c>
      <c r="I22" s="25">
        <f>Financials!J20</f>
        <v>12772</v>
      </c>
      <c r="J22" s="25">
        <f>Financials!K20</f>
        <v>16790</v>
      </c>
      <c r="K22" s="25">
        <f>Financials!L20</f>
        <v>21990</v>
      </c>
      <c r="L22" s="25">
        <f>Financials!M20</f>
        <v>24248</v>
      </c>
    </row>
    <row r="23" spans="2:12">
      <c r="B23" s="18" t="s">
        <v>27</v>
      </c>
      <c r="C23" s="26"/>
      <c r="D23" s="26">
        <f>(D22-C22)/C22</f>
        <v>-0.49151662049861494</v>
      </c>
      <c r="E23" s="26">
        <f t="shared" ref="E23:L23" si="2">(E22-D22)/D22</f>
        <v>1.3844058563159687</v>
      </c>
      <c r="F23" s="26">
        <f t="shared" si="2"/>
        <v>-6.2973011566471518E-2</v>
      </c>
      <c r="G23" s="26">
        <f t="shared" si="2"/>
        <v>0.43721426394391955</v>
      </c>
      <c r="H23" s="26">
        <f t="shared" si="2"/>
        <v>0.35605980277807231</v>
      </c>
      <c r="I23" s="26">
        <f t="shared" si="2"/>
        <v>-1.3292673391195559E-3</v>
      </c>
      <c r="J23" s="26">
        <f t="shared" si="2"/>
        <v>0.31459442530535547</v>
      </c>
      <c r="K23" s="26">
        <f t="shared" si="2"/>
        <v>0.3097081596188207</v>
      </c>
      <c r="L23" s="26">
        <f t="shared" si="2"/>
        <v>0.10268303774442929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6561</v>
      </c>
      <c r="D25" s="62">
        <f>Financials!E9</f>
        <v>4197</v>
      </c>
      <c r="E25" s="62">
        <f>Financials!F9</f>
        <v>8373</v>
      </c>
      <c r="F25" s="62">
        <f>Financials!G9</f>
        <v>10529</v>
      </c>
      <c r="G25" s="62">
        <f>Financials!H9</f>
        <v>11046</v>
      </c>
      <c r="H25" s="62">
        <f>Financials!I9</f>
        <v>8148</v>
      </c>
      <c r="I25" s="62">
        <f>Financials!J9</f>
        <v>15000</v>
      </c>
      <c r="J25" s="62">
        <f>Financials!K9</f>
        <v>17834</v>
      </c>
      <c r="K25" s="62">
        <f>Financials!L9</f>
        <v>26445</v>
      </c>
      <c r="L25" s="62">
        <f>Financials!M9</f>
        <v>26584</v>
      </c>
    </row>
    <row r="26" spans="2:12">
      <c r="B26" s="18" t="s">
        <v>27</v>
      </c>
      <c r="C26" s="63"/>
      <c r="D26" s="63">
        <f>Financials!E10</f>
        <v>-0.36031092821216276</v>
      </c>
      <c r="E26" s="63">
        <f>Financials!F10</f>
        <v>0.99499642601858473</v>
      </c>
      <c r="F26" s="63">
        <f>Financials!G10</f>
        <v>0.25749432700346353</v>
      </c>
      <c r="G26" s="63">
        <f>Financials!H10</f>
        <v>4.9102478867888689E-2</v>
      </c>
      <c r="H26" s="63">
        <f>Financials!I10</f>
        <v>-0.26235741444866922</v>
      </c>
      <c r="I26" s="63">
        <f>Financials!J10</f>
        <v>0.84094256259204714</v>
      </c>
      <c r="J26" s="63">
        <f>Financials!K10</f>
        <v>0.18893333333333334</v>
      </c>
      <c r="K26" s="63">
        <f>Financials!L10</f>
        <v>0.48284176292475045</v>
      </c>
      <c r="L26" s="63">
        <f>Financials!M10</f>
        <v>5.2561920968046891E-3</v>
      </c>
    </row>
    <row r="28" spans="2:12" ht="15" thickBot="1">
      <c r="B28" s="1" t="s">
        <v>31</v>
      </c>
      <c r="C28" s="24">
        <f t="shared" ref="C28:L28" si="3">C19/C16</f>
        <v>0.21969132517296433</v>
      </c>
      <c r="D28" s="24">
        <f t="shared" si="3"/>
        <v>8.8877755511022047E-2</v>
      </c>
      <c r="E28" s="24">
        <f t="shared" si="3"/>
        <v>0.22503171617306095</v>
      </c>
      <c r="F28" s="24">
        <f t="shared" si="3"/>
        <v>0.23219439893907481</v>
      </c>
      <c r="G28" s="24">
        <f t="shared" si="3"/>
        <v>0.18815565636518289</v>
      </c>
      <c r="H28" s="24">
        <f t="shared" si="3"/>
        <v>0.17363294965346684</v>
      </c>
      <c r="I28" s="24">
        <f t="shared" si="3"/>
        <v>0.23693861600432875</v>
      </c>
      <c r="J28" s="24">
        <f t="shared" si="3"/>
        <v>0.10077722469653305</v>
      </c>
      <c r="K28" s="24">
        <f t="shared" si="3"/>
        <v>0.20538462907272631</v>
      </c>
      <c r="L28" s="24">
        <f t="shared" si="3"/>
        <v>0.20387914700106796</v>
      </c>
    </row>
    <row r="29" spans="2:12" ht="15" thickBot="1">
      <c r="B29" s="1" t="s">
        <v>32</v>
      </c>
      <c r="C29" s="24">
        <f t="shared" ref="C29:L29" si="4">C22/C19</f>
        <v>1.3992248062015504</v>
      </c>
      <c r="D29" s="24">
        <f t="shared" si="4"/>
        <v>1.6555806087936866</v>
      </c>
      <c r="E29" s="24">
        <f t="shared" si="4"/>
        <v>1.3613919129082426</v>
      </c>
      <c r="F29" s="24">
        <f t="shared" si="4"/>
        <v>1.1023013606584915</v>
      </c>
      <c r="G29" s="24">
        <f t="shared" si="4"/>
        <v>1.7764174044076098</v>
      </c>
      <c r="H29" s="24">
        <f t="shared" si="4"/>
        <v>2.2488130824687884</v>
      </c>
      <c r="I29" s="24">
        <f t="shared" si="4"/>
        <v>1.6204009134737376</v>
      </c>
      <c r="J29" s="24">
        <f t="shared" si="4"/>
        <v>3.6373483535528597</v>
      </c>
      <c r="K29" s="24">
        <f t="shared" si="4"/>
        <v>1.9052157338416218</v>
      </c>
      <c r="L29" s="24">
        <f t="shared" si="4"/>
        <v>2.0486650895572827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52660.783370241523</v>
      </c>
      <c r="D36" s="21">
        <f>C36*(D37+1)</f>
        <v>52471.204541104111</v>
      </c>
      <c r="E36" s="21">
        <f>D36*(E37+1)</f>
        <v>55446.321964624207</v>
      </c>
      <c r="F36" s="21">
        <f t="shared" ref="F36:L36" si="5">E36*(F37+1)</f>
        <v>56000.785171877083</v>
      </c>
      <c r="G36" s="21">
        <f t="shared" si="5"/>
        <v>56560.793011078575</v>
      </c>
      <c r="H36" s="21">
        <f t="shared" si="5"/>
        <v>57126.400928546915</v>
      </c>
      <c r="I36" s="21">
        <f t="shared" si="5"/>
        <v>57697.664925063473</v>
      </c>
      <c r="J36" s="21">
        <f t="shared" si="5"/>
        <v>58274.641561417549</v>
      </c>
      <c r="K36" s="21">
        <f t="shared" si="5"/>
        <v>58857.387964006128</v>
      </c>
      <c r="L36" s="21">
        <f t="shared" si="5"/>
        <v>59445.961830490356</v>
      </c>
    </row>
    <row r="37" spans="2:12">
      <c r="B37" s="18" t="s">
        <v>27</v>
      </c>
      <c r="C37" s="68">
        <v>-9.2900000512599945E-2</v>
      </c>
      <c r="D37" s="68">
        <v>-3.6000001709908247E-3</v>
      </c>
      <c r="E37" s="68">
        <v>5.6700002402067184E-2</v>
      </c>
      <c r="F37" s="27">
        <f>C6</f>
        <v>9.9999997764825821E-3</v>
      </c>
      <c r="G37" s="27">
        <f>C6</f>
        <v>9.9999997764825821E-3</v>
      </c>
      <c r="H37" s="27">
        <f>C6</f>
        <v>9.9999997764825821E-3</v>
      </c>
      <c r="I37" s="27">
        <f>C6</f>
        <v>9.9999997764825821E-3</v>
      </c>
      <c r="J37" s="27">
        <f>C6</f>
        <v>9.9999997764825821E-3</v>
      </c>
      <c r="K37" s="27">
        <f>C6</f>
        <v>9.9999997764825821E-3</v>
      </c>
      <c r="L37" s="27">
        <f>C6</f>
        <v>9.9999997764825821E-3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9871.5978100117318</v>
      </c>
      <c r="D39" s="21">
        <f>D36*C7</f>
        <v>9836.0600562077325</v>
      </c>
      <c r="E39" s="21">
        <f>E36*C7</f>
        <v>10393.764685021613</v>
      </c>
      <c r="F39" s="21">
        <f>F36*C7</f>
        <v>10497.70232954862</v>
      </c>
      <c r="G39" s="21">
        <f>G36*C7</f>
        <v>10602.679350497665</v>
      </c>
      <c r="H39" s="21">
        <f>H36*C7</f>
        <v>10708.706141632727</v>
      </c>
      <c r="I39" s="21">
        <f>I36*C7</f>
        <v>10815.793200655447</v>
      </c>
      <c r="J39" s="21">
        <f>J36*C7</f>
        <v>10923.951130244446</v>
      </c>
      <c r="K39" s="21">
        <f>K36*C7</f>
        <v>11033.190639105165</v>
      </c>
      <c r="L39" s="21">
        <f>L36*C7</f>
        <v>11143.522543030085</v>
      </c>
    </row>
    <row r="40" spans="2:12">
      <c r="B40" s="18"/>
      <c r="C40" s="20">
        <f>(C39-L19)/L19</f>
        <v>-0.16596841753871833</v>
      </c>
      <c r="D40" s="20">
        <f>(D39-C39)/C39</f>
        <v>-3.6000001709912727E-3</v>
      </c>
      <c r="E40" s="20">
        <f t="shared" ref="E40:L40" si="6">(E39-D39)/D39</f>
        <v>5.6700002402069787E-2</v>
      </c>
      <c r="F40" s="20">
        <f t="shared" si="6"/>
        <v>9.999999776480412E-3</v>
      </c>
      <c r="G40" s="20">
        <f t="shared" si="6"/>
        <v>9.999999776480516E-3</v>
      </c>
      <c r="H40" s="20">
        <f t="shared" si="6"/>
        <v>9.9999997764796122E-3</v>
      </c>
      <c r="I40" s="20">
        <f t="shared" si="6"/>
        <v>9.9999997764802801E-3</v>
      </c>
      <c r="J40" s="20">
        <f t="shared" si="6"/>
        <v>9.9999997764791768E-3</v>
      </c>
      <c r="K40" s="20">
        <f t="shared" si="6"/>
        <v>9.9999997764796851E-3</v>
      </c>
      <c r="L40" s="20">
        <f t="shared" si="6"/>
        <v>9.9999997764806132E-3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15259.421043165319</v>
      </c>
      <c r="D42" s="21">
        <f>D39*C8</f>
        <v>15204.487124800695</v>
      </c>
      <c r="E42" s="21">
        <f>E39*C8</f>
        <v>16066.581581299117</v>
      </c>
      <c r="F42" s="21">
        <f>F39*C8</f>
        <v>16227.247393520904</v>
      </c>
      <c r="G42" s="21">
        <f>G39*C8</f>
        <v>16389.519863829089</v>
      </c>
      <c r="H42" s="21">
        <f>H39*C8</f>
        <v>16553.415058803894</v>
      </c>
      <c r="I42" s="21">
        <f>I39*C8</f>
        <v>16718.949205691886</v>
      </c>
      <c r="J42" s="21">
        <f>J39*C8</f>
        <v>16886.138694011774</v>
      </c>
      <c r="K42" s="21">
        <f>K39*C8</f>
        <v>17055.000077177621</v>
      </c>
      <c r="L42" s="21">
        <f>L39*C8</f>
        <v>17225.550074137245</v>
      </c>
    </row>
    <row r="43" spans="2:12">
      <c r="B43" s="18" t="s">
        <v>27</v>
      </c>
      <c r="C43" s="20">
        <f>(C42-L22)/L22</f>
        <v>-0.37069362243627019</v>
      </c>
      <c r="D43" s="20">
        <f>(D42-C42)/C42</f>
        <v>-3.6000001709913642E-3</v>
      </c>
      <c r="E43" s="20">
        <f t="shared" ref="E43:L43" si="7">(E42-D42)/D42</f>
        <v>5.6700002402068676E-2</v>
      </c>
      <c r="F43" s="20">
        <f t="shared" si="7"/>
        <v>9.999999776479895E-3</v>
      </c>
      <c r="G43" s="20">
        <f t="shared" si="7"/>
        <v>9.9999997764856283E-3</v>
      </c>
      <c r="H43" s="20">
        <f t="shared" si="7"/>
        <v>9.9999997764738061E-3</v>
      </c>
      <c r="I43" s="20">
        <f t="shared" si="7"/>
        <v>9.9999997764783286E-3</v>
      </c>
      <c r="J43" s="20">
        <f t="shared" si="7"/>
        <v>9.9999997764792532E-3</v>
      </c>
      <c r="K43" s="20">
        <f t="shared" si="7"/>
        <v>9.9999997764870906E-3</v>
      </c>
      <c r="L43" s="20">
        <f t="shared" si="7"/>
        <v>9.9999997764789218E-3</v>
      </c>
    </row>
    <row r="45" spans="2:12">
      <c r="B45" s="18" t="s">
        <v>47</v>
      </c>
      <c r="C45" s="60">
        <v>25762</v>
      </c>
      <c r="D45" s="60">
        <v>25893</v>
      </c>
      <c r="E45" s="60">
        <v>28196</v>
      </c>
      <c r="F45" s="21">
        <f t="shared" ref="F45:L45" si="8">E45*(1+F46)</f>
        <v>28759.920000000002</v>
      </c>
      <c r="G45" s="21">
        <f t="shared" si="8"/>
        <v>29335.118400000003</v>
      </c>
      <c r="H45" s="21">
        <f t="shared" si="8"/>
        <v>29921.820768000005</v>
      </c>
      <c r="I45" s="21">
        <f t="shared" si="8"/>
        <v>30520.257183360005</v>
      </c>
      <c r="J45" s="21">
        <f t="shared" si="8"/>
        <v>31130.662327027207</v>
      </c>
      <c r="K45" s="21">
        <f t="shared" si="8"/>
        <v>31753.275573567753</v>
      </c>
      <c r="L45" s="21">
        <f t="shared" si="8"/>
        <v>32388.341085039108</v>
      </c>
    </row>
    <row r="46" spans="2:12">
      <c r="B46" s="18" t="s">
        <v>27</v>
      </c>
      <c r="C46" s="20">
        <f>C10</f>
        <v>0.02</v>
      </c>
      <c r="D46" s="20">
        <f>C10</f>
        <v>0.02</v>
      </c>
      <c r="E46" s="20">
        <f>C10</f>
        <v>0.02</v>
      </c>
      <c r="F46" s="20">
        <f>C10</f>
        <v>0.02</v>
      </c>
      <c r="G46" s="20">
        <f>C10</f>
        <v>0.02</v>
      </c>
      <c r="H46" s="20">
        <f>C10</f>
        <v>0.02</v>
      </c>
      <c r="I46" s="20">
        <f>C10</f>
        <v>0.02</v>
      </c>
      <c r="J46" s="20">
        <f>C10</f>
        <v>0.02</v>
      </c>
      <c r="K46" s="20">
        <f>C10</f>
        <v>0.02</v>
      </c>
      <c r="L46" s="20">
        <f>C10</f>
        <v>0.02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1.0619056966948959</v>
      </c>
      <c r="D51" s="61">
        <f>POWER((1+C4),2)</f>
        <v>1.1276437086730722</v>
      </c>
      <c r="E51" s="61">
        <f>POWER((1+C4),3)</f>
        <v>1.1974512780820949</v>
      </c>
      <c r="F51" s="61">
        <f>POWER((1+C4),4)</f>
        <v>1.2715803337099605</v>
      </c>
      <c r="G51" s="61">
        <f>POWER((1+C4),5)</f>
        <v>1.3502984001718037</v>
      </c>
      <c r="H51" s="61">
        <f>POWER((1+C4),6)</f>
        <v>1.4338895633804427</v>
      </c>
      <c r="I51" s="61">
        <f>POWER((1+C4),7)</f>
        <v>1.5226554957850489</v>
      </c>
      <c r="J51" s="61">
        <f>POWER((1+C4),8)</f>
        <v>1.6169165450779346</v>
      </c>
      <c r="K51" s="61">
        <f>POWER((1+C4),9)</f>
        <v>1.717012890298488</v>
      </c>
      <c r="L51" s="61">
        <f>POWER((1+C4),10)</f>
        <v>1.8233057695065327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14369.845731743484</v>
      </c>
      <c r="D53" s="21">
        <f t="shared" si="9"/>
        <v>13483.414138577731</v>
      </c>
      <c r="E53" s="21">
        <f t="shared" si="9"/>
        <v>13417.315489472192</v>
      </c>
      <c r="F53" s="21">
        <f t="shared" si="9"/>
        <v>12761.480311807212</v>
      </c>
      <c r="G53" s="21">
        <f t="shared" si="9"/>
        <v>12137.702201042261</v>
      </c>
      <c r="H53" s="21">
        <f t="shared" si="9"/>
        <v>11544.414215400731</v>
      </c>
      <c r="I53" s="21">
        <f t="shared" si="9"/>
        <v>10980.126004846521</v>
      </c>
      <c r="J53" s="21">
        <f t="shared" si="9"/>
        <v>10443.420067297255</v>
      </c>
      <c r="K53" s="21">
        <f t="shared" si="9"/>
        <v>9932.9481878337647</v>
      </c>
      <c r="L53" s="21">
        <f t="shared" si="9"/>
        <v>9447.4280519603817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1.9361787834556579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262388.0490135462</v>
      </c>
    </row>
    <row r="60" spans="2:12" ht="15" thickBot="1">
      <c r="B60" s="5" t="s">
        <v>41</v>
      </c>
      <c r="C60" s="23">
        <f>C59/C55</f>
        <v>135518.50234885857</v>
      </c>
    </row>
    <row r="61" spans="2:12" ht="15" thickTop="1"/>
    <row r="62" spans="2:12" ht="14.5" customHeight="1" thickBot="1">
      <c r="B62" s="3" t="s">
        <v>43</v>
      </c>
      <c r="C62" s="71">
        <f>(SUM(C53:L53)+C59)</f>
        <v>380906.14341352775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215.27419305475095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360806.13080699014</v>
      </c>
    </row>
    <row r="70" spans="2:12" ht="15" thickBot="1">
      <c r="B70" s="5" t="s">
        <v>41</v>
      </c>
      <c r="C70" s="23">
        <f>C69/C55</f>
        <v>186349.59430917309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304867.68870915461</v>
      </c>
    </row>
    <row r="73" spans="2:12" ht="15" thickTop="1"/>
    <row r="74" spans="2:12" ht="18.5">
      <c r="B74" s="69" t="s">
        <v>42</v>
      </c>
      <c r="C74" s="70">
        <f>C72/(C11/1000000)</f>
        <v>172.3000450640655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tabSelected="1" workbookViewId="0">
      <selection activeCell="M33" sqref="M33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10.970000267028809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0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76.442535797395252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17" sqref="P17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5.7100000381469727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5.7100000381469727</v>
      </c>
    </row>
    <row r="7" spans="2:16" ht="15" thickBot="1">
      <c r="B7" s="89" t="s">
        <v>121</v>
      </c>
      <c r="C7" s="90">
        <f>P6*(1+P7)</f>
        <v>5.824200038909912</v>
      </c>
      <c r="D7" s="90">
        <f>C7*(1+P7)</f>
        <v>5.9406840396881107</v>
      </c>
      <c r="E7" s="90">
        <f>D7*(1+P7)</f>
        <v>6.0594977204818727</v>
      </c>
      <c r="F7" s="90">
        <f>E7*(1+P7)</f>
        <v>6.1806876748915105</v>
      </c>
      <c r="G7" s="90">
        <f>F7*(1+P7)</f>
        <v>6.3043014283893406</v>
      </c>
      <c r="H7" s="90">
        <f>G7*(1+P7)</f>
        <v>6.4303874569571278</v>
      </c>
      <c r="I7" s="90">
        <f>H7*(1+P7)</f>
        <v>6.5589952060962702</v>
      </c>
      <c r="J7" s="90">
        <f>I7*(1+P7)</f>
        <v>6.6901751102181954</v>
      </c>
      <c r="K7" s="90">
        <f>J7*(1+P7)</f>
        <v>6.8239786124225592</v>
      </c>
      <c r="L7" s="90">
        <f>K7*(1+P7)</f>
        <v>6.9604581846710101</v>
      </c>
      <c r="M7" s="159">
        <f>L7*(1+P7)/(P8-P7)</f>
        <v>169.42010056664179</v>
      </c>
      <c r="N7" s="160"/>
      <c r="O7" s="88" t="s">
        <v>122</v>
      </c>
      <c r="P7" s="104">
        <v>0.02</v>
      </c>
    </row>
    <row r="8" spans="2:16" ht="15" thickBot="1">
      <c r="B8" s="89" t="s">
        <v>123</v>
      </c>
      <c r="C8" s="90">
        <f>C7/(1+P8)</f>
        <v>5.4846678542523222</v>
      </c>
      <c r="D8" s="90">
        <f>D7/(1+P8)^2</f>
        <v>5.2682278932577642</v>
      </c>
      <c r="E8" s="90">
        <f>E7/(1+P8)^3</f>
        <v>5.0603292437810943</v>
      </c>
      <c r="F8" s="90">
        <f>F7/(1+P8)^4</f>
        <v>4.8606348423608816</v>
      </c>
      <c r="G8" s="90">
        <f>G7/(1+P8)^5</f>
        <v>4.6688209269797101</v>
      </c>
      <c r="H8" s="90">
        <f>H7/(1+P8)^6</f>
        <v>4.4845765121529126</v>
      </c>
      <c r="I8" s="90">
        <f>I7/(1+P8)^7</f>
        <v>4.3076028847317112</v>
      </c>
      <c r="J8" s="90">
        <f>J7/(1+P8)^8</f>
        <v>4.1376131196033583</v>
      </c>
      <c r="K8" s="90">
        <f>K7/(1+P8)^9</f>
        <v>3.9743316145030629</v>
      </c>
      <c r="L8" s="90">
        <f>L7/(1+P8)^10</f>
        <v>3.817493643183512</v>
      </c>
      <c r="M8" s="159">
        <f>M7/POWER((1+P8),10)</f>
        <v>92.91919292971599</v>
      </c>
      <c r="N8" s="160"/>
      <c r="O8" s="91" t="s">
        <v>124</v>
      </c>
      <c r="P8" s="105">
        <f>WACC!$C$25</f>
        <v>6.1905696694895776E-2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138.98349146452233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5.7100000381469727</v>
      </c>
    </row>
    <row r="16" spans="2:16" ht="15" thickBot="1">
      <c r="B16" s="89" t="s">
        <v>121</v>
      </c>
      <c r="C16" s="90">
        <f>P15*(1+P16)</f>
        <v>5.8384750390052798</v>
      </c>
      <c r="D16" s="90">
        <f>C16*(1+P16)</f>
        <v>5.9698407273828984</v>
      </c>
      <c r="E16" s="90">
        <f>D16*(1+P16)</f>
        <v>6.1041621437490132</v>
      </c>
      <c r="F16" s="90">
        <f>E16*(1+P16)</f>
        <v>6.2415057919833661</v>
      </c>
      <c r="G16" s="90">
        <f>F16*(1+P16)</f>
        <v>6.381939672302992</v>
      </c>
      <c r="H16" s="90">
        <f>G16*(1+P16)</f>
        <v>6.5255333149298087</v>
      </c>
      <c r="I16" s="90">
        <f>H16*(1+P16)</f>
        <v>6.6723578145157294</v>
      </c>
      <c r="J16" s="90">
        <f>I16*(1+P16)</f>
        <v>6.8224858653423333</v>
      </c>
      <c r="K16" s="90">
        <f>J16*(1+P16)</f>
        <v>6.9759917973125356</v>
      </c>
      <c r="L16" s="90">
        <f>K16*(1+P16)</f>
        <v>7.1329516127520671</v>
      </c>
      <c r="M16" s="159">
        <f>L16*(1+P16)/(P17-P16)</f>
        <v>185.08600623177685</v>
      </c>
      <c r="N16" s="160"/>
      <c r="O16" s="88" t="s">
        <v>122</v>
      </c>
      <c r="P16" s="104">
        <v>2.2499999999999999E-2</v>
      </c>
    </row>
    <row r="17" spans="2:16" ht="15" thickBot="1">
      <c r="B17" s="89" t="s">
        <v>123</v>
      </c>
      <c r="C17" s="90">
        <f>C16/(1+P17)</f>
        <v>5.4981106676205878</v>
      </c>
      <c r="D17" s="90">
        <f>D16/(1+P17)^2</f>
        <v>5.2940841876444873</v>
      </c>
      <c r="E17" s="90">
        <f>E16/(1+P17)^3</f>
        <v>5.0976288183731207</v>
      </c>
      <c r="F17" s="90">
        <f>F16/(1+P17)^4</f>
        <v>4.9084636074648627</v>
      </c>
      <c r="G17" s="90">
        <f>G16/(1+P17)^5</f>
        <v>4.7263180282898896</v>
      </c>
      <c r="H17" s="90">
        <f>H16/(1+P17)^6</f>
        <v>4.5509315930479657</v>
      </c>
      <c r="I17" s="90">
        <f>I16/(1+P17)^7</f>
        <v>4.3820534802428197</v>
      </c>
      <c r="J17" s="90">
        <f>J16/(1+P17)^8</f>
        <v>4.2194421759803893</v>
      </c>
      <c r="K17" s="90">
        <f>K16/(1+P17)^9</f>
        <v>4.0628651285779336</v>
      </c>
      <c r="L17" s="90">
        <f>L16/(1+P17)^10</f>
        <v>3.9120984159900729</v>
      </c>
      <c r="M17" s="159">
        <f>M16/POWER((1+P17),10)</f>
        <v>101.51122720456773</v>
      </c>
      <c r="N17" s="160"/>
      <c r="O17" s="91" t="s">
        <v>124</v>
      </c>
      <c r="P17" s="105">
        <f>WACC!$C$25</f>
        <v>6.1905696694895776E-2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148.16322330779985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5.7100000381469727</v>
      </c>
    </row>
    <row r="25" spans="2:16" ht="15" thickBot="1">
      <c r="B25" s="89" t="s">
        <v>121</v>
      </c>
      <c r="C25" s="90">
        <f>P24*(1+P25)</f>
        <v>5.8670250391960153</v>
      </c>
      <c r="D25" s="90">
        <f>C25*(1+P25)</f>
        <v>6.0283682277739059</v>
      </c>
      <c r="E25" s="90">
        <f>D25*(1+P25)</f>
        <v>6.1941483540376892</v>
      </c>
      <c r="F25" s="90">
        <f>E25*(1+P25)</f>
        <v>6.3644874337737258</v>
      </c>
      <c r="G25" s="90">
        <f>F25*(1+P25)</f>
        <v>6.5395108382025038</v>
      </c>
      <c r="H25" s="90">
        <f>G25*(1+P25)</f>
        <v>6.719347386253073</v>
      </c>
      <c r="I25" s="90">
        <f>H25*(1+P25)</f>
        <v>6.9041294393750334</v>
      </c>
      <c r="J25" s="90">
        <f>I25*(1+P25)</f>
        <v>7.0939929989578472</v>
      </c>
      <c r="K25" s="90">
        <f>J25*(1+P25)</f>
        <v>7.2890778064291881</v>
      </c>
      <c r="L25" s="90">
        <f>K25*(1+P25)</f>
        <v>7.4895274461059911</v>
      </c>
      <c r="M25" s="159">
        <f>L25*(1+P25)/(P26-P25)</f>
        <v>223.66904873679138</v>
      </c>
      <c r="N25" s="160"/>
      <c r="O25" s="88" t="s">
        <v>122</v>
      </c>
      <c r="P25" s="104">
        <v>2.75E-2</v>
      </c>
    </row>
    <row r="26" spans="2:16" ht="15" thickBot="1">
      <c r="B26" s="89" t="s">
        <v>123</v>
      </c>
      <c r="C26" s="90">
        <f>C25/(1+P26)</f>
        <v>5.5249962943571198</v>
      </c>
      <c r="D26" s="90">
        <f>D25/(1+P26)^2</f>
        <v>5.3459866635248154</v>
      </c>
      <c r="E26" s="90">
        <f>E25/(1+P26)^3</f>
        <v>5.1727769366604912</v>
      </c>
      <c r="F26" s="90">
        <f>F25/(1+P26)^4</f>
        <v>5.0051791971370845</v>
      </c>
      <c r="G26" s="90">
        <f>G25/(1+P26)^5</f>
        <v>4.8430116168177761</v>
      </c>
      <c r="H26" s="90">
        <f>H25/(1+P26)^6</f>
        <v>4.6860982587891824</v>
      </c>
      <c r="I26" s="90">
        <f>I25/(1+P26)^7</f>
        <v>4.5342688864859815</v>
      </c>
      <c r="J26" s="90">
        <f>J25/(1+P26)^8</f>
        <v>4.3873587789998902</v>
      </c>
      <c r="K26" s="90">
        <f>K25/(1+P26)^9</f>
        <v>4.2452085523726293</v>
      </c>
      <c r="L26" s="90">
        <f>L25/(1+P26)^10</f>
        <v>4.1076639866789808</v>
      </c>
      <c r="M26" s="159">
        <f>M25/POWER((1+P26),10)</f>
        <v>122.67226511180631</v>
      </c>
      <c r="N26" s="160"/>
      <c r="O26" s="91" t="s">
        <v>124</v>
      </c>
      <c r="P26" s="105">
        <f>WACC!$C$25</f>
        <v>6.1905696694895776E-2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170.52481428363026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18380</v>
      </c>
      <c r="D3" s="110">
        <v>18790</v>
      </c>
      <c r="E3" s="110">
        <v>19960</v>
      </c>
      <c r="F3" s="110">
        <v>22859</v>
      </c>
      <c r="G3" s="110">
        <v>25638</v>
      </c>
      <c r="H3" s="110">
        <v>28216</v>
      </c>
      <c r="I3" s="110">
        <v>32753</v>
      </c>
      <c r="J3" s="110">
        <v>33266</v>
      </c>
      <c r="K3" s="110">
        <v>45804</v>
      </c>
      <c r="L3" s="110">
        <v>56197</v>
      </c>
      <c r="M3" s="110">
        <v>58054</v>
      </c>
      <c r="Q3" s="107"/>
    </row>
    <row r="4" spans="2:17">
      <c r="B4" s="18" t="s">
        <v>27</v>
      </c>
      <c r="C4" s="113"/>
      <c r="D4" s="121">
        <f t="shared" ref="D4:M4" si="0">(D3-C3)/C3</f>
        <v>2.2306855277475515E-2</v>
      </c>
      <c r="E4" s="121">
        <f t="shared" si="0"/>
        <v>6.2267163384779139E-2</v>
      </c>
      <c r="F4" s="121">
        <f t="shared" si="0"/>
        <v>0.14524048096192385</v>
      </c>
      <c r="G4" s="121">
        <f t="shared" si="0"/>
        <v>0.12157137232599852</v>
      </c>
      <c r="H4" s="121">
        <f t="shared" si="0"/>
        <v>0.10055386535611202</v>
      </c>
      <c r="I4" s="121">
        <f t="shared" si="0"/>
        <v>0.16079529345052451</v>
      </c>
      <c r="J4" s="121">
        <f t="shared" si="0"/>
        <v>1.5662687387414893E-2</v>
      </c>
      <c r="K4" s="121">
        <f t="shared" si="0"/>
        <v>0.37690134070823061</v>
      </c>
      <c r="L4" s="121">
        <f t="shared" si="0"/>
        <v>0.22690158064797833</v>
      </c>
      <c r="M4" s="121">
        <f t="shared" si="0"/>
        <v>3.3044468565937686E-2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5275</v>
      </c>
      <c r="D6" s="110">
        <v>4128</v>
      </c>
      <c r="E6" s="110">
        <v>1774</v>
      </c>
      <c r="F6" s="110">
        <v>5144</v>
      </c>
      <c r="G6" s="110">
        <v>5953</v>
      </c>
      <c r="H6" s="110">
        <v>5309</v>
      </c>
      <c r="I6" s="110">
        <v>5687</v>
      </c>
      <c r="J6" s="110">
        <v>7882</v>
      </c>
      <c r="K6" s="110">
        <v>4616</v>
      </c>
      <c r="L6" s="110">
        <v>11542</v>
      </c>
      <c r="M6" s="110">
        <v>11836</v>
      </c>
      <c r="Q6" s="107"/>
    </row>
    <row r="7" spans="2:17">
      <c r="B7" s="18" t="s">
        <v>27</v>
      </c>
      <c r="C7" s="113"/>
      <c r="D7" s="121">
        <f t="shared" ref="D7" si="1">(D6-C6)/C6</f>
        <v>-0.21744075829383885</v>
      </c>
      <c r="E7" s="121">
        <f t="shared" ref="E7" si="2">(E6-D6)/D6</f>
        <v>-0.57025193798449614</v>
      </c>
      <c r="F7" s="121">
        <f t="shared" ref="F7" si="3">(F6-E6)/E6</f>
        <v>1.8996617812852312</v>
      </c>
      <c r="G7" s="121">
        <f t="shared" ref="G7" si="4">(G6-F6)/F6</f>
        <v>0.1572706065318818</v>
      </c>
      <c r="H7" s="121">
        <f t="shared" ref="H7" si="5">(H6-G6)/G6</f>
        <v>-0.10818074920208298</v>
      </c>
      <c r="I7" s="121">
        <f t="shared" ref="I7" si="6">(I6-H6)/H6</f>
        <v>7.1199849312488225E-2</v>
      </c>
      <c r="J7" s="121">
        <f t="shared" ref="J7" si="7">(J6-I6)/I6</f>
        <v>0.38596799718656583</v>
      </c>
      <c r="K7" s="121">
        <f t="shared" ref="K7" si="8">(K6-J6)/J6</f>
        <v>-0.41436183709718344</v>
      </c>
      <c r="L7" s="121">
        <f t="shared" ref="L7" si="9">(L6-K6)/K6</f>
        <v>1.5004332755632583</v>
      </c>
      <c r="M7" s="121">
        <f t="shared" ref="M7" si="10">(M6-L6)/L6</f>
        <v>2.5472188528851154E-2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6967</v>
      </c>
      <c r="D9" s="110">
        <v>6561</v>
      </c>
      <c r="E9" s="110">
        <v>4197</v>
      </c>
      <c r="F9" s="110">
        <v>8373</v>
      </c>
      <c r="G9" s="110">
        <v>10529</v>
      </c>
      <c r="H9" s="110">
        <v>11046</v>
      </c>
      <c r="I9" s="110">
        <v>8148</v>
      </c>
      <c r="J9" s="110">
        <v>15000</v>
      </c>
      <c r="K9" s="110">
        <v>17834</v>
      </c>
      <c r="L9" s="110">
        <v>26445</v>
      </c>
      <c r="M9" s="110">
        <v>26584</v>
      </c>
      <c r="Q9" s="107"/>
    </row>
    <row r="10" spans="2:17">
      <c r="B10" s="18" t="s">
        <v>27</v>
      </c>
      <c r="C10" s="113"/>
      <c r="D10" s="121">
        <f t="shared" ref="D10" si="11">(D9-C9)/C9</f>
        <v>-5.8274723697430746E-2</v>
      </c>
      <c r="E10" s="121">
        <f t="shared" ref="E10" si="12">(E9-D9)/D9</f>
        <v>-0.36031092821216276</v>
      </c>
      <c r="F10" s="121">
        <f t="shared" ref="F10" si="13">(F9-E9)/E9</f>
        <v>0.99499642601858473</v>
      </c>
      <c r="G10" s="121">
        <f t="shared" ref="G10" si="14">(G9-F9)/F9</f>
        <v>0.25749432700346353</v>
      </c>
      <c r="H10" s="121">
        <f t="shared" ref="H10" si="15">(H9-G9)/G9</f>
        <v>4.9102478867888689E-2</v>
      </c>
      <c r="I10" s="121">
        <f t="shared" ref="I10" si="16">(I9-H9)/H9</f>
        <v>-0.26235741444866922</v>
      </c>
      <c r="J10" s="121">
        <f t="shared" ref="J10" si="17">(J9-I9)/I9</f>
        <v>0.84094256259204714</v>
      </c>
      <c r="K10" s="121">
        <f t="shared" ref="K10" si="18">(K9-J9)/J9</f>
        <v>0.18893333333333334</v>
      </c>
      <c r="L10" s="121">
        <f t="shared" ref="L10" si="19">(L9-K9)/K9</f>
        <v>0.48284176292475045</v>
      </c>
      <c r="M10" s="121">
        <f t="shared" ref="M10" si="20">(M9-L9)/L9</f>
        <v>5.2561920968046891E-3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1577</v>
      </c>
      <c r="D12" s="110">
        <v>1604</v>
      </c>
      <c r="E12" s="110">
        <v>1610</v>
      </c>
      <c r="F12" s="110">
        <v>1637</v>
      </c>
      <c r="G12" s="110">
        <v>1631</v>
      </c>
      <c r="H12" s="110">
        <v>1603</v>
      </c>
      <c r="I12" s="110">
        <v>1546</v>
      </c>
      <c r="J12" s="110">
        <v>1484</v>
      </c>
      <c r="K12" s="110">
        <v>1673</v>
      </c>
      <c r="L12" s="110">
        <v>1777</v>
      </c>
      <c r="M12" s="110">
        <v>1778</v>
      </c>
      <c r="Q12" s="107"/>
    </row>
    <row r="13" spans="2:17">
      <c r="B13" s="18" t="s">
        <v>27</v>
      </c>
      <c r="C13" s="113"/>
      <c r="D13" s="121">
        <f t="shared" ref="D13" si="21">(D12-C12)/C12</f>
        <v>1.7121116043119847E-2</v>
      </c>
      <c r="E13" s="121">
        <f t="shared" ref="E13" si="22">(E12-D12)/D12</f>
        <v>3.740648379052369E-3</v>
      </c>
      <c r="F13" s="121">
        <f t="shared" ref="F13" si="23">(F12-E12)/E12</f>
        <v>1.6770186335403725E-2</v>
      </c>
      <c r="G13" s="121">
        <f t="shared" ref="G13" si="24">(G12-F12)/F12</f>
        <v>-3.6652412950519244E-3</v>
      </c>
      <c r="H13" s="121">
        <f t="shared" ref="H13" si="25">(H12-G12)/G12</f>
        <v>-1.7167381974248927E-2</v>
      </c>
      <c r="I13" s="121">
        <f t="shared" ref="I13" si="26">(I12-H12)/H12</f>
        <v>-3.5558328134747345E-2</v>
      </c>
      <c r="J13" s="121">
        <f t="shared" ref="J13" si="27">(J12-I12)/I12</f>
        <v>-4.0103492884864166E-2</v>
      </c>
      <c r="K13" s="121">
        <f t="shared" ref="K13" si="28">(K12-J12)/J12</f>
        <v>0.12735849056603774</v>
      </c>
      <c r="L13" s="121">
        <f t="shared" ref="L13" si="29">(L12-K12)/K12</f>
        <v>6.2163777644949195E-2</v>
      </c>
      <c r="M13" s="121">
        <f t="shared" ref="M13" si="30">(M12-L12)/L12</f>
        <v>5.6274620146314015E-4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3.3499999046325684</v>
      </c>
      <c r="D15" s="110">
        <v>2.559999942779541</v>
      </c>
      <c r="E15" s="110">
        <v>1.1000000238418579</v>
      </c>
      <c r="F15" s="110">
        <v>3.130000114440918</v>
      </c>
      <c r="G15" s="110">
        <v>3.630000114440918</v>
      </c>
      <c r="H15" s="110">
        <v>3.2999999523162842</v>
      </c>
      <c r="I15" s="110">
        <v>3.6600000858306885</v>
      </c>
      <c r="J15" s="110">
        <v>5.2800002098083496</v>
      </c>
      <c r="K15" s="110">
        <v>2.7200000286102295</v>
      </c>
      <c r="L15" s="110">
        <v>6.4499998092651367</v>
      </c>
      <c r="M15" s="110">
        <v>6.630000114440918</v>
      </c>
      <c r="Q15" s="107"/>
    </row>
    <row r="16" spans="2:17">
      <c r="B16" s="18" t="s">
        <v>27</v>
      </c>
      <c r="D16" s="121">
        <f t="shared" ref="D16" si="31">(D15-C15)/C15</f>
        <v>-0.23582089084855501</v>
      </c>
      <c r="E16" s="121">
        <f t="shared" ref="E16" si="32">(E15-D15)/D15</f>
        <v>-0.57031248108250876</v>
      </c>
      <c r="F16" s="121">
        <f t="shared" ref="F16" si="33">(F15-E15)/E15</f>
        <v>1.8454545878181727</v>
      </c>
      <c r="G16" s="121">
        <f t="shared" ref="G16" si="34">(G15-F15)/F15</f>
        <v>0.15974440310501711</v>
      </c>
      <c r="H16" s="121">
        <f t="shared" ref="H16" si="35">(H15-G15)/G15</f>
        <v>-9.0909132705484633E-2</v>
      </c>
      <c r="I16" s="121">
        <f t="shared" ref="I16" si="36">(I15-H15)/H15</f>
        <v>0.10909095112614133</v>
      </c>
      <c r="J16" s="121">
        <f t="shared" ref="J16" si="37">(J15-I15)/I15</f>
        <v>0.4426229743133947</v>
      </c>
      <c r="K16" s="121">
        <f t="shared" ref="K16" si="38">(K15-J15)/J15</f>
        <v>-0.48484849990016216</v>
      </c>
      <c r="L16" s="121">
        <f t="shared" ref="L16" si="39">(L15-K15)/K15</f>
        <v>1.3713234343459673</v>
      </c>
      <c r="M16" s="121">
        <f t="shared" ref="M16" si="40">(M15-L15)/L15</f>
        <v>2.7907024883507516E-2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6012</v>
      </c>
      <c r="D20" s="128">
        <v>5776</v>
      </c>
      <c r="E20" s="128">
        <v>2937</v>
      </c>
      <c r="F20" s="128">
        <v>7003</v>
      </c>
      <c r="G20" s="128">
        <v>6562</v>
      </c>
      <c r="H20" s="128">
        <v>9431</v>
      </c>
      <c r="I20" s="128">
        <v>12789</v>
      </c>
      <c r="J20" s="128">
        <v>12772</v>
      </c>
      <c r="K20" s="128">
        <v>16790</v>
      </c>
      <c r="L20" s="128">
        <v>21990</v>
      </c>
      <c r="M20" s="128">
        <v>24248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-0.49151662049861494</v>
      </c>
      <c r="F21" s="131">
        <f t="shared" ref="F21" si="42">(F20-E20)/E20</f>
        <v>1.3844058563159687</v>
      </c>
      <c r="G21" s="131">
        <f t="shared" ref="G21" si="43">(G20-F20)/F20</f>
        <v>-6.2973011566471518E-2</v>
      </c>
      <c r="H21" s="131">
        <f t="shared" ref="H21" si="44">(H20-G20)/G20</f>
        <v>0.43721426394391955</v>
      </c>
      <c r="I21" s="131">
        <f t="shared" ref="I21" si="45">(I20-H20)/H20</f>
        <v>0.35605980277807231</v>
      </c>
      <c r="J21" s="131">
        <f t="shared" ref="J21" si="46">(J20-I20)/I20</f>
        <v>-1.3292673391195559E-3</v>
      </c>
      <c r="K21" s="131">
        <f t="shared" ref="K21" si="47">(K20-J20)/J20</f>
        <v>0.31459442530535547</v>
      </c>
      <c r="L21" s="131">
        <f t="shared" ref="L21" si="48">(L20-K20)/K20</f>
        <v>0.3097081596188207</v>
      </c>
      <c r="M21" s="131">
        <f t="shared" ref="M21" si="49">(M20-L20)/L20</f>
        <v>0.10268303774442929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0</v>
      </c>
      <c r="D23" s="130">
        <v>2555</v>
      </c>
      <c r="E23" s="130">
        <v>2661</v>
      </c>
      <c r="F23" s="130">
        <v>3294</v>
      </c>
      <c r="G23" s="130">
        <v>3717</v>
      </c>
      <c r="H23" s="130">
        <v>4107</v>
      </c>
      <c r="I23" s="130">
        <v>5580</v>
      </c>
      <c r="J23" s="130">
        <v>6366</v>
      </c>
      <c r="K23" s="130">
        <v>7716</v>
      </c>
      <c r="L23" s="130">
        <v>9261</v>
      </c>
      <c r="M23" s="130">
        <v>10043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e">
        <f t="shared" ref="D24" si="50">(D23-C23)/C23</f>
        <v>#DIV/0!</v>
      </c>
      <c r="E24" s="121">
        <f t="shared" ref="E24" si="51">(E23-D23)/D23</f>
        <v>4.1487279843444226E-2</v>
      </c>
      <c r="F24" s="121">
        <f t="shared" ref="F24" si="52">(F23-E23)/E23</f>
        <v>0.23788049605411499</v>
      </c>
      <c r="G24" s="121">
        <f t="shared" ref="G24" si="53">(G23-F23)/F23</f>
        <v>0.12841530054644809</v>
      </c>
      <c r="H24" s="121">
        <f t="shared" ref="H24" si="54">(H23-G23)/G23</f>
        <v>0.10492332526230831</v>
      </c>
      <c r="I24" s="121">
        <f t="shared" ref="I24" si="55">(I23-H23)/H23</f>
        <v>0.35865595325054783</v>
      </c>
      <c r="J24" s="121">
        <f t="shared" ref="J24" si="56">(J23-I23)/I23</f>
        <v>0.14086021505376345</v>
      </c>
      <c r="K24" s="121">
        <f t="shared" ref="K24" si="57">(K23-J23)/J23</f>
        <v>0.21206409048067862</v>
      </c>
      <c r="L24" s="121">
        <f t="shared" ref="L24" si="58">(L23-K23)/K23</f>
        <v>0.20023328149300154</v>
      </c>
      <c r="M24" s="121">
        <f t="shared" ref="M24" si="59">(M23-L23)/L23</f>
        <v>8.4440125256451781E-2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15354</v>
      </c>
      <c r="D28" s="110">
        <v>17848</v>
      </c>
      <c r="E28" s="110">
        <v>16081</v>
      </c>
      <c r="F28" s="110">
        <v>16314</v>
      </c>
      <c r="G28" s="110">
        <v>16187</v>
      </c>
      <c r="H28" s="110">
        <v>21223</v>
      </c>
      <c r="I28" s="110">
        <v>16945</v>
      </c>
      <c r="J28" s="110">
        <v>49519</v>
      </c>
      <c r="K28" s="110">
        <v>24173</v>
      </c>
      <c r="L28" s="110">
        <v>27928</v>
      </c>
      <c r="M28" s="110">
        <v>28463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0.16243324215188223</v>
      </c>
      <c r="E29" s="121">
        <f t="shared" ref="E29" si="61">(E28-D28)/D28</f>
        <v>-9.9002689376961009E-2</v>
      </c>
      <c r="F29" s="121">
        <f t="shared" ref="F29" si="62">(F28-E28)/E28</f>
        <v>1.4489148684783284E-2</v>
      </c>
      <c r="G29" s="121">
        <f t="shared" ref="G29" si="63">(G28-F28)/F28</f>
        <v>-7.7847247762657841E-3</v>
      </c>
      <c r="H29" s="121">
        <f t="shared" ref="H29" si="64">(H28-G28)/G28</f>
        <v>0.3111138567986656</v>
      </c>
      <c r="I29" s="121">
        <f t="shared" ref="I29" si="65">(I28-H28)/H28</f>
        <v>-0.2015737643123027</v>
      </c>
      <c r="J29" s="121">
        <f t="shared" ref="J29" si="66">(J28-I28)/I28</f>
        <v>1.9223369725582768</v>
      </c>
      <c r="K29" s="121">
        <f t="shared" ref="K29" si="67">(K28-J28)/J28</f>
        <v>-0.51184393869019973</v>
      </c>
      <c r="L29" s="121">
        <f t="shared" ref="L29" si="68">(L28-K28)/K28</f>
        <v>0.15533860091838</v>
      </c>
      <c r="M29" s="121">
        <f t="shared" ref="M29" si="69">(M28-L28)/L28</f>
        <v>1.9156402177026639E-2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11654</v>
      </c>
      <c r="D31" s="110">
        <v>11350</v>
      </c>
      <c r="E31" s="110">
        <v>11432</v>
      </c>
      <c r="F31" s="110">
        <v>36736</v>
      </c>
      <c r="G31" s="110">
        <v>49912</v>
      </c>
      <c r="H31" s="110">
        <v>49563</v>
      </c>
      <c r="I31" s="110">
        <v>42407</v>
      </c>
      <c r="J31" s="110">
        <v>39596</v>
      </c>
      <c r="K31" s="110">
        <v>126392</v>
      </c>
      <c r="L31" s="110">
        <v>118601</v>
      </c>
      <c r="M31" s="110">
        <v>110342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-2.6085464218294149E-2</v>
      </c>
      <c r="E32" s="121">
        <f t="shared" ref="E32" si="71">(E31-D31)/D31</f>
        <v>7.2246696035242293E-3</v>
      </c>
      <c r="F32" s="121">
        <f t="shared" ref="F32" si="72">(F31-E31)/E31</f>
        <v>2.2134359692092374</v>
      </c>
      <c r="G32" s="121">
        <f t="shared" ref="G32" si="73">(G31-F31)/F31</f>
        <v>0.35866724738675959</v>
      </c>
      <c r="H32" s="121">
        <f t="shared" ref="H32" si="74">(H31-G31)/G31</f>
        <v>-6.9923064593684888E-3</v>
      </c>
      <c r="I32" s="121">
        <f t="shared" ref="I32" si="75">(I31-H31)/H31</f>
        <v>-0.14438189778665536</v>
      </c>
      <c r="J32" s="121">
        <f t="shared" ref="J32" si="76">(J31-I31)/I31</f>
        <v>-6.628622633055864E-2</v>
      </c>
      <c r="K32" s="121">
        <f t="shared" ref="K32" si="77">(K31-J31)/J31</f>
        <v>2.1920395999595921</v>
      </c>
      <c r="L32" s="121">
        <f t="shared" ref="L32" si="78">(L31-K31)/K31</f>
        <v>-6.1641559592379262E-2</v>
      </c>
      <c r="M32" s="121">
        <f t="shared" ref="M32" si="79">(M31-L31)/L31</f>
        <v>-6.9636849604978041E-2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29198</v>
      </c>
      <c r="E34" s="111">
        <f t="shared" ref="E34:M34" si="80">E28+E31</f>
        <v>27513</v>
      </c>
      <c r="F34" s="111">
        <f t="shared" si="80"/>
        <v>53050</v>
      </c>
      <c r="G34" s="111">
        <f t="shared" si="80"/>
        <v>66099</v>
      </c>
      <c r="H34" s="111">
        <f t="shared" si="80"/>
        <v>70786</v>
      </c>
      <c r="I34" s="111">
        <f t="shared" si="80"/>
        <v>59352</v>
      </c>
      <c r="J34" s="111">
        <f t="shared" si="80"/>
        <v>89115</v>
      </c>
      <c r="K34" s="111">
        <f t="shared" si="80"/>
        <v>150565</v>
      </c>
      <c r="L34" s="111">
        <f t="shared" si="80"/>
        <v>146529</v>
      </c>
      <c r="M34" s="111">
        <f t="shared" si="80"/>
        <v>138805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6776</v>
      </c>
      <c r="D36" s="118">
        <v>6879</v>
      </c>
      <c r="E36" s="110">
        <v>11393</v>
      </c>
      <c r="F36" s="110">
        <v>10894</v>
      </c>
      <c r="G36" s="110">
        <v>9781</v>
      </c>
      <c r="H36" s="110">
        <v>16641</v>
      </c>
      <c r="I36" s="110">
        <v>17239</v>
      </c>
      <c r="J36" s="110">
        <v>15585</v>
      </c>
      <c r="K36" s="110">
        <v>28661</v>
      </c>
      <c r="L36" s="110">
        <v>35194</v>
      </c>
      <c r="M36" s="110">
        <v>29538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1.5200708382526565E-2</v>
      </c>
      <c r="E37" s="121">
        <f t="shared" ref="E37" si="82">(E36-D36)/D36</f>
        <v>0.65620002907399333</v>
      </c>
      <c r="F37" s="121">
        <f t="shared" ref="F37" si="83">(F36-E36)/E36</f>
        <v>-4.3798823839199509E-2</v>
      </c>
      <c r="G37" s="121">
        <f t="shared" ref="G37" si="84">(G36-F36)/F36</f>
        <v>-0.10216633008995778</v>
      </c>
      <c r="H37" s="121">
        <f t="shared" ref="H37" si="85">(H36-G36)/G36</f>
        <v>0.70135977916368475</v>
      </c>
      <c r="I37" s="121">
        <f t="shared" ref="I37" si="86">(I36-H36)/H36</f>
        <v>3.5935340424253351E-2</v>
      </c>
      <c r="J37" s="121">
        <f t="shared" ref="J37" si="87">(J36-I36)/I36</f>
        <v>-9.594524044318116E-2</v>
      </c>
      <c r="K37" s="121">
        <f t="shared" ref="K37" si="88">(K36-J36)/J36</f>
        <v>0.8390118703881938</v>
      </c>
      <c r="L37" s="121">
        <f t="shared" ref="L37" si="89">(L36-K36)/K36</f>
        <v>0.22794040682460487</v>
      </c>
      <c r="M37" s="121">
        <f t="shared" ref="M37" si="90">(M36-L36)/L36</f>
        <v>-0.16070921179746547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16869</v>
      </c>
      <c r="D39" s="110">
        <v>17827</v>
      </c>
      <c r="E39" s="110">
        <v>14378</v>
      </c>
      <c r="F39" s="110">
        <v>38211</v>
      </c>
      <c r="G39" s="110">
        <v>51682</v>
      </c>
      <c r="H39" s="110">
        <v>49048</v>
      </c>
      <c r="I39" s="110">
        <v>50559</v>
      </c>
      <c r="J39" s="110">
        <v>81702</v>
      </c>
      <c r="K39" s="110">
        <v>108807</v>
      </c>
      <c r="L39" s="110">
        <v>95899</v>
      </c>
      <c r="M39" s="110">
        <v>91980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5.67905625703954E-2</v>
      </c>
      <c r="E40" s="121">
        <f t="shared" ref="E40" si="92">(E39-D39)/D39</f>
        <v>-0.19347057833623155</v>
      </c>
      <c r="F40" s="121">
        <f t="shared" ref="F40" si="93">(F39-E39)/E39</f>
        <v>1.6576018917791069</v>
      </c>
      <c r="G40" s="121">
        <f t="shared" ref="G40" si="94">(G39-F39)/F39</f>
        <v>0.35254246159482872</v>
      </c>
      <c r="H40" s="121">
        <f t="shared" ref="H40" si="95">(H39-G39)/G39</f>
        <v>-5.0965519910220192E-2</v>
      </c>
      <c r="I40" s="121">
        <f t="shared" ref="I40" si="96">(I39-H39)/H39</f>
        <v>3.0806556842276952E-2</v>
      </c>
      <c r="J40" s="121">
        <f t="shared" ref="J40" si="97">(J39-I39)/I39</f>
        <v>0.61597341719575149</v>
      </c>
      <c r="K40" s="121">
        <f t="shared" ref="K40" si="98">(K39-J39)/J39</f>
        <v>0.33175442461628846</v>
      </c>
      <c r="L40" s="121">
        <f t="shared" ref="L40" si="99">(L39-K39)/K39</f>
        <v>-0.11863207330410727</v>
      </c>
      <c r="M40" s="121">
        <f t="shared" ref="M40" si="100">(M39-L39)/L39</f>
        <v>-4.0865911010542343E-2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24706</v>
      </c>
      <c r="E42" s="111">
        <f t="shared" ref="E42:M42" si="101">E36+E39</f>
        <v>25771</v>
      </c>
      <c r="F42" s="111">
        <f t="shared" si="101"/>
        <v>49105</v>
      </c>
      <c r="G42" s="111">
        <f t="shared" si="101"/>
        <v>61463</v>
      </c>
      <c r="H42" s="111">
        <f t="shared" si="101"/>
        <v>65689</v>
      </c>
      <c r="I42" s="111">
        <f t="shared" si="101"/>
        <v>67798</v>
      </c>
      <c r="J42" s="111">
        <f t="shared" si="101"/>
        <v>97287</v>
      </c>
      <c r="K42" s="111">
        <f t="shared" si="101"/>
        <v>137468</v>
      </c>
      <c r="L42" s="111">
        <f t="shared" si="101"/>
        <v>131093</v>
      </c>
      <c r="M42" s="111">
        <f t="shared" si="101"/>
        <v>121518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4492</v>
      </c>
      <c r="E44" s="134">
        <f t="shared" ref="E44:M44" si="102">E34-E42</f>
        <v>1742</v>
      </c>
      <c r="F44" s="134">
        <f t="shared" si="102"/>
        <v>3945</v>
      </c>
      <c r="G44" s="134">
        <f t="shared" si="102"/>
        <v>4636</v>
      </c>
      <c r="H44" s="134">
        <f t="shared" si="102"/>
        <v>5097</v>
      </c>
      <c r="I44" s="134">
        <f t="shared" si="102"/>
        <v>-8446</v>
      </c>
      <c r="J44" s="134">
        <f t="shared" si="102"/>
        <v>-8172</v>
      </c>
      <c r="K44" s="134">
        <f t="shared" si="102"/>
        <v>13097</v>
      </c>
      <c r="L44" s="134">
        <f t="shared" si="102"/>
        <v>15436</v>
      </c>
      <c r="M44" s="134">
        <f t="shared" si="102"/>
        <v>17287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14630</v>
      </c>
      <c r="D46" s="133">
        <v>14292</v>
      </c>
      <c r="E46" s="133">
        <v>10538</v>
      </c>
      <c r="F46" s="133">
        <v>29240</v>
      </c>
      <c r="G46" s="133">
        <v>36440</v>
      </c>
      <c r="H46" s="133">
        <v>30953</v>
      </c>
      <c r="I46" s="133">
        <v>35002</v>
      </c>
      <c r="J46" s="133">
        <v>62975</v>
      </c>
      <c r="K46" s="136">
        <v>77554</v>
      </c>
      <c r="L46" s="133">
        <v>64189</v>
      </c>
      <c r="M46" s="133">
        <v>59135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0.21969132517296433</v>
      </c>
      <c r="E50" s="126">
        <f t="shared" si="103"/>
        <v>8.8877755511022047E-2</v>
      </c>
      <c r="F50" s="126">
        <f t="shared" si="103"/>
        <v>0.22503171617306095</v>
      </c>
      <c r="G50" s="126">
        <f t="shared" si="103"/>
        <v>0.23219439893907481</v>
      </c>
      <c r="H50" s="126">
        <f t="shared" si="103"/>
        <v>0.18815565636518289</v>
      </c>
      <c r="I50" s="126">
        <f t="shared" si="103"/>
        <v>0.17363294965346684</v>
      </c>
      <c r="J50" s="126">
        <f t="shared" si="103"/>
        <v>0.23693861600432875</v>
      </c>
      <c r="K50" s="126">
        <f t="shared" si="103"/>
        <v>0.10077722469653305</v>
      </c>
      <c r="L50" s="126">
        <f t="shared" si="103"/>
        <v>0.20538462907272631</v>
      </c>
      <c r="M50" s="126">
        <f t="shared" si="103"/>
        <v>0.20387914700106796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0.34917509313464606</v>
      </c>
      <c r="E51" s="126">
        <f t="shared" si="104"/>
        <v>0.21027054108216434</v>
      </c>
      <c r="F51" s="126">
        <f t="shared" si="104"/>
        <v>0.36628898901964213</v>
      </c>
      <c r="G51" s="126">
        <f t="shared" si="104"/>
        <v>0.4106794601763008</v>
      </c>
      <c r="H51" s="126">
        <f t="shared" si="104"/>
        <v>0.39148001134108307</v>
      </c>
      <c r="I51" s="126">
        <f t="shared" si="104"/>
        <v>0.24877110493695234</v>
      </c>
      <c r="J51" s="126">
        <f t="shared" si="104"/>
        <v>0.45091083989659109</v>
      </c>
      <c r="K51" s="126">
        <f t="shared" si="104"/>
        <v>0.38935464151602478</v>
      </c>
      <c r="L51" s="126">
        <f t="shared" si="104"/>
        <v>0.47057672117728705</v>
      </c>
      <c r="M51" s="126">
        <f t="shared" si="104"/>
        <v>0.4579184896820202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0.30739755188930284</v>
      </c>
      <c r="E52" s="126">
        <f t="shared" si="105"/>
        <v>0.14714428857715431</v>
      </c>
      <c r="F52" s="126">
        <f t="shared" si="105"/>
        <v>0.30635635854586812</v>
      </c>
      <c r="G52" s="126">
        <f t="shared" si="105"/>
        <v>0.25594820188782275</v>
      </c>
      <c r="H52" s="126">
        <f t="shared" si="105"/>
        <v>0.33424298270484831</v>
      </c>
      <c r="I52" s="126">
        <f t="shared" si="105"/>
        <v>0.39046804872836077</v>
      </c>
      <c r="J52" s="126">
        <f t="shared" si="105"/>
        <v>0.38393554981061745</v>
      </c>
      <c r="K52" s="126">
        <f t="shared" si="105"/>
        <v>0.36656187232556109</v>
      </c>
      <c r="L52" s="126">
        <f t="shared" si="105"/>
        <v>0.39130202679858356</v>
      </c>
      <c r="M52" s="126">
        <f t="shared" si="105"/>
        <v>0.41768009094980535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0.44234764542936289</v>
      </c>
      <c r="E55" s="126">
        <f t="shared" ref="E55:M55" si="106">E23/E20</f>
        <v>0.90602655771195095</v>
      </c>
      <c r="F55" s="126">
        <f t="shared" si="106"/>
        <v>0.47036984149650152</v>
      </c>
      <c r="G55" s="126">
        <f t="shared" si="106"/>
        <v>0.56644315757391039</v>
      </c>
      <c r="H55" s="126">
        <f t="shared" si="106"/>
        <v>0.43547874032446188</v>
      </c>
      <c r="I55" s="126">
        <f t="shared" si="106"/>
        <v>0.4363124560168895</v>
      </c>
      <c r="J55" s="126">
        <f t="shared" si="106"/>
        <v>0.498434074538052</v>
      </c>
      <c r="K55" s="126">
        <f t="shared" si="106"/>
        <v>0.45955926146515785</v>
      </c>
      <c r="L55" s="126">
        <f t="shared" si="106"/>
        <v>0.42114597544338334</v>
      </c>
      <c r="M55" s="126">
        <f t="shared" si="106"/>
        <v>0.41417848894754206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5.5</v>
      </c>
      <c r="E58" s="112">
        <f t="shared" ref="E58:M58" si="107">E42/E44</f>
        <v>14.793915040183697</v>
      </c>
      <c r="F58" s="112">
        <f t="shared" si="107"/>
        <v>12.447401774397973</v>
      </c>
      <c r="G58" s="112">
        <f t="shared" si="107"/>
        <v>13.257765314926662</v>
      </c>
      <c r="H58" s="112">
        <f t="shared" si="107"/>
        <v>12.887777123798312</v>
      </c>
      <c r="I58" s="112">
        <f t="shared" si="107"/>
        <v>-8.0272318257163153</v>
      </c>
      <c r="J58" s="112">
        <f t="shared" si="107"/>
        <v>-11.904919236417033</v>
      </c>
      <c r="K58" s="112">
        <f t="shared" si="107"/>
        <v>10.496144155150034</v>
      </c>
      <c r="L58" s="112">
        <f t="shared" si="107"/>
        <v>8.4926794506348795</v>
      </c>
      <c r="M58" s="112">
        <f t="shared" si="107"/>
        <v>7.0294440909353852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2.5945631632504726</v>
      </c>
      <c r="E59" s="112">
        <f t="shared" ref="E59:M59" si="108">E28/E36</f>
        <v>1.4114807337839024</v>
      </c>
      <c r="F59" s="112">
        <f t="shared" si="108"/>
        <v>1.4975215715072516</v>
      </c>
      <c r="G59" s="112">
        <f t="shared" si="108"/>
        <v>1.6549432573356508</v>
      </c>
      <c r="H59" s="112">
        <f t="shared" si="108"/>
        <v>1.2753440298059011</v>
      </c>
      <c r="I59" s="112">
        <f t="shared" si="108"/>
        <v>0.9829456464992169</v>
      </c>
      <c r="J59" s="112">
        <f t="shared" si="108"/>
        <v>3.177350016041065</v>
      </c>
      <c r="K59" s="112">
        <f t="shared" si="108"/>
        <v>0.84341090680715958</v>
      </c>
      <c r="L59" s="112">
        <f t="shared" si="108"/>
        <v>0.79354435415127578</v>
      </c>
      <c r="M59" s="112">
        <f t="shared" si="108"/>
        <v>0.9636062021802424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2.1783264746227711</v>
      </c>
      <c r="E60" s="112">
        <f t="shared" ref="E60:M60" si="109">E46/E9</f>
        <v>2.5108410769597334</v>
      </c>
      <c r="F60" s="112">
        <f t="shared" si="109"/>
        <v>3.4921772363549506</v>
      </c>
      <c r="G60" s="112">
        <f t="shared" si="109"/>
        <v>3.4609174660461584</v>
      </c>
      <c r="H60" s="112">
        <f t="shared" si="109"/>
        <v>2.8021908383125114</v>
      </c>
      <c r="I60" s="112">
        <f t="shared" si="109"/>
        <v>4.2957781050564554</v>
      </c>
      <c r="J60" s="112">
        <f t="shared" si="109"/>
        <v>4.1983333333333333</v>
      </c>
      <c r="K60" s="112">
        <f t="shared" si="109"/>
        <v>4.3486598631826849</v>
      </c>
      <c r="L60" s="112">
        <f t="shared" si="109"/>
        <v>2.4272641331064473</v>
      </c>
      <c r="M60" s="112">
        <f t="shared" si="109"/>
        <v>2.2244583207944628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0.13649588400268642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0.15426326403797708</v>
      </c>
    </row>
    <row r="65" spans="2:13">
      <c r="B65" s="10" t="s">
        <v>74</v>
      </c>
      <c r="C65" s="114"/>
      <c r="D65" s="121">
        <f>(M6/I6)^0.2 - 1</f>
        <v>0.15788211475917868</v>
      </c>
    </row>
    <row r="66" spans="2:13">
      <c r="B66" s="10" t="s">
        <v>84</v>
      </c>
      <c r="C66" s="114"/>
      <c r="D66" s="121">
        <f>(M6/D6)^0.1 - 1</f>
        <v>0.11108306144077407</v>
      </c>
    </row>
    <row r="67" spans="2:13">
      <c r="B67" s="10" t="s">
        <v>75</v>
      </c>
      <c r="C67" s="114"/>
      <c r="D67" s="121">
        <f>(M3/I3)^0.2 - 1</f>
        <v>0.12128551705139334</v>
      </c>
    </row>
    <row r="68" spans="2:13">
      <c r="B68" s="10" t="s">
        <v>85</v>
      </c>
      <c r="C68" s="114"/>
      <c r="D68" s="121">
        <f>(M3/D3)^0.1 - 1</f>
        <v>0.11941349150526581</v>
      </c>
    </row>
    <row r="69" spans="2:13">
      <c r="B69" s="10" t="s">
        <v>88</v>
      </c>
      <c r="C69" s="114"/>
      <c r="D69" s="121">
        <f>(M9/I9)^0.2 - 1</f>
        <v>0.26681693831260578</v>
      </c>
    </row>
    <row r="70" spans="2:13">
      <c r="B70" s="10" t="s">
        <v>89</v>
      </c>
      <c r="C70" s="114"/>
      <c r="D70" s="121">
        <f>(M9/D9)^0.2 - 1</f>
        <v>0.32290926516329632</v>
      </c>
    </row>
    <row r="71" spans="2:13">
      <c r="B71" s="10" t="s">
        <v>131</v>
      </c>
      <c r="D71" s="121">
        <f>(M23/I23)^0.2 - 1</f>
        <v>0.12472371587191211</v>
      </c>
    </row>
    <row r="72" spans="2:13">
      <c r="B72" s="10" t="s">
        <v>132</v>
      </c>
      <c r="D72" s="121">
        <f>AVERAGE(I24:M24)</f>
        <v>0.19925073310688862</v>
      </c>
    </row>
    <row r="73" spans="2:13">
      <c r="B73" s="10" t="s">
        <v>135</v>
      </c>
      <c r="D73" s="121">
        <f>AVERAGE(I55:M55)</f>
        <v>0.44592605128220492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14.137954654428386</v>
      </c>
      <c r="E76" s="110">
        <f t="shared" si="110"/>
        <v>6.4478610111583619</v>
      </c>
      <c r="F76" s="110">
        <f t="shared" si="110"/>
        <v>9.6965127238454283</v>
      </c>
      <c r="G76" s="110">
        <f t="shared" si="110"/>
        <v>9.0061876881647223</v>
      </c>
      <c r="H76" s="110">
        <f t="shared" si="110"/>
        <v>7.5000706354363853</v>
      </c>
      <c r="I76" s="110">
        <f t="shared" si="110"/>
        <v>9.5818169564631344</v>
      </c>
      <c r="J76" s="110">
        <f t="shared" si="110"/>
        <v>8.8447511642260004</v>
      </c>
      <c r="K76" s="110">
        <f t="shared" si="110"/>
        <v>3.0657855411284163</v>
      </c>
      <c r="L76" s="110">
        <f t="shared" si="110"/>
        <v>7.8769390359587526</v>
      </c>
      <c r="M76" s="110">
        <f t="shared" si="110"/>
        <v>8.5270703504916963</v>
      </c>
    </row>
    <row r="77" spans="2:13">
      <c r="B77" s="10" t="s">
        <v>139</v>
      </c>
      <c r="C77" s="110">
        <v>0</v>
      </c>
      <c r="D77" s="110">
        <f t="shared" ref="D77:M77" si="111">100*D6/D44</f>
        <v>91.896705253784503</v>
      </c>
      <c r="E77" s="110">
        <f t="shared" si="111"/>
        <v>101.83696900114811</v>
      </c>
      <c r="F77" s="110">
        <f t="shared" si="111"/>
        <v>130.39290240811152</v>
      </c>
      <c r="G77" s="110">
        <f t="shared" si="111"/>
        <v>128.40811044003451</v>
      </c>
      <c r="H77" s="110">
        <f t="shared" si="111"/>
        <v>104.15930939768491</v>
      </c>
      <c r="I77" s="110">
        <f t="shared" si="111"/>
        <v>-67.333649064645982</v>
      </c>
      <c r="J77" s="110">
        <f t="shared" si="111"/>
        <v>-96.45129711209006</v>
      </c>
      <c r="K77" s="110">
        <f t="shared" si="111"/>
        <v>35.244712529586927</v>
      </c>
      <c r="L77" s="110">
        <f t="shared" si="111"/>
        <v>74.773257320549362</v>
      </c>
      <c r="M77" s="110">
        <f t="shared" si="111"/>
        <v>68.467634638745878</v>
      </c>
    </row>
    <row r="78" spans="2:13">
      <c r="B78" s="10" t="s">
        <v>140</v>
      </c>
      <c r="C78" s="110">
        <v>0</v>
      </c>
      <c r="D78" s="40">
        <v>22.709999084472656</v>
      </c>
      <c r="E78" s="40">
        <v>11.489999771118164</v>
      </c>
      <c r="F78" s="40">
        <v>21.659999847412109</v>
      </c>
      <c r="G78" s="40">
        <v>17.270000457763672</v>
      </c>
      <c r="H78" s="40">
        <v>14.239999771118164</v>
      </c>
      <c r="I78" s="40">
        <v>0</v>
      </c>
      <c r="J78" s="40">
        <v>0</v>
      </c>
      <c r="K78" s="40">
        <v>7.8899998664855957</v>
      </c>
      <c r="L78" s="40">
        <v>14.210000038146973</v>
      </c>
      <c r="M78" s="40">
        <v>15.729999542236328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18.510000228881836</v>
      </c>
      <c r="E81" s="40">
        <v>28.450000762939453</v>
      </c>
      <c r="F81" s="40">
        <v>34.639999389648438</v>
      </c>
      <c r="G81" s="40">
        <v>16.920000076293945</v>
      </c>
      <c r="H81" s="40">
        <v>23.469999313354492</v>
      </c>
      <c r="I81" s="40">
        <v>19.129999160766602</v>
      </c>
      <c r="J81" s="40">
        <v>39</v>
      </c>
      <c r="K81" s="40">
        <v>23.090000152587891</v>
      </c>
      <c r="L81" s="40">
        <v>32.709999084472656</v>
      </c>
      <c r="M81" s="40">
        <v>21.549999237060547</v>
      </c>
    </row>
    <row r="82" spans="2:13">
      <c r="B82" s="122" t="s">
        <v>148</v>
      </c>
      <c r="C82" s="110">
        <v>0</v>
      </c>
      <c r="D82" s="40">
        <v>14.090000152587891</v>
      </c>
      <c r="E82" s="40">
        <v>19.600000381469727</v>
      </c>
      <c r="F82" s="40">
        <v>19.329999923706055</v>
      </c>
      <c r="G82" s="40">
        <v>13.720000267028809</v>
      </c>
      <c r="H82" s="40">
        <v>17.440000534057617</v>
      </c>
      <c r="I82" s="40">
        <v>11.489999771118164</v>
      </c>
      <c r="J82" s="40">
        <v>9.8000001907348633</v>
      </c>
      <c r="K82" s="40">
        <v>10.710000038146973</v>
      </c>
      <c r="L82" s="40">
        <v>10.670000076293945</v>
      </c>
      <c r="M82" s="40">
        <v>12.720000267028809</v>
      </c>
    </row>
    <row r="83" spans="2:13">
      <c r="B83" s="122" t="s">
        <v>153</v>
      </c>
      <c r="C83" s="110">
        <v>3.9900000095367432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2023-05-05T07:18:43Z</dcterms:modified>
</cp:coreProperties>
</file>