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7A7264F-E626-4D7A-9F7F-84A5C3BBA3F0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<sst xmlns="http://schemas.openxmlformats.org/spreadsheetml/2006/main" count="227" uniqueCount="162">
  <si>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</si>
  <si>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</si>
  <si>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</si>
  <si>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</si>
  <si>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</si>
  <si>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</si>
  <si>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</si>
  <si>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</si>
  <si>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</si>
  <si>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</si>
  <si>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</si>
  <si>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</si>
  <si>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</si>
  <si>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</si>
  <si>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</si>
  <si>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</si>
  <si>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</si>
  <si>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</si>
  <si>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</si>
  <si>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</si>
  <si>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</si>
  <si>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</si>
  <si>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</si>
  <si>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</si>
  <si>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</si>
  <si>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</si>
  <si>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</si>
  <si>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</si>
  <si>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</si>
  <si>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</si>
  <si>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</si>
  <si>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</si>
  <si>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</si>
  <si>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</si>
  <si>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</si>
  <si>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</si>
  <si>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</si>
  <si>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</si>
  <si>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</si>
  <si>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</si>
  <si>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</si>
  <si>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</si>
  <si>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</si>
  <si>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</si>
  <si>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</si>
  <si>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</si>
  <si>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</si>
  <si>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</si>
  <si>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</si>
  <si>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</si>
  <si>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</si>
  <si>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</si>
  <si>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</si>
  <si>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</si>
  <si>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</si>
  <si>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</si>
  <si>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</si>
  <si>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</si>
  <si>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</si>
  <si>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</si>
  <si>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</si>
  <si>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</si>
  <si>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</si>
  <si>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</si>
  <si>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</si>
  <si>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</si>
  <si>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</si>
  <si>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</si>
  <si>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</si>
  <si>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</si>
  <si>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</si>
  <si>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</si>
  <si>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</si>
  <si>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</si>
  <si>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</si>
  <si>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</si>
  <si>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</si>
  <si>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</si>
  <si>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</si>
  <si>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</si>
  <si>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</si>
  <si>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</si>
  <si>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</si>
  <si>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</si>
  <si>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</si>
  <si>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</si>
  <si>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</si>
  <si>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</si>
  <si>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</si>
  <si>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</si>
  <si>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</si>
  <si>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</si>
  <si>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</si>
  <si>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</si>
  <si>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</si>
  <si>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</si>
  <si>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</si>
  <si>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</si>
  <si>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</si>
  <si>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</si>
  <si>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</si>
  <si>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</si>
  <si>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</si>
  <si>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</si>
  <si>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</si>
  <si>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</si>
  <si>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</si>
  <si>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</si>
  <si>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</si>
  <si>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</si>
  <si>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</si>
  <si>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</si>
  <si>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</si>
  <si>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</si>
  <si>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</si>
  <si>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</si>
  <si>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</si>
  <si>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</si>
  <si>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</si>
  <si>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</si>
  <si>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</si>
  <si>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</si>
  <si>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</si>
  <si>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</si>
  <si>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</si>
  <si>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</si>
  <si>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</si>
  <si>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</si>
  <si>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</si>
  <si>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</si>
  <si>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</si>
  <si>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</si>
  <si>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</si>
  <si>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</si>
  <si>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</si>
  <si>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</si>
  <si>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</si>
  <si>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</si>
  <si>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</si>
  <si>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</si>
  <si>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</si>
  <si>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</si>
  <si>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</si>
  <si>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</si>
  <si>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</si>
  <si>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</si>
  <si>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</si>
  <si>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</si>
  <si>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</si>
  <si>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</si>
  <si>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</si>
  <si>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</si>
  <si>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</si>
  <si>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</si>
  <si>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</si>
  <si>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</si>
  <si>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</si>
  <si>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</si>
  <si>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</si>
  <si>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TXN_TexasInstruments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</si>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</sst>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0.17410897173289636</c:v>
                </c:pt>
                <c:pt idx="1">
                  <c:v>0.212878497508624</c:v>
                </c:pt>
                <c:pt idx="2">
                  <c:v>0.2296923076923077</c:v>
                </c:pt>
                <c:pt idx="3">
                  <c:v>0.26888556469708302</c:v>
                </c:pt>
                <c:pt idx="4">
                  <c:v>0.24383396831762583</c:v>
                </c:pt>
                <c:pt idx="5">
                  <c:v>0.35079827673593511</c:v>
                </c:pt>
                <c:pt idx="6">
                  <c:v>0.34658972397969823</c:v>
                </c:pt>
                <c:pt idx="7">
                  <c:v>0.38503561302814465</c:v>
                </c:pt>
                <c:pt idx="8">
                  <c:v>0.4217182730047972</c:v>
                </c:pt>
                <c:pt idx="9">
                  <c:v>0.43484122228879568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0.33830397378123722</c:v>
                </c:pt>
                <c:pt idx="1">
                  <c:v>0.39685703334610961</c:v>
                </c:pt>
                <c:pt idx="2">
                  <c:v>0.41961538461538461</c:v>
                </c:pt>
                <c:pt idx="3">
                  <c:v>0.43455497382198954</c:v>
                </c:pt>
                <c:pt idx="4">
                  <c:v>0.46701423701624223</c:v>
                </c:pt>
                <c:pt idx="5">
                  <c:v>0.48574505828687276</c:v>
                </c:pt>
                <c:pt idx="6">
                  <c:v>0.47090314955155393</c:v>
                </c:pt>
                <c:pt idx="7">
                  <c:v>0.47617730447410278</c:v>
                </c:pt>
                <c:pt idx="8">
                  <c:v>0.54044919319668561</c:v>
                </c:pt>
                <c:pt idx="9">
                  <c:v>0.555172758138606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0.24522736583367472</c:v>
                </c:pt>
                <c:pt idx="1">
                  <c:v>0.29214258336527404</c:v>
                </c:pt>
                <c:pt idx="2">
                  <c:v>0.30430769230769233</c:v>
                </c:pt>
                <c:pt idx="3">
                  <c:v>0.30538519072550485</c:v>
                </c:pt>
                <c:pt idx="4">
                  <c:v>0.31468484726956752</c:v>
                </c:pt>
                <c:pt idx="5">
                  <c:v>0.38437658388241258</c:v>
                </c:pt>
                <c:pt idx="6">
                  <c:v>0.40547869012028087</c:v>
                </c:pt>
                <c:pt idx="7">
                  <c:v>0.3799184012170666</c:v>
                </c:pt>
                <c:pt idx="8">
                  <c:v>0.34719799389446143</c:v>
                </c:pt>
                <c:pt idx="9">
                  <c:v>0.29588575993608945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25.979999542236328</c:v>
                </c:pt>
                <c:pt idx="1">
                  <c:v>23.549999237060547</c:v>
                </c:pt>
                <c:pt idx="2">
                  <c:v>19.719999313354492</c:v>
                </c:pt>
                <c:pt idx="3">
                  <c:v>23.239999771118164</c:v>
                </c:pt>
                <c:pt idx="4">
                  <c:v>24.399999618530273</c:v>
                </c:pt>
                <c:pt idx="5">
                  <c:v>20.239999771118164</c:v>
                </c:pt>
                <c:pt idx="6">
                  <c:v>23.799999237060547</c:v>
                </c:pt>
                <c:pt idx="7">
                  <c:v>31.030000686645508</c:v>
                </c:pt>
                <c:pt idx="8">
                  <c:v>24.190000534057617</c:v>
                </c:pt>
                <c:pt idx="9">
                  <c:v>17.319999694824219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15.029999732971191</c:v>
                </c:pt>
                <c:pt idx="1">
                  <c:v>15.25</c:v>
                </c:pt>
                <c:pt idx="2">
                  <c:v>14.039999961853027</c:v>
                </c:pt>
                <c:pt idx="3">
                  <c:v>16.680000305175781</c:v>
                </c:pt>
                <c:pt idx="4">
                  <c:v>21.989999771118164</c:v>
                </c:pt>
                <c:pt idx="5">
                  <c:v>13.539999961853027</c:v>
                </c:pt>
                <c:pt idx="6">
                  <c:v>17.440000534057617</c:v>
                </c:pt>
                <c:pt idx="7">
                  <c:v>26.659999847412109</c:v>
                </c:pt>
                <c:pt idx="8">
                  <c:v>20.680000305175781</c:v>
                </c:pt>
                <c:pt idx="9">
                  <c:v>17.020000457763672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1.9099999666213989</c:v>
                </c:pt>
                <c:pt idx="1">
                  <c:v>2.5699999332427979</c:v>
                </c:pt>
                <c:pt idx="2">
                  <c:v>2.8199999332427979</c:v>
                </c:pt>
                <c:pt idx="3">
                  <c:v>3.4800000190734863</c:v>
                </c:pt>
                <c:pt idx="4">
                  <c:v>3.6099998950958252</c:v>
                </c:pt>
                <c:pt idx="5">
                  <c:v>5.5900001525878906</c:v>
                </c:pt>
                <c:pt idx="6">
                  <c:v>5.2399997711181641</c:v>
                </c:pt>
                <c:pt idx="7">
                  <c:v>5.9699997901916504</c:v>
                </c:pt>
                <c:pt idx="8">
                  <c:v>8.2600002288818359</c:v>
                </c:pt>
                <c:pt idx="9">
                  <c:v>9.4099998474121094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12205</c:v>
                </c:pt>
                <c:pt idx="1">
                  <c:v>13045</c:v>
                </c:pt>
                <c:pt idx="2">
                  <c:v>13000</c:v>
                </c:pt>
                <c:pt idx="3">
                  <c:v>13370</c:v>
                </c:pt>
                <c:pt idx="4">
                  <c:v>14961</c:v>
                </c:pt>
                <c:pt idx="5">
                  <c:v>15784</c:v>
                </c:pt>
                <c:pt idx="6">
                  <c:v>14383</c:v>
                </c:pt>
                <c:pt idx="7">
                  <c:v>14461</c:v>
                </c:pt>
                <c:pt idx="8">
                  <c:v>18344</c:v>
                </c:pt>
                <c:pt idx="9">
                  <c:v>20028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4158</c:v>
                </c:pt>
                <c:pt idx="1">
                  <c:v>3630</c:v>
                </c:pt>
                <c:pt idx="2">
                  <c:v>3120</c:v>
                </c:pt>
                <c:pt idx="3">
                  <c:v>2978</c:v>
                </c:pt>
                <c:pt idx="4">
                  <c:v>3577</c:v>
                </c:pt>
                <c:pt idx="5">
                  <c:v>4319</c:v>
                </c:pt>
                <c:pt idx="6">
                  <c:v>5303</c:v>
                </c:pt>
                <c:pt idx="7">
                  <c:v>6248</c:v>
                </c:pt>
                <c:pt idx="8">
                  <c:v>7241</c:v>
                </c:pt>
                <c:pt idx="9">
                  <c:v>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4129</c:v>
                </c:pt>
                <c:pt idx="1">
                  <c:v>5177</c:v>
                </c:pt>
                <c:pt idx="2">
                  <c:v>5455</c:v>
                </c:pt>
                <c:pt idx="3">
                  <c:v>5810</c:v>
                </c:pt>
                <c:pt idx="4">
                  <c:v>6987</c:v>
                </c:pt>
                <c:pt idx="5">
                  <c:v>7667</c:v>
                </c:pt>
                <c:pt idx="6">
                  <c:v>6773</c:v>
                </c:pt>
                <c:pt idx="7">
                  <c:v>6886</c:v>
                </c:pt>
                <c:pt idx="8">
                  <c:v>9914</c:v>
                </c:pt>
                <c:pt idx="9">
                  <c:v>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1.0070234923710342</c:v>
                </c:pt>
                <c:pt idx="1">
                  <c:v>0.70117828858412212</c:v>
                </c:pt>
                <c:pt idx="2">
                  <c:v>0.57195233730522455</c:v>
                </c:pt>
                <c:pt idx="3">
                  <c:v>0.51256454388984507</c:v>
                </c:pt>
                <c:pt idx="4">
                  <c:v>0.51195076570774301</c:v>
                </c:pt>
                <c:pt idx="5">
                  <c:v>0.56332333376809707</c:v>
                </c:pt>
                <c:pt idx="6">
                  <c:v>0.78296175992913042</c:v>
                </c:pt>
                <c:pt idx="7">
                  <c:v>0.90734824281150162</c:v>
                </c:pt>
                <c:pt idx="8">
                  <c:v>0.73038127899939476</c:v>
                </c:pt>
                <c:pt idx="9">
                  <c:v>0.74062415684863747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2993</c:v>
                </c:pt>
                <c:pt idx="1">
                  <c:v>3811</c:v>
                </c:pt>
                <c:pt idx="2">
                  <c:v>3956</c:v>
                </c:pt>
                <c:pt idx="3">
                  <c:v>4083</c:v>
                </c:pt>
                <c:pt idx="4">
                  <c:v>4708</c:v>
                </c:pt>
                <c:pt idx="5">
                  <c:v>6067</c:v>
                </c:pt>
                <c:pt idx="6">
                  <c:v>5832</c:v>
                </c:pt>
                <c:pt idx="7">
                  <c:v>5494</c:v>
                </c:pt>
                <c:pt idx="8">
                  <c:v>6369</c:v>
                </c:pt>
                <c:pt idx="9">
                  <c:v>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1175</c:v>
                </c:pt>
                <c:pt idx="1">
                  <c:v>1323</c:v>
                </c:pt>
                <c:pt idx="2">
                  <c:v>1444</c:v>
                </c:pt>
                <c:pt idx="3">
                  <c:v>1646</c:v>
                </c:pt>
                <c:pt idx="4">
                  <c:v>2104</c:v>
                </c:pt>
                <c:pt idx="5">
                  <c:v>2555</c:v>
                </c:pt>
                <c:pt idx="6">
                  <c:v>3008</c:v>
                </c:pt>
                <c:pt idx="7">
                  <c:v>3426</c:v>
                </c:pt>
                <c:pt idx="8">
                  <c:v>3886</c:v>
                </c:pt>
                <c:pt idx="9">
                  <c:v>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0.39258269295021719</c:v>
                </c:pt>
                <c:pt idx="1">
                  <c:v>0.34715297822093938</c:v>
                </c:pt>
                <c:pt idx="2">
                  <c:v>0.36501516683518703</c:v>
                </c:pt>
                <c:pt idx="3">
                  <c:v>0.40313494979181974</c:v>
                </c:pt>
                <c:pt idx="4">
                  <c:v>0.44689889549702633</c:v>
                </c:pt>
                <c:pt idx="5">
                  <c:v>0.4211307071040053</c:v>
                </c:pt>
                <c:pt idx="6">
                  <c:v>0.51577503429355276</c:v>
                </c:pt>
                <c:pt idx="7">
                  <c:v>0.6235893702220604</c:v>
                </c:pt>
                <c:pt idx="8">
                  <c:v>0.61014287957293134</c:v>
                </c:pt>
                <c:pt idx="9">
                  <c:v>0.72510968612892335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10919</c:v>
                </c:pt>
                <c:pt idx="1">
                  <c:v>9951</c:v>
                </c:pt>
                <c:pt idx="2">
                  <c:v>9156</c:v>
                </c:pt>
                <c:pt idx="3">
                  <c:v>8974</c:v>
                </c:pt>
                <c:pt idx="4">
                  <c:v>8908</c:v>
                </c:pt>
                <c:pt idx="5">
                  <c:v>9040</c:v>
                </c:pt>
                <c:pt idx="6">
                  <c:v>9257</c:v>
                </c:pt>
                <c:pt idx="7">
                  <c:v>9112</c:v>
                </c:pt>
                <c:pt idx="8">
                  <c:v>10991</c:v>
                </c:pt>
                <c:pt idx="9">
                  <c:v>13186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8019</c:v>
                </c:pt>
                <c:pt idx="1">
                  <c:v>7421</c:v>
                </c:pt>
                <c:pt idx="2">
                  <c:v>7074</c:v>
                </c:pt>
                <c:pt idx="3">
                  <c:v>7457</c:v>
                </c:pt>
                <c:pt idx="4">
                  <c:v>8734</c:v>
                </c:pt>
                <c:pt idx="5">
                  <c:v>8097</c:v>
                </c:pt>
                <c:pt idx="6">
                  <c:v>8761</c:v>
                </c:pt>
                <c:pt idx="7">
                  <c:v>10239</c:v>
                </c:pt>
                <c:pt idx="8">
                  <c:v>13685</c:v>
                </c:pt>
                <c:pt idx="9">
                  <c:v>14021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2747</c:v>
                </c:pt>
                <c:pt idx="1">
                  <c:v>2658</c:v>
                </c:pt>
                <c:pt idx="2">
                  <c:v>2555</c:v>
                </c:pt>
                <c:pt idx="3">
                  <c:v>2264</c:v>
                </c:pt>
                <c:pt idx="4">
                  <c:v>2258</c:v>
                </c:pt>
                <c:pt idx="5">
                  <c:v>2474</c:v>
                </c:pt>
                <c:pt idx="6">
                  <c:v>2123</c:v>
                </c:pt>
                <c:pt idx="7">
                  <c:v>2390</c:v>
                </c:pt>
                <c:pt idx="8">
                  <c:v>2569</c:v>
                </c:pt>
                <c:pt idx="9">
                  <c:v>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5384</c:v>
                </c:pt>
                <c:pt idx="1">
                  <c:v>4324</c:v>
                </c:pt>
                <c:pt idx="2">
                  <c:v>3729</c:v>
                </c:pt>
                <c:pt idx="3">
                  <c:v>3694</c:v>
                </c:pt>
                <c:pt idx="4">
                  <c:v>5047</c:v>
                </c:pt>
                <c:pt idx="5">
                  <c:v>5669</c:v>
                </c:pt>
                <c:pt idx="6">
                  <c:v>6988</c:v>
                </c:pt>
                <c:pt idx="7">
                  <c:v>7774</c:v>
                </c:pt>
                <c:pt idx="8">
                  <c:v>8774</c:v>
                </c:pt>
                <c:pt idx="9">
                  <c:v>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10807</c:v>
                </c:pt>
                <c:pt idx="1">
                  <c:v>10390</c:v>
                </c:pt>
                <c:pt idx="2">
                  <c:v>9946</c:v>
                </c:pt>
                <c:pt idx="3">
                  <c:v>10473</c:v>
                </c:pt>
                <c:pt idx="4">
                  <c:v>10337</c:v>
                </c:pt>
                <c:pt idx="5">
                  <c:v>8994</c:v>
                </c:pt>
                <c:pt idx="6">
                  <c:v>8907</c:v>
                </c:pt>
                <c:pt idx="7">
                  <c:v>9187</c:v>
                </c:pt>
                <c:pt idx="8">
                  <c:v>13333</c:v>
                </c:pt>
                <c:pt idx="9">
                  <c:v>14577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8131</c:v>
                </c:pt>
                <c:pt idx="1">
                  <c:v>6982</c:v>
                </c:pt>
                <c:pt idx="2">
                  <c:v>6284</c:v>
                </c:pt>
                <c:pt idx="3">
                  <c:v>5958</c:v>
                </c:pt>
                <c:pt idx="4">
                  <c:v>7305</c:v>
                </c:pt>
                <c:pt idx="5">
                  <c:v>8143</c:v>
                </c:pt>
                <c:pt idx="6">
                  <c:v>9111</c:v>
                </c:pt>
                <c:pt idx="7">
                  <c:v>10164</c:v>
                </c:pt>
                <c:pt idx="8">
                  <c:v>11343</c:v>
                </c:pt>
                <c:pt idx="9">
                  <c:v>12630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0.7523827149070047</c:v>
                </c:pt>
                <c:pt idx="1">
                  <c:v>0.67199230028873913</c:v>
                </c:pt>
                <c:pt idx="2">
                  <c:v>0.63181178363161072</c:v>
                </c:pt>
                <c:pt idx="3">
                  <c:v>0.56889143511887708</c:v>
                </c:pt>
                <c:pt idx="4">
                  <c:v>0.70668472477507982</c:v>
                </c:pt>
                <c:pt idx="5">
                  <c:v>0.90538136535468094</c:v>
                </c:pt>
                <c:pt idx="6">
                  <c:v>1.0229033344560459</c:v>
                </c:pt>
                <c:pt idx="7">
                  <c:v>1.1063459235876782</c:v>
                </c:pt>
                <c:pt idx="8">
                  <c:v>0.85074626865671643</c:v>
                </c:pt>
                <c:pt idx="9">
                  <c:v>0.86643342251492073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8019</c:v>
                </c:pt>
                <c:pt idx="1">
                  <c:v>7421</c:v>
                </c:pt>
                <c:pt idx="2">
                  <c:v>7074</c:v>
                </c:pt>
                <c:pt idx="3">
                  <c:v>7457</c:v>
                </c:pt>
                <c:pt idx="4">
                  <c:v>8734</c:v>
                </c:pt>
                <c:pt idx="5">
                  <c:v>8097</c:v>
                </c:pt>
                <c:pt idx="6">
                  <c:v>8761</c:v>
                </c:pt>
                <c:pt idx="7">
                  <c:v>10239</c:v>
                </c:pt>
                <c:pt idx="8">
                  <c:v>13685</c:v>
                </c:pt>
                <c:pt idx="9">
                  <c:v>14021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2747</c:v>
                </c:pt>
                <c:pt idx="1">
                  <c:v>2658</c:v>
                </c:pt>
                <c:pt idx="2">
                  <c:v>2555</c:v>
                </c:pt>
                <c:pt idx="3">
                  <c:v>2264</c:v>
                </c:pt>
                <c:pt idx="4">
                  <c:v>2258</c:v>
                </c:pt>
                <c:pt idx="5">
                  <c:v>2474</c:v>
                </c:pt>
                <c:pt idx="6">
                  <c:v>2123</c:v>
                </c:pt>
                <c:pt idx="7">
                  <c:v>2390</c:v>
                </c:pt>
                <c:pt idx="8">
                  <c:v>2569</c:v>
                </c:pt>
                <c:pt idx="9">
                  <c:v>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2.9191845649799784</c:v>
                </c:pt>
                <c:pt idx="1">
                  <c:v>2.7919488337095562</c:v>
                </c:pt>
                <c:pt idx="2">
                  <c:v>2.768688845401174</c:v>
                </c:pt>
                <c:pt idx="3">
                  <c:v>3.2937279151943462</c:v>
                </c:pt>
                <c:pt idx="4">
                  <c:v>3.8680248007085916</c:v>
                </c:pt>
                <c:pt idx="5">
                  <c:v>3.2728375101050928</c:v>
                </c:pt>
                <c:pt idx="6">
                  <c:v>4.1267074894017899</c:v>
                </c:pt>
                <c:pt idx="7">
                  <c:v>4.2841004184100422</c:v>
                </c:pt>
                <c:pt idx="8">
                  <c:v>5.3269754768392374</c:v>
                </c:pt>
                <c:pt idx="9">
                  <c:v>4.6971524288107203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4129</c:v>
                </c:pt>
                <c:pt idx="1">
                  <c:v>5177</c:v>
                </c:pt>
                <c:pt idx="2">
                  <c:v>5455</c:v>
                </c:pt>
                <c:pt idx="3">
                  <c:v>5810</c:v>
                </c:pt>
                <c:pt idx="4">
                  <c:v>6987</c:v>
                </c:pt>
                <c:pt idx="5">
                  <c:v>7667</c:v>
                </c:pt>
                <c:pt idx="6">
                  <c:v>6773</c:v>
                </c:pt>
                <c:pt idx="7">
                  <c:v>6886</c:v>
                </c:pt>
                <c:pt idx="8">
                  <c:v>9914</c:v>
                </c:pt>
                <c:pt idx="9">
                  <c:v>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2125</c:v>
                </c:pt>
                <c:pt idx="1">
                  <c:v>2777</c:v>
                </c:pt>
                <c:pt idx="2">
                  <c:v>2986</c:v>
                </c:pt>
                <c:pt idx="3">
                  <c:v>3595</c:v>
                </c:pt>
                <c:pt idx="4">
                  <c:v>3648</c:v>
                </c:pt>
                <c:pt idx="5">
                  <c:v>5537</c:v>
                </c:pt>
                <c:pt idx="6">
                  <c:v>4985</c:v>
                </c:pt>
                <c:pt idx="7">
                  <c:v>5568</c:v>
                </c:pt>
                <c:pt idx="8">
                  <c:v>7736</c:v>
                </c:pt>
                <c:pt idx="9">
                  <c:v>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2993</c:v>
                </c:pt>
                <c:pt idx="1">
                  <c:v>3811</c:v>
                </c:pt>
                <c:pt idx="2">
                  <c:v>3956</c:v>
                </c:pt>
                <c:pt idx="3">
                  <c:v>4083</c:v>
                </c:pt>
                <c:pt idx="4">
                  <c:v>4708</c:v>
                </c:pt>
                <c:pt idx="5">
                  <c:v>6067</c:v>
                </c:pt>
                <c:pt idx="6">
                  <c:v>5832</c:v>
                </c:pt>
                <c:pt idx="7">
                  <c:v>5494</c:v>
                </c:pt>
                <c:pt idx="8">
                  <c:v>6369</c:v>
                </c:pt>
                <c:pt idx="9">
                  <c:v>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11.220825852782765</c:v>
                </c:pt>
                <c:pt idx="1">
                  <c:v>15.985493898227032</c:v>
                </c:pt>
                <c:pt idx="2">
                  <c:v>18.398028342575479</c:v>
                </c:pt>
                <c:pt idx="3">
                  <c:v>21.879374353356461</c:v>
                </c:pt>
                <c:pt idx="4">
                  <c:v>20.677927672599477</c:v>
                </c:pt>
                <c:pt idx="5">
                  <c:v>32.31020598704557</c:v>
                </c:pt>
                <c:pt idx="6">
                  <c:v>27.666777666777666</c:v>
                </c:pt>
                <c:pt idx="7">
                  <c:v>28.773706785179062</c:v>
                </c:pt>
                <c:pt idx="8">
                  <c:v>31.35029988652942</c:v>
                </c:pt>
                <c:pt idx="9">
                  <c:v>32.010144448119966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19.66318127139817</c:v>
                </c:pt>
                <c:pt idx="1">
                  <c:v>26.727622714148218</c:v>
                </c:pt>
                <c:pt idx="2">
                  <c:v>30.022119445003018</c:v>
                </c:pt>
                <c:pt idx="3">
                  <c:v>34.326363028740573</c:v>
                </c:pt>
                <c:pt idx="4">
                  <c:v>35.290703298829449</c:v>
                </c:pt>
                <c:pt idx="5">
                  <c:v>61.563264398487881</c:v>
                </c:pt>
                <c:pt idx="6">
                  <c:v>55.967216795778604</c:v>
                </c:pt>
                <c:pt idx="7">
                  <c:v>60.607379993469031</c:v>
                </c:pt>
                <c:pt idx="8">
                  <c:v>58.021450536263409</c:v>
                </c:pt>
                <c:pt idx="9">
                  <c:v>59.744803457501547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13.489999771118164</c:v>
                </c:pt>
                <c:pt idx="1">
                  <c:v>18.299999237060547</c:v>
                </c:pt>
                <c:pt idx="2">
                  <c:v>20.600000381469727</c:v>
                </c:pt>
                <c:pt idx="3">
                  <c:v>25.600000381469727</c:v>
                </c:pt>
                <c:pt idx="4">
                  <c:v>25.940000534057617</c:v>
                </c:pt>
                <c:pt idx="5">
                  <c:v>39.619998931884766</c:v>
                </c:pt>
                <c:pt idx="6">
                  <c:v>35.590000152587891</c:v>
                </c:pt>
                <c:pt idx="7">
                  <c:v>36.990001678466797</c:v>
                </c:pt>
                <c:pt idx="8">
                  <c:v>41.900001525878906</c:v>
                </c:pt>
                <c:pt idx="9">
                  <c:v>39.439998626708984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1113</c:v>
                </c:pt>
                <c:pt idx="1">
                  <c:v>1080</c:v>
                </c:pt>
                <c:pt idx="2">
                  <c:v>1043</c:v>
                </c:pt>
                <c:pt idx="3">
                  <c:v>1021</c:v>
                </c:pt>
                <c:pt idx="4">
                  <c:v>1012</c:v>
                </c:pt>
                <c:pt idx="5">
                  <c:v>990</c:v>
                </c:pt>
                <c:pt idx="6">
                  <c:v>952</c:v>
                </c:pt>
                <c:pt idx="7">
                  <c:v>921</c:v>
                </c:pt>
                <c:pt idx="8">
                  <c:v>923</c:v>
                </c:pt>
                <c:pt idx="9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4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30.422226954730338</v>
      </c>
      <c r="G12" s="119">
        <f>Financials!D76</f>
        <v>11.220825852782765</v>
      </c>
      <c r="H12" s="119">
        <f>Financials!E76</f>
        <v>15.985493898227032</v>
      </c>
      <c r="I12" s="119">
        <f>Financials!F76</f>
        <v>18.398028342575479</v>
      </c>
      <c r="J12" s="119">
        <f>Financials!G76</f>
        <v>21.879374353356461</v>
      </c>
      <c r="K12" s="119">
        <f>Financials!H76</f>
        <v>20.677927672599477</v>
      </c>
      <c r="L12" s="119">
        <f>Financials!I76</f>
        <v>32.31020598704557</v>
      </c>
      <c r="M12" s="119">
        <f>Financials!J76</f>
        <v>27.666777666777666</v>
      </c>
      <c r="N12" s="119">
        <f>Financials!K76</f>
        <v>28.773706785179062</v>
      </c>
      <c r="O12" s="119">
        <f>Financials!L76</f>
        <v>31.35029988652942</v>
      </c>
      <c r="P12" s="119">
        <f>Financials!M76</f>
        <v>32.010144448119966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59.180823036300104</v>
      </c>
      <c r="G14" s="40">
        <f>Financials!D77</f>
        <v>19.66318127139817</v>
      </c>
      <c r="H14" s="40">
        <f>Financials!E77</f>
        <v>26.727622714148218</v>
      </c>
      <c r="I14" s="40">
        <f>Financials!F77</f>
        <v>30.022119445003018</v>
      </c>
      <c r="J14" s="40">
        <f>Financials!G77</f>
        <v>34.326363028740573</v>
      </c>
      <c r="K14" s="40">
        <f>Financials!H77</f>
        <v>35.290703298829449</v>
      </c>
      <c r="L14" s="40">
        <f>Financials!I77</f>
        <v>61.563264398487881</v>
      </c>
      <c r="M14" s="40">
        <f>Financials!J77</f>
        <v>55.967216795778604</v>
      </c>
      <c r="N14" s="40">
        <f>Financials!K77</f>
        <v>60.607379993469031</v>
      </c>
      <c r="O14" s="40">
        <f>Financials!L77</f>
        <v>58.021450536263409</v>
      </c>
      <c r="P14" s="40">
        <f>Financials!M77</f>
        <v>59.744803457501547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0.11456412077430318</v>
      </c>
      <c r="F16" s="124">
        <f>AVERAGE(L16:P16)</f>
        <v>38.708000183105469</v>
      </c>
      <c r="G16" s="40">
        <f>Financials!D78</f>
        <v>13.489999771118164</v>
      </c>
      <c r="H16" s="40">
        <f>Financials!E78</f>
        <v>18.299999237060547</v>
      </c>
      <c r="I16" s="40">
        <f>Financials!F78</f>
        <v>20.600000381469727</v>
      </c>
      <c r="J16" s="40">
        <f>Financials!G78</f>
        <v>25.600000381469727</v>
      </c>
      <c r="K16" s="40">
        <f>Financials!H78</f>
        <v>25.940000534057617</v>
      </c>
      <c r="L16" s="40">
        <f>Financials!I78</f>
        <v>39.619998931884766</v>
      </c>
      <c r="M16" s="40">
        <f>Financials!J78</f>
        <v>35.590000152587891</v>
      </c>
      <c r="N16" s="40">
        <f>Financials!K78</f>
        <v>36.990001678466797</v>
      </c>
      <c r="O16" s="40">
        <f>Financials!L78</f>
        <v>41.900001525878906</v>
      </c>
      <c r="P16" s="40">
        <f>Financials!M78</f>
        <v>39.439998626708984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4.3415546647133763</v>
      </c>
      <c r="G18" s="42">
        <f>Financials!D59</f>
        <v>2.9191845649799784</v>
      </c>
      <c r="H18" s="42">
        <f>Financials!E59</f>
        <v>2.7919488337095562</v>
      </c>
      <c r="I18" s="42">
        <f>Financials!F59</f>
        <v>2.768688845401174</v>
      </c>
      <c r="J18" s="42">
        <f>Financials!G59</f>
        <v>3.2937279151943462</v>
      </c>
      <c r="K18" s="42">
        <f>Financials!H59</f>
        <v>3.8680248007085916</v>
      </c>
      <c r="L18" s="42">
        <f>Financials!I59</f>
        <v>3.2728375101050928</v>
      </c>
      <c r="M18" s="42">
        <f>Financials!J59</f>
        <v>4.1267074894017899</v>
      </c>
      <c r="N18" s="42">
        <f>Financials!K59</f>
        <v>4.2841004184100422</v>
      </c>
      <c r="O18" s="42">
        <f>Financials!L59</f>
        <v>5.3269754768392374</v>
      </c>
      <c r="P18" s="42">
        <f>Financials!M59</f>
        <v>4.6971524288107203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4" t="str">
        <f>T11</f>
        <v>J</v>
      </c>
      <c r="E20" s="49" t="s">
        <v>137</v>
      </c>
      <c r="F20" s="125">
        <f>AVERAGE(L20:P20)</f>
        <v>0.95036206291400838</v>
      </c>
      <c r="G20" s="42">
        <f>Financials!D58</f>
        <v>0.7523827149070047</v>
      </c>
      <c r="H20" s="42">
        <f>Financials!E58</f>
        <v>0.67199230028873913</v>
      </c>
      <c r="I20" s="42">
        <f>Financials!F58</f>
        <v>0.63181178363161072</v>
      </c>
      <c r="J20" s="42">
        <f>Financials!G58</f>
        <v>0.56889143511887708</v>
      </c>
      <c r="K20" s="42">
        <f>Financials!H58</f>
        <v>0.70668472477507982</v>
      </c>
      <c r="L20" s="42">
        <f>Financials!I58</f>
        <v>0.90538136535468094</v>
      </c>
      <c r="M20" s="42">
        <f>Financials!J58</f>
        <v>1.0229033344560459</v>
      </c>
      <c r="N20" s="42">
        <f>Financials!K58</f>
        <v>1.1063459235876782</v>
      </c>
      <c r="O20" s="42">
        <f>Financials!L58</f>
        <v>0.85074626865671643</v>
      </c>
      <c r="P20" s="42">
        <f>Financials!M58</f>
        <v>0.86643342251492073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0.74492775447135229</v>
      </c>
      <c r="G22" s="42">
        <f>Financials!D60</f>
        <v>1.0070234923710342</v>
      </c>
      <c r="H22" s="42">
        <f>Financials!E60</f>
        <v>0.70117828858412212</v>
      </c>
      <c r="I22" s="42">
        <f>Financials!F60</f>
        <v>0.57195233730522455</v>
      </c>
      <c r="J22" s="42">
        <f>Financials!G60</f>
        <v>0.51256454388984507</v>
      </c>
      <c r="K22" s="42">
        <f>Financials!H60</f>
        <v>0.51195076570774301</v>
      </c>
      <c r="L22" s="42">
        <f>Financials!I60</f>
        <v>0.56332333376809707</v>
      </c>
      <c r="M22" s="42">
        <f>Financials!J60</f>
        <v>0.78296175992913042</v>
      </c>
      <c r="N22" s="42">
        <f>Financials!K60</f>
        <v>0.90734824281150162</v>
      </c>
      <c r="O22" s="42">
        <f>Financials!L60</f>
        <v>0.73038127899939476</v>
      </c>
      <c r="P22" s="42">
        <f>Financials!M60</f>
        <v>0.74062415684863747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1113</v>
      </c>
      <c r="H24" s="40">
        <f>Financials!E12</f>
        <v>1080</v>
      </c>
      <c r="I24" s="40">
        <f>Financials!F12</f>
        <v>1043</v>
      </c>
      <c r="J24" s="40">
        <f>Financials!G12</f>
        <v>1021</v>
      </c>
      <c r="K24" s="40">
        <f>Financials!H12</f>
        <v>1012</v>
      </c>
      <c r="L24" s="40">
        <f>Financials!I12</f>
        <v>990</v>
      </c>
      <c r="M24" s="40">
        <f>Financials!J12</f>
        <v>952</v>
      </c>
      <c r="N24" s="40">
        <f>Financials!K12</f>
        <v>921</v>
      </c>
      <c r="O24" s="40">
        <f>Financials!L12</f>
        <v>923</v>
      </c>
      <c r="P24" s="40">
        <f>Financials!M12</f>
        <v>916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23.315999984741211</v>
      </c>
      <c r="G26" s="44">
        <f>Financials!D81</f>
        <v>25.979999542236328</v>
      </c>
      <c r="H26" s="44">
        <f>Financials!E81</f>
        <v>23.549999237060547</v>
      </c>
      <c r="I26" s="44">
        <f>Financials!F81</f>
        <v>19.719999313354492</v>
      </c>
      <c r="J26" s="44">
        <f>Financials!G81</f>
        <v>23.239999771118164</v>
      </c>
      <c r="K26" s="44">
        <f>Financials!H81</f>
        <v>24.399999618530273</v>
      </c>
      <c r="L26" s="44">
        <f>Financials!I81</f>
        <v>20.239999771118164</v>
      </c>
      <c r="M26" s="44">
        <f>Financials!J81</f>
        <v>23.799999237060547</v>
      </c>
      <c r="N26" s="44">
        <f>Financials!K81</f>
        <v>31.030000686645508</v>
      </c>
      <c r="O26" s="44">
        <f>Financials!L81</f>
        <v>24.190000534057617</v>
      </c>
      <c r="P26" s="44">
        <f>Financials!M81</f>
        <v>17.319999694824219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19.06800022125244</v>
      </c>
      <c r="G28" s="44">
        <f>Financials!D82</f>
        <v>15.029999732971191</v>
      </c>
      <c r="H28" s="44">
        <f>Financials!E82</f>
        <v>15.25</v>
      </c>
      <c r="I28" s="44">
        <f>Financials!F82</f>
        <v>14.039999961853027</v>
      </c>
      <c r="J28" s="44">
        <f>Financials!G82</f>
        <v>16.680000305175781</v>
      </c>
      <c r="K28" s="44">
        <f>Financials!H82</f>
        <v>21.989999771118164</v>
      </c>
      <c r="L28" s="44">
        <f>Financials!I82</f>
        <v>13.539999961853027</v>
      </c>
      <c r="M28" s="44">
        <f>Financials!J82</f>
        <v>17.440000534057617</v>
      </c>
      <c r="N28" s="44">
        <f>Financials!K82</f>
        <v>26.659999847412109</v>
      </c>
      <c r="O28" s="44">
        <f>Financials!L82</f>
        <v>20.680000305175781</v>
      </c>
      <c r="P28" s="44">
        <f>Financials!M82</f>
        <v>17.020000457763672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2.9900000095367432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-4.6919183617391003E-3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7.0694305867646801E-2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7.7179434804034441E-2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0.21911358130616465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9.4809994463398217E-2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0.15149202802592021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4.8779288168724122E-2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5.0775600952138955E-2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>
        <f>Financials!$D$73</f>
        <v>0.5791495354642946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0.10957046973041251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0.15412948805414889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0.2636999577845614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7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153.69000244140625</v>
      </c>
    </row>
    <row r="6" spans="2:16">
      <c r="B6" s="4" t="s">
        <v>5</v>
      </c>
      <c r="C6" s="59">
        <v>2985000</v>
      </c>
    </row>
    <row r="7" spans="2:16">
      <c r="B7" s="4" t="s">
        <v>4</v>
      </c>
      <c r="C7" s="59">
        <v>9645000</v>
      </c>
    </row>
    <row r="8" spans="2:16">
      <c r="B8" s="4" t="s">
        <v>3</v>
      </c>
      <c r="C8" s="59">
        <v>214000</v>
      </c>
    </row>
    <row r="9" spans="2:16">
      <c r="B9" s="10" t="s">
        <v>6</v>
      </c>
      <c r="C9" s="59">
        <v>10032000</v>
      </c>
    </row>
    <row r="10" spans="2:16">
      <c r="B10" s="10" t="s">
        <v>7</v>
      </c>
      <c r="C10" s="59">
        <v>1283000</v>
      </c>
    </row>
    <row r="11" spans="2:16">
      <c r="B11" s="10" t="s">
        <v>9</v>
      </c>
      <c r="C11" s="60">
        <v>1.0299999713897705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12630000</v>
      </c>
    </row>
    <row r="18" spans="2:15" ht="18" thickTop="1" thickBot="1">
      <c r="B18" s="2" t="s">
        <v>20</v>
      </c>
      <c r="C18" s="12">
        <f>C8/C17</f>
        <v>1.6943784639746634E-2</v>
      </c>
    </row>
    <row r="19" spans="2:15" ht="18" thickTop="1" thickBot="1">
      <c r="B19" s="2" t="s">
        <v>19</v>
      </c>
      <c r="C19" s="12">
        <f>C14+C11*(C15-C14)</f>
        <v>0.12260999751090999</v>
      </c>
    </row>
    <row r="20" spans="2:15" ht="18" thickTop="1" thickBot="1">
      <c r="B20" s="2" t="s">
        <v>18</v>
      </c>
      <c r="C20" s="12">
        <f>C8/C17</f>
        <v>1.6943784639746634E-2</v>
      </c>
      <c r="K20" t="s">
        <v>17</v>
      </c>
    </row>
    <row r="21" spans="2:15" ht="18" thickTop="1" thickBot="1">
      <c r="B21" s="16" t="s">
        <v>22</v>
      </c>
      <c r="C21" s="11">
        <f>C17+C5*1000000</f>
        <v>166320002.44140601</v>
      </c>
      <c r="K21" t="s">
        <v>11</v>
      </c>
    </row>
    <row r="22" spans="2:15" ht="18" thickTop="1" thickBot="1">
      <c r="B22" s="2" t="s">
        <v>23</v>
      </c>
      <c r="C22" s="12">
        <f>C5*1000000/C21</f>
        <v>0.92406205017673981</v>
      </c>
      <c r="K22" t="s">
        <v>12</v>
      </c>
    </row>
    <row r="23" spans="2:15" ht="18" thickTop="1" thickBot="1">
      <c r="B23" s="16" t="s">
        <v>24</v>
      </c>
      <c r="C23" s="12">
        <f>C17/C21</f>
        <v>7.5937949823260187E-2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0.11456412077430318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38" zoomScale="82" workbookViewId="0">
      <selection activeCell="G59" sqref="G59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0.11456412077430318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5.000000074505806E-2</v>
      </c>
    </row>
    <row r="7" spans="2:12">
      <c r="B7" s="18" t="s">
        <v>31</v>
      </c>
      <c r="C7" s="13">
        <f>AVERAGEIF(C28:L28, "&lt;0.5")</f>
        <v>0.30683824189859077</v>
      </c>
    </row>
    <row r="8" spans="2:12">
      <c r="B8" s="18" t="s">
        <v>112</v>
      </c>
      <c r="C8" s="13">
        <f>AVERAGEIF(C29:L29,"&lt;2")</f>
        <v>1.1288056816872589</v>
      </c>
    </row>
    <row r="9" spans="2:12">
      <c r="B9" s="18" t="s">
        <v>136</v>
      </c>
      <c r="C9" s="66">
        <v>14</v>
      </c>
    </row>
    <row r="10" spans="2:12">
      <c r="B10" s="18" t="s">
        <v>100</v>
      </c>
      <c r="C10" s="67">
        <v>0.10000000149011612</v>
      </c>
    </row>
    <row r="11" spans="2:12">
      <c r="B11" s="18" t="s">
        <v>44</v>
      </c>
      <c r="C11" s="59">
        <v>906205824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12205</v>
      </c>
      <c r="D16" s="21">
        <f>Financials!E3</f>
        <v>13045</v>
      </c>
      <c r="E16" s="21">
        <f>Financials!F3</f>
        <v>13000</v>
      </c>
      <c r="F16" s="21">
        <f>Financials!G3</f>
        <v>13370</v>
      </c>
      <c r="G16" s="21">
        <f>Financials!H3</f>
        <v>14961</v>
      </c>
      <c r="H16" s="21">
        <f>Financials!I3</f>
        <v>15784</v>
      </c>
      <c r="I16" s="21">
        <f>Financials!J3</f>
        <v>14383</v>
      </c>
      <c r="J16" s="21">
        <f>Financials!K3</f>
        <v>14461</v>
      </c>
      <c r="K16" s="21">
        <f>Financials!L3</f>
        <v>18344</v>
      </c>
      <c r="L16" s="21">
        <f>Financials!M3</f>
        <v>20028</v>
      </c>
    </row>
    <row r="17" spans="2:12">
      <c r="B17" s="18" t="s">
        <v>27</v>
      </c>
      <c r="C17" s="22"/>
      <c r="D17" s="20">
        <f t="shared" ref="D17:L17" si="0">(D16-C16)/C16</f>
        <v>6.8824252355591975E-2</v>
      </c>
      <c r="E17" s="20">
        <f t="shared" si="0"/>
        <v>-3.4495975469528554E-3</v>
      </c>
      <c r="F17" s="20">
        <f t="shared" si="0"/>
        <v>2.8461538461538462E-2</v>
      </c>
      <c r="G17" s="20">
        <f t="shared" si="0"/>
        <v>0.11899775617053104</v>
      </c>
      <c r="H17" s="20">
        <f t="shared" si="0"/>
        <v>5.5009691865517012E-2</v>
      </c>
      <c r="I17" s="20">
        <f t="shared" si="0"/>
        <v>-8.8760770400405475E-2</v>
      </c>
      <c r="J17" s="20">
        <f t="shared" si="0"/>
        <v>5.4230689007856497E-3</v>
      </c>
      <c r="K17" s="20">
        <f t="shared" si="0"/>
        <v>0.26851531705967774</v>
      </c>
      <c r="L17" s="20">
        <f t="shared" si="0"/>
        <v>9.1801133885739211E-2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2125</v>
      </c>
      <c r="D19" s="21">
        <f>Financials!E6</f>
        <v>2777</v>
      </c>
      <c r="E19" s="21">
        <f>Financials!F6</f>
        <v>2986</v>
      </c>
      <c r="F19" s="21">
        <f>Financials!G6</f>
        <v>3595</v>
      </c>
      <c r="G19" s="21">
        <f>Financials!H6</f>
        <v>3648</v>
      </c>
      <c r="H19" s="21">
        <f>Financials!I6</f>
        <v>5537</v>
      </c>
      <c r="I19" s="21">
        <f>Financials!J6</f>
        <v>4985</v>
      </c>
      <c r="J19" s="21">
        <f>Financials!K6</f>
        <v>5568</v>
      </c>
      <c r="K19" s="21">
        <f>Financials!L6</f>
        <v>7736</v>
      </c>
      <c r="L19" s="21">
        <f>Financials!M6</f>
        <v>8709</v>
      </c>
    </row>
    <row r="20" spans="2:12">
      <c r="B20" s="18" t="s">
        <v>27</v>
      </c>
      <c r="C20" s="22"/>
      <c r="D20" s="20">
        <f>(D19-C19)/C19</f>
        <v>0.30682352941176472</v>
      </c>
      <c r="E20" s="20">
        <f t="shared" ref="E20:L20" si="1">(E19-D19)/D19</f>
        <v>7.5261073100468132E-2</v>
      </c>
      <c r="F20" s="20">
        <f t="shared" si="1"/>
        <v>0.20395177494976557</v>
      </c>
      <c r="G20" s="20">
        <f t="shared" si="1"/>
        <v>1.474269819193324E-2</v>
      </c>
      <c r="H20" s="20">
        <f t="shared" si="1"/>
        <v>0.5178179824561403</v>
      </c>
      <c r="I20" s="20">
        <f t="shared" si="1"/>
        <v>-9.9692974534946716E-2</v>
      </c>
      <c r="J20" s="20">
        <f t="shared" si="1"/>
        <v>0.11695085255767301</v>
      </c>
      <c r="K20" s="20">
        <f t="shared" si="1"/>
        <v>0.38936781609195403</v>
      </c>
      <c r="L20" s="20">
        <f t="shared" si="1"/>
        <v>0.12577559462254395</v>
      </c>
    </row>
    <row r="22" spans="2:12">
      <c r="B22" s="18" t="s">
        <v>30</v>
      </c>
      <c r="C22" s="25">
        <f>Financials!D20</f>
        <v>2993</v>
      </c>
      <c r="D22" s="25">
        <f>Financials!E20</f>
        <v>3811</v>
      </c>
      <c r="E22" s="25">
        <f>Financials!F20</f>
        <v>3956</v>
      </c>
      <c r="F22" s="25">
        <f>Financials!G20</f>
        <v>4083</v>
      </c>
      <c r="G22" s="25">
        <f>Financials!H20</f>
        <v>4708</v>
      </c>
      <c r="H22" s="25">
        <f>Financials!I20</f>
        <v>6067</v>
      </c>
      <c r="I22" s="25">
        <f>Financials!J20</f>
        <v>5832</v>
      </c>
      <c r="J22" s="25">
        <f>Financials!K20</f>
        <v>5494</v>
      </c>
      <c r="K22" s="25">
        <f>Financials!L20</f>
        <v>6369</v>
      </c>
      <c r="L22" s="25">
        <f>Financials!M20</f>
        <v>5926</v>
      </c>
    </row>
    <row r="23" spans="2:12">
      <c r="B23" s="18" t="s">
        <v>27</v>
      </c>
      <c r="C23" s="26"/>
      <c r="D23" s="26">
        <f>(D22-C22)/C22</f>
        <v>0.27330437687938525</v>
      </c>
      <c r="E23" s="26">
        <f t="shared" ref="E23:L23" si="2">(E22-D22)/D22</f>
        <v>3.8047756494358438E-2</v>
      </c>
      <c r="F23" s="26">
        <f t="shared" si="2"/>
        <v>3.2103134479271989E-2</v>
      </c>
      <c r="G23" s="26">
        <f t="shared" si="2"/>
        <v>0.15307372030369826</v>
      </c>
      <c r="H23" s="26">
        <f t="shared" si="2"/>
        <v>0.28865760407816482</v>
      </c>
      <c r="I23" s="26">
        <f t="shared" si="2"/>
        <v>-3.8734135487061151E-2</v>
      </c>
      <c r="J23" s="26">
        <f t="shared" si="2"/>
        <v>-5.7956104252400546E-2</v>
      </c>
      <c r="K23" s="26">
        <f t="shared" si="2"/>
        <v>0.15926465234801601</v>
      </c>
      <c r="L23" s="26">
        <f t="shared" si="2"/>
        <v>-6.9555660229235358E-2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4129</v>
      </c>
      <c r="D25" s="62">
        <f>Financials!E9</f>
        <v>5177</v>
      </c>
      <c r="E25" s="62">
        <f>Financials!F9</f>
        <v>5455</v>
      </c>
      <c r="F25" s="62">
        <f>Financials!G9</f>
        <v>5810</v>
      </c>
      <c r="G25" s="62">
        <f>Financials!H9</f>
        <v>6987</v>
      </c>
      <c r="H25" s="62">
        <f>Financials!I9</f>
        <v>7667</v>
      </c>
      <c r="I25" s="62">
        <f>Financials!J9</f>
        <v>6773</v>
      </c>
      <c r="J25" s="62">
        <f>Financials!K9</f>
        <v>6886</v>
      </c>
      <c r="K25" s="62">
        <f>Financials!L9</f>
        <v>9914</v>
      </c>
      <c r="L25" s="62">
        <f>Financials!M9</f>
        <v>11119</v>
      </c>
    </row>
    <row r="26" spans="2:12">
      <c r="B26" s="18" t="s">
        <v>27</v>
      </c>
      <c r="C26" s="63"/>
      <c r="D26" s="63">
        <f>Financials!E10</f>
        <v>0.25381448292564784</v>
      </c>
      <c r="E26" s="63">
        <f>Financials!F10</f>
        <v>5.3699053505891443E-2</v>
      </c>
      <c r="F26" s="63">
        <f>Financials!G10</f>
        <v>6.5077910174152154E-2</v>
      </c>
      <c r="G26" s="63">
        <f>Financials!H10</f>
        <v>0.20258175559380379</v>
      </c>
      <c r="H26" s="63">
        <f>Financials!I10</f>
        <v>9.7323600973236016E-2</v>
      </c>
      <c r="I26" s="63">
        <f>Financials!J10</f>
        <v>-0.11660362592930743</v>
      </c>
      <c r="J26" s="63">
        <f>Financials!K10</f>
        <v>1.6683891923815149E-2</v>
      </c>
      <c r="K26" s="63">
        <f>Financials!L10</f>
        <v>0.43973279117049086</v>
      </c>
      <c r="L26" s="63">
        <f>Financials!M10</f>
        <v>0.12154528948961066</v>
      </c>
    </row>
    <row r="28" spans="2:12" ht="15" thickBot="1">
      <c r="B28" s="1" t="s">
        <v>31</v>
      </c>
      <c r="C28" s="24">
        <f t="shared" ref="C28:L28" si="3">C19/C16</f>
        <v>0.17410897173289636</v>
      </c>
      <c r="D28" s="24">
        <f t="shared" si="3"/>
        <v>0.212878497508624</v>
      </c>
      <c r="E28" s="24">
        <f t="shared" si="3"/>
        <v>0.2296923076923077</v>
      </c>
      <c r="F28" s="24">
        <f t="shared" si="3"/>
        <v>0.26888556469708302</v>
      </c>
      <c r="G28" s="24">
        <f t="shared" si="3"/>
        <v>0.24383396831762583</v>
      </c>
      <c r="H28" s="24">
        <f t="shared" si="3"/>
        <v>0.35079827673593511</v>
      </c>
      <c r="I28" s="24">
        <f t="shared" si="3"/>
        <v>0.34658972397969823</v>
      </c>
      <c r="J28" s="24">
        <f t="shared" si="3"/>
        <v>0.38503561302814465</v>
      </c>
      <c r="K28" s="24">
        <f t="shared" si="3"/>
        <v>0.4217182730047972</v>
      </c>
      <c r="L28" s="24">
        <f t="shared" si="3"/>
        <v>0.43484122228879568</v>
      </c>
    </row>
    <row r="29" spans="2:12" ht="15" thickBot="1">
      <c r="B29" s="1" t="s">
        <v>32</v>
      </c>
      <c r="C29" s="24">
        <f t="shared" ref="C29:L29" si="4">C22/C19</f>
        <v>1.4084705882352941</v>
      </c>
      <c r="D29" s="24">
        <f t="shared" si="4"/>
        <v>1.3723442563917898</v>
      </c>
      <c r="E29" s="24">
        <f t="shared" si="4"/>
        <v>1.3248492967180174</v>
      </c>
      <c r="F29" s="24">
        <f t="shared" si="4"/>
        <v>1.1357440890125174</v>
      </c>
      <c r="G29" s="24">
        <f t="shared" si="4"/>
        <v>1.2905701754385965</v>
      </c>
      <c r="H29" s="24">
        <f t="shared" si="4"/>
        <v>1.0957197038107278</v>
      </c>
      <c r="I29" s="24">
        <f t="shared" si="4"/>
        <v>1.1699097291875626</v>
      </c>
      <c r="J29" s="24">
        <f t="shared" si="4"/>
        <v>0.98670977011494254</v>
      </c>
      <c r="K29" s="24">
        <f t="shared" si="4"/>
        <v>0.82329369183040335</v>
      </c>
      <c r="L29" s="24">
        <f t="shared" si="4"/>
        <v>0.68044551613273629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17957.104811221368</v>
      </c>
      <c r="D36" s="21">
        <f>C36*(D37+1)</f>
        <v>19451.135935582304</v>
      </c>
      <c r="E36" s="21">
        <f>D36*(E37+1)</f>
        <v>20758.252223846368</v>
      </c>
      <c r="F36" s="21">
        <f t="shared" ref="F36:L36" si="5">E36*(F37+1)</f>
        <v>21796.164850504865</v>
      </c>
      <c r="G36" s="21">
        <f t="shared" si="5"/>
        <v>22885.973109269595</v>
      </c>
      <c r="H36" s="21">
        <f t="shared" si="5"/>
        <v>24030.271781784504</v>
      </c>
      <c r="I36" s="21">
        <f t="shared" si="5"/>
        <v>25231.78538877772</v>
      </c>
      <c r="J36" s="21">
        <f t="shared" si="5"/>
        <v>26493.374677015778</v>
      </c>
      <c r="K36" s="21">
        <f t="shared" si="5"/>
        <v>27818.043430605743</v>
      </c>
      <c r="L36" s="21">
        <f t="shared" si="5"/>
        <v>29208.945622862095</v>
      </c>
    </row>
    <row r="37" spans="2:12">
      <c r="B37" s="18" t="s">
        <v>27</v>
      </c>
      <c r="C37" s="68">
        <v>-0.10339999943971634</v>
      </c>
      <c r="D37" s="68">
        <v>8.320000022649765E-2</v>
      </c>
      <c r="E37" s="68">
        <v>6.719999760389328E-2</v>
      </c>
      <c r="F37" s="27">
        <f>C6</f>
        <v>5.000000074505806E-2</v>
      </c>
      <c r="G37" s="27">
        <f>C6</f>
        <v>5.000000074505806E-2</v>
      </c>
      <c r="H37" s="27">
        <f>C6</f>
        <v>5.000000074505806E-2</v>
      </c>
      <c r="I37" s="27">
        <f>C6</f>
        <v>5.000000074505806E-2</v>
      </c>
      <c r="J37" s="27">
        <f>C6</f>
        <v>5.000000074505806E-2</v>
      </c>
      <c r="K37" s="27">
        <f>C6</f>
        <v>5.000000074505806E-2</v>
      </c>
      <c r="L37" s="27">
        <f>C6</f>
        <v>5.000000074505806E-2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5509.9264698639045</v>
      </c>
      <c r="D39" s="21">
        <f>D36*C7</f>
        <v>5968.352353404578</v>
      </c>
      <c r="E39" s="21">
        <f>E36*C7</f>
        <v>6369.4256172525465</v>
      </c>
      <c r="F39" s="21">
        <f>F36*C7</f>
        <v>6687.8969028607889</v>
      </c>
      <c r="G39" s="21">
        <f>G36*C7</f>
        <v>7022.2917529867145</v>
      </c>
      <c r="H39" s="21">
        <f>H36*C7</f>
        <v>7373.4063458680776</v>
      </c>
      <c r="I39" s="21">
        <f>I36*C7</f>
        <v>7742.076668655106</v>
      </c>
      <c r="J39" s="21">
        <f>J36*C7</f>
        <v>8129.1805078561792</v>
      </c>
      <c r="K39" s="21">
        <f>K36*C7</f>
        <v>8535.6395393057028</v>
      </c>
      <c r="L39" s="21">
        <f>L36*C7</f>
        <v>8962.4215226305514</v>
      </c>
    </row>
    <row r="40" spans="2:12">
      <c r="B40" s="18"/>
      <c r="C40" s="20">
        <f>(C39-L19)/L19</f>
        <v>-0.36732960502194284</v>
      </c>
      <c r="D40" s="20">
        <f>(D39-C39)/C39</f>
        <v>8.3200000226499857E-2</v>
      </c>
      <c r="E40" s="20">
        <f t="shared" ref="E40:L40" si="6">(E39-D39)/D39</f>
        <v>6.719999760389167E-2</v>
      </c>
      <c r="F40" s="20">
        <f t="shared" si="6"/>
        <v>5.0000000745061612E-2</v>
      </c>
      <c r="G40" s="20">
        <f t="shared" si="6"/>
        <v>5.0000000745060301E-2</v>
      </c>
      <c r="H40" s="20">
        <f t="shared" si="6"/>
        <v>5.0000000745059829E-2</v>
      </c>
      <c r="I40" s="20">
        <f t="shared" si="6"/>
        <v>5.000000074505917E-2</v>
      </c>
      <c r="J40" s="20">
        <f t="shared" si="6"/>
        <v>5.0000000745060759E-2</v>
      </c>
      <c r="K40" s="20">
        <f t="shared" si="6"/>
        <v>5.0000000745058497E-2</v>
      </c>
      <c r="L40" s="20">
        <f t="shared" si="6"/>
        <v>5.0000000745060044E-2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6219.6363048613975</v>
      </c>
      <c r="D42" s="21">
        <f>D39*C8</f>
        <v>6737.1100468346194</v>
      </c>
      <c r="E42" s="21">
        <f>E39*C8</f>
        <v>7189.8438258390615</v>
      </c>
      <c r="F42" s="21">
        <f>F39*C8</f>
        <v>7549.3360224878888</v>
      </c>
      <c r="G42" s="21">
        <f>G39*C8</f>
        <v>7926.8028292369872</v>
      </c>
      <c r="H42" s="21">
        <f>H39*C8</f>
        <v>8323.1429766047877</v>
      </c>
      <c r="I42" s="21">
        <f>I39*C8</f>
        <v>8739.3001316362624</v>
      </c>
      <c r="J42" s="21">
        <f>J39*C8</f>
        <v>9176.2651447293811</v>
      </c>
      <c r="K42" s="21">
        <f>K39*C8</f>
        <v>9635.0784088027012</v>
      </c>
      <c r="L42" s="21">
        <f>L39*C8</f>
        <v>10116.832336421548</v>
      </c>
    </row>
    <row r="43" spans="2:12">
      <c r="B43" s="18" t="s">
        <v>27</v>
      </c>
      <c r="C43" s="20">
        <f>(C42-L22)/L22</f>
        <v>4.9550507064022614E-2</v>
      </c>
      <c r="D43" s="20">
        <f>(D42-C42)/C42</f>
        <v>8.3200000226500953E-2</v>
      </c>
      <c r="E43" s="20">
        <f t="shared" ref="E43:L43" si="7">(E42-D42)/D42</f>
        <v>6.7199997603891823E-2</v>
      </c>
      <c r="F43" s="20">
        <f t="shared" si="7"/>
        <v>5.0000000745061245E-2</v>
      </c>
      <c r="G43" s="20">
        <f t="shared" si="7"/>
        <v>5.0000000745059364E-2</v>
      </c>
      <c r="H43" s="20">
        <f t="shared" si="7"/>
        <v>5.0000000745060856E-2</v>
      </c>
      <c r="I43" s="20">
        <f t="shared" si="7"/>
        <v>5.000000074505935E-2</v>
      </c>
      <c r="J43" s="20">
        <f t="shared" si="7"/>
        <v>5.000000074506035E-2</v>
      </c>
      <c r="K43" s="20">
        <f t="shared" si="7"/>
        <v>5.0000000745058136E-2</v>
      </c>
      <c r="L43" s="20">
        <f t="shared" si="7"/>
        <v>5.0000000745060051E-2</v>
      </c>
    </row>
    <row r="45" spans="2:12">
      <c r="B45" s="18" t="s">
        <v>47</v>
      </c>
      <c r="C45" s="60">
        <v>9064</v>
      </c>
      <c r="D45" s="60">
        <v>10092</v>
      </c>
      <c r="E45" s="60">
        <v>11973</v>
      </c>
      <c r="F45" s="21">
        <f t="shared" ref="F45:L45" si="8">E45*(1+F46)</f>
        <v>13170.300017841208</v>
      </c>
      <c r="G45" s="21">
        <f t="shared" si="8"/>
        <v>14487.330039250648</v>
      </c>
      <c r="H45" s="21">
        <f t="shared" si="8"/>
        <v>15936.063064763521</v>
      </c>
      <c r="I45" s="21">
        <f t="shared" si="8"/>
        <v>17529.669394986497</v>
      </c>
      <c r="J45" s="21">
        <f t="shared" si="8"/>
        <v>19282.636360606462</v>
      </c>
      <c r="K45" s="21">
        <f t="shared" si="8"/>
        <v>21210.900025400591</v>
      </c>
      <c r="L45" s="21">
        <f t="shared" si="8"/>
        <v>23331.990059547446</v>
      </c>
    </row>
    <row r="46" spans="2:12">
      <c r="B46" s="18" t="s">
        <v>27</v>
      </c>
      <c r="C46" s="20">
        <f>C10</f>
        <v>0.10000000149011612</v>
      </c>
      <c r="D46" s="20">
        <f>C10</f>
        <v>0.10000000149011612</v>
      </c>
      <c r="E46" s="20">
        <f>C10</f>
        <v>0.10000000149011612</v>
      </c>
      <c r="F46" s="20">
        <f>C10</f>
        <v>0.10000000149011612</v>
      </c>
      <c r="G46" s="20">
        <f>C10</f>
        <v>0.10000000149011612</v>
      </c>
      <c r="H46" s="20">
        <f>C10</f>
        <v>0.10000000149011612</v>
      </c>
      <c r="I46" s="20">
        <f>C10</f>
        <v>0.10000000149011612</v>
      </c>
      <c r="J46" s="20">
        <f>C10</f>
        <v>0.10000000149011612</v>
      </c>
      <c r="K46" s="20">
        <f>C10</f>
        <v>0.10000000149011612</v>
      </c>
      <c r="L46" s="20">
        <f>C10</f>
        <v>0.10000000149011612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1.1145641207743031</v>
      </c>
      <c r="D51" s="61">
        <f>POWER((1+C4),2)</f>
        <v>1.2422531793173954</v>
      </c>
      <c r="E51" s="61">
        <f>POWER((1+C4),3)</f>
        <v>1.3845708225849755</v>
      </c>
      <c r="F51" s="61">
        <f>POWER((1+C4),4)</f>
        <v>1.5431929615241768</v>
      </c>
      <c r="G51" s="61">
        <f>POWER((1+C4),5)</f>
        <v>1.7199875063462871</v>
      </c>
      <c r="H51" s="61">
        <f>POWER((1+C4),6)</f>
        <v>1.9170363627536355</v>
      </c>
      <c r="I51" s="61">
        <f>POWER((1+C4),7)</f>
        <v>2.1366599481448736</v>
      </c>
      <c r="J51" s="61">
        <f>POWER((1+C4),8)</f>
        <v>2.3814445164977593</v>
      </c>
      <c r="K51" s="61">
        <f>POWER((1+C4),9)</f>
        <v>2.6542726137031103</v>
      </c>
      <c r="L51" s="61">
        <f>POWER((1+C4),10)</f>
        <v>2.958357021987319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5580.3306323377337</v>
      </c>
      <c r="D53" s="21">
        <f t="shared" si="9"/>
        <v>5423.2986954692788</v>
      </c>
      <c r="E53" s="21">
        <f t="shared" si="9"/>
        <v>5192.8321098199176</v>
      </c>
      <c r="F53" s="21">
        <f t="shared" si="9"/>
        <v>4892.023363709206</v>
      </c>
      <c r="G53" s="21">
        <f t="shared" si="9"/>
        <v>4608.6397720851028</v>
      </c>
      <c r="H53" s="21">
        <f t="shared" si="9"/>
        <v>4341.6719360760526</v>
      </c>
      <c r="I53" s="21">
        <f t="shared" si="9"/>
        <v>4090.1689289510273</v>
      </c>
      <c r="J53" s="21">
        <f t="shared" si="9"/>
        <v>3853.2349089637132</v>
      </c>
      <c r="K53" s="21">
        <f t="shared" si="9"/>
        <v>3630.025928406922</v>
      </c>
      <c r="L53" s="21">
        <f t="shared" si="9"/>
        <v>3419.7469275109224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3.2972785931477819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39136.660644854754</v>
      </c>
    </row>
    <row r="60" spans="2:12" ht="15" thickBot="1">
      <c r="B60" s="5" t="s">
        <v>41</v>
      </c>
      <c r="C60" s="23">
        <f>C59/C55</f>
        <v>11869.382443505508</v>
      </c>
    </row>
    <row r="61" spans="2:12" ht="15" thickTop="1"/>
    <row r="62" spans="2:12" ht="14.5" customHeight="1" thickBot="1">
      <c r="B62" s="3" t="s">
        <v>43</v>
      </c>
      <c r="C62" s="71">
        <f>(SUM(C53:L53)+C59)</f>
        <v>84168.633848184632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92.88026143626351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326647.86083366361</v>
      </c>
    </row>
    <row r="70" spans="2:12" ht="15" thickBot="1">
      <c r="B70" s="5" t="s">
        <v>41</v>
      </c>
      <c r="C70" s="23">
        <f>C69/C55</f>
        <v>99065.896801224299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144097.87000455416</v>
      </c>
    </row>
    <row r="73" spans="2:12" ht="15" thickTop="1"/>
    <row r="74" spans="2:12" ht="18.5">
      <c r="B74" s="69" t="s">
        <v>42</v>
      </c>
      <c r="C74" s="70">
        <f>C72/(C11/1000000)</f>
        <v>159.01229741440505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7.5100002288818359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10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127.09231156569231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O28" sqref="O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4.9600000381469727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4.9600000381469727</v>
      </c>
    </row>
    <row r="7" spans="2:16" ht="15" thickBot="1">
      <c r="B7" s="89" t="s">
        <v>121</v>
      </c>
      <c r="C7" s="90">
        <f>P6*(1+P7)</f>
        <v>5.3568000411987304</v>
      </c>
      <c r="D7" s="90">
        <f>C7*(1+P7)</f>
        <v>5.7853440444946296</v>
      </c>
      <c r="E7" s="90">
        <f>D7*(1+P7)</f>
        <v>6.2481715680542003</v>
      </c>
      <c r="F7" s="90">
        <f>E7*(1+P7)</f>
        <v>6.7480252934985367</v>
      </c>
      <c r="G7" s="90">
        <f>F7*(1+P7)</f>
        <v>7.2878673169784198</v>
      </c>
      <c r="H7" s="90">
        <f>G7*(1+P7)</f>
        <v>7.8708967023366938</v>
      </c>
      <c r="I7" s="90">
        <f>H7*(1+P7)</f>
        <v>8.5005684385236293</v>
      </c>
      <c r="J7" s="90">
        <f>I7*(1+P7)</f>
        <v>9.1806139136055194</v>
      </c>
      <c r="K7" s="90">
        <f>J7*(1+P7)</f>
        <v>9.9150630266939608</v>
      </c>
      <c r="L7" s="90">
        <f>K7*(1+P7)</f>
        <v>10.708268068829478</v>
      </c>
      <c r="M7" s="159">
        <f>L7*(1+P7)/(P8-P7)</f>
        <v>334.59348177413574</v>
      </c>
      <c r="N7" s="160"/>
      <c r="O7" s="88" t="s">
        <v>122</v>
      </c>
      <c r="P7" s="104">
        <v>0.08</v>
      </c>
    </row>
    <row r="8" spans="2:16" ht="15" thickBot="1">
      <c r="B8" s="89" t="s">
        <v>123</v>
      </c>
      <c r="C8" s="90">
        <f>C7/(1+P8)</f>
        <v>4.8061838178294192</v>
      </c>
      <c r="D8" s="90">
        <f>D7/(1+P8)^2</f>
        <v>4.6571376437721117</v>
      </c>
      <c r="E8" s="90">
        <f>E7/(1+P8)^3</f>
        <v>4.5127135904748776</v>
      </c>
      <c r="F8" s="90">
        <f>F7/(1+P8)^4</f>
        <v>4.372768319804714</v>
      </c>
      <c r="G8" s="90">
        <f>G7/(1+P8)^5</f>
        <v>4.2371629387354073</v>
      </c>
      <c r="H8" s="90">
        <f>H7/(1+P8)^6</f>
        <v>4.1057628614988388</v>
      </c>
      <c r="I8" s="90">
        <f>I7/(1+P8)^7</f>
        <v>3.9784376760111644</v>
      </c>
      <c r="J8" s="90">
        <f>J7/(1+P8)^8</f>
        <v>3.8550610144412971</v>
      </c>
      <c r="K8" s="90">
        <f>K7/(1+P8)^9</f>
        <v>3.7355104277932285</v>
      </c>
      <c r="L8" s="90">
        <f>L7/(1+P8)^10</f>
        <v>3.6196672643777252</v>
      </c>
      <c r="M8" s="159">
        <f>M7/POWER((1+P8),10)</f>
        <v>113.10111635862246</v>
      </c>
      <c r="N8" s="160"/>
      <c r="O8" s="91" t="s">
        <v>124</v>
      </c>
      <c r="P8" s="105">
        <f>WACC!$C$25</f>
        <v>0.11456412077430318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154.98152191336123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4.9600000381469727</v>
      </c>
    </row>
    <row r="16" spans="2:16" ht="15" thickBot="1">
      <c r="B16" s="89" t="s">
        <v>121</v>
      </c>
      <c r="C16" s="90">
        <f>P15*(1+P16)</f>
        <v>5.3816000413894649</v>
      </c>
      <c r="D16" s="90">
        <f>C16*(1+P16)</f>
        <v>5.8390360449075693</v>
      </c>
      <c r="E16" s="90">
        <f>D16*(1+P16)</f>
        <v>6.3353541087247125</v>
      </c>
      <c r="F16" s="90">
        <f>E16*(1+P16)</f>
        <v>6.873859207966313</v>
      </c>
      <c r="G16" s="90">
        <f>F16*(1+P16)</f>
        <v>7.458137240643449</v>
      </c>
      <c r="H16" s="90">
        <f>G16*(1+P16)</f>
        <v>8.0920789060981413</v>
      </c>
      <c r="I16" s="90">
        <f>H16*(1+P16)</f>
        <v>8.7799056131164832</v>
      </c>
      <c r="J16" s="90">
        <f>I16*(1+P16)</f>
        <v>9.5261975902313836</v>
      </c>
      <c r="K16" s="90">
        <f>J16*(1+P16)</f>
        <v>10.33592438540105</v>
      </c>
      <c r="L16" s="90">
        <f>K16*(1+P16)</f>
        <v>11.214477958160138</v>
      </c>
      <c r="M16" s="159">
        <f>L16*(1+P16)/(P17-P16)</f>
        <v>411.57011492050844</v>
      </c>
      <c r="N16" s="160"/>
      <c r="O16" s="88" t="s">
        <v>122</v>
      </c>
      <c r="P16" s="104">
        <v>8.5000000000000006E-2</v>
      </c>
    </row>
    <row r="17" spans="2:16" ht="15" thickBot="1">
      <c r="B17" s="89" t="s">
        <v>123</v>
      </c>
      <c r="C17" s="90">
        <f>C16/(1+P17)</f>
        <v>4.8284346688378887</v>
      </c>
      <c r="D17" s="90">
        <f>D16/(1+P17)^2</f>
        <v>4.7003591072441901</v>
      </c>
      <c r="E17" s="90">
        <f>E16/(1+P17)^3</f>
        <v>4.5756807852535051</v>
      </c>
      <c r="F17" s="90">
        <f>F16/(1+P17)^4</f>
        <v>4.4543095901481795</v>
      </c>
      <c r="G17" s="90">
        <f>G16/(1+P17)^5</f>
        <v>4.3361577994752558</v>
      </c>
      <c r="H17" s="90">
        <f>H16/(1+P17)^6</f>
        <v>4.2211400176440357</v>
      </c>
      <c r="I17" s="90">
        <f>I16/(1+P17)^7</f>
        <v>4.1091731142054284</v>
      </c>
      <c r="J17" s="90">
        <f>J16/(1+P17)^8</f>
        <v>4.0001761637684341</v>
      </c>
      <c r="K17" s="90">
        <f>K16/(1+P17)^9</f>
        <v>3.8940703875103742</v>
      </c>
      <c r="L17" s="90">
        <f>L16/(1+P17)^10</f>
        <v>3.7907790962385759</v>
      </c>
      <c r="M17" s="159">
        <f>M16/POWER((1+P17),10)</f>
        <v>139.1211783640739</v>
      </c>
      <c r="N17" s="160"/>
      <c r="O17" s="91" t="s">
        <v>124</v>
      </c>
      <c r="P17" s="105">
        <f>WACC!$C$25</f>
        <v>0.11456412077430318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182.03145909439976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4.9600000381469727</v>
      </c>
    </row>
    <row r="25" spans="2:16" ht="15" thickBot="1">
      <c r="B25" s="89" t="s">
        <v>121</v>
      </c>
      <c r="C25" s="90">
        <f>P24*(1+P25)</f>
        <v>5.4064000415802003</v>
      </c>
      <c r="D25" s="90">
        <f>C25*(1+P25)</f>
        <v>5.8929760453224187</v>
      </c>
      <c r="E25" s="90">
        <f>D25*(1+P25)</f>
        <v>6.423343889401437</v>
      </c>
      <c r="F25" s="90">
        <f>E25*(1+P25)</f>
        <v>7.0014448394475668</v>
      </c>
      <c r="G25" s="90">
        <f>F25*(1+P25)</f>
        <v>7.631574874997848</v>
      </c>
      <c r="H25" s="90">
        <f>G25*(1+P25)</f>
        <v>8.3184166137476545</v>
      </c>
      <c r="I25" s="90">
        <f>H25*(1+P25)</f>
        <v>9.0670741089849436</v>
      </c>
      <c r="J25" s="90">
        <f>I25*(1+P25)</f>
        <v>9.8831107787935899</v>
      </c>
      <c r="K25" s="90">
        <f>J25*(1+P25)</f>
        <v>10.772590748885014</v>
      </c>
      <c r="L25" s="90">
        <f>K25*(1+P25)</f>
        <v>11.742123916284665</v>
      </c>
      <c r="M25" s="159">
        <f>L25*(1+P25)/(P26-P25)</f>
        <v>521.04104137687602</v>
      </c>
      <c r="N25" s="160"/>
      <c r="O25" s="88" t="s">
        <v>122</v>
      </c>
      <c r="P25" s="104">
        <v>0.09</v>
      </c>
    </row>
    <row r="26" spans="2:16" ht="15" thickBot="1">
      <c r="B26" s="89" t="s">
        <v>123</v>
      </c>
      <c r="C26" s="90">
        <f>C25/(1+P26)</f>
        <v>4.8506855198463583</v>
      </c>
      <c r="D26" s="90">
        <f>D25/(1+P26)^2</f>
        <v>4.7437802079609446</v>
      </c>
      <c r="E26" s="90">
        <f>E25/(1+P26)^3</f>
        <v>4.6392310054671944</v>
      </c>
      <c r="F26" s="90">
        <f>F25/(1+P26)^4</f>
        <v>4.5369859855584078</v>
      </c>
      <c r="G26" s="90">
        <f>G25/(1+P26)^5</f>
        <v>4.4369943658540585</v>
      </c>
      <c r="H26" s="90">
        <f>H25/(1+P26)^6</f>
        <v>4.3392064831775334</v>
      </c>
      <c r="I26" s="90">
        <f>I25/(1+P26)^7</f>
        <v>4.2435737688897595</v>
      </c>
      <c r="J26" s="90">
        <f>J25/(1+P26)^8</f>
        <v>4.1500487247664521</v>
      </c>
      <c r="K26" s="90">
        <f>K25/(1+P26)^9</f>
        <v>4.0585848994070055</v>
      </c>
      <c r="L26" s="90">
        <f>L25/(1+P26)^10</f>
        <v>3.9691368651633261</v>
      </c>
      <c r="M26" s="159">
        <f>M25/POWER((1+P26),10)</f>
        <v>176.12513888768535</v>
      </c>
      <c r="N26" s="160"/>
      <c r="O26" s="91" t="s">
        <v>124</v>
      </c>
      <c r="P26" s="105">
        <f>WACC!$C$25</f>
        <v>0.11456412077430318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220.09336671377639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12825</v>
      </c>
      <c r="D3" s="110">
        <v>12205</v>
      </c>
      <c r="E3" s="110">
        <v>13045</v>
      </c>
      <c r="F3" s="110">
        <v>13000</v>
      </c>
      <c r="G3" s="110">
        <v>13370</v>
      </c>
      <c r="H3" s="110">
        <v>14961</v>
      </c>
      <c r="I3" s="110">
        <v>15784</v>
      </c>
      <c r="J3" s="110">
        <v>14383</v>
      </c>
      <c r="K3" s="110">
        <v>14461</v>
      </c>
      <c r="L3" s="110">
        <v>18344</v>
      </c>
      <c r="M3" s="110">
        <v>20028</v>
      </c>
      <c r="Q3" s="107"/>
    </row>
    <row r="4" spans="2:17">
      <c r="B4" s="18" t="s">
        <v>27</v>
      </c>
      <c r="C4" s="113"/>
      <c r="D4" s="121">
        <f t="shared" ref="D4:M4" si="0">(D3-C3)/C3</f>
        <v>-4.8343079922027292E-2</v>
      </c>
      <c r="E4" s="121">
        <f t="shared" si="0"/>
        <v>6.8824252355591975E-2</v>
      </c>
      <c r="F4" s="121">
        <f t="shared" si="0"/>
        <v>-3.4495975469528554E-3</v>
      </c>
      <c r="G4" s="121">
        <f t="shared" si="0"/>
        <v>2.8461538461538462E-2</v>
      </c>
      <c r="H4" s="121">
        <f t="shared" si="0"/>
        <v>0.11899775617053104</v>
      </c>
      <c r="I4" s="121">
        <f t="shared" si="0"/>
        <v>5.5009691865517012E-2</v>
      </c>
      <c r="J4" s="121">
        <f t="shared" si="0"/>
        <v>-8.8760770400405475E-2</v>
      </c>
      <c r="K4" s="121">
        <f t="shared" si="0"/>
        <v>5.4230689007856497E-3</v>
      </c>
      <c r="L4" s="121">
        <f t="shared" si="0"/>
        <v>0.26851531705967774</v>
      </c>
      <c r="M4" s="121">
        <f t="shared" si="0"/>
        <v>9.1801133885739211E-2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1728</v>
      </c>
      <c r="D6" s="110">
        <v>2125</v>
      </c>
      <c r="E6" s="110">
        <v>2777</v>
      </c>
      <c r="F6" s="110">
        <v>2986</v>
      </c>
      <c r="G6" s="110">
        <v>3595</v>
      </c>
      <c r="H6" s="110">
        <v>3648</v>
      </c>
      <c r="I6" s="110">
        <v>5537</v>
      </c>
      <c r="J6" s="110">
        <v>4985</v>
      </c>
      <c r="K6" s="110">
        <v>5568</v>
      </c>
      <c r="L6" s="110">
        <v>7736</v>
      </c>
      <c r="M6" s="110">
        <v>8709</v>
      </c>
      <c r="Q6" s="107"/>
    </row>
    <row r="7" spans="2:17">
      <c r="B7" s="18" t="s">
        <v>27</v>
      </c>
      <c r="C7" s="113"/>
      <c r="D7" s="121">
        <f t="shared" ref="D7" si="1">(D6-C6)/C6</f>
        <v>0.22974537037037038</v>
      </c>
      <c r="E7" s="121">
        <f t="shared" ref="E7" si="2">(E6-D6)/D6</f>
        <v>0.30682352941176472</v>
      </c>
      <c r="F7" s="121">
        <f t="shared" ref="F7" si="3">(F6-E6)/E6</f>
        <v>7.5261073100468132E-2</v>
      </c>
      <c r="G7" s="121">
        <f t="shared" ref="G7" si="4">(G6-F6)/F6</f>
        <v>0.20395177494976557</v>
      </c>
      <c r="H7" s="121">
        <f t="shared" ref="H7" si="5">(H6-G6)/G6</f>
        <v>1.474269819193324E-2</v>
      </c>
      <c r="I7" s="121">
        <f t="shared" ref="I7" si="6">(I6-H6)/H6</f>
        <v>0.5178179824561403</v>
      </c>
      <c r="J7" s="121">
        <f t="shared" ref="J7" si="7">(J6-I6)/I6</f>
        <v>-9.9692974534946716E-2</v>
      </c>
      <c r="K7" s="121">
        <f t="shared" ref="K7" si="8">(K6-J6)/J6</f>
        <v>0.11695085255767301</v>
      </c>
      <c r="L7" s="121">
        <f t="shared" ref="L7" si="9">(L6-K6)/K6</f>
        <v>0.38936781609195403</v>
      </c>
      <c r="M7" s="121">
        <f t="shared" ref="M7" si="10">(M6-L6)/L6</f>
        <v>0.12577559462254395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3374</v>
      </c>
      <c r="D9" s="110">
        <v>4129</v>
      </c>
      <c r="E9" s="110">
        <v>5177</v>
      </c>
      <c r="F9" s="110">
        <v>5455</v>
      </c>
      <c r="G9" s="110">
        <v>5810</v>
      </c>
      <c r="H9" s="110">
        <v>6987</v>
      </c>
      <c r="I9" s="110">
        <v>7667</v>
      </c>
      <c r="J9" s="110">
        <v>6773</v>
      </c>
      <c r="K9" s="110">
        <v>6886</v>
      </c>
      <c r="L9" s="110">
        <v>9914</v>
      </c>
      <c r="M9" s="110">
        <v>11119</v>
      </c>
      <c r="Q9" s="107"/>
    </row>
    <row r="10" spans="2:17">
      <c r="B10" s="18" t="s">
        <v>27</v>
      </c>
      <c r="C10" s="113"/>
      <c r="D10" s="121">
        <f t="shared" ref="D10" si="11">(D9-C9)/C9</f>
        <v>0.22377000592768229</v>
      </c>
      <c r="E10" s="121">
        <f t="shared" ref="E10" si="12">(E9-D9)/D9</f>
        <v>0.25381448292564784</v>
      </c>
      <c r="F10" s="121">
        <f t="shared" ref="F10" si="13">(F9-E9)/E9</f>
        <v>5.3699053505891443E-2</v>
      </c>
      <c r="G10" s="121">
        <f t="shared" ref="G10" si="14">(G9-F9)/F9</f>
        <v>6.5077910174152154E-2</v>
      </c>
      <c r="H10" s="121">
        <f t="shared" ref="H10" si="15">(H9-G9)/G9</f>
        <v>0.20258175559380379</v>
      </c>
      <c r="I10" s="121">
        <f t="shared" ref="I10" si="16">(I9-H9)/H9</f>
        <v>9.7323600973236016E-2</v>
      </c>
      <c r="J10" s="121">
        <f t="shared" ref="J10" si="17">(J9-I9)/I9</f>
        <v>-0.11660362592930743</v>
      </c>
      <c r="K10" s="121">
        <f t="shared" ref="K10" si="18">(K9-J9)/J9</f>
        <v>1.6683891923815149E-2</v>
      </c>
      <c r="L10" s="121">
        <f t="shared" ref="L10" si="19">(L9-K9)/K9</f>
        <v>0.43973279117049086</v>
      </c>
      <c r="M10" s="121">
        <f t="shared" ref="M10" si="20">(M9-L9)/L9</f>
        <v>0.12154528948961066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1146</v>
      </c>
      <c r="D12" s="110">
        <v>1113</v>
      </c>
      <c r="E12" s="110">
        <v>1080</v>
      </c>
      <c r="F12" s="110">
        <v>1043</v>
      </c>
      <c r="G12" s="110">
        <v>1021</v>
      </c>
      <c r="H12" s="110">
        <v>1012</v>
      </c>
      <c r="I12" s="110">
        <v>990</v>
      </c>
      <c r="J12" s="110">
        <v>952</v>
      </c>
      <c r="K12" s="110">
        <v>921</v>
      </c>
      <c r="L12" s="110">
        <v>923</v>
      </c>
      <c r="M12" s="110">
        <v>916</v>
      </c>
      <c r="Q12" s="107"/>
    </row>
    <row r="13" spans="2:17">
      <c r="B13" s="18" t="s">
        <v>27</v>
      </c>
      <c r="C13" s="113"/>
      <c r="D13" s="121">
        <f t="shared" ref="D13" si="21">(D12-C12)/C12</f>
        <v>-2.8795811518324606E-2</v>
      </c>
      <c r="E13" s="121">
        <f t="shared" ref="E13" si="22">(E12-D12)/D12</f>
        <v>-2.9649595687331536E-2</v>
      </c>
      <c r="F13" s="121">
        <f t="shared" ref="F13" si="23">(F12-E12)/E12</f>
        <v>-3.425925925925926E-2</v>
      </c>
      <c r="G13" s="121">
        <f t="shared" ref="G13" si="24">(G12-F12)/F12</f>
        <v>-2.109300095877277E-2</v>
      </c>
      <c r="H13" s="121">
        <f t="shared" ref="H13" si="25">(H12-G12)/G12</f>
        <v>-8.8148873653281102E-3</v>
      </c>
      <c r="I13" s="121">
        <f t="shared" ref="I13" si="26">(I12-H12)/H12</f>
        <v>-2.1739130434782608E-2</v>
      </c>
      <c r="J13" s="121">
        <f t="shared" ref="J13" si="27">(J12-I12)/I12</f>
        <v>-3.8383838383838381E-2</v>
      </c>
      <c r="K13" s="121">
        <f t="shared" ref="K13" si="28">(K12-J12)/J12</f>
        <v>-3.2563025210084036E-2</v>
      </c>
      <c r="L13" s="121">
        <f t="shared" ref="L13" si="29">(L12-K12)/K12</f>
        <v>2.1715526601520088E-3</v>
      </c>
      <c r="M13" s="121">
        <f t="shared" ref="M13" si="30">(M12-L12)/L12</f>
        <v>-7.5839653304442039E-3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1.5099999904632568</v>
      </c>
      <c r="D15" s="110">
        <v>1.9099999666213989</v>
      </c>
      <c r="E15" s="110">
        <v>2.5699999332427979</v>
      </c>
      <c r="F15" s="110">
        <v>2.8199999332427979</v>
      </c>
      <c r="G15" s="110">
        <v>3.4800000190734863</v>
      </c>
      <c r="H15" s="110">
        <v>3.6099998950958252</v>
      </c>
      <c r="I15" s="110">
        <v>5.5900001525878906</v>
      </c>
      <c r="J15" s="110">
        <v>5.2399997711181641</v>
      </c>
      <c r="K15" s="110">
        <v>5.9699997901916504</v>
      </c>
      <c r="L15" s="110">
        <v>8.2600002288818359</v>
      </c>
      <c r="M15" s="110">
        <v>9.4099998474121094</v>
      </c>
      <c r="Q15" s="107"/>
    </row>
    <row r="16" spans="2:17">
      <c r="B16" s="18" t="s">
        <v>27</v>
      </c>
      <c r="D16" s="121">
        <f t="shared" ref="D16" si="31">(D15-C15)/C15</f>
        <v>0.2649006481353845</v>
      </c>
      <c r="E16" s="121">
        <f t="shared" ref="E16" si="32">(E15-D15)/D15</f>
        <v>0.34554972678291368</v>
      </c>
      <c r="F16" s="121">
        <f t="shared" ref="F16" si="33">(F15-E15)/E15</f>
        <v>9.7276267118245607E-2</v>
      </c>
      <c r="G16" s="121">
        <f t="shared" ref="G16" si="34">(G15-F15)/F15</f>
        <v>0.23404258916833898</v>
      </c>
      <c r="H16" s="121">
        <f t="shared" ref="H16" si="35">(H15-G15)/G15</f>
        <v>3.7356286008570189E-2</v>
      </c>
      <c r="I16" s="121">
        <f t="shared" ref="I16" si="36">(I15-H15)/H15</f>
        <v>0.54847654155943115</v>
      </c>
      <c r="J16" s="121">
        <f t="shared" ref="J16" si="37">(J15-I15)/I15</f>
        <v>-6.261187333021706E-2</v>
      </c>
      <c r="K16" s="121">
        <f t="shared" ref="K16" si="38">(K15-J15)/J15</f>
        <v>0.13931298682436999</v>
      </c>
      <c r="L16" s="121">
        <f t="shared" ref="L16" si="39">(L15-K15)/K15</f>
        <v>0.38358467657779866</v>
      </c>
      <c r="M16" s="121">
        <f t="shared" ref="M16" si="40">(M15-L15)/L15</f>
        <v>0.13922513155740504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2919</v>
      </c>
      <c r="D20" s="128">
        <v>2993</v>
      </c>
      <c r="E20" s="128">
        <v>3811</v>
      </c>
      <c r="F20" s="128">
        <v>3956</v>
      </c>
      <c r="G20" s="128">
        <v>4083</v>
      </c>
      <c r="H20" s="128">
        <v>4708</v>
      </c>
      <c r="I20" s="128">
        <v>6067</v>
      </c>
      <c r="J20" s="128">
        <v>5832</v>
      </c>
      <c r="K20" s="128">
        <v>5494</v>
      </c>
      <c r="L20" s="128">
        <v>6369</v>
      </c>
      <c r="M20" s="128">
        <v>5926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0.27330437687938525</v>
      </c>
      <c r="F21" s="131">
        <f t="shared" ref="F21" si="42">(F20-E20)/E20</f>
        <v>3.8047756494358438E-2</v>
      </c>
      <c r="G21" s="131">
        <f t="shared" ref="G21" si="43">(G20-F20)/F20</f>
        <v>3.2103134479271989E-2</v>
      </c>
      <c r="H21" s="131">
        <f t="shared" ref="H21" si="44">(H20-G20)/G20</f>
        <v>0.15307372030369826</v>
      </c>
      <c r="I21" s="131">
        <f t="shared" ref="I21" si="45">(I20-H20)/H20</f>
        <v>0.28865760407816482</v>
      </c>
      <c r="J21" s="131">
        <f t="shared" ref="J21" si="46">(J20-I20)/I20</f>
        <v>-3.8734135487061151E-2</v>
      </c>
      <c r="K21" s="131">
        <f t="shared" ref="K21" si="47">(K20-J20)/J20</f>
        <v>-5.7956104252400546E-2</v>
      </c>
      <c r="L21" s="131">
        <f t="shared" ref="L21" si="48">(L20-K20)/K20</f>
        <v>0.15926465234801601</v>
      </c>
      <c r="M21" s="131">
        <f t="shared" ref="M21" si="49">(M20-L20)/L20</f>
        <v>-6.9555660229235358E-2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819</v>
      </c>
      <c r="D23" s="130">
        <v>1175</v>
      </c>
      <c r="E23" s="130">
        <v>1323</v>
      </c>
      <c r="F23" s="130">
        <v>1444</v>
      </c>
      <c r="G23" s="130">
        <v>1646</v>
      </c>
      <c r="H23" s="130">
        <v>2104</v>
      </c>
      <c r="I23" s="130">
        <v>2555</v>
      </c>
      <c r="J23" s="130">
        <v>3008</v>
      </c>
      <c r="K23" s="130">
        <v>3426</v>
      </c>
      <c r="L23" s="130">
        <v>3886</v>
      </c>
      <c r="M23" s="130">
        <v>4297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0.43467643467643469</v>
      </c>
      <c r="E24" s="121">
        <f t="shared" ref="E24" si="51">(E23-D23)/D23</f>
        <v>0.12595744680851065</v>
      </c>
      <c r="F24" s="121">
        <f t="shared" ref="F24" si="52">(F23-E23)/E23</f>
        <v>9.1458805744520033E-2</v>
      </c>
      <c r="G24" s="121">
        <f t="shared" ref="G24" si="53">(G23-F23)/F23</f>
        <v>0.13988919667590027</v>
      </c>
      <c r="H24" s="121">
        <f t="shared" ref="H24" si="54">(H23-G23)/G23</f>
        <v>0.27825030376670717</v>
      </c>
      <c r="I24" s="121">
        <f t="shared" ref="I24" si="55">(I23-H23)/H23</f>
        <v>0.21435361216730037</v>
      </c>
      <c r="J24" s="121">
        <f t="shared" ref="J24" si="56">(J23-I23)/I23</f>
        <v>0.17729941291585127</v>
      </c>
      <c r="K24" s="121">
        <f t="shared" ref="K24" si="57">(K23-J23)/J23</f>
        <v>0.1389627659574468</v>
      </c>
      <c r="L24" s="121">
        <f t="shared" ref="L24" si="58">(L23-K23)/K23</f>
        <v>0.1342673671920607</v>
      </c>
      <c r="M24" s="121">
        <f t="shared" ref="M24" si="59">(M23-L23)/L23</f>
        <v>0.10576428203808544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8230</v>
      </c>
      <c r="D28" s="110">
        <v>8019</v>
      </c>
      <c r="E28" s="110">
        <v>7421</v>
      </c>
      <c r="F28" s="110">
        <v>7074</v>
      </c>
      <c r="G28" s="110">
        <v>7457</v>
      </c>
      <c r="H28" s="110">
        <v>8734</v>
      </c>
      <c r="I28" s="110">
        <v>8097</v>
      </c>
      <c r="J28" s="110">
        <v>8761</v>
      </c>
      <c r="K28" s="110">
        <v>10239</v>
      </c>
      <c r="L28" s="110">
        <v>13685</v>
      </c>
      <c r="M28" s="110">
        <v>14021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-2.5637910085054678E-2</v>
      </c>
      <c r="E29" s="121">
        <f t="shared" ref="E29" si="61">(E28-D28)/D28</f>
        <v>-7.4572889387704205E-2</v>
      </c>
      <c r="F29" s="121">
        <f t="shared" ref="F29" si="62">(F28-E28)/E28</f>
        <v>-4.675919687373669E-2</v>
      </c>
      <c r="G29" s="121">
        <f t="shared" ref="G29" si="63">(G28-F28)/F28</f>
        <v>5.4141928187729713E-2</v>
      </c>
      <c r="H29" s="121">
        <f t="shared" ref="H29" si="64">(H28-G28)/G28</f>
        <v>0.17124849135040901</v>
      </c>
      <c r="I29" s="121">
        <f t="shared" ref="I29" si="65">(I28-H28)/H28</f>
        <v>-7.293336386535379E-2</v>
      </c>
      <c r="J29" s="121">
        <f t="shared" ref="J29" si="66">(J28-I28)/I28</f>
        <v>8.2005681116462892E-2</v>
      </c>
      <c r="K29" s="121">
        <f t="shared" ref="K29" si="67">(K28-J28)/J28</f>
        <v>0.16870220294486932</v>
      </c>
      <c r="L29" s="121">
        <f t="shared" ref="L29" si="68">(L28-K28)/K28</f>
        <v>0.33655630432659439</v>
      </c>
      <c r="M29" s="121">
        <f t="shared" ref="M29" si="69">(M28-L28)/L28</f>
        <v>2.4552429667519183E-2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11791</v>
      </c>
      <c r="D31" s="110">
        <v>10919</v>
      </c>
      <c r="E31" s="110">
        <v>9951</v>
      </c>
      <c r="F31" s="110">
        <v>9156</v>
      </c>
      <c r="G31" s="110">
        <v>8974</v>
      </c>
      <c r="H31" s="110">
        <v>8908</v>
      </c>
      <c r="I31" s="110">
        <v>9040</v>
      </c>
      <c r="J31" s="110">
        <v>9257</v>
      </c>
      <c r="K31" s="110">
        <v>9112</v>
      </c>
      <c r="L31" s="110">
        <v>10991</v>
      </c>
      <c r="M31" s="110">
        <v>13186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-7.3954711220422353E-2</v>
      </c>
      <c r="E32" s="121">
        <f t="shared" ref="E32" si="71">(E31-D31)/D31</f>
        <v>-8.8652807033611142E-2</v>
      </c>
      <c r="F32" s="121">
        <f t="shared" ref="F32" si="72">(F31-E31)/E31</f>
        <v>-7.9891468194151341E-2</v>
      </c>
      <c r="G32" s="121">
        <f t="shared" ref="G32" si="73">(G31-F31)/F31</f>
        <v>-1.9877675840978593E-2</v>
      </c>
      <c r="H32" s="121">
        <f t="shared" ref="H32" si="74">(H31-G31)/G31</f>
        <v>-7.3545798974816133E-3</v>
      </c>
      <c r="I32" s="121">
        <f t="shared" ref="I32" si="75">(I31-H31)/H31</f>
        <v>1.4818140996856757E-2</v>
      </c>
      <c r="J32" s="121">
        <f t="shared" ref="J32" si="76">(J31-I31)/I31</f>
        <v>2.4004424778761062E-2</v>
      </c>
      <c r="K32" s="121">
        <f t="shared" ref="K32" si="77">(K31-J31)/J31</f>
        <v>-1.5663821972561304E-2</v>
      </c>
      <c r="L32" s="121">
        <f t="shared" ref="L32" si="78">(L31-K31)/K31</f>
        <v>0.20621158911325724</v>
      </c>
      <c r="M32" s="121">
        <f t="shared" ref="M32" si="79">(M31-L31)/L31</f>
        <v>0.19970885269766173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18938</v>
      </c>
      <c r="E34" s="111">
        <f t="shared" ref="E34:M34" si="80">E28+E31</f>
        <v>17372</v>
      </c>
      <c r="F34" s="111">
        <f t="shared" si="80"/>
        <v>16230</v>
      </c>
      <c r="G34" s="111">
        <f t="shared" si="80"/>
        <v>16431</v>
      </c>
      <c r="H34" s="111">
        <f t="shared" si="80"/>
        <v>17642</v>
      </c>
      <c r="I34" s="111">
        <f t="shared" si="80"/>
        <v>17137</v>
      </c>
      <c r="J34" s="111">
        <f t="shared" si="80"/>
        <v>18018</v>
      </c>
      <c r="K34" s="111">
        <f t="shared" si="80"/>
        <v>19351</v>
      </c>
      <c r="L34" s="111">
        <f t="shared" si="80"/>
        <v>24676</v>
      </c>
      <c r="M34" s="111">
        <f t="shared" si="80"/>
        <v>27207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3430</v>
      </c>
      <c r="D36" s="118">
        <v>2747</v>
      </c>
      <c r="E36" s="110">
        <v>2658</v>
      </c>
      <c r="F36" s="110">
        <v>2555</v>
      </c>
      <c r="G36" s="110">
        <v>2264</v>
      </c>
      <c r="H36" s="110">
        <v>2258</v>
      </c>
      <c r="I36" s="110">
        <v>2474</v>
      </c>
      <c r="J36" s="110">
        <v>2123</v>
      </c>
      <c r="K36" s="110">
        <v>2390</v>
      </c>
      <c r="L36" s="110">
        <v>2569</v>
      </c>
      <c r="M36" s="110">
        <v>2985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-0.19912536443148687</v>
      </c>
      <c r="E37" s="121">
        <f t="shared" ref="E37" si="82">(E36-D36)/D36</f>
        <v>-3.2398980706224975E-2</v>
      </c>
      <c r="F37" s="121">
        <f t="shared" ref="F37" si="83">(F36-E36)/E36</f>
        <v>-3.8750940556809631E-2</v>
      </c>
      <c r="G37" s="121">
        <f t="shared" ref="G37" si="84">(G36-F36)/F36</f>
        <v>-0.11389432485322896</v>
      </c>
      <c r="H37" s="121">
        <f t="shared" ref="H37" si="85">(H36-G36)/G36</f>
        <v>-2.6501766784452299E-3</v>
      </c>
      <c r="I37" s="121">
        <f t="shared" ref="I37" si="86">(I36-H36)/H36</f>
        <v>9.5659875996457047E-2</v>
      </c>
      <c r="J37" s="121">
        <f t="shared" ref="J37" si="87">(J36-I36)/I36</f>
        <v>-0.14187550525464834</v>
      </c>
      <c r="K37" s="121">
        <f t="shared" ref="K37" si="88">(K36-J36)/J36</f>
        <v>0.12576542628356099</v>
      </c>
      <c r="L37" s="121">
        <f t="shared" ref="L37" si="89">(L36-K36)/K36</f>
        <v>7.4895397489539745E-2</v>
      </c>
      <c r="M37" s="121">
        <f t="shared" ref="M37" si="90">(M36-L36)/L36</f>
        <v>0.16193071233943168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5630</v>
      </c>
      <c r="D39" s="110">
        <v>5384</v>
      </c>
      <c r="E39" s="110">
        <v>4324</v>
      </c>
      <c r="F39" s="110">
        <v>3729</v>
      </c>
      <c r="G39" s="110">
        <v>3694</v>
      </c>
      <c r="H39" s="110">
        <v>5047</v>
      </c>
      <c r="I39" s="110">
        <v>5669</v>
      </c>
      <c r="J39" s="110">
        <v>6988</v>
      </c>
      <c r="K39" s="110">
        <v>7774</v>
      </c>
      <c r="L39" s="110">
        <v>8774</v>
      </c>
      <c r="M39" s="110">
        <v>9645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-4.3694493783303728E-2</v>
      </c>
      <c r="E40" s="121">
        <f t="shared" ref="E40" si="92">(E39-D39)/D39</f>
        <v>-0.19687964338781574</v>
      </c>
      <c r="F40" s="121">
        <f t="shared" ref="F40" si="93">(F39-E39)/E39</f>
        <v>-0.13760407030527289</v>
      </c>
      <c r="G40" s="121">
        <f t="shared" ref="G40" si="94">(G39-F39)/F39</f>
        <v>-9.3858943416465536E-3</v>
      </c>
      <c r="H40" s="121">
        <f t="shared" ref="H40" si="95">(H39-G39)/G39</f>
        <v>0.36626962642122363</v>
      </c>
      <c r="I40" s="121">
        <f t="shared" ref="I40" si="96">(I39-H39)/H39</f>
        <v>0.12324152962155736</v>
      </c>
      <c r="J40" s="121">
        <f t="shared" ref="J40" si="97">(J39-I39)/I39</f>
        <v>0.23266890104074792</v>
      </c>
      <c r="K40" s="121">
        <f t="shared" ref="K40" si="98">(K39-J39)/J39</f>
        <v>0.11247853463079564</v>
      </c>
      <c r="L40" s="121">
        <f t="shared" ref="L40" si="99">(L39-K39)/K39</f>
        <v>0.12863390789812196</v>
      </c>
      <c r="M40" s="121">
        <f t="shared" ref="M40" si="100">(M39-L39)/L39</f>
        <v>9.9270572144973784E-2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8131</v>
      </c>
      <c r="E42" s="111">
        <f t="shared" ref="E42:M42" si="101">E36+E39</f>
        <v>6982</v>
      </c>
      <c r="F42" s="111">
        <f t="shared" si="101"/>
        <v>6284</v>
      </c>
      <c r="G42" s="111">
        <f t="shared" si="101"/>
        <v>5958</v>
      </c>
      <c r="H42" s="111">
        <f t="shared" si="101"/>
        <v>7305</v>
      </c>
      <c r="I42" s="111">
        <f t="shared" si="101"/>
        <v>8143</v>
      </c>
      <c r="J42" s="111">
        <f t="shared" si="101"/>
        <v>9111</v>
      </c>
      <c r="K42" s="111">
        <f t="shared" si="101"/>
        <v>10164</v>
      </c>
      <c r="L42" s="111">
        <f t="shared" si="101"/>
        <v>11343</v>
      </c>
      <c r="M42" s="111">
        <f t="shared" si="101"/>
        <v>12630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10807</v>
      </c>
      <c r="E44" s="134">
        <f t="shared" ref="E44:M44" si="102">E34-E42</f>
        <v>10390</v>
      </c>
      <c r="F44" s="134">
        <f t="shared" si="102"/>
        <v>9946</v>
      </c>
      <c r="G44" s="134">
        <f t="shared" si="102"/>
        <v>10473</v>
      </c>
      <c r="H44" s="134">
        <f t="shared" si="102"/>
        <v>10337</v>
      </c>
      <c r="I44" s="134">
        <f t="shared" si="102"/>
        <v>8994</v>
      </c>
      <c r="J44" s="134">
        <f t="shared" si="102"/>
        <v>8907</v>
      </c>
      <c r="K44" s="134">
        <f t="shared" si="102"/>
        <v>9187</v>
      </c>
      <c r="L44" s="134">
        <f t="shared" si="102"/>
        <v>13333</v>
      </c>
      <c r="M44" s="134">
        <f t="shared" si="102"/>
        <v>14577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4186</v>
      </c>
      <c r="D46" s="133">
        <v>4158</v>
      </c>
      <c r="E46" s="133">
        <v>3630</v>
      </c>
      <c r="F46" s="133">
        <v>3120</v>
      </c>
      <c r="G46" s="133">
        <v>2978</v>
      </c>
      <c r="H46" s="133">
        <v>3577</v>
      </c>
      <c r="I46" s="133">
        <v>4319</v>
      </c>
      <c r="J46" s="133">
        <v>5303</v>
      </c>
      <c r="K46" s="136">
        <v>6248</v>
      </c>
      <c r="L46" s="133">
        <v>7241</v>
      </c>
      <c r="M46" s="133">
        <v>8235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0.17410897173289636</v>
      </c>
      <c r="E50" s="126">
        <f t="shared" si="103"/>
        <v>0.212878497508624</v>
      </c>
      <c r="F50" s="126">
        <f t="shared" si="103"/>
        <v>0.2296923076923077</v>
      </c>
      <c r="G50" s="126">
        <f t="shared" si="103"/>
        <v>0.26888556469708302</v>
      </c>
      <c r="H50" s="126">
        <f t="shared" si="103"/>
        <v>0.24383396831762583</v>
      </c>
      <c r="I50" s="126">
        <f t="shared" si="103"/>
        <v>0.35079827673593511</v>
      </c>
      <c r="J50" s="126">
        <f t="shared" si="103"/>
        <v>0.34658972397969823</v>
      </c>
      <c r="K50" s="126">
        <f t="shared" si="103"/>
        <v>0.38503561302814465</v>
      </c>
      <c r="L50" s="126">
        <f t="shared" si="103"/>
        <v>0.4217182730047972</v>
      </c>
      <c r="M50" s="126">
        <f t="shared" si="103"/>
        <v>0.43484122228879568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0.33830397378123722</v>
      </c>
      <c r="E51" s="126">
        <f t="shared" si="104"/>
        <v>0.39685703334610961</v>
      </c>
      <c r="F51" s="126">
        <f t="shared" si="104"/>
        <v>0.41961538461538461</v>
      </c>
      <c r="G51" s="126">
        <f t="shared" si="104"/>
        <v>0.43455497382198954</v>
      </c>
      <c r="H51" s="126">
        <f t="shared" si="104"/>
        <v>0.46701423701624223</v>
      </c>
      <c r="I51" s="126">
        <f t="shared" si="104"/>
        <v>0.48574505828687276</v>
      </c>
      <c r="J51" s="126">
        <f t="shared" si="104"/>
        <v>0.47090314955155393</v>
      </c>
      <c r="K51" s="126">
        <f t="shared" si="104"/>
        <v>0.47617730447410278</v>
      </c>
      <c r="L51" s="126">
        <f t="shared" si="104"/>
        <v>0.54044919319668561</v>
      </c>
      <c r="M51" s="126">
        <f t="shared" si="104"/>
        <v>0.555172758138606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0.24522736583367472</v>
      </c>
      <c r="E52" s="126">
        <f t="shared" si="105"/>
        <v>0.29214258336527404</v>
      </c>
      <c r="F52" s="126">
        <f t="shared" si="105"/>
        <v>0.30430769230769233</v>
      </c>
      <c r="G52" s="126">
        <f t="shared" si="105"/>
        <v>0.30538519072550485</v>
      </c>
      <c r="H52" s="126">
        <f t="shared" si="105"/>
        <v>0.31468484726956752</v>
      </c>
      <c r="I52" s="126">
        <f t="shared" si="105"/>
        <v>0.38437658388241258</v>
      </c>
      <c r="J52" s="126">
        <f t="shared" si="105"/>
        <v>0.40547869012028087</v>
      </c>
      <c r="K52" s="126">
        <f t="shared" si="105"/>
        <v>0.3799184012170666</v>
      </c>
      <c r="L52" s="126">
        <f t="shared" si="105"/>
        <v>0.34719799389446143</v>
      </c>
      <c r="M52" s="126">
        <f t="shared" si="105"/>
        <v>0.29588575993608945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0.39258269295021719</v>
      </c>
      <c r="E55" s="126">
        <f t="shared" ref="E55:M55" si="106">E23/E20</f>
        <v>0.34715297822093938</v>
      </c>
      <c r="F55" s="126">
        <f t="shared" si="106"/>
        <v>0.36501516683518703</v>
      </c>
      <c r="G55" s="126">
        <f t="shared" si="106"/>
        <v>0.40313494979181974</v>
      </c>
      <c r="H55" s="126">
        <f t="shared" si="106"/>
        <v>0.44689889549702633</v>
      </c>
      <c r="I55" s="126">
        <f t="shared" si="106"/>
        <v>0.4211307071040053</v>
      </c>
      <c r="J55" s="126">
        <f t="shared" si="106"/>
        <v>0.51577503429355276</v>
      </c>
      <c r="K55" s="126">
        <f t="shared" si="106"/>
        <v>0.6235893702220604</v>
      </c>
      <c r="L55" s="126">
        <f t="shared" si="106"/>
        <v>0.61014287957293134</v>
      </c>
      <c r="M55" s="126">
        <f t="shared" si="106"/>
        <v>0.72510968612892335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0.7523827149070047</v>
      </c>
      <c r="E58" s="112">
        <f t="shared" ref="E58:M58" si="107">E42/E44</f>
        <v>0.67199230028873913</v>
      </c>
      <c r="F58" s="112">
        <f t="shared" si="107"/>
        <v>0.63181178363161072</v>
      </c>
      <c r="G58" s="112">
        <f t="shared" si="107"/>
        <v>0.56889143511887708</v>
      </c>
      <c r="H58" s="112">
        <f t="shared" si="107"/>
        <v>0.70668472477507982</v>
      </c>
      <c r="I58" s="112">
        <f t="shared" si="107"/>
        <v>0.90538136535468094</v>
      </c>
      <c r="J58" s="112">
        <f t="shared" si="107"/>
        <v>1.0229033344560459</v>
      </c>
      <c r="K58" s="112">
        <f t="shared" si="107"/>
        <v>1.1063459235876782</v>
      </c>
      <c r="L58" s="112">
        <f t="shared" si="107"/>
        <v>0.85074626865671643</v>
      </c>
      <c r="M58" s="112">
        <f t="shared" si="107"/>
        <v>0.86643342251492073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2.9191845649799784</v>
      </c>
      <c r="E59" s="112">
        <f t="shared" ref="E59:M59" si="108">E28/E36</f>
        <v>2.7919488337095562</v>
      </c>
      <c r="F59" s="112">
        <f t="shared" si="108"/>
        <v>2.768688845401174</v>
      </c>
      <c r="G59" s="112">
        <f t="shared" si="108"/>
        <v>3.2937279151943462</v>
      </c>
      <c r="H59" s="112">
        <f t="shared" si="108"/>
        <v>3.8680248007085916</v>
      </c>
      <c r="I59" s="112">
        <f t="shared" si="108"/>
        <v>3.2728375101050928</v>
      </c>
      <c r="J59" s="112">
        <f t="shared" si="108"/>
        <v>4.1267074894017899</v>
      </c>
      <c r="K59" s="112">
        <f t="shared" si="108"/>
        <v>4.2841004184100422</v>
      </c>
      <c r="L59" s="112">
        <f t="shared" si="108"/>
        <v>5.3269754768392374</v>
      </c>
      <c r="M59" s="112">
        <f t="shared" si="108"/>
        <v>4.6971524288107203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1.0070234923710342</v>
      </c>
      <c r="E60" s="112">
        <f t="shared" ref="E60:M60" si="109">E46/E9</f>
        <v>0.70117828858412212</v>
      </c>
      <c r="F60" s="112">
        <f t="shared" si="109"/>
        <v>0.57195233730522455</v>
      </c>
      <c r="G60" s="112">
        <f t="shared" si="109"/>
        <v>0.51256454388984507</v>
      </c>
      <c r="H60" s="112">
        <f t="shared" si="109"/>
        <v>0.51195076570774301</v>
      </c>
      <c r="I60" s="112">
        <f t="shared" si="109"/>
        <v>0.56332333376809707</v>
      </c>
      <c r="J60" s="112">
        <f t="shared" si="109"/>
        <v>0.78296175992913042</v>
      </c>
      <c r="K60" s="112">
        <f t="shared" si="109"/>
        <v>0.90734824281150162</v>
      </c>
      <c r="L60" s="112">
        <f t="shared" si="109"/>
        <v>0.73038127899939476</v>
      </c>
      <c r="M60" s="112">
        <f t="shared" si="109"/>
        <v>0.74062415684863747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-4.6919183617391003E-3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7.0694305867646801E-2</v>
      </c>
    </row>
    <row r="65" spans="2:13">
      <c r="B65" s="10" t="s">
        <v>74</v>
      </c>
      <c r="C65" s="114"/>
      <c r="D65" s="121">
        <f>(M6/I6)^0.2 - 1</f>
        <v>9.4809994463398217E-2</v>
      </c>
    </row>
    <row r="66" spans="2:13">
      <c r="B66" s="10" t="s">
        <v>84</v>
      </c>
      <c r="C66" s="114"/>
      <c r="D66" s="121">
        <f>(M6/D6)^0.1 - 1</f>
        <v>0.15149202802592021</v>
      </c>
    </row>
    <row r="67" spans="2:13">
      <c r="B67" s="10" t="s">
        <v>75</v>
      </c>
      <c r="C67" s="114"/>
      <c r="D67" s="121">
        <f>(M3/I3)^0.2 - 1</f>
        <v>4.8779288168724122E-2</v>
      </c>
    </row>
    <row r="68" spans="2:13">
      <c r="B68" s="10" t="s">
        <v>85</v>
      </c>
      <c r="C68" s="114"/>
      <c r="D68" s="121">
        <f>(M3/D3)^0.1 - 1</f>
        <v>5.0775600952138955E-2</v>
      </c>
    </row>
    <row r="69" spans="2:13">
      <c r="B69" s="10" t="s">
        <v>88</v>
      </c>
      <c r="C69" s="114"/>
      <c r="D69" s="121">
        <f>(M9/I9)^0.2 - 1</f>
        <v>7.7179434804034441E-2</v>
      </c>
    </row>
    <row r="70" spans="2:13">
      <c r="B70" s="10" t="s">
        <v>89</v>
      </c>
      <c r="C70" s="114"/>
      <c r="D70" s="121">
        <f>(M9/D9)^0.2 - 1</f>
        <v>0.21911358130616465</v>
      </c>
    </row>
    <row r="71" spans="2:13">
      <c r="B71" s="10" t="s">
        <v>131</v>
      </c>
      <c r="D71" s="121">
        <f>(M23/I23)^0.2 - 1</f>
        <v>0.10957046973041251</v>
      </c>
    </row>
    <row r="72" spans="2:13">
      <c r="B72" s="10" t="s">
        <v>132</v>
      </c>
      <c r="D72" s="121">
        <f>AVERAGE(I24:M24)</f>
        <v>0.15412948805414889</v>
      </c>
    </row>
    <row r="73" spans="2:13">
      <c r="B73" s="10" t="s">
        <v>135</v>
      </c>
      <c r="D73" s="121">
        <f>AVERAGE(I55:M55)</f>
        <v>0.5791495354642946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11.220825852782765</v>
      </c>
      <c r="E76" s="110">
        <f t="shared" si="110"/>
        <v>15.985493898227032</v>
      </c>
      <c r="F76" s="110">
        <f t="shared" si="110"/>
        <v>18.398028342575479</v>
      </c>
      <c r="G76" s="110">
        <f t="shared" si="110"/>
        <v>21.879374353356461</v>
      </c>
      <c r="H76" s="110">
        <f t="shared" si="110"/>
        <v>20.677927672599477</v>
      </c>
      <c r="I76" s="110">
        <f t="shared" si="110"/>
        <v>32.31020598704557</v>
      </c>
      <c r="J76" s="110">
        <f t="shared" si="110"/>
        <v>27.666777666777666</v>
      </c>
      <c r="K76" s="110">
        <f t="shared" si="110"/>
        <v>28.773706785179062</v>
      </c>
      <c r="L76" s="110">
        <f t="shared" si="110"/>
        <v>31.35029988652942</v>
      </c>
      <c r="M76" s="110">
        <f t="shared" si="110"/>
        <v>32.010144448119966</v>
      </c>
    </row>
    <row r="77" spans="2:13">
      <c r="B77" s="10" t="s">
        <v>139</v>
      </c>
      <c r="C77" s="110">
        <v>0</v>
      </c>
      <c r="D77" s="110">
        <f t="shared" ref="D77:M77" si="111">100*D6/D44</f>
        <v>19.66318127139817</v>
      </c>
      <c r="E77" s="110">
        <f t="shared" si="111"/>
        <v>26.727622714148218</v>
      </c>
      <c r="F77" s="110">
        <f t="shared" si="111"/>
        <v>30.022119445003018</v>
      </c>
      <c r="G77" s="110">
        <f t="shared" si="111"/>
        <v>34.326363028740573</v>
      </c>
      <c r="H77" s="110">
        <f t="shared" si="111"/>
        <v>35.290703298829449</v>
      </c>
      <c r="I77" s="110">
        <f t="shared" si="111"/>
        <v>61.563264398487881</v>
      </c>
      <c r="J77" s="110">
        <f t="shared" si="111"/>
        <v>55.967216795778604</v>
      </c>
      <c r="K77" s="110">
        <f t="shared" si="111"/>
        <v>60.607379993469031</v>
      </c>
      <c r="L77" s="110">
        <f t="shared" si="111"/>
        <v>58.021450536263409</v>
      </c>
      <c r="M77" s="110">
        <f t="shared" si="111"/>
        <v>59.744803457501547</v>
      </c>
    </row>
    <row r="78" spans="2:13">
      <c r="B78" s="10" t="s">
        <v>140</v>
      </c>
      <c r="C78" s="110">
        <v>0</v>
      </c>
      <c r="D78" s="40">
        <v>13.489999771118164</v>
      </c>
      <c r="E78" s="40">
        <v>18.299999237060547</v>
      </c>
      <c r="F78" s="40">
        <v>20.600000381469727</v>
      </c>
      <c r="G78" s="40">
        <v>25.600000381469727</v>
      </c>
      <c r="H78" s="40">
        <v>25.940000534057617</v>
      </c>
      <c r="I78" s="40">
        <v>39.619998931884766</v>
      </c>
      <c r="J78" s="40">
        <v>35.590000152587891</v>
      </c>
      <c r="K78" s="40">
        <v>36.990001678466797</v>
      </c>
      <c r="L78" s="40">
        <v>41.900001525878906</v>
      </c>
      <c r="M78" s="40">
        <v>39.439998626708984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25.979999542236328</v>
      </c>
      <c r="E81" s="40">
        <v>23.549999237060547</v>
      </c>
      <c r="F81" s="40">
        <v>19.719999313354492</v>
      </c>
      <c r="G81" s="40">
        <v>23.239999771118164</v>
      </c>
      <c r="H81" s="40">
        <v>24.399999618530273</v>
      </c>
      <c r="I81" s="40">
        <v>20.239999771118164</v>
      </c>
      <c r="J81" s="40">
        <v>23.799999237060547</v>
      </c>
      <c r="K81" s="40">
        <v>31.030000686645508</v>
      </c>
      <c r="L81" s="40">
        <v>24.190000534057617</v>
      </c>
      <c r="M81" s="40">
        <v>17.319999694824219</v>
      </c>
    </row>
    <row r="82" spans="2:13">
      <c r="B82" s="122" t="s">
        <v>148</v>
      </c>
      <c r="C82" s="110">
        <v>0</v>
      </c>
      <c r="D82" s="40">
        <v>15.029999732971191</v>
      </c>
      <c r="E82" s="40">
        <v>15.25</v>
      </c>
      <c r="F82" s="40">
        <v>14.039999961853027</v>
      </c>
      <c r="G82" s="40">
        <v>16.680000305175781</v>
      </c>
      <c r="H82" s="40">
        <v>21.989999771118164</v>
      </c>
      <c r="I82" s="40">
        <v>13.539999961853027</v>
      </c>
      <c r="J82" s="40">
        <v>17.440000534057617</v>
      </c>
      <c r="K82" s="40">
        <v>26.659999847412109</v>
      </c>
      <c r="L82" s="40">
        <v>20.680000305175781</v>
      </c>
      <c r="M82" s="40">
        <v>17.020000457763672</v>
      </c>
    </row>
    <row r="83" spans="2:13">
      <c r="B83" s="122" t="s">
        <v>153</v>
      </c>
      <c r="C83" s="110">
        <v>2.9900000095367432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2023-05-08T18:15:54Z</dcterms:modified>
</cp:coreProperties>
</file>