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26054749-F296-4495-BD4B-AB85689E802A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  <c r="D22" i="5"/>
</calcChain>
</file>

<file path=xl/sharedStrings.xml><?xml version="1.0" encoding="utf-8"?>
<sst xmlns="http://schemas.openxmlformats.org/spreadsheetml/2006/main" count="227" uniqueCount="162">
  <si>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</si>
  <si>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</si>
  <si>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</si>
  <si>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</si>
  <si>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</si>
  <si>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</si>
  <si>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</si>
  <si>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</si>
  <si>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</si>
  <si>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</si>
  <si>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</si>
  <si>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</si>
  <si>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</si>
  <si>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</si>
  <si>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</si>
  <si>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</si>
  <si>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</si>
  <si>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</si>
  <si>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</si>
  <si>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</si>
  <si>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</si>
  <si>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</si>
  <si>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</si>
  <si>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</si>
  <si>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</si>
  <si>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</si>
  <si>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</si>
  <si>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</si>
  <si>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</si>
  <si>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</si>
  <si>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</si>
  <si>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</si>
  <si>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</si>
  <si>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</si>
  <si>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</si>
  <si>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</si>
  <si>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</si>
  <si>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</si>
  <si>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</si>
  <si>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</si>
  <si>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</si>
  <si>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</si>
  <si>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</si>
  <si>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</si>
  <si>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</si>
  <si>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</si>
  <si>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</si>
  <si>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</si>
  <si>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</si>
  <si>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</si>
  <si>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</si>
  <si>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</si>
  <si>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</si>
  <si>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</si>
  <si>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</si>
  <si>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</si>
  <si>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</si>
  <si>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</si>
  <si>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</si>
  <si>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</si>
  <si>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</si>
  <si>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</si>
  <si>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</si>
  <si>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</si>
  <si>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</si>
  <si>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</si>
  <si>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</si>
  <si>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</si>
  <si>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</si>
  <si>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</si>
  <si>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</si>
  <si>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</si>
  <si>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</si>
  <si>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</si>
  <si>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</si>
  <si>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</si>
  <si>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</si>
  <si>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</si>
  <si>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</si>
  <si>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</si>
  <si>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</si>
  <si>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</si>
  <si>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</si>
  <si>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</si>
  <si>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</si>
  <si>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</si>
  <si>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</si>
  <si>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</si>
  <si>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</si>
  <si>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</si>
  <si>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</si>
  <si>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</si>
  <si>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</si>
  <si>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</si>
  <si>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</si>
  <si>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</si>
  <si>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</si>
  <si>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</si>
  <si>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</si>
  <si>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</si>
  <si>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</si>
  <si>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</si>
  <si>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</si>
  <si>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</si>
  <si>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</si>
  <si>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</si>
  <si>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</si>
  <si>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</si>
  <si>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</si>
  <si>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</si>
  <si>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</si>
  <si>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</si>
  <si>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</si>
  <si>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</si>
  <si>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</si>
  <si>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</si>
  <si>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</si>
  <si>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</si>
  <si>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</si>
  <si>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</si>
  <si>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</si>
  <si>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</si>
  <si>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</si>
  <si>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</si>
  <si>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</si>
  <si>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</si>
  <si>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</si>
  <si>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</si>
  <si>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</si>
  <si>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</si>
  <si>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</si>
  <si>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</si>
  <si>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</si>
  <si>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</si>
  <si>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</si>
  <si>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</si>
  <si>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</si>
  <si>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</si>
  <si>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</si>
  <si>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</si>
  <si>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</si>
  <si>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</si>
  <si>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</si>
  <si>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</si>
  <si>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</si>
  <si>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</si>
  <si>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</si>
  <si>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</si>
  <si>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</si>
  <si>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</si>
  <si>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</si>
  <si>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</si>
  <si>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</si>
  <si>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</si>
  <si>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</si>
  <si>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Long Term Debt</t>
  </si>
  <si>
    <t>Liabilities / Equity (last 5 Y) &lt;=</t>
  </si>
  <si>
    <t>Long Term Debt / EBIDTA</t>
  </si>
  <si>
    <t>&lt;3 Excelent &lt; 3.5 Good</t>
  </si>
  <si>
    <t>ADBE_Adobe</t>
  </si>
  <si>
    <t>sector median (19.13)</t>
  </si>
  <si>
    <t>sector median (7.94)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</si>
</sst>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1" applyFont="1" applyAlignment="1">
      <alignment vertical="center"/>
    </xf>
    <xf numFmtId="0" fontId="24" fillId="0" borderId="0" xfId="0" applyFont="1"/>
    <xf numFmtId="2" fontId="24" fillId="0" borderId="0" xfId="0" applyNumberFormat="1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1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1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7.1508711210653358E-2</c:v>
                </c:pt>
                <c:pt idx="1">
                  <c:v>6.4719263576967404E-2</c:v>
                </c:pt>
                <c:pt idx="2">
                  <c:v>0.13127923075035483</c:v>
                </c:pt>
                <c:pt idx="3">
                  <c:v>0.19964060503393241</c:v>
                </c:pt>
                <c:pt idx="4">
                  <c:v>0.23200066379188508</c:v>
                </c:pt>
                <c:pt idx="5">
                  <c:v>0.28693244739756368</c:v>
                </c:pt>
                <c:pt idx="6">
                  <c:v>0.26416614448124609</c:v>
                </c:pt>
                <c:pt idx="7">
                  <c:v>0.40876593099160707</c:v>
                </c:pt>
                <c:pt idx="8">
                  <c:v>0.30547988596769082</c:v>
                </c:pt>
                <c:pt idx="9">
                  <c:v>0.27013518118823127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0.18345397360655863</c:v>
                </c:pt>
                <c:pt idx="1">
                  <c:v>0.17512983050300671</c:v>
                </c:pt>
                <c:pt idx="2">
                  <c:v>0.25911064189971711</c:v>
                </c:pt>
                <c:pt idx="3">
                  <c:v>0.311753135333461</c:v>
                </c:pt>
                <c:pt idx="4">
                  <c:v>0.34158602658564807</c:v>
                </c:pt>
                <c:pt idx="5">
                  <c:v>0.35282392026578074</c:v>
                </c:pt>
                <c:pt idx="6">
                  <c:v>0.36030794020230955</c:v>
                </c:pt>
                <c:pt idx="7">
                  <c:v>0.38809449797948398</c:v>
                </c:pt>
                <c:pt idx="8">
                  <c:v>0.41748495407031994</c:v>
                </c:pt>
                <c:pt idx="9">
                  <c:v>0.3949789844371237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0.24353429864415729</c:v>
                </c:pt>
                <c:pt idx="1">
                  <c:v>0.27468825314025097</c:v>
                </c:pt>
                <c:pt idx="2">
                  <c:v>0.27991801313219494</c:v>
                </c:pt>
                <c:pt idx="3">
                  <c:v>0.34092473289750397</c:v>
                </c:pt>
                <c:pt idx="4">
                  <c:v>0.37454333378673943</c:v>
                </c:pt>
                <c:pt idx="5">
                  <c:v>0.41661129568106314</c:v>
                </c:pt>
                <c:pt idx="6">
                  <c:v>0.3604869752036523</c:v>
                </c:pt>
                <c:pt idx="7">
                  <c:v>0.41249611439229095</c:v>
                </c:pt>
                <c:pt idx="8">
                  <c:v>0.43598352866645551</c:v>
                </c:pt>
                <c:pt idx="9">
                  <c:v>0.42008406225150519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106.93000030517578</c:v>
                </c:pt>
                <c:pt idx="1">
                  <c:v>145.39999389648438</c:v>
                </c:pt>
                <c:pt idx="2">
                  <c:v>75.760002136230469</c:v>
                </c:pt>
                <c:pt idx="3">
                  <c:v>44.380001068115234</c:v>
                </c:pt>
                <c:pt idx="4">
                  <c:v>51.849998474121094</c:v>
                </c:pt>
                <c:pt idx="5">
                  <c:v>43.509998321533203</c:v>
                </c:pt>
                <c:pt idx="6">
                  <c:v>54.970001220703125</c:v>
                </c:pt>
                <c:pt idx="7">
                  <c:v>46.180000305175781</c:v>
                </c:pt>
                <c:pt idx="8">
                  <c:v>56.590000152587891</c:v>
                </c:pt>
                <c:pt idx="9">
                  <c:v>33.319999694824219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26.700000762939453</c:v>
                </c:pt>
                <c:pt idx="1">
                  <c:v>28.709999084472656</c:v>
                </c:pt>
                <c:pt idx="2">
                  <c:v>32.419998168945313</c:v>
                </c:pt>
                <c:pt idx="3">
                  <c:v>23.600000381469727</c:v>
                </c:pt>
                <c:pt idx="4">
                  <c:v>30.149999618530273</c:v>
                </c:pt>
                <c:pt idx="5">
                  <c:v>27.950000762939453</c:v>
                </c:pt>
                <c:pt idx="6">
                  <c:v>36.669998168945313</c:v>
                </c:pt>
                <c:pt idx="7">
                  <c:v>42.349998474121094</c:v>
                </c:pt>
                <c:pt idx="8">
                  <c:v>37.759998321533203</c:v>
                </c:pt>
                <c:pt idx="9">
                  <c:v>20.219999313354492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0.56000000238418579</c:v>
                </c:pt>
                <c:pt idx="1">
                  <c:v>0.52999997138977051</c:v>
                </c:pt>
                <c:pt idx="2">
                  <c:v>1.2400000095367432</c:v>
                </c:pt>
                <c:pt idx="3">
                  <c:v>2.3199999332427979</c:v>
                </c:pt>
                <c:pt idx="4">
                  <c:v>3.380000114440918</c:v>
                </c:pt>
                <c:pt idx="5">
                  <c:v>5.1999998092651367</c:v>
                </c:pt>
                <c:pt idx="6">
                  <c:v>6</c:v>
                </c:pt>
                <c:pt idx="7">
                  <c:v>10.829999923706055</c:v>
                </c:pt>
                <c:pt idx="8">
                  <c:v>10.020000457763672</c:v>
                </c:pt>
                <c:pt idx="9">
                  <c:v>10.100000381469727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4055.239990234375</c:v>
                </c:pt>
                <c:pt idx="1">
                  <c:v>4147.06494140625</c:v>
                </c:pt>
                <c:pt idx="2">
                  <c:v>4795.51123046875</c:v>
                </c:pt>
                <c:pt idx="3">
                  <c:v>5854.43017578125</c:v>
                </c:pt>
                <c:pt idx="4">
                  <c:v>7301.5048828125</c:v>
                </c:pt>
                <c:pt idx="5">
                  <c:v>9030</c:v>
                </c:pt>
                <c:pt idx="6">
                  <c:v>11171</c:v>
                </c:pt>
                <c:pt idx="7">
                  <c:v>12868</c:v>
                </c:pt>
                <c:pt idx="8">
                  <c:v>15785</c:v>
                </c:pt>
                <c:pt idx="9">
                  <c:v>17606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1499.2969970703125</c:v>
                </c:pt>
                <c:pt idx="1">
                  <c:v>911.08599853515625</c:v>
                </c:pt>
                <c:pt idx="2">
                  <c:v>1907.23095703125</c:v>
                </c:pt>
                <c:pt idx="3">
                  <c:v>1892.199951171875</c:v>
                </c:pt>
                <c:pt idx="4">
                  <c:v>1881.4210205078125</c:v>
                </c:pt>
                <c:pt idx="5">
                  <c:v>4124.7998046875</c:v>
                </c:pt>
                <c:pt idx="6">
                  <c:v>989</c:v>
                </c:pt>
                <c:pt idx="7">
                  <c:v>4117</c:v>
                </c:pt>
                <c:pt idx="8">
                  <c:v>4123</c:v>
                </c:pt>
                <c:pt idx="9">
                  <c:v>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743.94989013671875</c:v>
                </c:pt>
                <c:pt idx="1">
                  <c:v>726.2747802734375</c:v>
                </c:pt>
                <c:pt idx="2">
                  <c:v>1242.5679931640625</c:v>
                </c:pt>
                <c:pt idx="3">
                  <c:v>1825.136962890625</c:v>
                </c:pt>
                <c:pt idx="4">
                  <c:v>2494.092041015625</c:v>
                </c:pt>
                <c:pt idx="5">
                  <c:v>3186</c:v>
                </c:pt>
                <c:pt idx="6">
                  <c:v>4025</c:v>
                </c:pt>
                <c:pt idx="7">
                  <c:v>4994</c:v>
                </c:pt>
                <c:pt idx="8">
                  <c:v>6590</c:v>
                </c:pt>
                <c:pt idx="9">
                  <c:v>6954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2.0153198716042251</c:v>
                </c:pt>
                <c:pt idx="1">
                  <c:v>1.2544645956068277</c:v>
                </c:pt>
                <c:pt idx="2">
                  <c:v>1.5349107393106918</c:v>
                </c:pt>
                <c:pt idx="3">
                  <c:v>1.0367440853178691</c:v>
                </c:pt>
                <c:pt idx="4">
                  <c:v>0.75435107829527748</c:v>
                </c:pt>
                <c:pt idx="5">
                  <c:v>1.2946640943777463</c:v>
                </c:pt>
                <c:pt idx="6">
                  <c:v>0.24571428571428572</c:v>
                </c:pt>
                <c:pt idx="7">
                  <c:v>0.82438926712054461</c:v>
                </c:pt>
                <c:pt idx="8">
                  <c:v>0.62564491654021248</c:v>
                </c:pt>
                <c:pt idx="9">
                  <c:v>0.52185792349726778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987.59002685546875</c:v>
                </c:pt>
                <c:pt idx="1">
                  <c:v>1139.1500244140625</c:v>
                </c:pt>
                <c:pt idx="2">
                  <c:v>1342.3499755859375</c:v>
                </c:pt>
                <c:pt idx="3">
                  <c:v>1995.9200439453125</c:v>
                </c:pt>
                <c:pt idx="4">
                  <c:v>2734.72998046875</c:v>
                </c:pt>
                <c:pt idx="5">
                  <c:v>3762</c:v>
                </c:pt>
                <c:pt idx="6">
                  <c:v>4027</c:v>
                </c:pt>
                <c:pt idx="7">
                  <c:v>5308</c:v>
                </c:pt>
                <c:pt idx="8">
                  <c:v>6882</c:v>
                </c:pt>
                <c:pt idx="9">
                  <c:v>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0.10000000149011612</c:v>
                </c:pt>
                <c:pt idx="1">
                  <c:v>0.10000000149011612</c:v>
                </c:pt>
                <c:pt idx="2">
                  <c:v>0.10000000149011612</c:v>
                </c:pt>
                <c:pt idx="3">
                  <c:v>0.10000000149011612</c:v>
                </c:pt>
                <c:pt idx="4">
                  <c:v>0.10000000149011612</c:v>
                </c:pt>
                <c:pt idx="5">
                  <c:v>0.10000000149011612</c:v>
                </c:pt>
                <c:pt idx="6">
                  <c:v>0.10000000149011612</c:v>
                </c:pt>
                <c:pt idx="7">
                  <c:v>0.10000000149011612</c:v>
                </c:pt>
                <c:pt idx="8">
                  <c:v>0.10000000149011612</c:v>
                </c:pt>
                <c:pt idx="9">
                  <c:v>0.10000000149011612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1.0125659309108305E-4</c:v>
                </c:pt>
                <c:pt idx="1">
                  <c:v>8.7784751215321785E-5</c:v>
                </c:pt>
                <c:pt idx="2">
                  <c:v>7.4496221781853637E-5</c:v>
                </c:pt>
                <c:pt idx="3">
                  <c:v>5.0102208148803026E-5</c:v>
                </c:pt>
                <c:pt idx="4">
                  <c:v>3.6566681977492845E-5</c:v>
                </c:pt>
                <c:pt idx="5">
                  <c:v>2.6581605925070706E-5</c:v>
                </c:pt>
                <c:pt idx="6">
                  <c:v>2.4832381795409983E-5</c:v>
                </c:pt>
                <c:pt idx="7">
                  <c:v>1.8839487846668424E-5</c:v>
                </c:pt>
                <c:pt idx="8">
                  <c:v>1.4530659908473699E-5</c:v>
                </c:pt>
                <c:pt idx="9">
                  <c:v>1.3520822267457544E-5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6334.369140625</c:v>
                </c:pt>
                <c:pt idx="1">
                  <c:v>6183.5009765625</c:v>
                </c:pt>
                <c:pt idx="2">
                  <c:v>6904.580078125</c:v>
                </c:pt>
                <c:pt idx="3">
                  <c:v>6857.47216796875</c:v>
                </c:pt>
                <c:pt idx="4">
                  <c:v>7287.7431640625</c:v>
                </c:pt>
                <c:pt idx="5">
                  <c:v>13911.6396484375</c:v>
                </c:pt>
                <c:pt idx="6">
                  <c:v>14267</c:v>
                </c:pt>
                <c:pt idx="7">
                  <c:v>16138</c:v>
                </c:pt>
                <c:pt idx="8">
                  <c:v>18572</c:v>
                </c:pt>
                <c:pt idx="9">
                  <c:v>18169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4045.928955078125</c:v>
                </c:pt>
                <c:pt idx="1">
                  <c:v>4602.328125</c:v>
                </c:pt>
                <c:pt idx="2">
                  <c:v>4821.89208984375</c:v>
                </c:pt>
                <c:pt idx="3">
                  <c:v>5839.77392578125</c:v>
                </c:pt>
                <c:pt idx="4">
                  <c:v>7247.81298828125</c:v>
                </c:pt>
                <c:pt idx="5">
                  <c:v>4857.0390625</c:v>
                </c:pt>
                <c:pt idx="6">
                  <c:v>6495</c:v>
                </c:pt>
                <c:pt idx="7">
                  <c:v>8146</c:v>
                </c:pt>
                <c:pt idx="8">
                  <c:v>8669</c:v>
                </c:pt>
                <c:pt idx="9">
                  <c:v>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1525.64794921875</c:v>
                </c:pt>
                <c:pt idx="1">
                  <c:v>2494.43505859375</c:v>
                </c:pt>
                <c:pt idx="2">
                  <c:v>2213.555908203125</c:v>
                </c:pt>
                <c:pt idx="3">
                  <c:v>2811.635009765625</c:v>
                </c:pt>
                <c:pt idx="4">
                  <c:v>3527.45703125</c:v>
                </c:pt>
                <c:pt idx="5">
                  <c:v>4301.1259765625</c:v>
                </c:pt>
                <c:pt idx="6">
                  <c:v>8191</c:v>
                </c:pt>
                <c:pt idx="7">
                  <c:v>5512</c:v>
                </c:pt>
                <c:pt idx="8">
                  <c:v>6932</c:v>
                </c:pt>
                <c:pt idx="9">
                  <c:v>8128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2130.01611328125</c:v>
                </c:pt>
                <c:pt idx="1">
                  <c:v>1515.489013671875</c:v>
                </c:pt>
                <c:pt idx="2">
                  <c:v>2511.3359375</c:v>
                </c:pt>
                <c:pt idx="3">
                  <c:v>2460.77587890625</c:v>
                </c:pt>
                <c:pt idx="4">
                  <c:v>2548.22998046875</c:v>
                </c:pt>
                <c:pt idx="5">
                  <c:v>5105.44189453125</c:v>
                </c:pt>
                <c:pt idx="6">
                  <c:v>2041</c:v>
                </c:pt>
                <c:pt idx="7">
                  <c:v>5508</c:v>
                </c:pt>
                <c:pt idx="8">
                  <c:v>5512</c:v>
                </c:pt>
                <c:pt idx="9">
                  <c:v>4986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6724.634033203125</c:v>
                </c:pt>
                <c:pt idx="1">
                  <c:v>6775.905029296875</c:v>
                </c:pt>
                <c:pt idx="2">
                  <c:v>7001.580322265625</c:v>
                </c:pt>
                <c:pt idx="3">
                  <c:v>7424.835205078125</c:v>
                </c:pt>
                <c:pt idx="4">
                  <c:v>8459.869140625</c:v>
                </c:pt>
                <c:pt idx="5">
                  <c:v>9362.11083984375</c:v>
                </c:pt>
                <c:pt idx="6">
                  <c:v>10530</c:v>
                </c:pt>
                <c:pt idx="7">
                  <c:v>13264</c:v>
                </c:pt>
                <c:pt idx="8">
                  <c:v>14797</c:v>
                </c:pt>
                <c:pt idx="9">
                  <c:v>14051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3655.6640625</c:v>
                </c:pt>
                <c:pt idx="1">
                  <c:v>4009.924072265625</c:v>
                </c:pt>
                <c:pt idx="2">
                  <c:v>4724.891845703125</c:v>
                </c:pt>
                <c:pt idx="3">
                  <c:v>5272.410888671875</c:v>
                </c:pt>
                <c:pt idx="4">
                  <c:v>6075.68701171875</c:v>
                </c:pt>
                <c:pt idx="5">
                  <c:v>9406.56787109375</c:v>
                </c:pt>
                <c:pt idx="6">
                  <c:v>10232</c:v>
                </c:pt>
                <c:pt idx="7">
                  <c:v>11020</c:v>
                </c:pt>
                <c:pt idx="8">
                  <c:v>12444</c:v>
                </c:pt>
                <c:pt idx="9">
                  <c:v>13114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0.54362275247248004</c:v>
                </c:pt>
                <c:pt idx="1">
                  <c:v>0.59179165807784806</c:v>
                </c:pt>
                <c:pt idx="2">
                  <c:v>0.67483219905048664</c:v>
                </c:pt>
                <c:pt idx="3">
                  <c:v>0.71010476906825837</c:v>
                </c:pt>
                <c:pt idx="4">
                  <c:v>0.71817742221836411</c:v>
                </c:pt>
                <c:pt idx="5">
                  <c:v>1.0047486119327702</c:v>
                </c:pt>
                <c:pt idx="6">
                  <c:v>0.97169990503323833</c:v>
                </c:pt>
                <c:pt idx="7">
                  <c:v>0.83082026537997589</c:v>
                </c:pt>
                <c:pt idx="8">
                  <c:v>0.84098127998918704</c:v>
                </c:pt>
                <c:pt idx="9">
                  <c:v>0.93331435485018854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4045.928955078125</c:v>
                </c:pt>
                <c:pt idx="1">
                  <c:v>4602.328125</c:v>
                </c:pt>
                <c:pt idx="2">
                  <c:v>4821.89208984375</c:v>
                </c:pt>
                <c:pt idx="3">
                  <c:v>5839.77392578125</c:v>
                </c:pt>
                <c:pt idx="4">
                  <c:v>7247.81298828125</c:v>
                </c:pt>
                <c:pt idx="5">
                  <c:v>4857.0390625</c:v>
                </c:pt>
                <c:pt idx="6">
                  <c:v>6495</c:v>
                </c:pt>
                <c:pt idx="7">
                  <c:v>8146</c:v>
                </c:pt>
                <c:pt idx="8">
                  <c:v>8669</c:v>
                </c:pt>
                <c:pt idx="9">
                  <c:v>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1525.64794921875</c:v>
                </c:pt>
                <c:pt idx="1">
                  <c:v>2494.43505859375</c:v>
                </c:pt>
                <c:pt idx="2">
                  <c:v>2213.555908203125</c:v>
                </c:pt>
                <c:pt idx="3">
                  <c:v>2811.635009765625</c:v>
                </c:pt>
                <c:pt idx="4">
                  <c:v>3527.45703125</c:v>
                </c:pt>
                <c:pt idx="5">
                  <c:v>4301.1259765625</c:v>
                </c:pt>
                <c:pt idx="6">
                  <c:v>8191</c:v>
                </c:pt>
                <c:pt idx="7">
                  <c:v>5512</c:v>
                </c:pt>
                <c:pt idx="8">
                  <c:v>6932</c:v>
                </c:pt>
                <c:pt idx="9">
                  <c:v>8128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2.6519413978499817</c:v>
                </c:pt>
                <c:pt idx="1">
                  <c:v>1.8450382619279675</c:v>
                </c:pt>
                <c:pt idx="2">
                  <c:v>2.1783466466667902</c:v>
                </c:pt>
                <c:pt idx="3">
                  <c:v>2.0770028490533119</c:v>
                </c:pt>
                <c:pt idx="4">
                  <c:v>2.0546849824313504</c:v>
                </c:pt>
                <c:pt idx="5">
                  <c:v>1.1292482687014416</c:v>
                </c:pt>
                <c:pt idx="6">
                  <c:v>0.79294347454523262</c:v>
                </c:pt>
                <c:pt idx="7">
                  <c:v>1.4778664731494919</c:v>
                </c:pt>
                <c:pt idx="8">
                  <c:v>1.2505770340450086</c:v>
                </c:pt>
                <c:pt idx="9">
                  <c:v>1.1067913385826771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743.94989013671875</c:v>
                </c:pt>
                <c:pt idx="1">
                  <c:v>726.2747802734375</c:v>
                </c:pt>
                <c:pt idx="2">
                  <c:v>1242.5679931640625</c:v>
                </c:pt>
                <c:pt idx="3">
                  <c:v>1825.136962890625</c:v>
                </c:pt>
                <c:pt idx="4">
                  <c:v>2494.092041015625</c:v>
                </c:pt>
                <c:pt idx="5">
                  <c:v>3186</c:v>
                </c:pt>
                <c:pt idx="6">
                  <c:v>4025</c:v>
                </c:pt>
                <c:pt idx="7">
                  <c:v>4994</c:v>
                </c:pt>
                <c:pt idx="8">
                  <c:v>6590</c:v>
                </c:pt>
                <c:pt idx="9">
                  <c:v>6954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289.9849853515625</c:v>
                </c:pt>
                <c:pt idx="1">
                  <c:v>268.39498901367188</c:v>
                </c:pt>
                <c:pt idx="2">
                  <c:v>629.551025390625</c:v>
                </c:pt>
                <c:pt idx="3">
                  <c:v>1168.781982421875</c:v>
                </c:pt>
                <c:pt idx="4">
                  <c:v>1693.9539794921875</c:v>
                </c:pt>
                <c:pt idx="5">
                  <c:v>2591</c:v>
                </c:pt>
                <c:pt idx="6">
                  <c:v>2951</c:v>
                </c:pt>
                <c:pt idx="7">
                  <c:v>5260</c:v>
                </c:pt>
                <c:pt idx="8">
                  <c:v>4822</c:v>
                </c:pt>
                <c:pt idx="9">
                  <c:v>4756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987.59002685546875</c:v>
                </c:pt>
                <c:pt idx="1">
                  <c:v>1139.1500244140625</c:v>
                </c:pt>
                <c:pt idx="2">
                  <c:v>1342.3499755859375</c:v>
                </c:pt>
                <c:pt idx="3">
                  <c:v>1995.9200439453125</c:v>
                </c:pt>
                <c:pt idx="4">
                  <c:v>2734.72998046875</c:v>
                </c:pt>
                <c:pt idx="5">
                  <c:v>3762</c:v>
                </c:pt>
                <c:pt idx="6">
                  <c:v>4027</c:v>
                </c:pt>
                <c:pt idx="7">
                  <c:v>5308</c:v>
                </c:pt>
                <c:pt idx="8">
                  <c:v>6882</c:v>
                </c:pt>
                <c:pt idx="9">
                  <c:v>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2.7936094192863461</c:v>
                </c:pt>
                <c:pt idx="1">
                  <c:v>2.4884038722140582</c:v>
                </c:pt>
                <c:pt idx="2">
                  <c:v>5.368631045833733</c:v>
                </c:pt>
                <c:pt idx="3">
                  <c:v>9.2050037763479491</c:v>
                </c:pt>
                <c:pt idx="4">
                  <c:v>11.653864232907571</c:v>
                </c:pt>
                <c:pt idx="5">
                  <c:v>13.804914239861155</c:v>
                </c:pt>
                <c:pt idx="6">
                  <c:v>14.213466910702245</c:v>
                </c:pt>
                <c:pt idx="7">
                  <c:v>21.660352495470267</c:v>
                </c:pt>
                <c:pt idx="8">
                  <c:v>17.701259131456261</c:v>
                </c:pt>
                <c:pt idx="9">
                  <c:v>17.507822565801582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4.3122790611318234</c:v>
                </c:pt>
                <c:pt idx="1">
                  <c:v>3.9610205257189492</c:v>
                </c:pt>
                <c:pt idx="2">
                  <c:v>8.9915561403844553</c:v>
                </c:pt>
                <c:pt idx="3">
                  <c:v>15.741520857223943</c:v>
                </c:pt>
                <c:pt idx="4">
                  <c:v>20.023406406579994</c:v>
                </c:pt>
                <c:pt idx="5">
                  <c:v>27.675382660212584</c:v>
                </c:pt>
                <c:pt idx="6">
                  <c:v>28.02469135802469</c:v>
                </c:pt>
                <c:pt idx="7">
                  <c:v>39.656212303980702</c:v>
                </c:pt>
                <c:pt idx="8">
                  <c:v>32.587686693248628</c:v>
                </c:pt>
                <c:pt idx="9">
                  <c:v>33.848124688634257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3.9800000190734863</c:v>
                </c:pt>
                <c:pt idx="1">
                  <c:v>3.5899999141693115</c:v>
                </c:pt>
                <c:pt idx="2">
                  <c:v>7.8899998664855957</c:v>
                </c:pt>
                <c:pt idx="3">
                  <c:v>13.020000457763672</c:v>
                </c:pt>
                <c:pt idx="4">
                  <c:v>17.290000915527344</c:v>
                </c:pt>
                <c:pt idx="5">
                  <c:v>21.719999313354492</c:v>
                </c:pt>
                <c:pt idx="6">
                  <c:v>19.379999160766602</c:v>
                </c:pt>
                <c:pt idx="7">
                  <c:v>32.560001373291016</c:v>
                </c:pt>
                <c:pt idx="8">
                  <c:v>26.190000534057617</c:v>
                </c:pt>
                <c:pt idx="9">
                  <c:v>25.139999389648438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513.47601318359375</c:v>
                </c:pt>
                <c:pt idx="1">
                  <c:v>508.48001098632813</c:v>
                </c:pt>
                <c:pt idx="2">
                  <c:v>507.16400146484375</c:v>
                </c:pt>
                <c:pt idx="3">
                  <c:v>504.29901123046875</c:v>
                </c:pt>
                <c:pt idx="4">
                  <c:v>501.12298583984375</c:v>
                </c:pt>
                <c:pt idx="5">
                  <c:v>498</c:v>
                </c:pt>
                <c:pt idx="6">
                  <c:v>492</c:v>
                </c:pt>
                <c:pt idx="7">
                  <c:v>485</c:v>
                </c:pt>
                <c:pt idx="8">
                  <c:v>481</c:v>
                </c:pt>
                <c:pt idx="9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37" zoomScale="75" workbookViewId="0">
      <selection activeCell="H16" sqref="H16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2.179687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9" t="s">
        <v>159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4" t="str">
        <f>T11</f>
        <v>J</v>
      </c>
      <c r="E12" s="45" t="s">
        <v>141</v>
      </c>
      <c r="F12" s="123">
        <f>AVERAGE(L12:P12)</f>
        <v>16.977563068658299</v>
      </c>
      <c r="G12" s="119">
        <f>Financials!D76</f>
        <v>2.7936094192863461</v>
      </c>
      <c r="H12" s="119">
        <f>Financials!E76</f>
        <v>2.4884038722140582</v>
      </c>
      <c r="I12" s="119">
        <f>Financials!F76</f>
        <v>5.368631045833733</v>
      </c>
      <c r="J12" s="119">
        <f>Financials!G76</f>
        <v>9.2050037763479491</v>
      </c>
      <c r="K12" s="119">
        <f>Financials!H76</f>
        <v>11.653864232907571</v>
      </c>
      <c r="L12" s="119">
        <f>Financials!I76</f>
        <v>13.804914239861155</v>
      </c>
      <c r="M12" s="119">
        <f>Financials!J76</f>
        <v>14.213466910702245</v>
      </c>
      <c r="N12" s="119">
        <f>Financials!K76</f>
        <v>21.660352495470267</v>
      </c>
      <c r="O12" s="119">
        <f>Financials!L76</f>
        <v>17.701259131456261</v>
      </c>
      <c r="P12" s="119">
        <f>Financials!M76</f>
        <v>17.507822565801582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>
        <f>AVERAGE(L14:P14)</f>
        <v>32.358419540820172</v>
      </c>
      <c r="G14" s="40">
        <f>Financials!D77</f>
        <v>4.3122790611318234</v>
      </c>
      <c r="H14" s="40">
        <f>Financials!E77</f>
        <v>3.9610205257189492</v>
      </c>
      <c r="I14" s="40">
        <f>Financials!F77</f>
        <v>8.9915561403844553</v>
      </c>
      <c r="J14" s="40">
        <f>Financials!G77</f>
        <v>15.741520857223943</v>
      </c>
      <c r="K14" s="40">
        <f>Financials!H77</f>
        <v>20.023406406579994</v>
      </c>
      <c r="L14" s="40">
        <f>Financials!I77</f>
        <v>27.675382660212584</v>
      </c>
      <c r="M14" s="40">
        <f>Financials!J77</f>
        <v>28.02469135802469</v>
      </c>
      <c r="N14" s="40">
        <f>Financials!K77</f>
        <v>39.656212303980702</v>
      </c>
      <c r="O14" s="40">
        <f>Financials!L77</f>
        <v>32.587686693248628</v>
      </c>
      <c r="P14" s="40">
        <f>Financials!M77</f>
        <v>33.848124688634257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>
        <f>WACC!$C$25</f>
        <v>0.13707092426877232</v>
      </c>
      <c r="F16" s="124">
        <f>AVERAGE(L16:P16)</f>
        <v>24.997999954223634</v>
      </c>
      <c r="G16" s="40">
        <f>Financials!D78</f>
        <v>3.9800000190734863</v>
      </c>
      <c r="H16" s="40">
        <f>Financials!E78</f>
        <v>3.5899999141693115</v>
      </c>
      <c r="I16" s="40">
        <f>Financials!F78</f>
        <v>7.8899998664855957</v>
      </c>
      <c r="J16" s="40">
        <f>Financials!G78</f>
        <v>13.020000457763672</v>
      </c>
      <c r="K16" s="40">
        <f>Financials!H78</f>
        <v>17.290000915527344</v>
      </c>
      <c r="L16" s="40">
        <f>Financials!I78</f>
        <v>21.719999313354492</v>
      </c>
      <c r="M16" s="40">
        <f>Financials!J78</f>
        <v>19.379999160766602</v>
      </c>
      <c r="N16" s="40">
        <f>Financials!K78</f>
        <v>32.560001373291016</v>
      </c>
      <c r="O16" s="40">
        <f>Financials!L78</f>
        <v>26.190000534057617</v>
      </c>
      <c r="P16" s="40">
        <f>Financials!M78</f>
        <v>25.139999389648438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5" t="str">
        <f>U11</f>
        <v>K</v>
      </c>
      <c r="E18" s="48" t="s">
        <v>68</v>
      </c>
      <c r="F18" s="125">
        <f>AVERAGE(L18:P18)</f>
        <v>1.1514853178047704</v>
      </c>
      <c r="G18" s="42">
        <f>Financials!D59</f>
        <v>2.6519413978499817</v>
      </c>
      <c r="H18" s="42">
        <f>Financials!E59</f>
        <v>1.8450382619279675</v>
      </c>
      <c r="I18" s="42">
        <f>Financials!F59</f>
        <v>2.1783466466667902</v>
      </c>
      <c r="J18" s="42">
        <f>Financials!G59</f>
        <v>2.0770028490533119</v>
      </c>
      <c r="K18" s="42">
        <f>Financials!H59</f>
        <v>2.0546849824313504</v>
      </c>
      <c r="L18" s="42">
        <f>Financials!I59</f>
        <v>1.1292482687014416</v>
      </c>
      <c r="M18" s="42">
        <f>Financials!J59</f>
        <v>0.79294347454523262</v>
      </c>
      <c r="N18" s="42">
        <f>Financials!K59</f>
        <v>1.4778664731494919</v>
      </c>
      <c r="O18" s="42">
        <f>Financials!L59</f>
        <v>1.2505770340450086</v>
      </c>
      <c r="P18" s="42">
        <f>Financials!M59</f>
        <v>1.1067913385826771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156</v>
      </c>
      <c r="D20" s="54" t="str">
        <f>T11</f>
        <v>J</v>
      </c>
      <c r="E20" s="49" t="s">
        <v>137</v>
      </c>
      <c r="F20" s="125">
        <f>AVERAGE(L20:P20)</f>
        <v>0.91631288343707207</v>
      </c>
      <c r="G20" s="42">
        <f>Financials!D58</f>
        <v>0.54362275247248004</v>
      </c>
      <c r="H20" s="42">
        <f>Financials!E58</f>
        <v>0.59179165807784806</v>
      </c>
      <c r="I20" s="42">
        <f>Financials!F58</f>
        <v>0.67483219905048664</v>
      </c>
      <c r="J20" s="42">
        <f>Financials!G58</f>
        <v>0.71010476906825837</v>
      </c>
      <c r="K20" s="42">
        <f>Financials!H58</f>
        <v>0.71817742221836411</v>
      </c>
      <c r="L20" s="42">
        <f>Financials!I58</f>
        <v>1.0047486119327702</v>
      </c>
      <c r="M20" s="42">
        <f>Financials!J58</f>
        <v>0.97169990503323833</v>
      </c>
      <c r="N20" s="42">
        <f>Financials!K58</f>
        <v>0.83082026537997589</v>
      </c>
      <c r="O20" s="42">
        <f>Financials!L58</f>
        <v>0.84098127998918704</v>
      </c>
      <c r="P20" s="42">
        <f>Financials!M58</f>
        <v>0.93331435485018854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157</v>
      </c>
      <c r="D22" s="54" t="str">
        <f>T11</f>
        <v>J</v>
      </c>
      <c r="E22" s="49" t="s">
        <v>158</v>
      </c>
      <c r="F22" s="125">
        <f>AVERAGE(L22:P22)</f>
        <v>0.70245409745001131</v>
      </c>
      <c r="G22" s="42">
        <f>Financials!D60</f>
        <v>2.0153198716042251</v>
      </c>
      <c r="H22" s="42">
        <f>Financials!E60</f>
        <v>1.2544645956068277</v>
      </c>
      <c r="I22" s="42">
        <f>Financials!F60</f>
        <v>1.5349107393106918</v>
      </c>
      <c r="J22" s="42">
        <f>Financials!G60</f>
        <v>1.0367440853178691</v>
      </c>
      <c r="K22" s="42">
        <f>Financials!H60</f>
        <v>0.75435107829527748</v>
      </c>
      <c r="L22" s="42">
        <f>Financials!I60</f>
        <v>1.2946640943777463</v>
      </c>
      <c r="M22" s="42">
        <f>Financials!J60</f>
        <v>0.24571428571428572</v>
      </c>
      <c r="N22" s="42">
        <f>Financials!K60</f>
        <v>0.82438926712054461</v>
      </c>
      <c r="O22" s="42">
        <f>Financials!L60</f>
        <v>0.62564491654021248</v>
      </c>
      <c r="P22" s="42">
        <f>Financials!M60</f>
        <v>0.52185792349726778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>
        <f>Financials!D12</f>
        <v>513.47601318359375</v>
      </c>
      <c r="H24" s="40">
        <f>Financials!E12</f>
        <v>508.48001098632813</v>
      </c>
      <c r="I24" s="40">
        <f>Financials!F12</f>
        <v>507.16400146484375</v>
      </c>
      <c r="J24" s="40">
        <f>Financials!G12</f>
        <v>504.29901123046875</v>
      </c>
      <c r="K24" s="40">
        <f>Financials!H12</f>
        <v>501.12298583984375</v>
      </c>
      <c r="L24" s="40">
        <f>Financials!I12</f>
        <v>498</v>
      </c>
      <c r="M24" s="40">
        <f>Financials!J12</f>
        <v>492</v>
      </c>
      <c r="N24" s="40">
        <f>Financials!K12</f>
        <v>485</v>
      </c>
      <c r="O24" s="40">
        <f>Financials!L12</f>
        <v>481</v>
      </c>
      <c r="P24" s="40">
        <f>Financials!M12</f>
        <v>471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160</v>
      </c>
      <c r="F26" s="57">
        <f>AVERAGEIF(L26:P26,"&lt;100")</f>
        <v>46.913999938964842</v>
      </c>
      <c r="G26" s="44">
        <f>Financials!D81</f>
        <v>106.93000030517578</v>
      </c>
      <c r="H26" s="44">
        <f>Financials!E81</f>
        <v>145.39999389648438</v>
      </c>
      <c r="I26" s="44">
        <f>Financials!F81</f>
        <v>75.760002136230469</v>
      </c>
      <c r="J26" s="44">
        <f>Financials!G81</f>
        <v>44.380001068115234</v>
      </c>
      <c r="K26" s="44">
        <f>Financials!H81</f>
        <v>51.849998474121094</v>
      </c>
      <c r="L26" s="44">
        <f>Financials!I81</f>
        <v>43.509998321533203</v>
      </c>
      <c r="M26" s="44">
        <f>Financials!J81</f>
        <v>54.970001220703125</v>
      </c>
      <c r="N26" s="44">
        <f>Financials!K81</f>
        <v>46.180000305175781</v>
      </c>
      <c r="O26" s="44">
        <f>Financials!L81</f>
        <v>56.590000152587891</v>
      </c>
      <c r="P26" s="44">
        <f>Financials!M81</f>
        <v>33.319999694824219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6" t="str">
        <f>V11</f>
        <v>L</v>
      </c>
      <c r="E28" s="51" t="s">
        <v>161</v>
      </c>
      <c r="F28" s="57">
        <f>AVERAGEIF(L28:P28, "&lt;100")</f>
        <v>32.989999008178714</v>
      </c>
      <c r="G28" s="44">
        <f>Financials!D82</f>
        <v>26.700000762939453</v>
      </c>
      <c r="H28" s="44">
        <f>Financials!E82</f>
        <v>28.709999084472656</v>
      </c>
      <c r="I28" s="44">
        <f>Financials!F82</f>
        <v>32.419998168945313</v>
      </c>
      <c r="J28" s="44">
        <f>Financials!G82</f>
        <v>23.600000381469727</v>
      </c>
      <c r="K28" s="44">
        <f>Financials!H82</f>
        <v>30.149999618530273</v>
      </c>
      <c r="L28" s="44">
        <f>Financials!I82</f>
        <v>27.950000762939453</v>
      </c>
      <c r="M28" s="44">
        <f>Financials!J82</f>
        <v>36.669998168945313</v>
      </c>
      <c r="N28" s="44">
        <f>Financials!K82</f>
        <v>42.349998474121094</v>
      </c>
      <c r="O28" s="44">
        <f>Financials!L82</f>
        <v>37.759998321533203</v>
      </c>
      <c r="P28" s="44">
        <f>Financials!M82</f>
        <v>20.219999313354492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>
        <f>Financials!$C$83</f>
        <v>1.5700000524520874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>
        <f>Financials!D63</f>
        <v>0.14476310056435815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>
        <f>Financials!D64</f>
        <v>0.22304382899616426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>
        <f>Financials!D69</f>
        <v>0.16895497324291631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>
        <f>Financials!D70</f>
        <v>0.56364514406229449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>
        <f>Financials!D65</f>
        <v>0.12915844400557575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>
        <f>Financials!D66</f>
        <v>0.32277699532773374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>
        <f>Financials!D67</f>
        <v>0.14286409658965948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>
        <f>Financials!D68</f>
        <v>0.15814893902309946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>
        <f>Financials!$D$73</f>
        <v>1.966099154861607E-5</v>
      </c>
    </row>
    <row r="45" spans="2:17" ht="18.5">
      <c r="B45" s="138"/>
      <c r="C45" s="100" t="s">
        <v>133</v>
      </c>
      <c r="D45" s="56" t="str">
        <f>V11</f>
        <v>L</v>
      </c>
      <c r="E45" s="101" t="s">
        <v>134</v>
      </c>
      <c r="F45" s="103">
        <f>Financials!D71</f>
        <v>0</v>
      </c>
    </row>
    <row r="46" spans="2:17" ht="18.5">
      <c r="B46" s="138"/>
      <c r="C46" s="100" t="s">
        <v>130</v>
      </c>
      <c r="D46" s="56" t="str">
        <f>V11</f>
        <v>L</v>
      </c>
      <c r="E46" s="18" t="s">
        <v>77</v>
      </c>
      <c r="F46" s="103">
        <f>Financials!D72</f>
        <v>0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>
        <f>F45+F46</f>
        <v>0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4" zoomScale="78" zoomScaleNormal="100" workbookViewId="0">
      <selection activeCell="T129" sqref="T129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170.3699951171875</v>
      </c>
    </row>
    <row r="6" spans="2:16">
      <c r="B6" s="4" t="s">
        <v>5</v>
      </c>
      <c r="C6" s="59">
        <v>8128000</v>
      </c>
    </row>
    <row r="7" spans="2:16">
      <c r="B7" s="4" t="s">
        <v>4</v>
      </c>
      <c r="C7" s="59">
        <v>4986000</v>
      </c>
    </row>
    <row r="8" spans="2:16">
      <c r="B8" s="4" t="s">
        <v>3</v>
      </c>
      <c r="C8" s="59">
        <v>112000</v>
      </c>
    </row>
    <row r="9" spans="2:16">
      <c r="B9" s="10" t="s">
        <v>6</v>
      </c>
      <c r="C9" s="59">
        <v>6008000</v>
      </c>
    </row>
    <row r="10" spans="2:16">
      <c r="B10" s="10" t="s">
        <v>7</v>
      </c>
      <c r="C10" s="59">
        <v>1252000</v>
      </c>
    </row>
    <row r="11" spans="2:16">
      <c r="B11" s="10" t="s">
        <v>9</v>
      </c>
      <c r="C11" s="60">
        <v>1.309999942779541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13114000</v>
      </c>
    </row>
    <row r="18" spans="2:15" ht="18" thickTop="1" thickBot="1">
      <c r="B18" s="2" t="s">
        <v>20</v>
      </c>
      <c r="C18" s="12">
        <f>C8/C17</f>
        <v>8.5404910782369992E-3</v>
      </c>
    </row>
    <row r="19" spans="2:15" ht="18" thickTop="1" thickBot="1">
      <c r="B19" s="2" t="s">
        <v>19</v>
      </c>
      <c r="C19" s="12">
        <f>C14+C11*(C15-C14)</f>
        <v>0.14696999502181998</v>
      </c>
    </row>
    <row r="20" spans="2:15" ht="18" thickTop="1" thickBot="1">
      <c r="B20" s="2" t="s">
        <v>18</v>
      </c>
      <c r="C20" s="12">
        <f>C8/C17</f>
        <v>8.5404910782369992E-3</v>
      </c>
      <c r="K20" t="s">
        <v>17</v>
      </c>
    </row>
    <row r="21" spans="2:15" ht="18" thickTop="1" thickBot="1">
      <c r="B21" s="16" t="s">
        <v>22</v>
      </c>
      <c r="C21" s="11">
        <f>C17+C5*1000000</f>
        <v>183483995.11718801</v>
      </c>
      <c r="K21" t="s">
        <v>11</v>
      </c>
    </row>
    <row r="22" spans="2:15" ht="18" thickTop="1" thickBot="1">
      <c r="B22" s="2" t="s">
        <v>23</v>
      </c>
      <c r="C22" s="12">
        <f>C5*1000000/C21</f>
        <v>0.92852782613750962</v>
      </c>
      <c r="K22" t="s">
        <v>12</v>
      </c>
    </row>
    <row r="23" spans="2:15" ht="18" thickTop="1" thickBot="1">
      <c r="B23" s="16" t="s">
        <v>24</v>
      </c>
      <c r="C23" s="12">
        <f>C17/C21</f>
        <v>7.1472173862490398E-2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0.13707092426877232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opLeftCell="A46" zoomScale="82" workbookViewId="0">
      <selection activeCell="E9" sqref="E9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>
        <f>WACC!C25</f>
        <v>0.13707092426877232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>
        <v>0.1</v>
      </c>
    </row>
    <row r="7" spans="2:12">
      <c r="B7" s="18" t="s">
        <v>31</v>
      </c>
      <c r="C7" s="13">
        <f>AVERAGEIF(C28:L28, "&lt;0.5")</f>
        <v>0.22346280643901323</v>
      </c>
    </row>
    <row r="8" spans="2:12">
      <c r="B8" s="18" t="s">
        <v>112</v>
      </c>
      <c r="C8" s="13">
        <f>AVERAGEIF(C29:L29,"&lt;2")</f>
        <v>1.4471560393374523</v>
      </c>
    </row>
    <row r="9" spans="2:12">
      <c r="B9" s="18" t="s">
        <v>136</v>
      </c>
      <c r="C9" s="66">
        <v>13</v>
      </c>
    </row>
    <row r="10" spans="2:12">
      <c r="B10" s="18" t="s">
        <v>100</v>
      </c>
      <c r="C10" s="67">
        <v>0.15</v>
      </c>
    </row>
    <row r="11" spans="2:12">
      <c r="B11" s="18" t="s">
        <v>44</v>
      </c>
      <c r="C11" s="59">
        <v>458700000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4055.239990234375</v>
      </c>
      <c r="D16" s="21">
        <f>Financials!E3</f>
        <v>4147.06494140625</v>
      </c>
      <c r="E16" s="21">
        <f>Financials!F3</f>
        <v>4795.51123046875</v>
      </c>
      <c r="F16" s="21">
        <f>Financials!G3</f>
        <v>5854.43017578125</v>
      </c>
      <c r="G16" s="21">
        <f>Financials!H3</f>
        <v>7301.5048828125</v>
      </c>
      <c r="H16" s="21">
        <f>Financials!I3</f>
        <v>9030</v>
      </c>
      <c r="I16" s="21">
        <f>Financials!J3</f>
        <v>11171</v>
      </c>
      <c r="J16" s="21">
        <f>Financials!K3</f>
        <v>12868</v>
      </c>
      <c r="K16" s="21">
        <f>Financials!L3</f>
        <v>15785</v>
      </c>
      <c r="L16" s="21">
        <f>Financials!M3</f>
        <v>17606</v>
      </c>
    </row>
    <row r="17" spans="2:12">
      <c r="B17" s="18" t="s">
        <v>27</v>
      </c>
      <c r="C17" s="22"/>
      <c r="D17" s="20">
        <f t="shared" ref="D17:L17" si="0">(D16-C16)/C16</f>
        <v>2.2643530689429755E-2</v>
      </c>
      <c r="E17" s="20">
        <f t="shared" si="0"/>
        <v>0.15636270427986473</v>
      </c>
      <c r="F17" s="20">
        <f t="shared" si="0"/>
        <v>0.22081461066852578</v>
      </c>
      <c r="G17" s="20">
        <f t="shared" si="0"/>
        <v>0.2471760126233197</v>
      </c>
      <c r="H17" s="20">
        <f t="shared" si="0"/>
        <v>0.23673135126654782</v>
      </c>
      <c r="I17" s="20">
        <f t="shared" si="0"/>
        <v>0.23709856035437432</v>
      </c>
      <c r="J17" s="20">
        <f t="shared" si="0"/>
        <v>0.151911198639334</v>
      </c>
      <c r="K17" s="20">
        <f t="shared" si="0"/>
        <v>0.22668635374572582</v>
      </c>
      <c r="L17" s="20">
        <f t="shared" si="0"/>
        <v>0.11536268609439342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289.9849853515625</v>
      </c>
      <c r="D19" s="21">
        <f>Financials!E6</f>
        <v>268.39498901367188</v>
      </c>
      <c r="E19" s="21">
        <f>Financials!F6</f>
        <v>629.551025390625</v>
      </c>
      <c r="F19" s="21">
        <f>Financials!G6</f>
        <v>1168.781982421875</v>
      </c>
      <c r="G19" s="21">
        <f>Financials!H6</f>
        <v>1693.9539794921875</v>
      </c>
      <c r="H19" s="21">
        <f>Financials!I6</f>
        <v>2591</v>
      </c>
      <c r="I19" s="21">
        <f>Financials!J6</f>
        <v>2951</v>
      </c>
      <c r="J19" s="21">
        <f>Financials!K6</f>
        <v>5260</v>
      </c>
      <c r="K19" s="21">
        <f>Financials!L6</f>
        <v>4822</v>
      </c>
      <c r="L19" s="21">
        <f>Financials!M6</f>
        <v>4756</v>
      </c>
    </row>
    <row r="20" spans="2:12">
      <c r="B20" s="18" t="s">
        <v>27</v>
      </c>
      <c r="C20" s="22"/>
      <c r="D20" s="20">
        <f>(D19-C19)/C19</f>
        <v>-7.4452117966438816E-2</v>
      </c>
      <c r="E20" s="20">
        <f t="shared" ref="E20:L20" si="1">(E19-D19)/D19</f>
        <v>1.3456139315572533</v>
      </c>
      <c r="F20" s="20">
        <f t="shared" si="1"/>
        <v>0.85653256889966456</v>
      </c>
      <c r="G20" s="20">
        <f t="shared" si="1"/>
        <v>0.44933272840336147</v>
      </c>
      <c r="H20" s="20">
        <f t="shared" si="1"/>
        <v>0.52955749174291478</v>
      </c>
      <c r="I20" s="20">
        <f t="shared" si="1"/>
        <v>0.13894249324585103</v>
      </c>
      <c r="J20" s="20">
        <f t="shared" si="1"/>
        <v>0.78244662826160627</v>
      </c>
      <c r="K20" s="20">
        <f t="shared" si="1"/>
        <v>-8.3269961977186308E-2</v>
      </c>
      <c r="L20" s="20">
        <f t="shared" si="1"/>
        <v>-1.3687266694317711E-2</v>
      </c>
    </row>
    <row r="22" spans="2:12">
      <c r="B22" s="18" t="s">
        <v>30</v>
      </c>
      <c r="C22" s="25">
        <f>Financials!D20</f>
        <v>987.59002685546875</v>
      </c>
      <c r="D22" s="25">
        <f>Financials!E20</f>
        <v>1139.1500244140625</v>
      </c>
      <c r="E22" s="25">
        <f>Financials!F20</f>
        <v>1342.3499755859375</v>
      </c>
      <c r="F22" s="25">
        <f>Financials!G20</f>
        <v>1995.9200439453125</v>
      </c>
      <c r="G22" s="25">
        <f>Financials!H20</f>
        <v>2734.72998046875</v>
      </c>
      <c r="H22" s="25">
        <f>Financials!I20</f>
        <v>3762</v>
      </c>
      <c r="I22" s="25">
        <f>Financials!J20</f>
        <v>4027</v>
      </c>
      <c r="J22" s="25">
        <f>Financials!K20</f>
        <v>5308</v>
      </c>
      <c r="K22" s="25">
        <f>Financials!L20</f>
        <v>6882</v>
      </c>
      <c r="L22" s="25">
        <f>Financials!M20</f>
        <v>7396</v>
      </c>
    </row>
    <row r="23" spans="2:12">
      <c r="B23" s="18" t="s">
        <v>27</v>
      </c>
      <c r="C23" s="26"/>
      <c r="D23" s="26">
        <f>(D22-C22)/C22</f>
        <v>0.15346448772996205</v>
      </c>
      <c r="E23" s="26">
        <f t="shared" ref="E23:L23" si="2">(E22-D22)/D22</f>
        <v>0.17837856894783824</v>
      </c>
      <c r="F23" s="26">
        <f t="shared" si="2"/>
        <v>0.48688500036966115</v>
      </c>
      <c r="G23" s="26">
        <f t="shared" si="2"/>
        <v>0.37016008670519773</v>
      </c>
      <c r="H23" s="26">
        <f t="shared" si="2"/>
        <v>0.37563855549467062</v>
      </c>
      <c r="I23" s="26">
        <f t="shared" si="2"/>
        <v>7.0441254651780971E-2</v>
      </c>
      <c r="J23" s="26">
        <f t="shared" si="2"/>
        <v>0.31810280605910107</v>
      </c>
      <c r="K23" s="26">
        <f t="shared" si="2"/>
        <v>0.29653353428786738</v>
      </c>
      <c r="L23" s="26">
        <f t="shared" si="2"/>
        <v>7.4687590816623073E-2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>
        <f>Financials!D9</f>
        <v>743.94989013671875</v>
      </c>
      <c r="D25" s="62">
        <f>Financials!E9</f>
        <v>726.2747802734375</v>
      </c>
      <c r="E25" s="62">
        <f>Financials!F9</f>
        <v>1242.5679931640625</v>
      </c>
      <c r="F25" s="62">
        <f>Financials!G9</f>
        <v>1825.136962890625</v>
      </c>
      <c r="G25" s="62">
        <f>Financials!H9</f>
        <v>2494.092041015625</v>
      </c>
      <c r="H25" s="62">
        <f>Financials!I9</f>
        <v>3186</v>
      </c>
      <c r="I25" s="62">
        <f>Financials!J9</f>
        <v>4025</v>
      </c>
      <c r="J25" s="62">
        <f>Financials!K9</f>
        <v>4994</v>
      </c>
      <c r="K25" s="62">
        <f>Financials!L9</f>
        <v>6590</v>
      </c>
      <c r="L25" s="62">
        <f>Financials!M9</f>
        <v>6954</v>
      </c>
    </row>
    <row r="26" spans="2:12">
      <c r="B26" s="18" t="s">
        <v>27</v>
      </c>
      <c r="C26" s="63"/>
      <c r="D26" s="63">
        <f>Financials!E10</f>
        <v>-2.3758468275374121E-2</v>
      </c>
      <c r="E26" s="63">
        <f>Financials!F10</f>
        <v>0.71087861910370032</v>
      </c>
      <c r="F26" s="63">
        <f>Financials!G10</f>
        <v>0.46884272967881335</v>
      </c>
      <c r="G26" s="63">
        <f>Financials!H10</f>
        <v>0.36652322084667938</v>
      </c>
      <c r="H26" s="63">
        <f>Financials!I10</f>
        <v>0.27741877509164425</v>
      </c>
      <c r="I26" s="63">
        <f>Financials!J10</f>
        <v>0.26333961079723789</v>
      </c>
      <c r="J26" s="63">
        <f>Financials!K10</f>
        <v>0.24074534161490682</v>
      </c>
      <c r="K26" s="63">
        <f>Financials!L10</f>
        <v>0.31958350020024029</v>
      </c>
      <c r="L26" s="63">
        <f>Financials!M10</f>
        <v>5.5235204855842185E-2</v>
      </c>
    </row>
    <row r="28" spans="2:12" ht="15" thickBot="1">
      <c r="B28" s="1" t="s">
        <v>31</v>
      </c>
      <c r="C28" s="24">
        <f t="shared" ref="C28:L28" si="3">C19/C16</f>
        <v>7.1508711210653358E-2</v>
      </c>
      <c r="D28" s="24">
        <f t="shared" si="3"/>
        <v>6.4719263576967404E-2</v>
      </c>
      <c r="E28" s="24">
        <f t="shared" si="3"/>
        <v>0.13127923075035483</v>
      </c>
      <c r="F28" s="24">
        <f t="shared" si="3"/>
        <v>0.19964060503393241</v>
      </c>
      <c r="G28" s="24">
        <f t="shared" si="3"/>
        <v>0.23200066379188508</v>
      </c>
      <c r="H28" s="24">
        <f t="shared" si="3"/>
        <v>0.28693244739756368</v>
      </c>
      <c r="I28" s="24">
        <f t="shared" si="3"/>
        <v>0.26416614448124609</v>
      </c>
      <c r="J28" s="24">
        <f t="shared" si="3"/>
        <v>0.40876593099160707</v>
      </c>
      <c r="K28" s="24">
        <f t="shared" si="3"/>
        <v>0.30547988596769082</v>
      </c>
      <c r="L28" s="24">
        <f t="shared" si="3"/>
        <v>0.27013518118823127</v>
      </c>
    </row>
    <row r="29" spans="2:12" ht="15" thickBot="1">
      <c r="B29" s="1" t="s">
        <v>32</v>
      </c>
      <c r="C29" s="24">
        <f t="shared" ref="C29:L29" si="4">C22/C19</f>
        <v>3.4056591780369776</v>
      </c>
      <c r="D29" s="24">
        <f t="shared" si="4"/>
        <v>4.2443043687228892</v>
      </c>
      <c r="E29" s="24">
        <f t="shared" si="4"/>
        <v>2.1322338006725285</v>
      </c>
      <c r="F29" s="24">
        <f t="shared" si="4"/>
        <v>1.7076923446488148</v>
      </c>
      <c r="G29" s="24">
        <f t="shared" si="4"/>
        <v>1.6144063024005892</v>
      </c>
      <c r="H29" s="24">
        <f t="shared" si="4"/>
        <v>1.4519490544191431</v>
      </c>
      <c r="I29" s="24">
        <f t="shared" si="4"/>
        <v>1.3646221619789902</v>
      </c>
      <c r="J29" s="24">
        <f t="shared" si="4"/>
        <v>1.009125475285171</v>
      </c>
      <c r="K29" s="24">
        <f t="shared" si="4"/>
        <v>1.4272086271256741</v>
      </c>
      <c r="L29" s="24">
        <f t="shared" si="4"/>
        <v>1.5550883095037846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>
        <f>L16*(C37+1)</f>
        <v>19299.697143122583</v>
      </c>
      <c r="D36" s="21">
        <f>C36*(D37+1)</f>
        <v>21586.711287942733</v>
      </c>
      <c r="E36" s="21">
        <f>D36*(E37+1)</f>
        <v>24062.70716891257</v>
      </c>
      <c r="F36" s="21">
        <f t="shared" ref="F36:L36" si="5">E36*(F37+1)</f>
        <v>26468.97788580383</v>
      </c>
      <c r="G36" s="21">
        <f t="shared" si="5"/>
        <v>29115.875674384217</v>
      </c>
      <c r="H36" s="21">
        <f t="shared" si="5"/>
        <v>32027.463241822643</v>
      </c>
      <c r="I36" s="21">
        <f t="shared" si="5"/>
        <v>35230.209566004909</v>
      </c>
      <c r="J36" s="21">
        <f t="shared" si="5"/>
        <v>38753.230522605401</v>
      </c>
      <c r="K36" s="21">
        <f t="shared" si="5"/>
        <v>42628.553574865946</v>
      </c>
      <c r="L36" s="21">
        <f t="shared" si="5"/>
        <v>46891.408932352548</v>
      </c>
    </row>
    <row r="37" spans="2:12">
      <c r="B37" s="18" t="s">
        <v>27</v>
      </c>
      <c r="C37" s="68">
        <v>9.6199996769428253E-2</v>
      </c>
      <c r="D37" s="68">
        <v>0.1185000017285347</v>
      </c>
      <c r="E37" s="68">
        <v>0.11470000445842743</v>
      </c>
      <c r="F37" s="27">
        <f>C6</f>
        <v>0.1</v>
      </c>
      <c r="G37" s="27">
        <f>C6</f>
        <v>0.1</v>
      </c>
      <c r="H37" s="27">
        <f>C6</f>
        <v>0.1</v>
      </c>
      <c r="I37" s="27">
        <f>C6</f>
        <v>0.1</v>
      </c>
      <c r="J37" s="27">
        <f>C6</f>
        <v>0.1</v>
      </c>
      <c r="K37" s="27">
        <f>C6</f>
        <v>0.1</v>
      </c>
      <c r="L37" s="27">
        <f>C6</f>
        <v>0.1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>
        <f>C36*C7</f>
        <v>4312.7644870251779</v>
      </c>
      <c r="D39" s="21">
        <f>D36*C7</f>
        <v>4823.8270861923966</v>
      </c>
      <c r="E39" s="21">
        <f>E36*C7</f>
        <v>5377.1200744853668</v>
      </c>
      <c r="F39" s="21">
        <f>F36*C7</f>
        <v>5914.8320819339024</v>
      </c>
      <c r="G39" s="21">
        <f>G36*C7</f>
        <v>6506.3152901272942</v>
      </c>
      <c r="H39" s="21">
        <f>H36*C7</f>
        <v>7156.9468191400247</v>
      </c>
      <c r="I39" s="21">
        <f>I36*C7</f>
        <v>7872.6415010540268</v>
      </c>
      <c r="J39" s="21">
        <f>J36*C7</f>
        <v>8659.9056511594299</v>
      </c>
      <c r="K39" s="21">
        <f>K36*C7</f>
        <v>9525.8962162753742</v>
      </c>
      <c r="L39" s="21">
        <f>L36*C7</f>
        <v>10478.485837902914</v>
      </c>
    </row>
    <row r="40" spans="2:12">
      <c r="B40" s="18"/>
      <c r="C40" s="20">
        <f>(C39-L19)/L19</f>
        <v>-9.3195019548953317E-2</v>
      </c>
      <c r="D40" s="20">
        <f>(D39-C39)/C39</f>
        <v>0.11850000172852823</v>
      </c>
      <c r="E40" s="20">
        <f t="shared" ref="E40:L40" si="6">(E39-D39)/D39</f>
        <v>0.11470000445843131</v>
      </c>
      <c r="F40" s="20">
        <f t="shared" si="6"/>
        <v>9.9999999999999797E-2</v>
      </c>
      <c r="G40" s="20">
        <f t="shared" si="6"/>
        <v>0.10000000000000028</v>
      </c>
      <c r="H40" s="20">
        <f t="shared" si="6"/>
        <v>0.10000000000000016</v>
      </c>
      <c r="I40" s="20">
        <f t="shared" si="6"/>
        <v>9.999999999999995E-2</v>
      </c>
      <c r="J40" s="20">
        <f t="shared" si="6"/>
        <v>0.10000000000000006</v>
      </c>
      <c r="K40" s="20">
        <f t="shared" si="6"/>
        <v>0.10000000000000014</v>
      </c>
      <c r="L40" s="20">
        <f t="shared" si="6"/>
        <v>0.10000000000000023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>
        <f>C39*C8</f>
        <v>6241.2431736385688</v>
      </c>
      <c r="D42" s="21">
        <f>D39*C8</f>
        <v>6980.830500502906</v>
      </c>
      <c r="E42" s="21">
        <f>E39*C8</f>
        <v>7781.5317900341424</v>
      </c>
      <c r="F42" s="21">
        <f>F39*C8</f>
        <v>8559.6849690375639</v>
      </c>
      <c r="G42" s="21">
        <f>G39*C8</f>
        <v>9415.6534659413228</v>
      </c>
      <c r="H42" s="21">
        <f>H39*C8</f>
        <v>10357.218812535455</v>
      </c>
      <c r="I42" s="21">
        <f>I39*C8</f>
        <v>11392.940693789</v>
      </c>
      <c r="J42" s="21">
        <f>J39*C8</f>
        <v>12532.234763167902</v>
      </c>
      <c r="K42" s="21">
        <f>K39*C8</f>
        <v>13785.458239484693</v>
      </c>
      <c r="L42" s="21">
        <f>L39*C8</f>
        <v>15164.004063433165</v>
      </c>
    </row>
    <row r="43" spans="2:12">
      <c r="B43" s="18" t="s">
        <v>27</v>
      </c>
      <c r="C43" s="20">
        <f>(C42-L22)/L22</f>
        <v>-0.15613261578710519</v>
      </c>
      <c r="D43" s="20">
        <f>(D42-C42)/C42</f>
        <v>0.11850000172852847</v>
      </c>
      <c r="E43" s="20">
        <f t="shared" ref="E43:L43" si="7">(E42-D42)/D42</f>
        <v>0.11470000445843116</v>
      </c>
      <c r="F43" s="20">
        <f t="shared" si="7"/>
        <v>0.10000000000000092</v>
      </c>
      <c r="G43" s="20">
        <f t="shared" si="7"/>
        <v>0.1000000000000003</v>
      </c>
      <c r="H43" s="20">
        <f t="shared" si="7"/>
        <v>0.1</v>
      </c>
      <c r="I43" s="20">
        <f t="shared" si="7"/>
        <v>9.9999999999999936E-2</v>
      </c>
      <c r="J43" s="20">
        <f t="shared" si="7"/>
        <v>0.10000000000000021</v>
      </c>
      <c r="K43" s="20">
        <f t="shared" si="7"/>
        <v>0.10000000000000005</v>
      </c>
      <c r="L43" s="20">
        <f t="shared" si="7"/>
        <v>0.10000000000000023</v>
      </c>
    </row>
    <row r="45" spans="2:12">
      <c r="B45" s="18" t="s">
        <v>47</v>
      </c>
      <c r="C45" s="60">
        <v>9495</v>
      </c>
      <c r="D45" s="60">
        <v>10591</v>
      </c>
      <c r="E45" s="60">
        <v>11827</v>
      </c>
      <c r="F45" s="21">
        <f t="shared" ref="F45:L45" si="8">E45*(1+F46)</f>
        <v>13601.05</v>
      </c>
      <c r="G45" s="21">
        <f t="shared" si="8"/>
        <v>15641.207499999999</v>
      </c>
      <c r="H45" s="21">
        <f t="shared" si="8"/>
        <v>17987.388624999996</v>
      </c>
      <c r="I45" s="21">
        <f t="shared" si="8"/>
        <v>20685.496918749996</v>
      </c>
      <c r="J45" s="21">
        <f t="shared" si="8"/>
        <v>23788.321456562491</v>
      </c>
      <c r="K45" s="21">
        <f t="shared" si="8"/>
        <v>27356.569675046863</v>
      </c>
      <c r="L45" s="21">
        <f t="shared" si="8"/>
        <v>31460.055126303891</v>
      </c>
    </row>
    <row r="46" spans="2:12">
      <c r="B46" s="18" t="s">
        <v>27</v>
      </c>
      <c r="C46" s="20">
        <f>C10</f>
        <v>0.15</v>
      </c>
      <c r="D46" s="20">
        <f>C10</f>
        <v>0.15</v>
      </c>
      <c r="E46" s="20">
        <f>C10</f>
        <v>0.15</v>
      </c>
      <c r="F46" s="20">
        <f>C10</f>
        <v>0.15</v>
      </c>
      <c r="G46" s="20">
        <f>C10</f>
        <v>0.15</v>
      </c>
      <c r="H46" s="20">
        <f>C10</f>
        <v>0.15</v>
      </c>
      <c r="I46" s="20">
        <f>C10</f>
        <v>0.15</v>
      </c>
      <c r="J46" s="20">
        <f>C10</f>
        <v>0.15</v>
      </c>
      <c r="K46" s="20">
        <f>C10</f>
        <v>0.15</v>
      </c>
      <c r="L46" s="20">
        <f>C10</f>
        <v>0.15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>
        <f>POWER((1+C4),1)</f>
        <v>1.1370709242687722</v>
      </c>
      <c r="D51" s="61">
        <f>POWER((1+C4),2)</f>
        <v>1.2929302868174399</v>
      </c>
      <c r="E51" s="61">
        <f>POWER((1+C4),3)</f>
        <v>1.4701534362465951</v>
      </c>
      <c r="F51" s="61">
        <f>POWER((1+C4),4)</f>
        <v>1.6716687265698273</v>
      </c>
      <c r="G51" s="61">
        <f>POWER((1+C4),5)</f>
        <v>1.9008059039919551</v>
      </c>
      <c r="H51" s="61">
        <f>POWER((1+C4),6)</f>
        <v>2.1613511261076717</v>
      </c>
      <c r="I51" s="61">
        <f>POWER((1+C4),7)</f>
        <v>2.4576095226326018</v>
      </c>
      <c r="J51" s="61">
        <f>POWER((1+C4),8)</f>
        <v>2.7944763313915884</v>
      </c>
      <c r="K51" s="61">
        <f>POWER((1+C4),9)</f>
        <v>3.177517784982641</v>
      </c>
      <c r="L51" s="61">
        <f>POWER((1+C4),10)</f>
        <v>3.6130630846506735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>
        <f t="shared" ref="C53:L53" si="9">C42/C51</f>
        <v>5488.8776420452414</v>
      </c>
      <c r="D53" s="21">
        <f t="shared" si="9"/>
        <v>5399.2319397871706</v>
      </c>
      <c r="E53" s="21">
        <f t="shared" si="9"/>
        <v>5293.0065652881176</v>
      </c>
      <c r="F53" s="21">
        <f t="shared" si="9"/>
        <v>5120.4433228834569</v>
      </c>
      <c r="G53" s="21">
        <f t="shared" si="9"/>
        <v>4953.5060082500531</v>
      </c>
      <c r="H53" s="21">
        <f t="shared" si="9"/>
        <v>4792.0112042079609</v>
      </c>
      <c r="I53" s="21">
        <f t="shared" si="9"/>
        <v>4635.7814733663763</v>
      </c>
      <c r="J53" s="21">
        <f t="shared" si="9"/>
        <v>4484.6451631698455</v>
      </c>
      <c r="K53" s="21">
        <f t="shared" si="9"/>
        <v>4338.4362173003556</v>
      </c>
      <c r="L53" s="21">
        <f t="shared" si="9"/>
        <v>4196.9939932281277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>
        <f>POWER((1+C4),11)</f>
        <v>4.1083089811051225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>
        <f>L53*(1+C5)/(C4-C5)</f>
        <v>38385.68184502361</v>
      </c>
    </row>
    <row r="60" spans="2:12" ht="15" thickBot="1">
      <c r="B60" s="5" t="s">
        <v>41</v>
      </c>
      <c r="C60" s="23">
        <f>C59/C55</f>
        <v>9343.4262178347599</v>
      </c>
    </row>
    <row r="61" spans="2:12" ht="15" thickTop="1"/>
    <row r="62" spans="2:12" ht="14.5" customHeight="1" thickBot="1">
      <c r="B62" s="3" t="s">
        <v>43</v>
      </c>
      <c r="C62" s="71">
        <f>(SUM(C53:L53)+C59)</f>
        <v>87088.615374550311</v>
      </c>
    </row>
    <row r="63" spans="2:12" ht="15" thickTop="1">
      <c r="F63" s="9"/>
    </row>
    <row r="64" spans="2:12" ht="18.5">
      <c r="B64" s="69" t="s">
        <v>42</v>
      </c>
      <c r="C64" s="70">
        <f>C62/(C11/1000000)</f>
        <v>189.85963674416899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>
        <f>L45*C9</f>
        <v>408980.7166419506</v>
      </c>
    </row>
    <row r="70" spans="2:12" ht="15" thickBot="1">
      <c r="B70" s="5" t="s">
        <v>41</v>
      </c>
      <c r="C70" s="23">
        <f>C69/C55</f>
        <v>99549.648900053289</v>
      </c>
    </row>
    <row r="71" spans="2:12" ht="15" thickTop="1">
      <c r="B71" s="18"/>
      <c r="C71" s="28"/>
    </row>
    <row r="72" spans="2:12" ht="20" thickBot="1">
      <c r="B72" s="3" t="s">
        <v>43</v>
      </c>
      <c r="C72" s="72">
        <f>SUM(C53:L53)+C70</f>
        <v>148252.58242957998</v>
      </c>
    </row>
    <row r="73" spans="2:12" ht="15" thickTop="1"/>
    <row r="74" spans="2:12" ht="18.5">
      <c r="B74" s="69" t="s">
        <v>42</v>
      </c>
      <c r="C74" s="70">
        <f>C72/(C11/1000000)</f>
        <v>323.20161855151514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tabSelected="1" workbookViewId="0">
      <selection activeCell="E21" sqref="E21"/>
    </sheetView>
  </sheetViews>
  <sheetFormatPr defaultRowHeight="14.5"/>
  <cols>
    <col min="2" max="2" width="29.90625" customWidth="1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>
        <v>15.399999618530273</v>
      </c>
    </row>
    <row r="16" spans="2:3">
      <c r="B16" s="18" t="s">
        <v>111</v>
      </c>
      <c r="C16">
        <v>7</v>
      </c>
    </row>
    <row r="17" spans="2:5">
      <c r="B17" s="18" t="s">
        <v>154</v>
      </c>
      <c r="C17" s="78">
        <v>12</v>
      </c>
    </row>
    <row r="18" spans="2:5">
      <c r="B18" s="18" t="s">
        <v>108</v>
      </c>
      <c r="C18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>
        <f>(C15*(C16+C17)*4.4)/C18</f>
        <v>291.27601088441872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28" sqref="P28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120</v>
      </c>
      <c r="C2" s="117">
        <v>0.10000000149011612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>
        <f>C2</f>
        <v>0.10000000149011612</v>
      </c>
    </row>
    <row r="7" spans="2:16" ht="15" thickBot="1">
      <c r="B7" s="89" t="s">
        <v>121</v>
      </c>
      <c r="C7" s="90">
        <f>P6*(1+P7)</f>
        <v>0.10010000149635612</v>
      </c>
      <c r="D7" s="90">
        <f>C7*(1+P7)</f>
        <v>0.10020010150260711</v>
      </c>
      <c r="E7" s="90">
        <f>D7*(1+P7)</f>
        <v>0.10030030160886912</v>
      </c>
      <c r="F7" s="90">
        <f>E7*(1+P7)</f>
        <v>0.10040060191524214</v>
      </c>
      <c r="G7" s="90">
        <f>F7*(1+P7)</f>
        <v>0.10050100252192627</v>
      </c>
      <c r="H7" s="90">
        <f>G7*(1+P7)</f>
        <v>0.10060150352922172</v>
      </c>
      <c r="I7" s="90">
        <f>H7*(1+P7)</f>
        <v>0.1007021050375298</v>
      </c>
      <c r="J7" s="90">
        <f>I7*(1+P7)</f>
        <v>0.10080280714735088</v>
      </c>
      <c r="K7" s="90">
        <f>J7*(1+P7)</f>
        <v>0.10090360995928649</v>
      </c>
      <c r="L7" s="90">
        <f>K7*(1+P7)</f>
        <v>0.10100451357403821</v>
      </c>
      <c r="M7" s="159">
        <f>L7*(1+P7)/(P8-P7)</f>
        <v>0.74303543296284835</v>
      </c>
      <c r="N7" s="160"/>
      <c r="O7" s="88" t="s">
        <v>122</v>
      </c>
      <c r="P7" s="104">
        <v>1.0000000474974513E-3</v>
      </c>
    </row>
    <row r="8" spans="2:16" ht="15" thickBot="1">
      <c r="B8" s="89" t="s">
        <v>123</v>
      </c>
      <c r="C8" s="90">
        <f>C7/(1+P8)</f>
        <v>8.8033208272147598E-2</v>
      </c>
      <c r="D8" s="90">
        <f>D7/(1+P8)^2</f>
        <v>7.7498456432055968E-2</v>
      </c>
      <c r="E8" s="90">
        <f>E7/(1+P8)^3</f>
        <v>6.8224376541908702E-2</v>
      </c>
      <c r="F8" s="90">
        <f>F7/(1+P8)^4</f>
        <v>6.0060106598547415E-2</v>
      </c>
      <c r="G8" s="90">
        <f>G7/(1+P8)^5</f>
        <v>5.2872837942506253E-2</v>
      </c>
      <c r="H8" s="90">
        <f>H7/(1+P8)^6</f>
        <v>4.6545654851737603E-2</v>
      </c>
      <c r="I8" s="90">
        <f>I7/(1+P8)^7</f>
        <v>4.0975632666680729E-2</v>
      </c>
      <c r="J8" s="90">
        <f>J7/(1+P8)^8</f>
        <v>3.6072163508772084E-2</v>
      </c>
      <c r="K8" s="90">
        <f>K7/(1+P8)^9</f>
        <v>3.1755482356753281E-2</v>
      </c>
      <c r="L8" s="90">
        <f>L7/(1+P8)^10</f>
        <v>2.7955369504378207E-2</v>
      </c>
      <c r="M8" s="159">
        <f>M7/POWER((1+P8),10)</f>
        <v>0.20565249361946544</v>
      </c>
      <c r="N8" s="160"/>
      <c r="O8" s="91" t="s">
        <v>124</v>
      </c>
      <c r="P8" s="105">
        <f>WACC!$C$25</f>
        <v>0.13707092426877232</v>
      </c>
    </row>
    <row r="9" spans="2:16">
      <c r="B9" s="92"/>
      <c r="N9" s="93"/>
    </row>
    <row r="10" spans="2:16" ht="20" thickBot="1">
      <c r="B10" s="94" t="s">
        <v>125</v>
      </c>
      <c r="C10" s="95">
        <f>SUM(C8:N8)*(1-P9)</f>
        <v>0.73564578229495303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>
        <f>C2</f>
        <v>0.10000000149011612</v>
      </c>
    </row>
    <row r="16" spans="2:16" ht="15" thickBot="1">
      <c r="B16" s="89" t="s">
        <v>121</v>
      </c>
      <c r="C16" s="90">
        <f>P15*(1+P16)</f>
        <v>0.10010000149635612</v>
      </c>
      <c r="D16" s="90">
        <f>C16*(1+P16)</f>
        <v>0.10020010150260711</v>
      </c>
      <c r="E16" s="90">
        <f>D16*(1+P16)</f>
        <v>0.10030030160886912</v>
      </c>
      <c r="F16" s="90">
        <f>E16*(1+P16)</f>
        <v>0.10040060191524214</v>
      </c>
      <c r="G16" s="90">
        <f>F16*(1+P16)</f>
        <v>0.10050100252192627</v>
      </c>
      <c r="H16" s="90">
        <f>G16*(1+P16)</f>
        <v>0.10060150352922172</v>
      </c>
      <c r="I16" s="90">
        <f>H16*(1+P16)</f>
        <v>0.1007021050375298</v>
      </c>
      <c r="J16" s="90">
        <f>I16*(1+P16)</f>
        <v>0.10080280714735088</v>
      </c>
      <c r="K16" s="90">
        <f>J16*(1+P16)</f>
        <v>0.10090360995928649</v>
      </c>
      <c r="L16" s="90">
        <f>K16*(1+P16)</f>
        <v>0.10100451357403821</v>
      </c>
      <c r="M16" s="159">
        <f>L16*(1+P16)/(P17-P16)</f>
        <v>0.74303543296284835</v>
      </c>
      <c r="N16" s="160"/>
      <c r="O16" s="88" t="s">
        <v>122</v>
      </c>
      <c r="P16" s="104">
        <v>1.0000000474974513E-3</v>
      </c>
    </row>
    <row r="17" spans="2:16" ht="15" thickBot="1">
      <c r="B17" s="89" t="s">
        <v>123</v>
      </c>
      <c r="C17" s="90">
        <f>C16/(1+P17)</f>
        <v>8.8033208272147598E-2</v>
      </c>
      <c r="D17" s="90">
        <f>D16/(1+P17)^2</f>
        <v>7.7498456432055968E-2</v>
      </c>
      <c r="E17" s="90">
        <f>E16/(1+P17)^3</f>
        <v>6.8224376541908702E-2</v>
      </c>
      <c r="F17" s="90">
        <f>F16/(1+P17)^4</f>
        <v>6.0060106598547415E-2</v>
      </c>
      <c r="G17" s="90">
        <f>G16/(1+P17)^5</f>
        <v>5.2872837942506253E-2</v>
      </c>
      <c r="H17" s="90">
        <f>H16/(1+P17)^6</f>
        <v>4.6545654851737603E-2</v>
      </c>
      <c r="I17" s="90">
        <f>I16/(1+P17)^7</f>
        <v>4.0975632666680729E-2</v>
      </c>
      <c r="J17" s="90">
        <f>J16/(1+P17)^8</f>
        <v>3.6072163508772084E-2</v>
      </c>
      <c r="K17" s="90">
        <f>K16/(1+P17)^9</f>
        <v>3.1755482356753281E-2</v>
      </c>
      <c r="L17" s="90">
        <f>L16/(1+P17)^10</f>
        <v>2.7955369504378207E-2</v>
      </c>
      <c r="M17" s="159">
        <f>M16/POWER((1+P17),10)</f>
        <v>0.20565249361946544</v>
      </c>
      <c r="N17" s="160"/>
      <c r="O17" s="91" t="s">
        <v>124</v>
      </c>
      <c r="P17" s="105">
        <f>WACC!$C$25</f>
        <v>0.13707092426877232</v>
      </c>
    </row>
    <row r="18" spans="2:16">
      <c r="B18" s="92"/>
      <c r="N18" s="93"/>
    </row>
    <row r="19" spans="2:16" ht="20" thickBot="1">
      <c r="B19" s="94" t="s">
        <v>125</v>
      </c>
      <c r="C19" s="95">
        <f>SUM(C17:N17)*(1-P18)</f>
        <v>0.73564578229495303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>
        <f>C2</f>
        <v>0.10000000149011612</v>
      </c>
    </row>
    <row r="25" spans="2:16" ht="15" thickBot="1">
      <c r="B25" s="89" t="s">
        <v>121</v>
      </c>
      <c r="C25" s="90">
        <f>P24*(1+P25)</f>
        <v>0.10010000149635612</v>
      </c>
      <c r="D25" s="90">
        <f>C25*(1+P25)</f>
        <v>0.10020010150260711</v>
      </c>
      <c r="E25" s="90">
        <f>D25*(1+P25)</f>
        <v>0.10030030160886912</v>
      </c>
      <c r="F25" s="90">
        <f>E25*(1+P25)</f>
        <v>0.10040060191524214</v>
      </c>
      <c r="G25" s="90">
        <f>F25*(1+P25)</f>
        <v>0.10050100252192627</v>
      </c>
      <c r="H25" s="90">
        <f>G25*(1+P25)</f>
        <v>0.10060150352922172</v>
      </c>
      <c r="I25" s="90">
        <f>H25*(1+P25)</f>
        <v>0.1007021050375298</v>
      </c>
      <c r="J25" s="90">
        <f>I25*(1+P25)</f>
        <v>0.10080280714735088</v>
      </c>
      <c r="K25" s="90">
        <f>J25*(1+P25)</f>
        <v>0.10090360995928649</v>
      </c>
      <c r="L25" s="90">
        <f>K25*(1+P25)</f>
        <v>0.10100451357403821</v>
      </c>
      <c r="M25" s="159">
        <f>L25*(1+P25)/(P26-P25)</f>
        <v>0.74303543296284835</v>
      </c>
      <c r="N25" s="160"/>
      <c r="O25" s="88" t="s">
        <v>122</v>
      </c>
      <c r="P25" s="104">
        <v>1.0000000474974513E-3</v>
      </c>
    </row>
    <row r="26" spans="2:16" ht="15" thickBot="1">
      <c r="B26" s="89" t="s">
        <v>123</v>
      </c>
      <c r="C26" s="90">
        <f>C25/(1+P26)</f>
        <v>8.8033208272147598E-2</v>
      </c>
      <c r="D26" s="90">
        <f>D25/(1+P26)^2</f>
        <v>7.7498456432055968E-2</v>
      </c>
      <c r="E26" s="90">
        <f>E25/(1+P26)^3</f>
        <v>6.8224376541908702E-2</v>
      </c>
      <c r="F26" s="90">
        <f>F25/(1+P26)^4</f>
        <v>6.0060106598547415E-2</v>
      </c>
      <c r="G26" s="90">
        <f>G25/(1+P26)^5</f>
        <v>5.2872837942506253E-2</v>
      </c>
      <c r="H26" s="90">
        <f>H25/(1+P26)^6</f>
        <v>4.6545654851737603E-2</v>
      </c>
      <c r="I26" s="90">
        <f>I25/(1+P26)^7</f>
        <v>4.0975632666680729E-2</v>
      </c>
      <c r="J26" s="90">
        <f>J25/(1+P26)^8</f>
        <v>3.6072163508772084E-2</v>
      </c>
      <c r="K26" s="90">
        <f>K25/(1+P26)^9</f>
        <v>3.1755482356753281E-2</v>
      </c>
      <c r="L26" s="90">
        <f>L25/(1+P26)^10</f>
        <v>2.7955369504378207E-2</v>
      </c>
      <c r="M26" s="159">
        <f>M25/POWER((1+P26),10)</f>
        <v>0.20565249361946544</v>
      </c>
      <c r="N26" s="160"/>
      <c r="O26" s="91" t="s">
        <v>124</v>
      </c>
      <c r="P26" s="105">
        <f>WACC!$C$25</f>
        <v>0.13707092426877232</v>
      </c>
    </row>
    <row r="27" spans="2:16">
      <c r="B27" s="92"/>
      <c r="N27" s="93"/>
    </row>
    <row r="28" spans="2:16" ht="20" thickBot="1">
      <c r="B28" s="94" t="s">
        <v>125</v>
      </c>
      <c r="C28" s="95">
        <f>SUM(C26:N26)*(1-P27)</f>
        <v>0.73564578229495303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width="62.26953125" bestFit="1" customWidth="1"/>
    <col min="3" max="3" width="10" style="110" bestFit="1" customWidth="1"/>
    <col min="4" max="4" width="13.26953125" style="110" bestFit="1" customWidth="1"/>
    <col min="5" max="11" width="11.26953125" style="110" bestFit="1" customWidth="1"/>
    <col min="12" max="13" width="11.6328125" style="110" bestFit="1" customWidth="1"/>
    <col min="19" max="19" width="11.7265625" customWidth="1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>
        <v>4403.6767578125</v>
      </c>
      <c r="D3" s="110">
        <v>4055.239990234375</v>
      </c>
      <c r="E3" s="110">
        <v>4147.06494140625</v>
      </c>
      <c r="F3" s="110">
        <v>4795.51123046875</v>
      </c>
      <c r="G3" s="110">
        <v>5854.43017578125</v>
      </c>
      <c r="H3" s="110">
        <v>7301.5048828125</v>
      </c>
      <c r="I3" s="110">
        <v>9030</v>
      </c>
      <c r="J3" s="110">
        <v>11171</v>
      </c>
      <c r="K3" s="110">
        <v>12868</v>
      </c>
      <c r="L3" s="110">
        <v>15785</v>
      </c>
      <c r="M3" s="110">
        <v>17606</v>
      </c>
      <c r="Q3" s="107"/>
    </row>
    <row r="4" spans="2:17">
      <c r="B4" s="18" t="s">
        <v>27</v>
      </c>
      <c r="C4" s="113"/>
      <c r="D4" s="121">
        <f t="shared" ref="D4:M4" si="0">(D3-C3)/C3</f>
        <v>-7.9124056269563453E-2</v>
      </c>
      <c r="E4" s="121">
        <f t="shared" si="0"/>
        <v>2.2643530689429755E-2</v>
      </c>
      <c r="F4" s="121">
        <f t="shared" si="0"/>
        <v>0.15636270427986473</v>
      </c>
      <c r="G4" s="121">
        <f t="shared" si="0"/>
        <v>0.22081461066852578</v>
      </c>
      <c r="H4" s="121">
        <f t="shared" si="0"/>
        <v>0.2471760126233197</v>
      </c>
      <c r="I4" s="121">
        <f t="shared" si="0"/>
        <v>0.23673135126654782</v>
      </c>
      <c r="J4" s="121">
        <f t="shared" si="0"/>
        <v>0.23709856035437432</v>
      </c>
      <c r="K4" s="121">
        <f t="shared" si="0"/>
        <v>0.151911198639334</v>
      </c>
      <c r="L4" s="121">
        <f t="shared" si="0"/>
        <v>0.22668635374572582</v>
      </c>
      <c r="M4" s="121">
        <f t="shared" si="0"/>
        <v>0.11536268609439342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>
        <v>832.7750244140625</v>
      </c>
      <c r="D6" s="110">
        <v>289.9849853515625</v>
      </c>
      <c r="E6" s="110">
        <v>268.39498901367188</v>
      </c>
      <c r="F6" s="110">
        <v>629.551025390625</v>
      </c>
      <c r="G6" s="110">
        <v>1168.781982421875</v>
      </c>
      <c r="H6" s="110">
        <v>1693.9539794921875</v>
      </c>
      <c r="I6" s="110">
        <v>2591</v>
      </c>
      <c r="J6" s="110">
        <v>2951</v>
      </c>
      <c r="K6" s="110">
        <v>5260</v>
      </c>
      <c r="L6" s="110">
        <v>4822</v>
      </c>
      <c r="M6" s="110">
        <v>4756</v>
      </c>
      <c r="Q6" s="107"/>
    </row>
    <row r="7" spans="2:17">
      <c r="B7" s="18" t="s">
        <v>27</v>
      </c>
      <c r="C7" s="113"/>
      <c r="D7" s="121">
        <f t="shared" ref="D7" si="1">(D6-C6)/C6</f>
        <v>-0.65178472354451888</v>
      </c>
      <c r="E7" s="121">
        <f t="shared" ref="E7" si="2">(E6-D6)/D6</f>
        <v>-7.4452117966438816E-2</v>
      </c>
      <c r="F7" s="121">
        <f t="shared" ref="F7" si="3">(F6-E6)/E6</f>
        <v>1.3456139315572533</v>
      </c>
      <c r="G7" s="121">
        <f t="shared" ref="G7" si="4">(G6-F6)/F6</f>
        <v>0.85653256889966456</v>
      </c>
      <c r="H7" s="121">
        <f t="shared" ref="H7" si="5">(H6-G6)/G6</f>
        <v>0.44933272840336147</v>
      </c>
      <c r="I7" s="121">
        <f t="shared" ref="I7" si="6">(I6-H6)/H6</f>
        <v>0.52955749174291478</v>
      </c>
      <c r="J7" s="121">
        <f t="shared" ref="J7" si="7">(J6-I6)/I6</f>
        <v>0.13894249324585103</v>
      </c>
      <c r="K7" s="121">
        <f t="shared" ref="K7" si="8">(K6-J6)/J6</f>
        <v>0.78244662826160627</v>
      </c>
      <c r="L7" s="121">
        <f t="shared" ref="L7" si="9">(L6-K6)/K6</f>
        <v>-8.3269961977186308E-2</v>
      </c>
      <c r="M7" s="121">
        <f t="shared" ref="M7" si="10">(M6-L6)/L6</f>
        <v>-1.3687266694317711E-2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>
        <v>1479.95703125</v>
      </c>
      <c r="D9" s="110">
        <v>743.94989013671875</v>
      </c>
      <c r="E9" s="110">
        <v>726.2747802734375</v>
      </c>
      <c r="F9" s="110">
        <v>1242.5679931640625</v>
      </c>
      <c r="G9" s="110">
        <v>1825.136962890625</v>
      </c>
      <c r="H9" s="110">
        <v>2494.092041015625</v>
      </c>
      <c r="I9" s="110">
        <v>3186</v>
      </c>
      <c r="J9" s="110">
        <v>4025</v>
      </c>
      <c r="K9" s="110">
        <v>4994</v>
      </c>
      <c r="L9" s="110">
        <v>6590</v>
      </c>
      <c r="M9" s="110">
        <v>6954</v>
      </c>
      <c r="Q9" s="107"/>
    </row>
    <row r="10" spans="2:17">
      <c r="B10" s="18" t="s">
        <v>27</v>
      </c>
      <c r="C10" s="113"/>
      <c r="D10" s="121">
        <f t="shared" ref="D10" si="11">(D9-C9)/C9</f>
        <v>-0.4973165609353099</v>
      </c>
      <c r="E10" s="121">
        <f t="shared" ref="E10" si="12">(E9-D9)/D9</f>
        <v>-2.3758468275374121E-2</v>
      </c>
      <c r="F10" s="121">
        <f t="shared" ref="F10" si="13">(F9-E9)/E9</f>
        <v>0.71087861910370032</v>
      </c>
      <c r="G10" s="121">
        <f t="shared" ref="G10" si="14">(G9-F9)/F9</f>
        <v>0.46884272967881335</v>
      </c>
      <c r="H10" s="121">
        <f t="shared" ref="H10" si="15">(H9-G9)/G9</f>
        <v>0.36652322084667938</v>
      </c>
      <c r="I10" s="121">
        <f t="shared" ref="I10" si="16">(I9-H9)/H9</f>
        <v>0.27741877509164425</v>
      </c>
      <c r="J10" s="121">
        <f t="shared" ref="J10" si="17">(J9-I9)/I9</f>
        <v>0.26333961079723789</v>
      </c>
      <c r="K10" s="121">
        <f t="shared" ref="K10" si="18">(K9-J9)/J9</f>
        <v>0.24074534161490682</v>
      </c>
      <c r="L10" s="121">
        <f t="shared" ref="L10" si="19">(L9-K9)/K9</f>
        <v>0.31958350020024029</v>
      </c>
      <c r="M10" s="121">
        <f t="shared" ref="M10" si="20">(M9-L9)/L9</f>
        <v>5.5235204855842185E-2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>
        <v>502.72100830078125</v>
      </c>
      <c r="D12" s="110">
        <v>513.47601318359375</v>
      </c>
      <c r="E12" s="110">
        <v>508.48001098632813</v>
      </c>
      <c r="F12" s="110">
        <v>507.16400146484375</v>
      </c>
      <c r="G12" s="110">
        <v>504.29901123046875</v>
      </c>
      <c r="H12" s="110">
        <v>501.12298583984375</v>
      </c>
      <c r="I12" s="110">
        <v>498</v>
      </c>
      <c r="J12" s="110">
        <v>492</v>
      </c>
      <c r="K12" s="110">
        <v>485</v>
      </c>
      <c r="L12" s="110">
        <v>481</v>
      </c>
      <c r="M12" s="110">
        <v>471</v>
      </c>
      <c r="Q12" s="107"/>
    </row>
    <row r="13" spans="2:17">
      <c r="B13" s="18" t="s">
        <v>27</v>
      </c>
      <c r="C13" s="113"/>
      <c r="D13" s="121">
        <f t="shared" ref="D13" si="21">(D12-C12)/C12</f>
        <v>2.1393585518068733E-2</v>
      </c>
      <c r="E13" s="121">
        <f t="shared" ref="E13" si="22">(E12-D12)/D12</f>
        <v>-9.7297674457858321E-3</v>
      </c>
      <c r="F13" s="121">
        <f t="shared" ref="F13" si="23">(F12-E12)/E12</f>
        <v>-2.5881243963388856E-3</v>
      </c>
      <c r="G13" s="121">
        <f t="shared" ref="G13" si="24">(G12-F12)/F12</f>
        <v>-5.6490409928544542E-3</v>
      </c>
      <c r="H13" s="121">
        <f t="shared" ref="H13" si="25">(H12-G12)/G12</f>
        <v>-6.2979012845486805E-3</v>
      </c>
      <c r="I13" s="121">
        <f t="shared" ref="I13" si="26">(I12-H12)/H12</f>
        <v>-6.2319748406867896E-3</v>
      </c>
      <c r="J13" s="121">
        <f t="shared" ref="J13" si="27">(J12-I12)/I12</f>
        <v>-1.2048192771084338E-2</v>
      </c>
      <c r="K13" s="121">
        <f t="shared" ref="K13" si="28">(K12-J12)/J12</f>
        <v>-1.4227642276422764E-2</v>
      </c>
      <c r="L13" s="121">
        <f t="shared" ref="L13" si="29">(L12-K12)/K12</f>
        <v>-8.2474226804123713E-3</v>
      </c>
      <c r="M13" s="121">
        <f t="shared" ref="M13" si="30">(M12-L12)/L12</f>
        <v>-2.0790020790020791E-2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>
        <v>1.6599999666213989</v>
      </c>
      <c r="D15" s="110">
        <v>0.56000000238418579</v>
      </c>
      <c r="E15" s="110">
        <v>0.52999997138977051</v>
      </c>
      <c r="F15" s="110">
        <v>1.2400000095367432</v>
      </c>
      <c r="G15" s="110">
        <v>2.3199999332427979</v>
      </c>
      <c r="H15" s="110">
        <v>3.380000114440918</v>
      </c>
      <c r="I15" s="110">
        <v>5.1999998092651367</v>
      </c>
      <c r="J15" s="110">
        <v>6</v>
      </c>
      <c r="K15" s="110">
        <v>10.829999923706055</v>
      </c>
      <c r="L15" s="110">
        <v>10.020000457763672</v>
      </c>
      <c r="M15" s="110">
        <v>10.100000381469727</v>
      </c>
      <c r="Q15" s="107"/>
    </row>
    <row r="16" spans="2:17">
      <c r="B16" s="18" t="s">
        <v>27</v>
      </c>
      <c r="D16" s="121">
        <f t="shared" ref="D16" si="31">(D15-C15)/C15</f>
        <v>-0.66265059419009587</v>
      </c>
      <c r="E16" s="121">
        <f t="shared" ref="E16" si="32">(E15-D15)/D15</f>
        <v>-5.3571483690519499E-2</v>
      </c>
      <c r="F16" s="121">
        <f t="shared" ref="F16" si="33">(F15-E15)/E15</f>
        <v>1.339622785799788</v>
      </c>
      <c r="G16" s="121">
        <f t="shared" ref="G16" si="34">(G15-F15)/F15</f>
        <v>0.87096767370956274</v>
      </c>
      <c r="H16" s="121">
        <f t="shared" ref="H16" si="35">(H15-G15)/G15</f>
        <v>0.45689664297381921</v>
      </c>
      <c r="I16" s="121">
        <f t="shared" ref="I16" si="36">(I15-H15)/H15</f>
        <v>0.53846142994147883</v>
      </c>
      <c r="J16" s="121">
        <f t="shared" ref="J16" si="37">(J15-I15)/I15</f>
        <v>0.15384619616897993</v>
      </c>
      <c r="K16" s="121">
        <f t="shared" ref="K16" si="38">(K15-J15)/J15</f>
        <v>0.80499998728434163</v>
      </c>
      <c r="L16" s="121">
        <f t="shared" ref="L16" si="39">(L15-K15)/K15</f>
        <v>-7.4792194981400856E-2</v>
      </c>
      <c r="M16" s="121">
        <f t="shared" ref="M16" si="40">(M15-L15)/L15</f>
        <v>7.9840239572114124E-3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>
        <v>1228.5</v>
      </c>
      <c r="D20" s="128">
        <v>987.59002685546875</v>
      </c>
      <c r="E20" s="128">
        <v>1139.1500244140625</v>
      </c>
      <c r="F20" s="128">
        <v>1342.3499755859375</v>
      </c>
      <c r="G20" s="128">
        <v>1995.9200439453125</v>
      </c>
      <c r="H20" s="128">
        <v>2734.72998046875</v>
      </c>
      <c r="I20" s="128">
        <v>3762</v>
      </c>
      <c r="J20" s="128">
        <v>4027</v>
      </c>
      <c r="K20" s="128">
        <v>5308</v>
      </c>
      <c r="L20" s="128">
        <v>6882</v>
      </c>
      <c r="M20" s="128">
        <v>7396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D21" s="129"/>
      <c r="E21" s="131">
        <f t="shared" ref="E21" si="41">(E20-D20)/D20</f>
        <v>0.15346448772996205</v>
      </c>
      <c r="F21" s="131">
        <f t="shared" ref="F21" si="42">(F20-E20)/E20</f>
        <v>0.17837856894783824</v>
      </c>
      <c r="G21" s="131">
        <f t="shared" ref="G21" si="43">(G20-F20)/F20</f>
        <v>0.48688500036966115</v>
      </c>
      <c r="H21" s="131">
        <f t="shared" ref="H21" si="44">(H20-G20)/G20</f>
        <v>0.37016008670519773</v>
      </c>
      <c r="I21" s="131">
        <f t="shared" ref="I21" si="45">(I20-H20)/H20</f>
        <v>0.37563855549467062</v>
      </c>
      <c r="J21" s="131">
        <f t="shared" ref="J21" si="46">(J20-I20)/I20</f>
        <v>7.0441254651780971E-2</v>
      </c>
      <c r="K21" s="131">
        <f t="shared" ref="K21" si="47">(K20-J20)/J20</f>
        <v>0.31810280605910107</v>
      </c>
      <c r="L21" s="131">
        <f t="shared" ref="L21" si="48">(L20-K20)/K20</f>
        <v>0.29653353428786738</v>
      </c>
      <c r="M21" s="131">
        <f t="shared" ref="M21" si="49">(M20-L20)/L20</f>
        <v>7.4687590816623073E-2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>
        <v>0.10000000149011612</v>
      </c>
      <c r="D23" s="130">
        <v>0.10000000149011612</v>
      </c>
      <c r="E23" s="130">
        <v>0.10000000149011612</v>
      </c>
      <c r="F23" s="130">
        <v>0.10000000149011612</v>
      </c>
      <c r="G23" s="130">
        <v>0.10000000149011612</v>
      </c>
      <c r="H23" s="130">
        <v>0.10000000149011612</v>
      </c>
      <c r="I23" s="130">
        <v>0.10000000149011612</v>
      </c>
      <c r="J23" s="130">
        <v>0.10000000149011612</v>
      </c>
      <c r="K23" s="130">
        <v>0.10000000149011612</v>
      </c>
      <c r="L23" s="130">
        <v>0.10000000149011612</v>
      </c>
      <c r="M23" s="130">
        <v>0.10000000149011612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>
        <f t="shared" ref="D24" si="50">(D23-C23)/C23</f>
        <v>0</v>
      </c>
      <c r="E24" s="121">
        <f t="shared" ref="E24" si="51">(E23-D23)/D23</f>
        <v>0</v>
      </c>
      <c r="F24" s="121">
        <f t="shared" ref="F24" si="52">(F23-E23)/E23</f>
        <v>0</v>
      </c>
      <c r="G24" s="121">
        <f t="shared" ref="G24" si="53">(G23-F23)/F23</f>
        <v>0</v>
      </c>
      <c r="H24" s="121">
        <f t="shared" ref="H24" si="54">(H23-G23)/G23</f>
        <v>0</v>
      </c>
      <c r="I24" s="121">
        <f t="shared" ref="I24" si="55">(I23-H23)/H23</f>
        <v>0</v>
      </c>
      <c r="J24" s="121">
        <f t="shared" ref="J24" si="56">(J23-I23)/I23</f>
        <v>0</v>
      </c>
      <c r="K24" s="121">
        <f t="shared" ref="K24" si="57">(K23-J23)/J23</f>
        <v>0</v>
      </c>
      <c r="L24" s="121">
        <f t="shared" ref="L24" si="58">(L23-K23)/K23</f>
        <v>0</v>
      </c>
      <c r="M24" s="121">
        <f t="shared" ref="M24" si="59">(M23-L23)/L23</f>
        <v>0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>
        <v>4397.06591796875</v>
      </c>
      <c r="D28" s="110">
        <v>4045.928955078125</v>
      </c>
      <c r="E28" s="110">
        <v>4602.328125</v>
      </c>
      <c r="F28" s="110">
        <v>4821.89208984375</v>
      </c>
      <c r="G28" s="110">
        <v>5839.77392578125</v>
      </c>
      <c r="H28" s="110">
        <v>7247.81298828125</v>
      </c>
      <c r="I28" s="110">
        <v>4857.0390625</v>
      </c>
      <c r="J28" s="110">
        <v>6495</v>
      </c>
      <c r="K28" s="110">
        <v>8146</v>
      </c>
      <c r="L28" s="110">
        <v>8669</v>
      </c>
      <c r="M28" s="110">
        <v>8996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>
        <f t="shared" ref="D29" si="60">(D28-C28)/C28</f>
        <v>-7.9857106862031027E-2</v>
      </c>
      <c r="E29" s="121">
        <f t="shared" ref="E29" si="61">(E28-D28)/D28</f>
        <v>0.13752074643414752</v>
      </c>
      <c r="F29" s="121">
        <f t="shared" ref="F29" si="62">(F28-E28)/E28</f>
        <v>4.7707151441695607E-2</v>
      </c>
      <c r="G29" s="121">
        <f t="shared" ref="G29" si="63">(G28-F28)/F28</f>
        <v>0.21109593847640082</v>
      </c>
      <c r="H29" s="121">
        <f t="shared" ref="H29" si="64">(H28-G28)/G28</f>
        <v>0.24111191296016332</v>
      </c>
      <c r="I29" s="121">
        <f t="shared" ref="I29" si="65">(I28-H28)/H28</f>
        <v>-0.32986142573584798</v>
      </c>
      <c r="J29" s="121">
        <f t="shared" ref="J29" si="66">(J28-I28)/I28</f>
        <v>0.33723445836503402</v>
      </c>
      <c r="K29" s="121">
        <f t="shared" ref="K29" si="67">(K28-J28)/J28</f>
        <v>0.25419553502694381</v>
      </c>
      <c r="L29" s="121">
        <f t="shared" ref="L29" si="68">(L28-K28)/K28</f>
        <v>6.4203289958261717E-2</v>
      </c>
      <c r="M29" s="121">
        <f t="shared" ref="M29" si="69">(M28-L28)/L28</f>
        <v>3.7720613680932054E-2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>
        <v>5643.1630859375</v>
      </c>
      <c r="D31" s="110">
        <v>6334.369140625</v>
      </c>
      <c r="E31" s="110">
        <v>6183.5009765625</v>
      </c>
      <c r="F31" s="110">
        <v>6904.580078125</v>
      </c>
      <c r="G31" s="110">
        <v>6857.47216796875</v>
      </c>
      <c r="H31" s="110">
        <v>7287.7431640625</v>
      </c>
      <c r="I31" s="110">
        <v>13911.6396484375</v>
      </c>
      <c r="J31" s="110">
        <v>14267</v>
      </c>
      <c r="K31" s="110">
        <v>16138</v>
      </c>
      <c r="L31" s="110">
        <v>18572</v>
      </c>
      <c r="M31" s="110">
        <v>18169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>
        <f t="shared" ref="D32" si="70">(D31-C31)/C31</f>
        <v>0.12248557132965966</v>
      </c>
      <c r="E32" s="121">
        <f t="shared" ref="E32" si="71">(E31-D31)/D31</f>
        <v>-2.3817393763006071E-2</v>
      </c>
      <c r="F32" s="121">
        <f t="shared" ref="F32" si="72">(F31-E31)/E31</f>
        <v>0.11661340465468133</v>
      </c>
      <c r="G32" s="121">
        <f t="shared" ref="G32" si="73">(G31-F31)/F31</f>
        <v>-6.822704584960447E-3</v>
      </c>
      <c r="H32" s="121">
        <f t="shared" ref="H32" si="74">(H31-G31)/G31</f>
        <v>6.27448403077078E-2</v>
      </c>
      <c r="I32" s="121">
        <f t="shared" ref="I32" si="75">(I31-H31)/H31</f>
        <v>0.90890915544868855</v>
      </c>
      <c r="J32" s="121">
        <f t="shared" ref="J32" si="76">(J31-I31)/I31</f>
        <v>2.554410267537462E-2</v>
      </c>
      <c r="K32" s="121">
        <f t="shared" ref="K32" si="77">(K31-J31)/J31</f>
        <v>0.1311417957524357</v>
      </c>
      <c r="L32" s="121">
        <f t="shared" ref="L32" si="78">(L31-K31)/K31</f>
        <v>0.15082414177717191</v>
      </c>
      <c r="M32" s="121">
        <f t="shared" ref="M32" si="79">(M31-L31)/L31</f>
        <v>-2.1699332328236055E-2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>
        <f>D28+D31</f>
        <v>10380.298095703125</v>
      </c>
      <c r="E34" s="111">
        <f t="shared" ref="E34:M34" si="80">E28+E31</f>
        <v>10785.8291015625</v>
      </c>
      <c r="F34" s="111">
        <f t="shared" si="80"/>
        <v>11726.47216796875</v>
      </c>
      <c r="G34" s="111">
        <f t="shared" si="80"/>
        <v>12697.24609375</v>
      </c>
      <c r="H34" s="111">
        <f t="shared" si="80"/>
        <v>14535.55615234375</v>
      </c>
      <c r="I34" s="111">
        <f t="shared" si="80"/>
        <v>18768.6787109375</v>
      </c>
      <c r="J34" s="111">
        <f t="shared" si="80"/>
        <v>20762</v>
      </c>
      <c r="K34" s="111">
        <f t="shared" si="80"/>
        <v>24284</v>
      </c>
      <c r="L34" s="111">
        <f t="shared" si="80"/>
        <v>27241</v>
      </c>
      <c r="M34" s="111">
        <f t="shared" si="80"/>
        <v>27165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>
        <v>1271.751953125</v>
      </c>
      <c r="D36" s="118">
        <v>1525.64794921875</v>
      </c>
      <c r="E36" s="110">
        <v>2494.43505859375</v>
      </c>
      <c r="F36" s="110">
        <v>2213.555908203125</v>
      </c>
      <c r="G36" s="110">
        <v>2811.635009765625</v>
      </c>
      <c r="H36" s="110">
        <v>3527.45703125</v>
      </c>
      <c r="I36" s="110">
        <v>4301.1259765625</v>
      </c>
      <c r="J36" s="110">
        <v>8191</v>
      </c>
      <c r="K36" s="110">
        <v>5512</v>
      </c>
      <c r="L36" s="110">
        <v>6932</v>
      </c>
      <c r="M36" s="110">
        <v>8128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>
        <f t="shared" ref="D37" si="81">(D36-C36)/C36</f>
        <v>0.19964270191987246</v>
      </c>
      <c r="E37" s="121">
        <f t="shared" ref="E37" si="82">(E36-D36)/D36</f>
        <v>0.63500043366563963</v>
      </c>
      <c r="F37" s="121">
        <f t="shared" ref="F37" si="83">(F36-E36)/E36</f>
        <v>-0.1126023102597716</v>
      </c>
      <c r="G37" s="121">
        <f t="shared" ref="G37" si="84">(G36-F36)/F36</f>
        <v>0.27018929106154588</v>
      </c>
      <c r="H37" s="121">
        <f t="shared" ref="H37" si="85">(H36-G36)/G36</f>
        <v>0.25459279707291876</v>
      </c>
      <c r="I37" s="121">
        <f t="shared" ref="I37" si="86">(I36-H36)/H36</f>
        <v>0.21932767386207974</v>
      </c>
      <c r="J37" s="121">
        <f t="shared" ref="J37" si="87">(J36-I36)/I36</f>
        <v>0.9043850481557677</v>
      </c>
      <c r="K37" s="121">
        <f t="shared" ref="K37" si="88">(K36-J36)/J36</f>
        <v>-0.32706629227200584</v>
      </c>
      <c r="L37" s="121">
        <f t="shared" ref="L37" si="89">(L36-K36)/K36</f>
        <v>0.25761973875181421</v>
      </c>
      <c r="M37" s="121">
        <f t="shared" ref="M37" si="90">(M36-L36)/L36</f>
        <v>0.172533179457588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>
        <v>2103.294921875</v>
      </c>
      <c r="D39" s="110">
        <v>2130.01611328125</v>
      </c>
      <c r="E39" s="110">
        <v>1515.489013671875</v>
      </c>
      <c r="F39" s="110">
        <v>2511.3359375</v>
      </c>
      <c r="G39" s="110">
        <v>2460.77587890625</v>
      </c>
      <c r="H39" s="110">
        <v>2548.22998046875</v>
      </c>
      <c r="I39" s="110">
        <v>5105.44189453125</v>
      </c>
      <c r="J39" s="110">
        <v>2041</v>
      </c>
      <c r="K39" s="110">
        <v>5508</v>
      </c>
      <c r="L39" s="110">
        <v>5512</v>
      </c>
      <c r="M39" s="110">
        <v>4986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>
        <f t="shared" ref="D40" si="91">(D39-C39)/C39</f>
        <v>1.2704443455998632E-2</v>
      </c>
      <c r="E40" s="121">
        <f t="shared" ref="E40" si="92">(E39-D39)/D39</f>
        <v>-0.2885081928618406</v>
      </c>
      <c r="F40" s="121">
        <f t="shared" ref="F40" si="93">(F39-E39)/E39</f>
        <v>0.6571125985369477</v>
      </c>
      <c r="G40" s="121">
        <f t="shared" ref="G40" si="94">(G39-F39)/F39</f>
        <v>-2.0132734071444794E-2</v>
      </c>
      <c r="H40" s="121">
        <f t="shared" ref="H40" si="95">(H39-G39)/G39</f>
        <v>3.5539238787309246E-2</v>
      </c>
      <c r="I40" s="121">
        <f t="shared" ref="I40" si="96">(I39-H39)/H39</f>
        <v>1.0035247735340189</v>
      </c>
      <c r="J40" s="121">
        <f t="shared" ref="J40" si="97">(J39-I39)/I39</f>
        <v>-0.60023049088341607</v>
      </c>
      <c r="K40" s="121">
        <f t="shared" ref="K40" si="98">(K39-J39)/J39</f>
        <v>1.6986771190592846</v>
      </c>
      <c r="L40" s="121">
        <f t="shared" ref="L40" si="99">(L39-K39)/K39</f>
        <v>7.2621641249092229E-4</v>
      </c>
      <c r="M40" s="121">
        <f t="shared" ref="M40" si="100">(M39-L39)/L39</f>
        <v>-9.5428156748911461E-2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>
        <f>D36+D39</f>
        <v>3655.6640625</v>
      </c>
      <c r="E42" s="111">
        <f t="shared" ref="E42:M42" si="101">E36+E39</f>
        <v>4009.924072265625</v>
      </c>
      <c r="F42" s="111">
        <f t="shared" si="101"/>
        <v>4724.891845703125</v>
      </c>
      <c r="G42" s="111">
        <f t="shared" si="101"/>
        <v>5272.410888671875</v>
      </c>
      <c r="H42" s="111">
        <f t="shared" si="101"/>
        <v>6075.68701171875</v>
      </c>
      <c r="I42" s="111">
        <f t="shared" si="101"/>
        <v>9406.56787109375</v>
      </c>
      <c r="J42" s="111">
        <f t="shared" si="101"/>
        <v>10232</v>
      </c>
      <c r="K42" s="111">
        <f t="shared" si="101"/>
        <v>11020</v>
      </c>
      <c r="L42" s="111">
        <f t="shared" si="101"/>
        <v>12444</v>
      </c>
      <c r="M42" s="111">
        <f t="shared" si="101"/>
        <v>13114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>
        <f>D34-D42</f>
        <v>6724.634033203125</v>
      </c>
      <c r="E44" s="134">
        <f t="shared" ref="E44:M44" si="102">E34-E42</f>
        <v>6775.905029296875</v>
      </c>
      <c r="F44" s="134">
        <f t="shared" si="102"/>
        <v>7001.580322265625</v>
      </c>
      <c r="G44" s="134">
        <f t="shared" si="102"/>
        <v>7424.835205078125</v>
      </c>
      <c r="H44" s="134">
        <f t="shared" si="102"/>
        <v>8459.869140625</v>
      </c>
      <c r="I44" s="134">
        <f t="shared" si="102"/>
        <v>9362.11083984375</v>
      </c>
      <c r="J44" s="134">
        <f t="shared" si="102"/>
        <v>10530</v>
      </c>
      <c r="K44" s="134">
        <f t="shared" si="102"/>
        <v>13264</v>
      </c>
      <c r="L44" s="134">
        <f t="shared" si="102"/>
        <v>14797</v>
      </c>
      <c r="M44" s="134">
        <f t="shared" si="102"/>
        <v>14051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155</v>
      </c>
      <c r="C46" s="133">
        <v>1496.93798828125</v>
      </c>
      <c r="D46" s="133">
        <v>1499.2969970703125</v>
      </c>
      <c r="E46" s="133">
        <v>911.08599853515625</v>
      </c>
      <c r="F46" s="133">
        <v>1907.23095703125</v>
      </c>
      <c r="G46" s="133">
        <v>1892.199951171875</v>
      </c>
      <c r="H46" s="133">
        <v>1881.4210205078125</v>
      </c>
      <c r="I46" s="133">
        <v>4124.7998046875</v>
      </c>
      <c r="J46" s="133">
        <v>989</v>
      </c>
      <c r="K46" s="136">
        <v>4117</v>
      </c>
      <c r="L46" s="133">
        <v>4123</v>
      </c>
      <c r="M46" s="133">
        <v>3629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>
        <f t="shared" ref="D50:M50" si="103">D6/D3</f>
        <v>7.1508711210653358E-2</v>
      </c>
      <c r="E50" s="126">
        <f t="shared" si="103"/>
        <v>6.4719263576967404E-2</v>
      </c>
      <c r="F50" s="126">
        <f t="shared" si="103"/>
        <v>0.13127923075035483</v>
      </c>
      <c r="G50" s="126">
        <f t="shared" si="103"/>
        <v>0.19964060503393241</v>
      </c>
      <c r="H50" s="126">
        <f t="shared" si="103"/>
        <v>0.23200066379188508</v>
      </c>
      <c r="I50" s="126">
        <f t="shared" si="103"/>
        <v>0.28693244739756368</v>
      </c>
      <c r="J50" s="126">
        <f t="shared" si="103"/>
        <v>0.26416614448124609</v>
      </c>
      <c r="K50" s="126">
        <f t="shared" si="103"/>
        <v>0.40876593099160707</v>
      </c>
      <c r="L50" s="126">
        <f t="shared" si="103"/>
        <v>0.30547988596769082</v>
      </c>
      <c r="M50" s="126">
        <f t="shared" si="103"/>
        <v>0.27013518118823127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>
        <f t="shared" ref="D51:M51" si="104">D9/D3</f>
        <v>0.18345397360655863</v>
      </c>
      <c r="E51" s="126">
        <f t="shared" si="104"/>
        <v>0.17512983050300671</v>
      </c>
      <c r="F51" s="126">
        <f t="shared" si="104"/>
        <v>0.25911064189971711</v>
      </c>
      <c r="G51" s="126">
        <f t="shared" si="104"/>
        <v>0.311753135333461</v>
      </c>
      <c r="H51" s="126">
        <f t="shared" si="104"/>
        <v>0.34158602658564807</v>
      </c>
      <c r="I51" s="126">
        <f t="shared" si="104"/>
        <v>0.35282392026578074</v>
      </c>
      <c r="J51" s="126">
        <f t="shared" si="104"/>
        <v>0.36030794020230955</v>
      </c>
      <c r="K51" s="126">
        <f t="shared" si="104"/>
        <v>0.38809449797948398</v>
      </c>
      <c r="L51" s="126">
        <f t="shared" si="104"/>
        <v>0.41748495407031994</v>
      </c>
      <c r="M51" s="126">
        <f t="shared" si="104"/>
        <v>0.3949789844371237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>
        <f t="shared" ref="D52:M52" si="105">D20/D3</f>
        <v>0.24353429864415729</v>
      </c>
      <c r="E52" s="126">
        <f t="shared" si="105"/>
        <v>0.27468825314025097</v>
      </c>
      <c r="F52" s="126">
        <f t="shared" si="105"/>
        <v>0.27991801313219494</v>
      </c>
      <c r="G52" s="126">
        <f t="shared" si="105"/>
        <v>0.34092473289750397</v>
      </c>
      <c r="H52" s="126">
        <f t="shared" si="105"/>
        <v>0.37454333378673943</v>
      </c>
      <c r="I52" s="126">
        <f t="shared" si="105"/>
        <v>0.41661129568106314</v>
      </c>
      <c r="J52" s="126">
        <f t="shared" si="105"/>
        <v>0.3604869752036523</v>
      </c>
      <c r="K52" s="126">
        <f t="shared" si="105"/>
        <v>0.41249611439229095</v>
      </c>
      <c r="L52" s="126">
        <f t="shared" si="105"/>
        <v>0.43598352866645551</v>
      </c>
      <c r="M52" s="126">
        <f t="shared" si="105"/>
        <v>0.42008406225150519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>
        <f>D23/D20</f>
        <v>1.0125659309108305E-4</v>
      </c>
      <c r="E55" s="126">
        <f t="shared" ref="E55:M55" si="106">E23/E20</f>
        <v>8.7784751215321785E-5</v>
      </c>
      <c r="F55" s="126">
        <f t="shared" si="106"/>
        <v>7.4496221781853637E-5</v>
      </c>
      <c r="G55" s="126">
        <f t="shared" si="106"/>
        <v>5.0102208148803026E-5</v>
      </c>
      <c r="H55" s="126">
        <f t="shared" si="106"/>
        <v>3.6566681977492845E-5</v>
      </c>
      <c r="I55" s="126">
        <f t="shared" si="106"/>
        <v>2.6581605925070706E-5</v>
      </c>
      <c r="J55" s="126">
        <f t="shared" si="106"/>
        <v>2.4832381795409983E-5</v>
      </c>
      <c r="K55" s="126">
        <f t="shared" si="106"/>
        <v>1.8839487846668424E-5</v>
      </c>
      <c r="L55" s="126">
        <f t="shared" si="106"/>
        <v>1.4530659908473699E-5</v>
      </c>
      <c r="M55" s="126">
        <f t="shared" si="106"/>
        <v>1.3520822267457544E-5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>
        <f>D42/D44</f>
        <v>0.54362275247248004</v>
      </c>
      <c r="E58" s="112">
        <f t="shared" ref="E58:M58" si="107">E42/E44</f>
        <v>0.59179165807784806</v>
      </c>
      <c r="F58" s="112">
        <f t="shared" si="107"/>
        <v>0.67483219905048664</v>
      </c>
      <c r="G58" s="112">
        <f t="shared" si="107"/>
        <v>0.71010476906825837</v>
      </c>
      <c r="H58" s="112">
        <f t="shared" si="107"/>
        <v>0.71817742221836411</v>
      </c>
      <c r="I58" s="112">
        <f t="shared" si="107"/>
        <v>1.0047486119327702</v>
      </c>
      <c r="J58" s="112">
        <f t="shared" si="107"/>
        <v>0.97169990503323833</v>
      </c>
      <c r="K58" s="112">
        <f t="shared" si="107"/>
        <v>0.83082026537997589</v>
      </c>
      <c r="L58" s="112">
        <f t="shared" si="107"/>
        <v>0.84098127998918704</v>
      </c>
      <c r="M58" s="112">
        <f t="shared" si="107"/>
        <v>0.93331435485018854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>
        <f>D28/D36</f>
        <v>2.6519413978499817</v>
      </c>
      <c r="E59" s="112">
        <f t="shared" ref="E59:M59" si="108">E28/E36</f>
        <v>1.8450382619279675</v>
      </c>
      <c r="F59" s="112">
        <f t="shared" si="108"/>
        <v>2.1783466466667902</v>
      </c>
      <c r="G59" s="112">
        <f t="shared" si="108"/>
        <v>2.0770028490533119</v>
      </c>
      <c r="H59" s="112">
        <f t="shared" si="108"/>
        <v>2.0546849824313504</v>
      </c>
      <c r="I59" s="112">
        <f t="shared" si="108"/>
        <v>1.1292482687014416</v>
      </c>
      <c r="J59" s="112">
        <f t="shared" si="108"/>
        <v>0.79294347454523262</v>
      </c>
      <c r="K59" s="112">
        <f t="shared" si="108"/>
        <v>1.4778664731494919</v>
      </c>
      <c r="L59" s="112">
        <f t="shared" si="108"/>
        <v>1.2505770340450086</v>
      </c>
      <c r="M59" s="112">
        <f t="shared" si="108"/>
        <v>1.1067913385826771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157</v>
      </c>
      <c r="D60" s="112">
        <f>D46/D9</f>
        <v>2.0153198716042251</v>
      </c>
      <c r="E60" s="112">
        <f t="shared" ref="E60:M60" si="109">E46/E9</f>
        <v>1.2544645956068277</v>
      </c>
      <c r="F60" s="112">
        <f t="shared" si="109"/>
        <v>1.5349107393106918</v>
      </c>
      <c r="G60" s="112">
        <f t="shared" si="109"/>
        <v>1.0367440853178691</v>
      </c>
      <c r="H60" s="112">
        <f t="shared" si="109"/>
        <v>0.75435107829527748</v>
      </c>
      <c r="I60" s="112">
        <f t="shared" si="109"/>
        <v>1.2946640943777463</v>
      </c>
      <c r="J60" s="112">
        <f t="shared" si="109"/>
        <v>0.24571428571428572</v>
      </c>
      <c r="K60" s="112">
        <f t="shared" si="109"/>
        <v>0.82438926712054461</v>
      </c>
      <c r="L60" s="112">
        <f t="shared" si="109"/>
        <v>0.62564491654021248</v>
      </c>
      <c r="M60" s="112">
        <f t="shared" si="109"/>
        <v>0.52185792349726778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>
        <f>(M20/I20)^0.2 - 1</f>
        <v>0.14476310056435815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>
        <f>(M20/D20)^0.1 - 1</f>
        <v>0.22304382899616426</v>
      </c>
    </row>
    <row r="65" spans="2:13">
      <c r="B65" s="10" t="s">
        <v>74</v>
      </c>
      <c r="C65" s="114"/>
      <c r="D65" s="121">
        <f>(M6/I6)^0.2 - 1</f>
        <v>0.12915844400557575</v>
      </c>
    </row>
    <row r="66" spans="2:13">
      <c r="B66" s="10" t="s">
        <v>84</v>
      </c>
      <c r="C66" s="114"/>
      <c r="D66" s="121">
        <f>(M6/D6)^0.1 - 1</f>
        <v>0.32277699532773374</v>
      </c>
    </row>
    <row r="67" spans="2:13">
      <c r="B67" s="10" t="s">
        <v>75</v>
      </c>
      <c r="C67" s="114"/>
      <c r="D67" s="121">
        <f>(M3/I3)^0.2 - 1</f>
        <v>0.14286409658965948</v>
      </c>
    </row>
    <row r="68" spans="2:13">
      <c r="B68" s="10" t="s">
        <v>85</v>
      </c>
      <c r="C68" s="114"/>
      <c r="D68" s="121">
        <f>(M3/D3)^0.1 - 1</f>
        <v>0.15814893902309946</v>
      </c>
    </row>
    <row r="69" spans="2:13">
      <c r="B69" s="10" t="s">
        <v>88</v>
      </c>
      <c r="C69" s="114"/>
      <c r="D69" s="121">
        <f>(M9/I9)^0.2 - 1</f>
        <v>0.16895497324291631</v>
      </c>
    </row>
    <row r="70" spans="2:13">
      <c r="B70" s="10" t="s">
        <v>89</v>
      </c>
      <c r="C70" s="114"/>
      <c r="D70" s="121">
        <f>(M9/D9)^0.2 - 1</f>
        <v>0.56364514406229449</v>
      </c>
    </row>
    <row r="71" spans="2:13">
      <c r="B71" s="10" t="s">
        <v>131</v>
      </c>
      <c r="D71" s="121">
        <f>(M23/I23)^0.2 - 1</f>
        <v>0</v>
      </c>
    </row>
    <row r="72" spans="2:13">
      <c r="B72" s="10" t="s">
        <v>132</v>
      </c>
      <c r="D72" s="121">
        <f>AVERAGE(I24:M24)</f>
        <v>0</v>
      </c>
    </row>
    <row r="73" spans="2:13">
      <c r="B73" s="10" t="s">
        <v>135</v>
      </c>
      <c r="D73" s="121">
        <f>AVERAGE(I55:M55)</f>
        <v>1.966099154861607E-5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>
        <f t="shared" ref="D76:M76" si="110">100*D6/D34</f>
        <v>2.7936094192863461</v>
      </c>
      <c r="E76" s="110">
        <f t="shared" si="110"/>
        <v>2.4884038722140582</v>
      </c>
      <c r="F76" s="110">
        <f t="shared" si="110"/>
        <v>5.368631045833733</v>
      </c>
      <c r="G76" s="110">
        <f t="shared" si="110"/>
        <v>9.2050037763479491</v>
      </c>
      <c r="H76" s="110">
        <f t="shared" si="110"/>
        <v>11.653864232907571</v>
      </c>
      <c r="I76" s="110">
        <f t="shared" si="110"/>
        <v>13.804914239861155</v>
      </c>
      <c r="J76" s="110">
        <f t="shared" si="110"/>
        <v>14.213466910702245</v>
      </c>
      <c r="K76" s="110">
        <f t="shared" si="110"/>
        <v>21.660352495470267</v>
      </c>
      <c r="L76" s="110">
        <f t="shared" si="110"/>
        <v>17.701259131456261</v>
      </c>
      <c r="M76" s="110">
        <f t="shared" si="110"/>
        <v>17.507822565801582</v>
      </c>
    </row>
    <row r="77" spans="2:13">
      <c r="B77" s="10" t="s">
        <v>139</v>
      </c>
      <c r="C77" s="110">
        <v>0</v>
      </c>
      <c r="D77" s="110">
        <f t="shared" ref="D77:M77" si="111">100*D6/D44</f>
        <v>4.3122790611318234</v>
      </c>
      <c r="E77" s="110">
        <f t="shared" si="111"/>
        <v>3.9610205257189492</v>
      </c>
      <c r="F77" s="110">
        <f t="shared" si="111"/>
        <v>8.9915561403844553</v>
      </c>
      <c r="G77" s="110">
        <f t="shared" si="111"/>
        <v>15.741520857223943</v>
      </c>
      <c r="H77" s="110">
        <f t="shared" si="111"/>
        <v>20.023406406579994</v>
      </c>
      <c r="I77" s="110">
        <f t="shared" si="111"/>
        <v>27.675382660212584</v>
      </c>
      <c r="J77" s="110">
        <f t="shared" si="111"/>
        <v>28.02469135802469</v>
      </c>
      <c r="K77" s="110">
        <f t="shared" si="111"/>
        <v>39.656212303980702</v>
      </c>
      <c r="L77" s="110">
        <f t="shared" si="111"/>
        <v>32.587686693248628</v>
      </c>
      <c r="M77" s="110">
        <f t="shared" si="111"/>
        <v>33.848124688634257</v>
      </c>
    </row>
    <row r="78" spans="2:13">
      <c r="B78" s="10" t="s">
        <v>140</v>
      </c>
      <c r="C78" s="110">
        <v>0</v>
      </c>
      <c r="D78" s="40">
        <v>3.9800000190734863</v>
      </c>
      <c r="E78" s="40">
        <v>3.5899999141693115</v>
      </c>
      <c r="F78" s="40">
        <v>7.8899998664855957</v>
      </c>
      <c r="G78" s="40">
        <v>13.020000457763672</v>
      </c>
      <c r="H78" s="40">
        <v>17.290000915527344</v>
      </c>
      <c r="I78" s="40">
        <v>21.719999313354492</v>
      </c>
      <c r="J78" s="40">
        <v>19.379999160766602</v>
      </c>
      <c r="K78" s="40">
        <v>32.560001373291016</v>
      </c>
      <c r="L78" s="40">
        <v>26.190000534057617</v>
      </c>
      <c r="M78" s="40">
        <v>25.139999389648438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>
        <v>0</v>
      </c>
      <c r="D81" s="40">
        <v>106.93000030517578</v>
      </c>
      <c r="E81" s="40">
        <v>145.39999389648438</v>
      </c>
      <c r="F81" s="40">
        <v>75.760002136230469</v>
      </c>
      <c r="G81" s="40">
        <v>44.380001068115234</v>
      </c>
      <c r="H81" s="40">
        <v>51.849998474121094</v>
      </c>
      <c r="I81" s="40">
        <v>43.509998321533203</v>
      </c>
      <c r="J81" s="40">
        <v>54.970001220703125</v>
      </c>
      <c r="K81" s="40">
        <v>46.180000305175781</v>
      </c>
      <c r="L81" s="40">
        <v>56.590000152587891</v>
      </c>
      <c r="M81" s="40">
        <v>33.319999694824219</v>
      </c>
    </row>
    <row r="82" spans="2:13">
      <c r="B82" s="122" t="s">
        <v>148</v>
      </c>
      <c r="C82" s="110">
        <v>0</v>
      </c>
      <c r="D82" s="40">
        <v>26.700000762939453</v>
      </c>
      <c r="E82" s="40">
        <v>28.709999084472656</v>
      </c>
      <c r="F82" s="40">
        <v>32.419998168945313</v>
      </c>
      <c r="G82" s="40">
        <v>23.600000381469727</v>
      </c>
      <c r="H82" s="40">
        <v>30.149999618530273</v>
      </c>
      <c r="I82" s="40">
        <v>27.950000762939453</v>
      </c>
      <c r="J82" s="40">
        <v>36.669998168945313</v>
      </c>
      <c r="K82" s="40">
        <v>42.349998474121094</v>
      </c>
      <c r="L82" s="40">
        <v>37.759998321533203</v>
      </c>
      <c r="M82" s="40">
        <v>20.219999313354492</v>
      </c>
    </row>
    <row r="83" spans="2:13">
      <c r="B83" s="122" t="s">
        <v>153</v>
      </c>
      <c r="C83" s="110">
        <v>1.5700000524520874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2023-05-09T09:12:00Z</dcterms:modified>
</cp:coreProperties>
</file>