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filterPrivacy="1" defaultThemeVersion="124226"/>
  <xr:revisionPtr revIDLastSave="0" documentId="13_ncr:1_{6DA47F2A-331D-4DE4-8AB9-EDFB71BEF112}" xr6:coauthVersionLast="47" xr6:coauthVersionMax="47" xr10:uidLastSave="{00000000-0000-0000-0000-000000000000}"/>
  <bookViews>
    <workbookView xWindow="-110" yWindow="-110" windowWidth="25820" windowHeight="15500" activeTab="3" xr2:uid="{00000000-000D-0000-FFFF-FFFF00000000}"/>
  </bookViews>
  <sheets>
    <sheet name="Valuation Metrics" sheetId="5" r:id="rId1"/>
    <sheet name="Graphics" sheetId="4" r:id="rId2"/>
    <sheet name="WACC" sheetId="1" r:id="rId3"/>
    <sheet name="DCF" sheetId="2" r:id="rId4"/>
    <sheet name="Graham" sheetId="6" r:id="rId5"/>
    <sheet name="DDM" sheetId="7" r:id="rId6"/>
    <sheet name="Financials" sheetId="3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2" i="5" l="1"/>
  <c r="G22" i="5"/>
  <c r="H22" i="5"/>
  <c r="I22" i="5"/>
  <c r="J22" i="5"/>
  <c r="K22" i="5"/>
  <c r="L22" i="5"/>
  <c r="M22" i="5"/>
  <c r="N22" i="5"/>
  <c r="O22" i="5"/>
  <c r="P22" i="5"/>
  <c r="M60" i="3"/>
  <c r="L60" i="3"/>
  <c r="K60" i="3"/>
  <c r="J60" i="3"/>
  <c r="I60" i="3"/>
  <c r="H60" i="3"/>
  <c r="G60" i="3"/>
  <c r="F60" i="3"/>
  <c r="E60" i="3"/>
  <c r="D60" i="3"/>
  <c r="M55" i="3"/>
  <c r="L55" i="3"/>
  <c r="K55" i="3"/>
  <c r="J55" i="3"/>
  <c r="I55" i="3"/>
  <c r="H55" i="3"/>
  <c r="G55" i="3"/>
  <c r="F55" i="3"/>
  <c r="E55" i="3"/>
  <c r="D55" i="3"/>
  <c r="C22" i="2" l="1"/>
  <c r="D22" i="2"/>
  <c r="E22" i="2"/>
  <c r="F22" i="2"/>
  <c r="G22" i="2"/>
  <c r="H22" i="2"/>
  <c r="I22" i="2"/>
  <c r="J22" i="2"/>
  <c r="K22" i="2"/>
  <c r="L22" i="2"/>
  <c r="F30" i="5" l="1"/>
  <c r="G28" i="5" l="1"/>
  <c r="H28" i="5"/>
  <c r="I28" i="5"/>
  <c r="J28" i="5"/>
  <c r="K28" i="5"/>
  <c r="L28" i="5"/>
  <c r="M28" i="5"/>
  <c r="N28" i="5"/>
  <c r="O28" i="5"/>
  <c r="P28" i="5"/>
  <c r="G26" i="5"/>
  <c r="H26" i="5"/>
  <c r="I26" i="5"/>
  <c r="J26" i="5"/>
  <c r="K26" i="5"/>
  <c r="L26" i="5"/>
  <c r="M26" i="5"/>
  <c r="N26" i="5"/>
  <c r="O26" i="5"/>
  <c r="P26" i="5"/>
  <c r="G16" i="5"/>
  <c r="H16" i="5"/>
  <c r="I16" i="5"/>
  <c r="J16" i="5"/>
  <c r="K16" i="5"/>
  <c r="L16" i="5"/>
  <c r="M16" i="5"/>
  <c r="N16" i="5"/>
  <c r="O16" i="5"/>
  <c r="P16" i="5"/>
  <c r="F28" i="5" l="1"/>
  <c r="F26" i="5"/>
  <c r="F16" i="5"/>
  <c r="D50" i="3"/>
  <c r="E50" i="3"/>
  <c r="F50" i="3"/>
  <c r="G50" i="3"/>
  <c r="H50" i="3"/>
  <c r="I50" i="3"/>
  <c r="J50" i="3"/>
  <c r="K50" i="3"/>
  <c r="L50" i="3"/>
  <c r="M50" i="3"/>
  <c r="D51" i="3"/>
  <c r="E51" i="3"/>
  <c r="F51" i="3"/>
  <c r="G51" i="3"/>
  <c r="H51" i="3"/>
  <c r="I51" i="3"/>
  <c r="J51" i="3"/>
  <c r="K51" i="3"/>
  <c r="L51" i="3"/>
  <c r="M51" i="3"/>
  <c r="M40" i="3" l="1"/>
  <c r="L40" i="3"/>
  <c r="K40" i="3"/>
  <c r="J40" i="3"/>
  <c r="I40" i="3"/>
  <c r="H40" i="3"/>
  <c r="G40" i="3"/>
  <c r="F40" i="3"/>
  <c r="E40" i="3"/>
  <c r="D40" i="3"/>
  <c r="M37" i="3"/>
  <c r="L37" i="3"/>
  <c r="K37" i="3"/>
  <c r="J37" i="3"/>
  <c r="I37" i="3"/>
  <c r="H37" i="3"/>
  <c r="G37" i="3"/>
  <c r="F37" i="3"/>
  <c r="E37" i="3"/>
  <c r="D37" i="3"/>
  <c r="M32" i="3"/>
  <c r="L32" i="3"/>
  <c r="K32" i="3"/>
  <c r="J32" i="3"/>
  <c r="I32" i="3"/>
  <c r="H32" i="3"/>
  <c r="G32" i="3"/>
  <c r="F32" i="3"/>
  <c r="E32" i="3"/>
  <c r="D32" i="3"/>
  <c r="M29" i="3"/>
  <c r="L29" i="3"/>
  <c r="K29" i="3"/>
  <c r="J29" i="3"/>
  <c r="I29" i="3"/>
  <c r="H29" i="3"/>
  <c r="G29" i="3"/>
  <c r="F29" i="3"/>
  <c r="E29" i="3"/>
  <c r="D29" i="3"/>
  <c r="M24" i="3"/>
  <c r="L24" i="3"/>
  <c r="K24" i="3"/>
  <c r="J24" i="3"/>
  <c r="I24" i="3"/>
  <c r="H24" i="3"/>
  <c r="G24" i="3"/>
  <c r="F24" i="3"/>
  <c r="E24" i="3"/>
  <c r="D24" i="3"/>
  <c r="M16" i="3"/>
  <c r="L16" i="3"/>
  <c r="K16" i="3"/>
  <c r="J16" i="3"/>
  <c r="I16" i="3"/>
  <c r="H16" i="3"/>
  <c r="G16" i="3"/>
  <c r="F16" i="3"/>
  <c r="E16" i="3"/>
  <c r="D16" i="3"/>
  <c r="M13" i="3"/>
  <c r="L13" i="3"/>
  <c r="K13" i="3"/>
  <c r="J13" i="3"/>
  <c r="I13" i="3"/>
  <c r="H13" i="3"/>
  <c r="G13" i="3"/>
  <c r="F13" i="3"/>
  <c r="E13" i="3"/>
  <c r="D13" i="3"/>
  <c r="M10" i="3"/>
  <c r="L10" i="3"/>
  <c r="K10" i="3"/>
  <c r="J10" i="3"/>
  <c r="I10" i="3"/>
  <c r="H10" i="3"/>
  <c r="G10" i="3"/>
  <c r="F10" i="3"/>
  <c r="E10" i="3"/>
  <c r="D10" i="3"/>
  <c r="M7" i="3"/>
  <c r="L7" i="3"/>
  <c r="K7" i="3"/>
  <c r="J7" i="3"/>
  <c r="I7" i="3"/>
  <c r="H7" i="3"/>
  <c r="G7" i="3"/>
  <c r="F7" i="3"/>
  <c r="E7" i="3"/>
  <c r="D7" i="3"/>
  <c r="D4" i="3" l="1"/>
  <c r="G24" i="5" l="1"/>
  <c r="H24" i="5"/>
  <c r="I24" i="5"/>
  <c r="J24" i="5"/>
  <c r="K24" i="5"/>
  <c r="L24" i="5"/>
  <c r="M24" i="5"/>
  <c r="N24" i="5"/>
  <c r="O24" i="5"/>
  <c r="P24" i="5"/>
  <c r="P24" i="7" l="1"/>
  <c r="P15" i="7"/>
  <c r="P6" i="7"/>
  <c r="L46" i="2" l="1"/>
  <c r="K46" i="2"/>
  <c r="J46" i="2"/>
  <c r="I46" i="2"/>
  <c r="H46" i="2"/>
  <c r="G46" i="2"/>
  <c r="F46" i="2"/>
  <c r="D46" i="2"/>
  <c r="E46" i="2"/>
  <c r="C46" i="2"/>
  <c r="D71" i="3" l="1"/>
  <c r="F45" i="5" s="1"/>
  <c r="C25" i="7"/>
  <c r="C16" i="7"/>
  <c r="C7" i="7"/>
  <c r="D7" i="7" l="1"/>
  <c r="D16" i="7"/>
  <c r="D25" i="7"/>
  <c r="E25" i="7" l="1"/>
  <c r="E16" i="7"/>
  <c r="E7" i="7"/>
  <c r="F7" i="7" l="1"/>
  <c r="F16" i="7"/>
  <c r="F25" i="7"/>
  <c r="G25" i="7" l="1"/>
  <c r="G16" i="7"/>
  <c r="G7" i="7"/>
  <c r="H7" i="7" l="1"/>
  <c r="H16" i="7"/>
  <c r="H25" i="7"/>
  <c r="I25" i="7" l="1"/>
  <c r="I16" i="7"/>
  <c r="I7" i="7"/>
  <c r="J7" i="7" l="1"/>
  <c r="J16" i="7"/>
  <c r="J25" i="7"/>
  <c r="K25" i="7" l="1"/>
  <c r="K7" i="7"/>
  <c r="K16" i="7"/>
  <c r="L16" i="7" l="1"/>
  <c r="L7" i="7"/>
  <c r="L25" i="7"/>
  <c r="M59" i="3" l="1"/>
  <c r="L59" i="3"/>
  <c r="K59" i="3"/>
  <c r="J59" i="3"/>
  <c r="I59" i="3"/>
  <c r="H59" i="3"/>
  <c r="G59" i="3"/>
  <c r="F59" i="3"/>
  <c r="E59" i="3"/>
  <c r="D59" i="3"/>
  <c r="D44" i="3"/>
  <c r="D77" i="3" s="1"/>
  <c r="G14" i="5" s="1"/>
  <c r="M42" i="3"/>
  <c r="L42" i="3"/>
  <c r="K42" i="3"/>
  <c r="J42" i="3"/>
  <c r="I42" i="3"/>
  <c r="H42" i="3"/>
  <c r="G42" i="3"/>
  <c r="F42" i="3"/>
  <c r="E42" i="3"/>
  <c r="D42" i="3"/>
  <c r="M34" i="3"/>
  <c r="M76" i="3" s="1"/>
  <c r="P12" i="5" s="1"/>
  <c r="L34" i="3"/>
  <c r="L76" i="3" s="1"/>
  <c r="O12" i="5" s="1"/>
  <c r="K34" i="3"/>
  <c r="K76" i="3" s="1"/>
  <c r="N12" i="5" s="1"/>
  <c r="J34" i="3"/>
  <c r="J76" i="3" s="1"/>
  <c r="M12" i="5" s="1"/>
  <c r="I34" i="3"/>
  <c r="I76" i="3" s="1"/>
  <c r="L12" i="5" s="1"/>
  <c r="H34" i="3"/>
  <c r="H76" i="3" s="1"/>
  <c r="K12" i="5" s="1"/>
  <c r="G34" i="3"/>
  <c r="G76" i="3" s="1"/>
  <c r="J12" i="5" s="1"/>
  <c r="F34" i="3"/>
  <c r="F76" i="3" s="1"/>
  <c r="I12" i="5" s="1"/>
  <c r="E34" i="3"/>
  <c r="E76" i="3" s="1"/>
  <c r="H12" i="5" s="1"/>
  <c r="D34" i="3"/>
  <c r="D76" i="3" s="1"/>
  <c r="G12" i="5" s="1"/>
  <c r="F12" i="5" l="1"/>
  <c r="C20" i="6"/>
  <c r="C25" i="2" l="1"/>
  <c r="D25" i="2"/>
  <c r="E25" i="2"/>
  <c r="F25" i="2"/>
  <c r="G25" i="2"/>
  <c r="H25" i="2"/>
  <c r="I25" i="2"/>
  <c r="J25" i="2"/>
  <c r="K25" i="2"/>
  <c r="L25" i="2"/>
  <c r="C45" i="2" s="1"/>
  <c r="D45" i="2" s="1"/>
  <c r="E45" i="2" s="1"/>
  <c r="F45" i="2" s="1"/>
  <c r="G45" i="2" s="1"/>
  <c r="H45" i="2" s="1"/>
  <c r="I45" i="2" s="1"/>
  <c r="J45" i="2" s="1"/>
  <c r="K45" i="2" s="1"/>
  <c r="L45" i="2" s="1"/>
  <c r="C69" i="2" s="1"/>
  <c r="D26" i="2"/>
  <c r="E26" i="2"/>
  <c r="F26" i="2"/>
  <c r="G26" i="2"/>
  <c r="H26" i="2"/>
  <c r="I26" i="2"/>
  <c r="J26" i="2"/>
  <c r="K26" i="2"/>
  <c r="L26" i="2"/>
  <c r="D68" i="3"/>
  <c r="F42" i="5" s="1"/>
  <c r="D66" i="3"/>
  <c r="F39" i="5" s="1"/>
  <c r="D67" i="3"/>
  <c r="F41" i="5" s="1"/>
  <c r="D65" i="3"/>
  <c r="F38" i="5" s="1"/>
  <c r="P18" i="5" l="1"/>
  <c r="O18" i="5"/>
  <c r="N18" i="5"/>
  <c r="M18" i="5"/>
  <c r="L18" i="5"/>
  <c r="F18" i="5" s="1"/>
  <c r="K18" i="5"/>
  <c r="J18" i="5"/>
  <c r="I18" i="5"/>
  <c r="H18" i="5"/>
  <c r="G18" i="5"/>
  <c r="D72" i="3"/>
  <c r="F46" i="5" s="1"/>
  <c r="F47" i="5" s="1"/>
  <c r="C19" i="2"/>
  <c r="D19" i="2"/>
  <c r="E19" i="2"/>
  <c r="F19" i="2"/>
  <c r="G19" i="2"/>
  <c r="H19" i="2"/>
  <c r="I19" i="2"/>
  <c r="J19" i="2"/>
  <c r="K19" i="2"/>
  <c r="L19" i="2"/>
  <c r="C16" i="2"/>
  <c r="D16" i="2"/>
  <c r="E16" i="2"/>
  <c r="F16" i="2"/>
  <c r="G16" i="2"/>
  <c r="H16" i="2"/>
  <c r="I16" i="2"/>
  <c r="J16" i="2"/>
  <c r="K16" i="2"/>
  <c r="L16" i="2"/>
  <c r="F44" i="3"/>
  <c r="E44" i="3"/>
  <c r="D58" i="3"/>
  <c r="G20" i="5" s="1"/>
  <c r="D52" i="3"/>
  <c r="M4" i="3"/>
  <c r="L4" i="3"/>
  <c r="K4" i="3"/>
  <c r="J4" i="3"/>
  <c r="I4" i="3"/>
  <c r="H4" i="3"/>
  <c r="G4" i="3"/>
  <c r="F4" i="3"/>
  <c r="E4" i="3"/>
  <c r="F52" i="3" l="1"/>
  <c r="F21" i="3"/>
  <c r="M52" i="3"/>
  <c r="M21" i="3"/>
  <c r="J52" i="3"/>
  <c r="J21" i="3"/>
  <c r="K52" i="3"/>
  <c r="K21" i="3"/>
  <c r="E58" i="3"/>
  <c r="H20" i="5" s="1"/>
  <c r="E77" i="3"/>
  <c r="H14" i="5" s="1"/>
  <c r="G52" i="3"/>
  <c r="G21" i="3"/>
  <c r="F58" i="3"/>
  <c r="I20" i="5" s="1"/>
  <c r="F77" i="3"/>
  <c r="I14" i="5" s="1"/>
  <c r="H52" i="3"/>
  <c r="H21" i="3"/>
  <c r="I52" i="3"/>
  <c r="I21" i="3"/>
  <c r="L52" i="3"/>
  <c r="L21" i="3"/>
  <c r="E52" i="3"/>
  <c r="E21" i="3"/>
  <c r="D73" i="3"/>
  <c r="F44" i="5" s="1"/>
  <c r="G44" i="3"/>
  <c r="H44" i="3"/>
  <c r="D64" i="3"/>
  <c r="F33" i="5" s="1"/>
  <c r="I44" i="3"/>
  <c r="M44" i="3"/>
  <c r="K17" i="2"/>
  <c r="J17" i="2"/>
  <c r="D17" i="2"/>
  <c r="E17" i="2"/>
  <c r="F17" i="2"/>
  <c r="J44" i="3"/>
  <c r="K44" i="3"/>
  <c r="L44" i="3"/>
  <c r="D63" i="3"/>
  <c r="F32" i="5" s="1"/>
  <c r="L17" i="2"/>
  <c r="I17" i="2"/>
  <c r="H17" i="2"/>
  <c r="G17" i="2"/>
  <c r="G58" i="3" l="1"/>
  <c r="J20" i="5" s="1"/>
  <c r="G77" i="3"/>
  <c r="J14" i="5" s="1"/>
  <c r="K58" i="3"/>
  <c r="N20" i="5" s="1"/>
  <c r="K77" i="3"/>
  <c r="N14" i="5" s="1"/>
  <c r="J58" i="3"/>
  <c r="M20" i="5" s="1"/>
  <c r="J77" i="3"/>
  <c r="M14" i="5" s="1"/>
  <c r="L58" i="3"/>
  <c r="O20" i="5" s="1"/>
  <c r="L77" i="3"/>
  <c r="O14" i="5" s="1"/>
  <c r="M58" i="3"/>
  <c r="P20" i="5" s="1"/>
  <c r="M77" i="3"/>
  <c r="P14" i="5" s="1"/>
  <c r="I58" i="3"/>
  <c r="L20" i="5" s="1"/>
  <c r="I77" i="3"/>
  <c r="L14" i="5" s="1"/>
  <c r="F14" i="5" s="1"/>
  <c r="H58" i="3"/>
  <c r="K20" i="5" s="1"/>
  <c r="H77" i="3"/>
  <c r="K14" i="5" s="1"/>
  <c r="L37" i="2"/>
  <c r="K37" i="2"/>
  <c r="J37" i="2"/>
  <c r="I37" i="2"/>
  <c r="H37" i="2"/>
  <c r="G37" i="2"/>
  <c r="F37" i="2"/>
  <c r="C36" i="2"/>
  <c r="L28" i="2"/>
  <c r="K28" i="2"/>
  <c r="J28" i="2"/>
  <c r="I28" i="2"/>
  <c r="H28" i="2"/>
  <c r="G28" i="2"/>
  <c r="F28" i="2"/>
  <c r="E28" i="2"/>
  <c r="D28" i="2"/>
  <c r="C28" i="2"/>
  <c r="L29" i="2"/>
  <c r="K29" i="2"/>
  <c r="H29" i="2"/>
  <c r="G29" i="2"/>
  <c r="F29" i="2"/>
  <c r="C29" i="2"/>
  <c r="L20" i="2"/>
  <c r="K20" i="2"/>
  <c r="J20" i="2"/>
  <c r="I20" i="2"/>
  <c r="H20" i="2"/>
  <c r="G20" i="2"/>
  <c r="F20" i="2"/>
  <c r="E20" i="2"/>
  <c r="D20" i="2"/>
  <c r="C19" i="1"/>
  <c r="C17" i="1"/>
  <c r="C18" i="1" s="1"/>
  <c r="F20" i="5" l="1"/>
  <c r="C7" i="2"/>
  <c r="C39" i="2" s="1"/>
  <c r="C40" i="2" s="1"/>
  <c r="H23" i="2"/>
  <c r="J23" i="2"/>
  <c r="D23" i="2"/>
  <c r="F23" i="2"/>
  <c r="E23" i="2"/>
  <c r="G23" i="2"/>
  <c r="L23" i="2"/>
  <c r="K23" i="2"/>
  <c r="J29" i="2"/>
  <c r="D36" i="2"/>
  <c r="I23" i="2"/>
  <c r="C20" i="1"/>
  <c r="C21" i="1"/>
  <c r="C22" i="1" s="1"/>
  <c r="C8" i="2" l="1"/>
  <c r="C42" i="2" s="1"/>
  <c r="C23" i="1"/>
  <c r="C25" i="1" s="1"/>
  <c r="E36" i="2"/>
  <c r="D39" i="2"/>
  <c r="P26" i="7" l="1"/>
  <c r="P8" i="7"/>
  <c r="P17" i="7"/>
  <c r="C4" i="2"/>
  <c r="E16" i="5"/>
  <c r="C43" i="2"/>
  <c r="E39" i="2"/>
  <c r="F36" i="2"/>
  <c r="D42" i="2"/>
  <c r="D40" i="2"/>
  <c r="C55" i="2" l="1"/>
  <c r="C70" i="2" s="1"/>
  <c r="I51" i="2"/>
  <c r="H51" i="2"/>
  <c r="F51" i="2"/>
  <c r="D51" i="2"/>
  <c r="D53" i="2" s="1"/>
  <c r="L51" i="2"/>
  <c r="J51" i="2"/>
  <c r="G51" i="2"/>
  <c r="C51" i="2"/>
  <c r="C53" i="2" s="1"/>
  <c r="K51" i="2"/>
  <c r="E51" i="2"/>
  <c r="C17" i="7"/>
  <c r="D17" i="7"/>
  <c r="E17" i="7"/>
  <c r="F17" i="7"/>
  <c r="G17" i="7"/>
  <c r="H17" i="7"/>
  <c r="I17" i="7"/>
  <c r="J17" i="7"/>
  <c r="K17" i="7"/>
  <c r="M16" i="7"/>
  <c r="M17" i="7" s="1"/>
  <c r="L17" i="7"/>
  <c r="C8" i="7"/>
  <c r="D8" i="7"/>
  <c r="E8" i="7"/>
  <c r="F8" i="7"/>
  <c r="G8" i="7"/>
  <c r="H8" i="7"/>
  <c r="I8" i="7"/>
  <c r="J8" i="7"/>
  <c r="K8" i="7"/>
  <c r="M7" i="7"/>
  <c r="M8" i="7" s="1"/>
  <c r="L8" i="7"/>
  <c r="C26" i="7"/>
  <c r="D26" i="7"/>
  <c r="E26" i="7"/>
  <c r="F26" i="7"/>
  <c r="G26" i="7"/>
  <c r="H26" i="7"/>
  <c r="I26" i="7"/>
  <c r="J26" i="7"/>
  <c r="K26" i="7"/>
  <c r="M25" i="7"/>
  <c r="M26" i="7" s="1"/>
  <c r="L26" i="7"/>
  <c r="D43" i="2"/>
  <c r="G36" i="2"/>
  <c r="F39" i="2"/>
  <c r="E40" i="2"/>
  <c r="E42" i="2"/>
  <c r="C10" i="7" l="1"/>
  <c r="C28" i="7"/>
  <c r="C19" i="7"/>
  <c r="E43" i="2"/>
  <c r="E53" i="2"/>
  <c r="F42" i="2"/>
  <c r="F40" i="2"/>
  <c r="H36" i="2"/>
  <c r="G39" i="2"/>
  <c r="F43" i="2" l="1"/>
  <c r="F53" i="2"/>
  <c r="G40" i="2"/>
  <c r="G42" i="2"/>
  <c r="I36" i="2"/>
  <c r="H39" i="2"/>
  <c r="G43" i="2" l="1"/>
  <c r="G53" i="2"/>
  <c r="H40" i="2"/>
  <c r="H42" i="2"/>
  <c r="J36" i="2"/>
  <c r="I39" i="2"/>
  <c r="H43" i="2" l="1"/>
  <c r="H53" i="2"/>
  <c r="I40" i="2"/>
  <c r="I42" i="2"/>
  <c r="K36" i="2"/>
  <c r="J39" i="2"/>
  <c r="I43" i="2" l="1"/>
  <c r="I53" i="2"/>
  <c r="J40" i="2"/>
  <c r="J42" i="2"/>
  <c r="L36" i="2"/>
  <c r="L39" i="2" s="1"/>
  <c r="K39" i="2"/>
  <c r="J43" i="2" l="1"/>
  <c r="J53" i="2"/>
  <c r="K42" i="2"/>
  <c r="K40" i="2"/>
  <c r="L42" i="2"/>
  <c r="L53" i="2" s="1"/>
  <c r="L40" i="2"/>
  <c r="C59" i="2" l="1"/>
  <c r="C60" i="2" s="1"/>
  <c r="K43" i="2"/>
  <c r="K53" i="2"/>
  <c r="L43" i="2"/>
  <c r="D69" i="3"/>
  <c r="F35" i="5" s="1"/>
  <c r="D70" i="3"/>
  <c r="F36" i="5" s="1"/>
  <c r="C62" i="2" l="1"/>
  <c r="C64" i="2" s="1"/>
  <c r="C72" i="2"/>
  <c r="C74" i="2" s="1"/>
  <c r="D47" i="5"/>
  <c r="D46" i="5"/>
  <c r="D45" i="5"/>
  <c r="D44" i="5"/>
  <c r="D42" i="5"/>
  <c r="D41" i="5"/>
  <c r="D39" i="5"/>
  <c r="D38" i="5"/>
  <c r="D36" i="5"/>
  <c r="D35" i="5"/>
  <c r="D33" i="5"/>
  <c r="D32" i="5"/>
  <c r="D30" i="5"/>
  <c r="D28" i="5"/>
  <c r="D26" i="5"/>
  <c r="D24" i="5"/>
  <c r="D20" i="5"/>
  <c r="D18" i="5"/>
  <c r="D16" i="5"/>
  <c r="D14" i="5"/>
  <c r="D12" i="5"/>
  <c r="D22" i="5"/>
</calcChain>
</file>

<file path=xl/sharedStrings.xml><?xml version="1.0" encoding="utf-8"?>
<sst xmlns="http://schemas.openxmlformats.org/spreadsheetml/2006/main" count="227" uniqueCount="162">
  <si>
    <t>WACC</t>
  </si>
  <si>
    <t>WACC (Weight Average Cost of Capital) computation</t>
  </si>
  <si>
    <t>&lt;=&gt;</t>
  </si>
  <si>
    <t>Interest Expense Non Operating (Income statement)</t>
  </si>
  <si>
    <t>Total Non Current Liabilities         (Balance sheet)</t>
  </si>
  <si>
    <t>Current Liabilities                            (Balance sheet)</t>
  </si>
  <si>
    <t>Pretax Income                                 (Income statement)</t>
  </si>
  <si>
    <t>Tax Provision                                   (Income statement)</t>
  </si>
  <si>
    <t>Market cap (billions)</t>
  </si>
  <si>
    <t>Beta (5Y Monthly)</t>
  </si>
  <si>
    <t>Cost of equity</t>
  </si>
  <si>
    <t>B = Beta</t>
  </si>
  <si>
    <t>Rm = Return of the market (on ETF would be 12%)</t>
  </si>
  <si>
    <t>Rm ( Return of the market )</t>
  </si>
  <si>
    <t>Balancesheet data</t>
  </si>
  <si>
    <t>Assumed macro constants</t>
  </si>
  <si>
    <t>Rf ( Treasury yeld 10 years )</t>
  </si>
  <si>
    <t>Rf = Risk free rate ( Treasury Yield )</t>
  </si>
  <si>
    <t>Cost of debt ( Rd )</t>
  </si>
  <si>
    <t>Cost of equity ( Re )</t>
  </si>
  <si>
    <t>Corporate tax rate ( Tc )</t>
  </si>
  <si>
    <t>Total deb ( D )</t>
  </si>
  <si>
    <t>E = Market cap + Total debt</t>
  </si>
  <si>
    <t xml:space="preserve">Weight of equity (We) =  V/E </t>
  </si>
  <si>
    <t xml:space="preserve">Weight of debt (Wd) =  D/E </t>
  </si>
  <si>
    <t>Growth rate</t>
  </si>
  <si>
    <t>Revenue</t>
  </si>
  <si>
    <t>(%)</t>
  </si>
  <si>
    <t>Net Income</t>
  </si>
  <si>
    <t>Net Income Available to Common Stockholders</t>
  </si>
  <si>
    <t>Free Cash Flow</t>
  </si>
  <si>
    <t>Net Income Margin</t>
  </si>
  <si>
    <t>Free Cash Flow Ratio (FCF / Net Income)</t>
  </si>
  <si>
    <t>1. Assumptions</t>
  </si>
  <si>
    <t>2. Historichal data</t>
  </si>
  <si>
    <t>3. Estimations</t>
  </si>
  <si>
    <t>Revenue growth YoY</t>
  </si>
  <si>
    <t>Terminal Value (TV)</t>
  </si>
  <si>
    <t>Discout factor</t>
  </si>
  <si>
    <t>PV to FCF</t>
  </si>
  <si>
    <t>Discout factor for TV</t>
  </si>
  <si>
    <t>PV to Terminal Value</t>
  </si>
  <si>
    <t>Fair Value</t>
  </si>
  <si>
    <t>Enterprise Value (USD millions)</t>
  </si>
  <si>
    <t>Number of shares</t>
  </si>
  <si>
    <t>Income Statement</t>
  </si>
  <si>
    <t>Cash Flow</t>
  </si>
  <si>
    <t>EBIDTA</t>
  </si>
  <si>
    <t>Balance Sheet</t>
  </si>
  <si>
    <t>Total Current Assets</t>
  </si>
  <si>
    <t>Total Assets</t>
  </si>
  <si>
    <t>Total Current Liabilities</t>
  </si>
  <si>
    <t>Total Non-Current Liabilities</t>
  </si>
  <si>
    <t>Total Non-Current Assets</t>
  </si>
  <si>
    <t>Total Liabilities</t>
  </si>
  <si>
    <t>Total Equity</t>
  </si>
  <si>
    <t>Margins</t>
  </si>
  <si>
    <t>Net margin</t>
  </si>
  <si>
    <t>EBITDA margin</t>
  </si>
  <si>
    <t>FCF maring</t>
  </si>
  <si>
    <t>Cash Dividends Paid</t>
  </si>
  <si>
    <t>Dividends</t>
  </si>
  <si>
    <t>Payout Ratio</t>
  </si>
  <si>
    <t>Debt</t>
  </si>
  <si>
    <t>Debt / Equity</t>
  </si>
  <si>
    <t>Current ratio (Current Assets / Current liabilites)</t>
  </si>
  <si>
    <t>Metric Indicator</t>
  </si>
  <si>
    <t>Condition</t>
  </si>
  <si>
    <t>1.0 - 1.5</t>
  </si>
  <si>
    <t>yes</t>
  </si>
  <si>
    <t>1 - 1.5</t>
  </si>
  <si>
    <t>PEG Ratio (5 yr expected) &lt;=</t>
  </si>
  <si>
    <t>Metrics</t>
  </si>
  <si>
    <t>FCF CAGR 5Y</t>
  </si>
  <si>
    <t>Net Income CAGR 5Y</t>
  </si>
  <si>
    <t>Revenue CAGR 5Y</t>
  </si>
  <si>
    <t xml:space="preserve">FCF (CARG 5y) </t>
  </si>
  <si>
    <t>increase</t>
  </si>
  <si>
    <t xml:space="preserve">Net income (CARG 5y) </t>
  </si>
  <si>
    <t xml:space="preserve">Revenue (CARG 5y) </t>
  </si>
  <si>
    <t xml:space="preserve">FCF (CARG 10y) </t>
  </si>
  <si>
    <t xml:space="preserve">Net income (CARG 10y) </t>
  </si>
  <si>
    <t xml:space="preserve">Revenue (CARG 10y) </t>
  </si>
  <si>
    <t>FCF CAGR 10Y</t>
  </si>
  <si>
    <t>Net Income CAGR 10Y</t>
  </si>
  <si>
    <t>Revenue CAGR 10Y</t>
  </si>
  <si>
    <t>Group</t>
  </si>
  <si>
    <t>Eficiency</t>
  </si>
  <si>
    <t>EBIDTA CAGR 5Y</t>
  </si>
  <si>
    <t>EBIDTA CAGR 10Y</t>
  </si>
  <si>
    <t xml:space="preserve">EBIDTA (CARG 5y) </t>
  </si>
  <si>
    <t xml:space="preserve">EBIDTA (CARG 10y) </t>
  </si>
  <si>
    <t>Profitability</t>
  </si>
  <si>
    <t>Evaluation</t>
  </si>
  <si>
    <t>Shares</t>
  </si>
  <si>
    <t>Value</t>
  </si>
  <si>
    <t>PE (last 5 Y) &lt;=</t>
  </si>
  <si>
    <t>K</t>
  </si>
  <si>
    <t>L</t>
  </si>
  <si>
    <t>J</t>
  </si>
  <si>
    <t>EBITDA estiamted growth rate</t>
  </si>
  <si>
    <t>DCF Perpetual Growth</t>
  </si>
  <si>
    <t>DCF Multiples</t>
  </si>
  <si>
    <t>4. Discounted FCF</t>
  </si>
  <si>
    <t>P/FCF (last 5Y) &lt;=</t>
  </si>
  <si>
    <t>Graham Revised Formula</t>
  </si>
  <si>
    <t>EPS (Diluted)</t>
  </si>
  <si>
    <t>Intrinsic value</t>
  </si>
  <si>
    <t>Y ( 20yr AA corp bond rate)</t>
  </si>
  <si>
    <t>https://fred.stlouisfed.org/series/BAMLC0A2CAAEY</t>
  </si>
  <si>
    <t>---&gt;</t>
  </si>
  <si>
    <t>P/E of company no growth [7, 8.5]</t>
  </si>
  <si>
    <t>Free Cash Flow Ratio</t>
  </si>
  <si>
    <t>Dividend Discout Model</t>
  </si>
  <si>
    <t>Scenariu</t>
  </si>
  <si>
    <t>CONSERVATIV</t>
  </si>
  <si>
    <t>Ratele de crestere</t>
  </si>
  <si>
    <t>Inputs</t>
  </si>
  <si>
    <t>Year</t>
  </si>
  <si>
    <t>Terminal Value</t>
  </si>
  <si>
    <t>Dividend / share</t>
  </si>
  <si>
    <t>Dividend Value [$]</t>
  </si>
  <si>
    <t>Estimated growth YOY[%]</t>
  </si>
  <si>
    <t>PV</t>
  </si>
  <si>
    <t xml:space="preserve">WACC [%] </t>
  </si>
  <si>
    <t>Fair value</t>
  </si>
  <si>
    <t>NORMAL</t>
  </si>
  <si>
    <t>HIGH</t>
  </si>
  <si>
    <t>Net Payout Ratio (last 5y) &lt;=</t>
  </si>
  <si>
    <t xml:space="preserve">CHOWDER (5y) &gt; </t>
  </si>
  <si>
    <t>CAGR 5y</t>
  </si>
  <si>
    <t>Dividend CAGR 5y</t>
  </si>
  <si>
    <t>Dividend Increase Average 5y</t>
  </si>
  <si>
    <t xml:space="preserve">Average Increasing 5 y &gt; </t>
  </si>
  <si>
    <t>positive</t>
  </si>
  <si>
    <t>Net Payout Ratio Average 5y</t>
  </si>
  <si>
    <t>EV/EBIDTA Multiple (stock median)</t>
  </si>
  <si>
    <t>&lt;1 Excelent, [1,2] Good</t>
  </si>
  <si>
    <t>ROA</t>
  </si>
  <si>
    <t>ROE</t>
  </si>
  <si>
    <t>ROIC</t>
  </si>
  <si>
    <t>5% good, 20% excelent</t>
  </si>
  <si>
    <t>Number of shares decrease</t>
  </si>
  <si>
    <t>Shares outstanding</t>
  </si>
  <si>
    <t>EPS</t>
  </si>
  <si>
    <t>Efficiency</t>
  </si>
  <si>
    <t>Other metrics</t>
  </si>
  <si>
    <t>Price to Earnings</t>
  </si>
  <si>
    <t>Price to FCF</t>
  </si>
  <si>
    <t>ROA (last 5 Y) &gt;=</t>
  </si>
  <si>
    <t>ROE (last 5 Y) &gt;=</t>
  </si>
  <si>
    <t>ROIC (last 5 Y) =&gt;</t>
  </si>
  <si>
    <t>Current Ratio (last 5 Y) &gt;=</t>
  </si>
  <si>
    <t>PEG</t>
  </si>
  <si>
    <t>EPS Growth esitmation (%)</t>
  </si>
  <si>
    <t>Long Term Debt</t>
  </si>
  <si>
    <t>Liabilities / Equity (last 5 Y) &lt;=</t>
  </si>
  <si>
    <t>Long Term Debt / EBIDTA</t>
  </si>
  <si>
    <t>&lt;3 Excelent &lt; 3.5 Good</t>
  </si>
  <si>
    <t>UGI_UGICorp</t>
  </si>
  <si>
    <t>sector median (20.47)</t>
  </si>
  <si>
    <t>sector median (10.31)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</si>
</sst>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0"/>
    <numFmt numFmtId="165" formatCode="0.0000"/>
    <numFmt numFmtId="166" formatCode="&quot;$&quot;#,##0.00"/>
  </numFmts>
  <fonts count="27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5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rgb="FF3F3F3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000000"/>
      <name val="Arial"/>
      <family val="2"/>
    </font>
    <font>
      <b/>
      <sz val="15"/>
      <color theme="0"/>
      <name val="Wingdings"/>
      <charset val="2"/>
    </font>
    <font>
      <b/>
      <sz val="11"/>
      <color rgb="FF3F3F76"/>
      <name val="Calibri"/>
      <family val="2"/>
      <scheme val="minor"/>
    </font>
    <font>
      <i/>
      <sz val="11"/>
      <name val="Calibri"/>
      <family val="2"/>
      <scheme val="minor"/>
    </font>
    <font>
      <b/>
      <i/>
      <sz val="11"/>
      <color rgb="FF3F3F76"/>
      <name val="Calibri"/>
      <family val="2"/>
      <scheme val="minor"/>
    </font>
    <font>
      <b/>
      <sz val="14"/>
      <color rgb="FF3F3F3F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25"/>
      <color theme="1"/>
      <name val="Calibri"/>
      <family val="2"/>
      <scheme val="minor"/>
    </font>
    <font>
      <b/>
      <sz val="11"/>
      <color theme="1"/>
      <name val="Arial"/>
      <family val="2"/>
    </font>
    <font>
      <sz val="7"/>
      <color rgb="FFD4D4D4"/>
      <name val="Consolas"/>
      <family val="3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sz val="9.8000000000000007"/>
      <color rgb="FFA9B7C6"/>
      <name val="JetBrains Mono"/>
      <family val="3"/>
    </font>
  </fonts>
  <fills count="13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ck">
        <color theme="4" tint="0.499984740745262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theme="4" tint="0.39997558519241921"/>
      </bottom>
      <diagonal/>
    </border>
    <border>
      <left/>
      <right style="medium">
        <color indexed="64"/>
      </right>
      <top style="medium">
        <color indexed="64"/>
      </top>
      <bottom style="medium">
        <color theme="4" tint="0.39997558519241921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theme="4" tint="0.3999755851924192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</borders>
  <cellStyleXfs count="12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3" fillId="0" borderId="3" applyNumberFormat="0" applyFill="0" applyAlignment="0" applyProtection="0"/>
    <xf numFmtId="0" fontId="3" fillId="0" borderId="0" applyNumberFormat="0" applyFill="0" applyBorder="0" applyAlignment="0" applyProtection="0"/>
    <xf numFmtId="0" fontId="4" fillId="2" borderId="4" applyNumberFormat="0" applyAlignment="0" applyProtection="0"/>
    <xf numFmtId="0" fontId="5" fillId="3" borderId="5" applyNumberFormat="0" applyAlignment="0" applyProtection="0"/>
    <xf numFmtId="0" fontId="6" fillId="0" borderId="6" applyNumberFormat="0" applyFill="0" applyAlignment="0" applyProtection="0"/>
    <xf numFmtId="0" fontId="7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4" borderId="0" applyNumberFormat="0" applyBorder="0" applyAlignment="0" applyProtection="0"/>
    <xf numFmtId="0" fontId="20" fillId="0" borderId="0" applyNumberFormat="0" applyFill="0" applyBorder="0" applyAlignment="0" applyProtection="0"/>
  </cellStyleXfs>
  <cellXfs count="165">
    <xf numFmtId="2" fontId="0" fillId="0" borderId="0" xfId="0" applyNumberFormat="1"/>
    <xf numFmtId="0" fontId="3" fillId="0" borderId="3" xfId="3"/>
    <xf numFmtId="0" fontId="2" fillId="0" borderId="2" xfId="2"/>
    <xf numFmtId="0" fontId="1" fillId="0" borderId="1" xfId="1"/>
    <xf numFmtId="0" fontId="3" fillId="0" borderId="0" xfId="4" applyBorder="1"/>
    <xf numFmtId="0" fontId="6" fillId="0" borderId="6" xfId="7"/>
    <xf numFmtId="0" fontId="0" fillId="0" borderId="0" xfId="0" applyAlignment="1">
      <alignment vertical="center"/>
    </xf>
    <xf numFmtId="0" fontId="3" fillId="0" borderId="0" xfId="4" applyBorder="1" applyAlignment="1">
      <alignment vertical="center"/>
    </xf>
    <xf numFmtId="0" fontId="1" fillId="0" borderId="1" xfId="1" applyAlignment="1"/>
    <xf numFmtId="3" fontId="0" fillId="0" borderId="0" xfId="0" applyNumberFormat="1"/>
    <xf numFmtId="0" fontId="3" fillId="0" borderId="0" xfId="4" applyFill="1" applyBorder="1"/>
    <xf numFmtId="3" fontId="2" fillId="0" borderId="2" xfId="2" applyNumberFormat="1"/>
    <xf numFmtId="10" fontId="2" fillId="0" borderId="2" xfId="2" applyNumberFormat="1"/>
    <xf numFmtId="10" fontId="0" fillId="0" borderId="0" xfId="0" applyNumberFormat="1"/>
    <xf numFmtId="9" fontId="0" fillId="0" borderId="0" xfId="0" applyNumberFormat="1"/>
    <xf numFmtId="0" fontId="8" fillId="0" borderId="0" xfId="0" applyFont="1" applyAlignment="1">
      <alignment vertical="top"/>
    </xf>
    <xf numFmtId="0" fontId="2" fillId="0" borderId="2" xfId="2" applyFill="1"/>
    <xf numFmtId="10" fontId="1" fillId="0" borderId="1" xfId="1" applyNumberFormat="1"/>
    <xf numFmtId="0" fontId="3" fillId="0" borderId="0" xfId="4"/>
    <xf numFmtId="0" fontId="1" fillId="0" borderId="1" xfId="1" applyAlignment="1">
      <alignment horizontal="left"/>
    </xf>
    <xf numFmtId="10" fontId="10" fillId="0" borderId="0" xfId="0" applyNumberFormat="1" applyFont="1"/>
    <xf numFmtId="4" fontId="10" fillId="0" borderId="0" xfId="0" applyNumberFormat="1" applyFont="1"/>
    <xf numFmtId="0" fontId="10" fillId="0" borderId="0" xfId="0" applyFont="1"/>
    <xf numFmtId="4" fontId="6" fillId="0" borderId="6" xfId="7" applyNumberFormat="1"/>
    <xf numFmtId="10" fontId="3" fillId="0" borderId="3" xfId="3" applyNumberFormat="1"/>
    <xf numFmtId="4" fontId="3" fillId="0" borderId="0" xfId="4" applyNumberFormat="1"/>
    <xf numFmtId="10" fontId="3" fillId="0" borderId="0" xfId="4" applyNumberFormat="1"/>
    <xf numFmtId="9" fontId="10" fillId="0" borderId="0" xfId="0" applyNumberFormat="1" applyFont="1"/>
    <xf numFmtId="164" fontId="3" fillId="0" borderId="0" xfId="4" applyNumberFormat="1"/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left"/>
    </xf>
    <xf numFmtId="0" fontId="5" fillId="3" borderId="0" xfId="6" applyBorder="1"/>
    <xf numFmtId="0" fontId="12" fillId="3" borderId="0" xfId="7" applyFont="1" applyFill="1" applyBorder="1"/>
    <xf numFmtId="0" fontId="6" fillId="0" borderId="0" xfId="0" applyFont="1"/>
    <xf numFmtId="0" fontId="0" fillId="8" borderId="0" xfId="0" applyFill="1"/>
    <xf numFmtId="0" fontId="3" fillId="8" borderId="0" xfId="4" applyFill="1"/>
    <xf numFmtId="0" fontId="3" fillId="7" borderId="0" xfId="4" applyFill="1"/>
    <xf numFmtId="4" fontId="14" fillId="9" borderId="0" xfId="0" applyNumberFormat="1" applyFont="1" applyFill="1" applyAlignment="1">
      <alignment horizontal="right" vertical="center" wrapText="1"/>
    </xf>
    <xf numFmtId="0" fontId="0" fillId="7" borderId="0" xfId="0" applyFill="1"/>
    <xf numFmtId="0" fontId="12" fillId="8" borderId="0" xfId="9" applyFont="1" applyFill="1"/>
    <xf numFmtId="2" fontId="12" fillId="8" borderId="0" xfId="0" applyNumberFormat="1" applyFont="1" applyFill="1"/>
    <xf numFmtId="0" fontId="12" fillId="7" borderId="0" xfId="10" applyFont="1" applyFill="1"/>
    <xf numFmtId="2" fontId="12" fillId="7" borderId="0" xfId="10" applyNumberFormat="1" applyFont="1" applyFill="1"/>
    <xf numFmtId="0" fontId="12" fillId="7" borderId="0" xfId="0" applyFont="1" applyFill="1"/>
    <xf numFmtId="0" fontId="12" fillId="0" borderId="0" xfId="0" applyFont="1"/>
    <xf numFmtId="0" fontId="6" fillId="8" borderId="0" xfId="9" applyFont="1" applyFill="1"/>
    <xf numFmtId="9" fontId="6" fillId="8" borderId="0" xfId="9" applyNumberFormat="1" applyFont="1" applyFill="1" applyAlignment="1">
      <alignment horizontal="left"/>
    </xf>
    <xf numFmtId="10" fontId="6" fillId="8" borderId="0" xfId="9" applyNumberFormat="1" applyFont="1" applyFill="1" applyAlignment="1">
      <alignment horizontal="left"/>
    </xf>
    <xf numFmtId="0" fontId="6" fillId="7" borderId="0" xfId="10" applyFont="1" applyFill="1"/>
    <xf numFmtId="9" fontId="6" fillId="7" borderId="0" xfId="10" applyNumberFormat="1" applyFont="1" applyFill="1" applyAlignment="1">
      <alignment horizontal="left"/>
    </xf>
    <xf numFmtId="0" fontId="6" fillId="8" borderId="0" xfId="0" applyFont="1" applyFill="1" applyAlignment="1">
      <alignment horizontal="left"/>
    </xf>
    <xf numFmtId="0" fontId="6" fillId="7" borderId="0" xfId="0" applyFont="1" applyFill="1" applyAlignment="1">
      <alignment horizontal="left"/>
    </xf>
    <xf numFmtId="10" fontId="12" fillId="8" borderId="0" xfId="0" applyNumberFormat="1" applyFont="1" applyFill="1" applyAlignment="1">
      <alignment horizontal="left"/>
    </xf>
    <xf numFmtId="0" fontId="12" fillId="8" borderId="0" xfId="0" applyFont="1" applyFill="1" applyAlignment="1">
      <alignment horizontal="left"/>
    </xf>
    <xf numFmtId="0" fontId="15" fillId="12" borderId="0" xfId="0" applyFont="1" applyFill="1" applyAlignment="1">
      <alignment horizontal="center" vertical="center"/>
    </xf>
    <xf numFmtId="0" fontId="15" fillId="10" borderId="0" xfId="0" applyFont="1" applyFill="1" applyAlignment="1">
      <alignment horizontal="center" vertical="center"/>
    </xf>
    <xf numFmtId="0" fontId="15" fillId="11" borderId="0" xfId="0" applyFont="1" applyFill="1" applyAlignment="1">
      <alignment horizontal="center" vertical="center"/>
    </xf>
    <xf numFmtId="2" fontId="6" fillId="7" borderId="0" xfId="0" applyNumberFormat="1" applyFont="1" applyFill="1" applyAlignment="1">
      <alignment horizontal="left"/>
    </xf>
    <xf numFmtId="4" fontId="16" fillId="2" borderId="4" xfId="5" applyNumberFormat="1" applyFont="1" applyAlignment="1">
      <alignment vertical="center"/>
    </xf>
    <xf numFmtId="3" fontId="16" fillId="2" borderId="4" xfId="5" applyNumberFormat="1" applyFont="1"/>
    <xf numFmtId="4" fontId="16" fillId="2" borderId="4" xfId="5" applyNumberFormat="1" applyFont="1"/>
    <xf numFmtId="165" fontId="10" fillId="0" borderId="0" xfId="0" applyNumberFormat="1" applyFont="1"/>
    <xf numFmtId="4" fontId="17" fillId="0" borderId="0" xfId="4" applyNumberFormat="1" applyFont="1"/>
    <xf numFmtId="10" fontId="17" fillId="0" borderId="0" xfId="4" applyNumberFormat="1" applyFont="1"/>
    <xf numFmtId="0" fontId="1" fillId="0" borderId="0" xfId="1" applyBorder="1"/>
    <xf numFmtId="10" fontId="18" fillId="2" borderId="4" xfId="5" applyNumberFormat="1" applyFont="1"/>
    <xf numFmtId="2" fontId="16" fillId="2" borderId="4" xfId="5" applyNumberFormat="1" applyFont="1"/>
    <xf numFmtId="10" fontId="16" fillId="2" borderId="4" xfId="5" applyNumberFormat="1" applyFont="1"/>
    <xf numFmtId="10" fontId="18" fillId="2" borderId="0" xfId="5" applyNumberFormat="1" applyFont="1" applyBorder="1"/>
    <xf numFmtId="0" fontId="19" fillId="3" borderId="5" xfId="6" applyFont="1"/>
    <xf numFmtId="166" fontId="19" fillId="3" borderId="5" xfId="6" applyNumberFormat="1" applyFont="1"/>
    <xf numFmtId="4" fontId="1" fillId="7" borderId="1" xfId="1" applyNumberFormat="1" applyFill="1"/>
    <xf numFmtId="4" fontId="1" fillId="0" borderId="1" xfId="1" applyNumberFormat="1"/>
    <xf numFmtId="0" fontId="3" fillId="0" borderId="8" xfId="4" applyBorder="1"/>
    <xf numFmtId="4" fontId="12" fillId="0" borderId="8" xfId="0" applyNumberFormat="1" applyFont="1" applyBorder="1"/>
    <xf numFmtId="0" fontId="6" fillId="8" borderId="6" xfId="7" applyFill="1"/>
    <xf numFmtId="0" fontId="20" fillId="0" borderId="0" xfId="11"/>
    <xf numFmtId="49" fontId="0" fillId="0" borderId="0" xfId="0" applyNumberFormat="1" applyAlignment="1">
      <alignment horizontal="center"/>
    </xf>
    <xf numFmtId="2" fontId="4" fillId="2" borderId="4" xfId="5" applyNumberFormat="1"/>
    <xf numFmtId="2" fontId="6" fillId="8" borderId="6" xfId="7" applyNumberFormat="1" applyFill="1"/>
    <xf numFmtId="0" fontId="3" fillId="0" borderId="18" xfId="3" applyBorder="1"/>
    <xf numFmtId="0" fontId="3" fillId="0" borderId="19" xfId="3" applyBorder="1"/>
    <xf numFmtId="0" fontId="0" fillId="0" borderId="19" xfId="0" applyBorder="1"/>
    <xf numFmtId="0" fontId="0" fillId="0" borderId="17" xfId="0" applyBorder="1"/>
    <xf numFmtId="0" fontId="3" fillId="0" borderId="20" xfId="3" applyBorder="1"/>
    <xf numFmtId="0" fontId="3" fillId="0" borderId="21" xfId="3" applyBorder="1"/>
    <xf numFmtId="0" fontId="3" fillId="0" borderId="22" xfId="4" applyBorder="1"/>
    <xf numFmtId="0" fontId="3" fillId="0" borderId="23" xfId="4" applyBorder="1"/>
    <xf numFmtId="0" fontId="3" fillId="0" borderId="25" xfId="3" applyBorder="1"/>
    <xf numFmtId="0" fontId="3" fillId="0" borderId="26" xfId="4" applyBorder="1"/>
    <xf numFmtId="2" fontId="5" fillId="3" borderId="27" xfId="6" applyNumberFormat="1" applyBorder="1"/>
    <xf numFmtId="0" fontId="3" fillId="0" borderId="14" xfId="3" applyBorder="1"/>
    <xf numFmtId="0" fontId="0" fillId="0" borderId="12" xfId="0" applyBorder="1"/>
    <xf numFmtId="0" fontId="0" fillId="0" borderId="13" xfId="0" applyBorder="1"/>
    <xf numFmtId="0" fontId="1" fillId="3" borderId="14" xfId="1" applyFill="1" applyBorder="1" applyAlignment="1"/>
    <xf numFmtId="166" fontId="1" fillId="3" borderId="8" xfId="1" applyNumberFormat="1" applyFill="1" applyBorder="1" applyAlignment="1"/>
    <xf numFmtId="0" fontId="0" fillId="0" borderId="8" xfId="0" applyBorder="1"/>
    <xf numFmtId="0" fontId="0" fillId="0" borderId="15" xfId="0" applyBorder="1"/>
    <xf numFmtId="0" fontId="22" fillId="0" borderId="0" xfId="0" applyFont="1"/>
    <xf numFmtId="166" fontId="0" fillId="0" borderId="0" xfId="0" applyNumberFormat="1"/>
    <xf numFmtId="0" fontId="3" fillId="0" borderId="0" xfId="4" applyFill="1"/>
    <xf numFmtId="9" fontId="3" fillId="0" borderId="0" xfId="4" applyNumberFormat="1" applyAlignment="1">
      <alignment horizontal="left"/>
    </xf>
    <xf numFmtId="9" fontId="3" fillId="0" borderId="0" xfId="4" applyNumberFormat="1" applyBorder="1" applyAlignment="1">
      <alignment horizontal="left"/>
    </xf>
    <xf numFmtId="10" fontId="3" fillId="0" borderId="0" xfId="4" applyNumberFormat="1" applyAlignment="1">
      <alignment horizontal="left"/>
    </xf>
    <xf numFmtId="10" fontId="16" fillId="2" borderId="29" xfId="5" applyNumberFormat="1" applyFont="1" applyBorder="1" applyAlignment="1">
      <alignment horizontal="right"/>
    </xf>
    <xf numFmtId="10" fontId="16" fillId="0" borderId="30" xfId="5" applyNumberFormat="1" applyFont="1" applyFill="1" applyBorder="1" applyAlignment="1">
      <alignment horizontal="right"/>
    </xf>
    <xf numFmtId="166" fontId="6" fillId="0" borderId="0" xfId="0" applyNumberFormat="1" applyFont="1"/>
    <xf numFmtId="49" fontId="0" fillId="0" borderId="0" xfId="0" applyNumberFormat="1"/>
    <xf numFmtId="49" fontId="23" fillId="0" borderId="0" xfId="0" applyNumberFormat="1" applyFont="1" applyAlignment="1">
      <alignment vertical="center"/>
    </xf>
    <xf numFmtId="0" fontId="2" fillId="0" borderId="2" xfId="2" applyAlignment="1">
      <alignment horizontal="right"/>
    </xf>
    <xf numFmtId="2" fontId="0" fillId="0" borderId="0" xfId="0" applyNumberFormat="1" applyAlignment="1">
      <alignment horizontal="right"/>
    </xf>
    <xf numFmtId="4" fontId="12" fillId="3" borderId="0" xfId="7" applyNumberFormat="1" applyFont="1" applyFill="1" applyBorder="1" applyAlignment="1">
      <alignment horizontal="right"/>
    </xf>
    <xf numFmtId="2" fontId="5" fillId="3" borderId="5" xfId="6" applyNumberFormat="1" applyAlignment="1">
      <alignment horizontal="right"/>
    </xf>
    <xf numFmtId="2" fontId="3" fillId="0" borderId="0" xfId="4" applyNumberFormat="1" applyAlignment="1">
      <alignment horizontal="right"/>
    </xf>
    <xf numFmtId="0" fontId="3" fillId="0" borderId="0" xfId="4" applyFill="1" applyBorder="1" applyAlignment="1">
      <alignment horizontal="right"/>
    </xf>
    <xf numFmtId="4" fontId="10" fillId="0" borderId="0" xfId="0" applyNumberFormat="1" applyFont="1" applyAlignment="1">
      <alignment horizontal="right"/>
    </xf>
    <xf numFmtId="4" fontId="5" fillId="3" borderId="0" xfId="6" applyNumberFormat="1" applyBorder="1" applyAlignment="1">
      <alignment horizontal="right"/>
    </xf>
    <xf numFmtId="166" fontId="16" fillId="2" borderId="4" xfId="5" applyNumberFormat="1" applyFont="1" applyAlignment="1">
      <alignment wrapText="1"/>
    </xf>
    <xf numFmtId="2" fontId="0" fillId="0" borderId="0" xfId="0" applyNumberFormat="1" applyAlignment="1">
      <alignment horizontal="right" vertical="center"/>
    </xf>
    <xf numFmtId="2" fontId="12" fillId="8" borderId="0" xfId="9" applyNumberFormat="1" applyFont="1" applyFill="1"/>
    <xf numFmtId="2" fontId="13" fillId="0" borderId="0" xfId="4" applyNumberFormat="1" applyFont="1" applyAlignment="1">
      <alignment horizontal="right"/>
    </xf>
    <xf numFmtId="10" fontId="12" fillId="8" borderId="0" xfId="0" applyNumberFormat="1" applyFont="1" applyFill="1" applyAlignment="1">
      <alignment horizontal="right"/>
    </xf>
    <xf numFmtId="2" fontId="3" fillId="0" borderId="0" xfId="4" applyNumberFormat="1"/>
    <xf numFmtId="2" fontId="6" fillId="8" borderId="0" xfId="9" applyNumberFormat="1" applyFont="1" applyFill="1" applyAlignment="1">
      <alignment horizontal="left"/>
    </xf>
    <xf numFmtId="2" fontId="6" fillId="8" borderId="0" xfId="0" applyNumberFormat="1" applyFont="1" applyFill="1" applyAlignment="1">
      <alignment horizontal="left"/>
    </xf>
    <xf numFmtId="2" fontId="6" fillId="0" borderId="0" xfId="0" applyNumberFormat="1" applyFont="1" applyAlignment="1">
      <alignment horizontal="left"/>
    </xf>
    <xf numFmtId="10" fontId="11" fillId="3" borderId="5" xfId="6" applyNumberFormat="1" applyFont="1" applyAlignment="1">
      <alignment horizontal="right"/>
    </xf>
    <xf numFmtId="2" fontId="12" fillId="7" borderId="0" xfId="0" applyNumberFormat="1" applyFont="1" applyFill="1" applyAlignment="1">
      <alignment horizontal="left"/>
    </xf>
    <xf numFmtId="2" fontId="24" fillId="0" borderId="0" xfId="0" applyNumberFormat="1" applyFont="1" applyAlignment="1">
      <alignment vertical="center"/>
    </xf>
    <xf numFmtId="0" fontId="24" fillId="0" borderId="0" xfId="0" applyFont="1"/>
    <xf numFmtId="2" fontId="24" fillId="0" borderId="0" xfId="0" applyNumberFormat="1" applyFont="1" applyAlignment="1">
      <alignment horizontal="right"/>
    </xf>
    <xf numFmtId="10" fontId="25" fillId="8" borderId="0" xfId="0" applyNumberFormat="1" applyFont="1" applyFill="1"/>
    <xf numFmtId="0" fontId="13" fillId="7" borderId="0" xfId="10" applyFill="1" applyAlignment="1">
      <alignment horizontal="left" vertical="center"/>
    </xf>
    <xf numFmtId="2" fontId="26" fillId="0" borderId="0" xfId="0" applyNumberFormat="1" applyFont="1" applyAlignment="1">
      <alignment vertical="center"/>
    </xf>
    <xf numFmtId="4" fontId="11" fillId="3" borderId="0" xfId="6" applyNumberFormat="1" applyFont="1" applyBorder="1" applyAlignment="1">
      <alignment horizontal="right" vertical="top"/>
    </xf>
    <xf numFmtId="2" fontId="12" fillId="0" borderId="0" xfId="0" applyNumberFormat="1" applyFont="1" applyAlignment="1">
      <alignment horizontal="right" vertical="top"/>
    </xf>
    <xf numFmtId="2" fontId="10" fillId="0" borderId="0" xfId="0" applyNumberFormat="1" applyFont="1" applyAlignment="1">
      <alignment horizontal="right" vertical="top"/>
    </xf>
    <xf numFmtId="0" fontId="0" fillId="0" borderId="0" xfId="0"/>
    <xf numFmtId="0" fontId="3" fillId="0" borderId="0" xfId="4" applyAlignment="1">
      <alignment horizontal="left" vertical="center"/>
    </xf>
    <xf numFmtId="0" fontId="21" fillId="0" borderId="9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6" fillId="8" borderId="7" xfId="9" applyFont="1" applyFill="1" applyBorder="1" applyAlignment="1">
      <alignment horizontal="left" vertical="center"/>
    </xf>
    <xf numFmtId="0" fontId="6" fillId="8" borderId="0" xfId="9" applyFont="1" applyFill="1" applyBorder="1" applyAlignment="1">
      <alignment horizontal="left" vertical="center"/>
    </xf>
    <xf numFmtId="0" fontId="6" fillId="8" borderId="0" xfId="9" applyFont="1" applyFill="1" applyAlignment="1">
      <alignment horizontal="left" vertical="center"/>
    </xf>
    <xf numFmtId="0" fontId="6" fillId="7" borderId="0" xfId="10" applyFont="1" applyFill="1" applyAlignment="1">
      <alignment horizontal="left" vertical="center"/>
    </xf>
    <xf numFmtId="0" fontId="13" fillId="7" borderId="0" xfId="10" applyFill="1" applyAlignment="1">
      <alignment horizontal="left" vertical="center"/>
    </xf>
    <xf numFmtId="0" fontId="6" fillId="8" borderId="0" xfId="0" applyFont="1" applyFill="1" applyAlignment="1">
      <alignment horizontal="left" vertical="center"/>
    </xf>
    <xf numFmtId="0" fontId="0" fillId="8" borderId="0" xfId="0" applyFill="1" applyAlignment="1">
      <alignment horizontal="left" vertical="center"/>
    </xf>
    <xf numFmtId="0" fontId="6" fillId="7" borderId="0" xfId="0" applyFont="1" applyFill="1" applyAlignment="1">
      <alignment horizontal="left" vertical="center"/>
    </xf>
    <xf numFmtId="0" fontId="0" fillId="7" borderId="0" xfId="0" applyFill="1" applyAlignment="1">
      <alignment horizontal="left" vertical="center"/>
    </xf>
    <xf numFmtId="0" fontId="3" fillId="8" borderId="0" xfId="4" applyFill="1" applyAlignment="1">
      <alignment horizontal="left"/>
    </xf>
    <xf numFmtId="0" fontId="9" fillId="5" borderId="0" xfId="8" applyFont="1" applyBorder="1" applyAlignment="1">
      <alignment horizontal="center" vertical="center"/>
    </xf>
    <xf numFmtId="2" fontId="5" fillId="3" borderId="27" xfId="6" applyNumberFormat="1" applyBorder="1" applyAlignment="1">
      <alignment horizontal="center"/>
    </xf>
    <xf numFmtId="2" fontId="5" fillId="3" borderId="28" xfId="6" applyNumberFormat="1" applyBorder="1" applyAlignment="1">
      <alignment horizontal="center"/>
    </xf>
    <xf numFmtId="0" fontId="1" fillId="0" borderId="16" xfId="1" applyFill="1" applyBorder="1" applyAlignment="1">
      <alignment horizontal="left"/>
    </xf>
    <xf numFmtId="0" fontId="1" fillId="0" borderId="17" xfId="1" applyFill="1" applyBorder="1" applyAlignment="1">
      <alignment horizontal="left"/>
    </xf>
    <xf numFmtId="0" fontId="3" fillId="0" borderId="23" xfId="4" applyBorder="1"/>
    <xf numFmtId="0" fontId="3" fillId="0" borderId="24" xfId="4" applyBorder="1"/>
  </cellXfs>
  <cellStyles count="12">
    <cellStyle name="20% - Accent1" xfId="9" builtinId="30"/>
    <cellStyle name="40% - Accent1" xfId="10" builtinId="31"/>
    <cellStyle name="60% - Accent1" xfId="8" builtinId="32"/>
    <cellStyle name="Heading 1" xfId="1" builtinId="16"/>
    <cellStyle name="Heading 2" xfId="2" builtinId="17"/>
    <cellStyle name="Heading 3" xfId="3" builtinId="18"/>
    <cellStyle name="Heading 4" xfId="4" builtinId="19"/>
    <cellStyle name="Hyperlink" xfId="11" builtinId="8"/>
    <cellStyle name="Input" xfId="5" builtinId="20"/>
    <cellStyle name="Normal" xfId="0" builtinId="0"/>
    <cellStyle name="Output" xfId="6" builtinId="21"/>
    <cellStyle name="Total" xfId="7" builtinId="2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Margins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Net margin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Financials!$D$49:$M$49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Financials!$D$50:$M$50</c:f>
              <c:numCache>
                <c:formatCode>0.00%</c:formatCode>
                <c:ptCount val="10"/>
                <c:pt idx="0">
                  <c:v>3.8653453035430725E-2</c:v>
                </c:pt>
                <c:pt idx="1">
                  <c:v>4.0737924222108278E-2</c:v>
                </c:pt>
                <c:pt idx="2">
                  <c:v>4.1996083737923504E-2</c:v>
                </c:pt>
                <c:pt idx="3">
                  <c:v>6.4143377188213876E-2</c:v>
                </c:pt>
                <c:pt idx="4">
                  <c:v>7.1331709146264577E-2</c:v>
                </c:pt>
                <c:pt idx="5">
                  <c:v>9.3974643837406877E-2</c:v>
                </c:pt>
                <c:pt idx="6">
                  <c:v>3.4972677595628415E-2</c:v>
                </c:pt>
                <c:pt idx="7">
                  <c:v>8.1109925293489857E-2</c:v>
                </c:pt>
                <c:pt idx="8">
                  <c:v>0.19699207734658253</c:v>
                </c:pt>
                <c:pt idx="9">
                  <c:v>0.10617454977241243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5FE3-402B-88B1-A32EEE73278E}"/>
            </c:ext>
          </c:extLst>
        </c:ser>
        <c:ser>
          <c:idx val="1"/>
          <c:order val="1"/>
          <c:tx>
            <c:v>EBITDA margin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Financials!$D$49:$M$49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Financials!$D$51:$M$51</c:f>
              <c:numCache>
                <c:formatCode>0.00%</c:formatCode>
                <c:ptCount val="10"/>
                <c:pt idx="0">
                  <c:v>0.16598328196495618</c:v>
                </c:pt>
                <c:pt idx="1">
                  <c:v>0.16533169418667276</c:v>
                </c:pt>
                <c:pt idx="2">
                  <c:v>0.18068777665177763</c:v>
                </c:pt>
                <c:pt idx="3">
                  <c:v>0.24427967590018571</c:v>
                </c:pt>
                <c:pt idx="4">
                  <c:v>0.23302890246453387</c:v>
                </c:pt>
                <c:pt idx="5">
                  <c:v>0.19866684093582537</c:v>
                </c:pt>
                <c:pt idx="6">
                  <c:v>0.14549180327868852</c:v>
                </c:pt>
                <c:pt idx="7">
                  <c:v>0.22350968135386493</c:v>
                </c:pt>
                <c:pt idx="8">
                  <c:v>0.38297300926547601</c:v>
                </c:pt>
                <c:pt idx="9">
                  <c:v>0.21610924203443499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5FE3-402B-88B1-A32EEE73278E}"/>
            </c:ext>
          </c:extLst>
        </c:ser>
        <c:ser>
          <c:idx val="2"/>
          <c:order val="2"/>
          <c:tx>
            <c:v>FCF Margin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Financials!$D$49:$M$49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Financials!$D$52:$M$52</c:f>
              <c:numCache>
                <c:formatCode>0.00%</c:formatCode>
                <c:ptCount val="10"/>
                <c:pt idx="0">
                  <c:v>4.3851722995428631E-2</c:v>
                </c:pt>
                <c:pt idx="1">
                  <c:v>6.6277649539196529E-2</c:v>
                </c:pt>
                <c:pt idx="2">
                  <c:v>0.1006112600890306</c:v>
                </c:pt>
                <c:pt idx="3">
                  <c:v>7.1389623081273765E-2</c:v>
                </c:pt>
                <c:pt idx="4">
                  <c:v>5.3180190111138288E-2</c:v>
                </c:pt>
                <c:pt idx="5">
                  <c:v>6.6788655077767614E-2</c:v>
                </c:pt>
                <c:pt idx="6">
                  <c:v>5.0956284153005467E-2</c:v>
                </c:pt>
                <c:pt idx="7">
                  <c:v>6.8150632718402201E-2</c:v>
                </c:pt>
                <c:pt idx="8">
                  <c:v>0.10621726869880489</c:v>
                </c:pt>
                <c:pt idx="9">
                  <c:v>-8.7076983969918854E-3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5FE3-402B-88B1-A32EEE73278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24061504"/>
        <c:axId val="323784136"/>
      </c:lineChart>
      <c:catAx>
        <c:axId val="324061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784136"/>
        <c:crosses val="autoZero"/>
        <c:auto val="1"/>
        <c:lblAlgn val="ctr"/>
        <c:lblOffset val="100"/>
        <c:noMultiLvlLbl val="0"/>
      </c:catAx>
      <c:valAx>
        <c:axId val="323784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Margin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061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 and P/FCF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PER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Financials!$D$81:$M$81</c:f>
              <c:numCache>
                <c:formatCode>0.00</c:formatCode>
                <c:ptCount val="10"/>
                <c:pt idx="0">
                  <c:v>17.200000762939453</c:v>
                </c:pt>
                <c:pt idx="1">
                  <c:v>19.780000686645508</c:v>
                </c:pt>
                <c:pt idx="2">
                  <c:v>21.100000381469727</c:v>
                </c:pt>
                <c:pt idx="3">
                  <c:v>22.149999618530273</c:v>
                </c:pt>
                <c:pt idx="4">
                  <c:v>19.090000152587891</c:v>
                </c:pt>
                <c:pt idx="5">
                  <c:v>13.140000343322754</c:v>
                </c:pt>
                <c:pt idx="6">
                  <c:v>32.029998779296875</c:v>
                </c:pt>
                <c:pt idx="7">
                  <c:v>13.760000228881836</c:v>
                </c:pt>
                <c:pt idx="8">
                  <c:v>6.630000114440918</c:v>
                </c:pt>
                <c:pt idx="9">
                  <c:v>7.4600000381469727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2E99-43A2-91C6-E54CD548E410}"/>
            </c:ext>
          </c:extLst>
        </c:ser>
        <c:ser>
          <c:idx val="1"/>
          <c:order val="1"/>
          <c:tx>
            <c:v>P/FCF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Financials!$D$82:$M$82</c:f>
              <c:numCache>
                <c:formatCode>0.00</c:formatCode>
                <c:ptCount val="10"/>
                <c:pt idx="0">
                  <c:v>5.9800000190734863</c:v>
                </c:pt>
                <c:pt idx="1">
                  <c:v>6.619999885559082</c:v>
                </c:pt>
                <c:pt idx="2">
                  <c:v>5.0999999046325684</c:v>
                </c:pt>
                <c:pt idx="3">
                  <c:v>8.3400001525878906</c:v>
                </c:pt>
                <c:pt idx="4">
                  <c:v>8.619999885559082</c:v>
                </c:pt>
                <c:pt idx="5">
                  <c:v>8.6999998092651367</c:v>
                </c:pt>
                <c:pt idx="6">
                  <c:v>7.5900001525878906</c:v>
                </c:pt>
                <c:pt idx="7">
                  <c:v>6.6599998474121094</c:v>
                </c:pt>
                <c:pt idx="8">
                  <c:v>6.5799999237060547</c:v>
                </c:pt>
                <c:pt idx="9">
                  <c:v>11.170000076293945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2E99-43A2-91C6-E54CD548E41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24914160"/>
        <c:axId val="324911808"/>
      </c:lineChart>
      <c:catAx>
        <c:axId val="324914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1808"/>
        <c:crosses val="autoZero"/>
        <c:auto val="1"/>
        <c:lblAlgn val="ctr"/>
        <c:lblOffset val="100"/>
        <c:noMultiLvlLbl val="0"/>
      </c:catAx>
      <c:valAx>
        <c:axId val="32491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4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EPS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Financials!$D$15:$M$15</c:f>
              <c:numCache>
                <c:formatCode>0.00</c:formatCode>
                <c:ptCount val="10"/>
                <c:pt idx="0">
                  <c:v>1.6000000238418579</c:v>
                </c:pt>
                <c:pt idx="1">
                  <c:v>1.9199999570846558</c:v>
                </c:pt>
                <c:pt idx="2">
                  <c:v>1.6000000238418579</c:v>
                </c:pt>
                <c:pt idx="3">
                  <c:v>2.0799999237060547</c:v>
                </c:pt>
                <c:pt idx="4">
                  <c:v>2.4600000381469727</c:v>
                </c:pt>
                <c:pt idx="5">
                  <c:v>4.059999942779541</c:v>
                </c:pt>
                <c:pt idx="6">
                  <c:v>1.4099999666213989</c:v>
                </c:pt>
                <c:pt idx="7">
                  <c:v>2.5399999618530273</c:v>
                </c:pt>
                <c:pt idx="8">
                  <c:v>6.9200000762939453</c:v>
                </c:pt>
                <c:pt idx="9">
                  <c:v>4.9699997901916504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4E-4D0E-B961-FAF8C19FC55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24915728"/>
        <c:axId val="324918080"/>
      </c:barChart>
      <c:catAx>
        <c:axId val="324915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8080"/>
        <c:crosses val="autoZero"/>
        <c:auto val="1"/>
        <c:lblAlgn val="ctr"/>
        <c:lblOffset val="100"/>
        <c:noMultiLvlLbl val="0"/>
      </c:catAx>
      <c:valAx>
        <c:axId val="32491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Revenue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Financials!$D$3:$M$3</c:f>
              <c:numCache>
                <c:formatCode>0.00</c:formatCode>
                <c:ptCount val="10"/>
                <c:pt idx="0">
                  <c:v>7194.7001953125</c:v>
                </c:pt>
                <c:pt idx="1">
                  <c:v>8277.2998046875</c:v>
                </c:pt>
                <c:pt idx="2">
                  <c:v>6691.10009765625</c:v>
                </c:pt>
                <c:pt idx="3">
                  <c:v>5685.7001953125</c:v>
                </c:pt>
                <c:pt idx="4">
                  <c:v>6120.7001953125</c:v>
                </c:pt>
                <c:pt idx="5">
                  <c:v>7651</c:v>
                </c:pt>
                <c:pt idx="6">
                  <c:v>7320</c:v>
                </c:pt>
                <c:pt idx="7">
                  <c:v>6559</c:v>
                </c:pt>
                <c:pt idx="8">
                  <c:v>7447</c:v>
                </c:pt>
                <c:pt idx="9">
                  <c:v>10106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0E-45FB-AC97-BE6E1683FD6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24914944"/>
        <c:axId val="324915336"/>
      </c:barChart>
      <c:catAx>
        <c:axId val="324914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5336"/>
        <c:crosses val="autoZero"/>
        <c:auto val="1"/>
        <c:lblAlgn val="ctr"/>
        <c:lblOffset val="100"/>
        <c:noMultiLvlLbl val="0"/>
      </c:catAx>
      <c:valAx>
        <c:axId val="324915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4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Long</a:t>
            </a:r>
            <a:r>
              <a:rPr lang="en-GB" baseline="0"/>
              <a:t> debt to EBIDTA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Long Term Debt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Financials!$D$46:$M$46</c:f>
              <c:numCache>
                <c:formatCode>0.00</c:formatCode>
                <c:ptCount val="10"/>
                <c:pt idx="0">
                  <c:v>3542.199951171875</c:v>
                </c:pt>
                <c:pt idx="1">
                  <c:v>3433.60009765625</c:v>
                </c:pt>
                <c:pt idx="2">
                  <c:v>3409.5</c:v>
                </c:pt>
                <c:pt idx="3">
                  <c:v>3766</c:v>
                </c:pt>
                <c:pt idx="4">
                  <c:v>3994.60009765625</c:v>
                </c:pt>
                <c:pt idx="5">
                  <c:v>4146.5</c:v>
                </c:pt>
                <c:pt idx="6">
                  <c:v>5780</c:v>
                </c:pt>
                <c:pt idx="7">
                  <c:v>5981</c:v>
                </c:pt>
                <c:pt idx="8">
                  <c:v>6339</c:v>
                </c:pt>
                <c:pt idx="9">
                  <c:v>6483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4E-45CF-BF1C-D9569523F0D8}"/>
            </c:ext>
          </c:extLst>
        </c:ser>
        <c:ser>
          <c:idx val="1"/>
          <c:order val="1"/>
          <c:tx>
            <c:v>EBIDTA</c:v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Financials!$D$9:$M$9</c:f>
              <c:numCache>
                <c:formatCode>0.00</c:formatCode>
                <c:ptCount val="10"/>
                <c:pt idx="0">
                  <c:v>1194.199951171875</c:v>
                </c:pt>
                <c:pt idx="1">
                  <c:v>1368.5</c:v>
                </c:pt>
                <c:pt idx="2">
                  <c:v>1209</c:v>
                </c:pt>
                <c:pt idx="3">
                  <c:v>1388.9010009765625</c:v>
                </c:pt>
                <c:pt idx="4">
                  <c:v>1426.300048828125</c:v>
                </c:pt>
                <c:pt idx="5">
                  <c:v>1520</c:v>
                </c:pt>
                <c:pt idx="6">
                  <c:v>1065</c:v>
                </c:pt>
                <c:pt idx="7">
                  <c:v>1466</c:v>
                </c:pt>
                <c:pt idx="8">
                  <c:v>2852</c:v>
                </c:pt>
                <c:pt idx="9">
                  <c:v>2184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4E-45CF-BF1C-D9569523F0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47557008"/>
        <c:axId val="647553648"/>
      </c:barChart>
      <c:lineChart>
        <c:grouping val="stacked"/>
        <c:varyColors val="0"/>
        <c:ser>
          <c:idx val="2"/>
          <c:order val="2"/>
          <c:tx>
            <c:v>Debt / EBIDTA ratio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Financials!$D$60:$M$60</c:f>
              <c:numCache>
                <c:formatCode>0.00</c:formatCode>
                <c:ptCount val="10"/>
                <c:pt idx="0">
                  <c:v>2.9661699011927483</c:v>
                </c:pt>
                <c:pt idx="1">
                  <c:v>2.5090245507170259</c:v>
                </c:pt>
                <c:pt idx="2">
                  <c:v>2.8200992555831266</c:v>
                </c:pt>
                <c:pt idx="3">
                  <c:v>2.7114963538452783</c:v>
                </c:pt>
                <c:pt idx="4">
                  <c:v>2.8006730427712423</c:v>
                </c:pt>
                <c:pt idx="5">
                  <c:v>2.7279605263157896</c:v>
                </c:pt>
                <c:pt idx="6">
                  <c:v>5.427230046948357</c:v>
                </c:pt>
                <c:pt idx="7">
                  <c:v>4.0798090040927697</c:v>
                </c:pt>
                <c:pt idx="8">
                  <c:v>2.2226507713884991</c:v>
                </c:pt>
                <c:pt idx="9">
                  <c:v>2.9684065934065935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4E-45CF-BF1C-D9569523F0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4562128"/>
        <c:axId val="874567888"/>
      </c:lineChart>
      <c:catAx>
        <c:axId val="647557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553648"/>
        <c:crosses val="autoZero"/>
        <c:auto val="1"/>
        <c:lblAlgn val="ctr"/>
        <c:lblOffset val="100"/>
        <c:noMultiLvlLbl val="0"/>
      </c:catAx>
      <c:valAx>
        <c:axId val="64755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557008"/>
        <c:crosses val="autoZero"/>
        <c:crossBetween val="between"/>
      </c:valAx>
      <c:valAx>
        <c:axId val="874567888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562128"/>
        <c:crosses val="max"/>
        <c:crossBetween val="between"/>
      </c:valAx>
      <c:catAx>
        <c:axId val="8745621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745678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Dividend sustainability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Free Cash Flow</c:v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Financials!$D$20:$M$20</c:f>
              <c:numCache>
                <c:formatCode>0.00</c:formatCode>
                <c:ptCount val="10"/>
                <c:pt idx="0">
                  <c:v>315.5</c:v>
                </c:pt>
                <c:pt idx="1">
                  <c:v>548.5999755859375</c:v>
                </c:pt>
                <c:pt idx="2">
                  <c:v>673.20001220703125</c:v>
                </c:pt>
                <c:pt idx="3">
                  <c:v>405.89999389648438</c:v>
                </c:pt>
                <c:pt idx="4">
                  <c:v>325.5</c:v>
                </c:pt>
                <c:pt idx="5">
                  <c:v>511</c:v>
                </c:pt>
                <c:pt idx="6">
                  <c:v>373</c:v>
                </c:pt>
                <c:pt idx="7">
                  <c:v>447</c:v>
                </c:pt>
                <c:pt idx="8">
                  <c:v>791</c:v>
                </c:pt>
                <c:pt idx="9">
                  <c:v>-88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ED-4E4A-AA11-E50E447108A8}"/>
            </c:ext>
          </c:extLst>
        </c:ser>
        <c:ser>
          <c:idx val="0"/>
          <c:order val="1"/>
          <c:tx>
            <c:v>Dividend paid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Financials!$D$23:$M$23</c:f>
              <c:numCache>
                <c:formatCode>0.00</c:formatCode>
                <c:ptCount val="10"/>
                <c:pt idx="0">
                  <c:v>125.80000305175781</c:v>
                </c:pt>
                <c:pt idx="1">
                  <c:v>136.10000610351563</c:v>
                </c:pt>
                <c:pt idx="2">
                  <c:v>153.5</c:v>
                </c:pt>
                <c:pt idx="3">
                  <c:v>160.69999694824219</c:v>
                </c:pt>
                <c:pt idx="4">
                  <c:v>168.89999389648438</c:v>
                </c:pt>
                <c:pt idx="5">
                  <c:v>177</c:v>
                </c:pt>
                <c:pt idx="6">
                  <c:v>200</c:v>
                </c:pt>
                <c:pt idx="7">
                  <c:v>273</c:v>
                </c:pt>
                <c:pt idx="8">
                  <c:v>282</c:v>
                </c:pt>
                <c:pt idx="9">
                  <c:v>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ED-4E4A-AA11-E50E447108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23890768"/>
        <c:axId val="323891152"/>
      </c:barChart>
      <c:scatterChart>
        <c:scatterStyle val="smoothMarker"/>
        <c:varyColors val="0"/>
        <c:ser>
          <c:idx val="2"/>
          <c:order val="2"/>
          <c:tx>
            <c:v>Payout Ratio</c:v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yVal>
            <c:numRef>
              <c:f>Financials!$D$55:$M$55</c:f>
              <c:numCache>
                <c:formatCode>0.00%</c:formatCode>
                <c:ptCount val="10"/>
                <c:pt idx="0">
                  <c:v>0.39873218082966083</c:v>
                </c:pt>
                <c:pt idx="1">
                  <c:v>0.24808605935163039</c:v>
                </c:pt>
                <c:pt idx="2">
                  <c:v>0.22801544446911526</c:v>
                </c:pt>
                <c:pt idx="3">
                  <c:v>0.39591032117439512</c:v>
                </c:pt>
                <c:pt idx="4">
                  <c:v>0.51889399046538864</c:v>
                </c:pt>
                <c:pt idx="5">
                  <c:v>0.34637964774951074</c:v>
                </c:pt>
                <c:pt idx="6">
                  <c:v>0.53619302949061665</c:v>
                </c:pt>
                <c:pt idx="7">
                  <c:v>0.61073825503355705</c:v>
                </c:pt>
                <c:pt idx="8">
                  <c:v>0.35651074589127685</c:v>
                </c:pt>
                <c:pt idx="9">
                  <c:v>-3.3636363636363638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DED-4E4A-AA11-E50E447108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3924800"/>
        <c:axId val="323899736"/>
      </c:scatterChart>
      <c:catAx>
        <c:axId val="323890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891152"/>
        <c:crosses val="autoZero"/>
        <c:auto val="1"/>
        <c:lblAlgn val="ctr"/>
        <c:lblOffset val="100"/>
        <c:noMultiLvlLbl val="0"/>
      </c:catAx>
      <c:valAx>
        <c:axId val="32389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890768"/>
        <c:crosses val="autoZero"/>
        <c:crossBetween val="between"/>
      </c:valAx>
      <c:valAx>
        <c:axId val="323899736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924800"/>
        <c:crosses val="max"/>
        <c:crossBetween val="midCat"/>
      </c:valAx>
      <c:valAx>
        <c:axId val="323924800"/>
        <c:scaling>
          <c:orientation val="minMax"/>
        </c:scaling>
        <c:delete val="1"/>
        <c:axPos val="b"/>
        <c:majorTickMark val="out"/>
        <c:minorTickMark val="none"/>
        <c:tickLblPos val="nextTo"/>
        <c:crossAx val="323899736"/>
        <c:crosses val="autoZero"/>
        <c:crossBetween val="midCat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Assets evolution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v>Not-Current Assets</c:v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Financials!$D$31:$M$31</c:f>
              <c:numCache>
                <c:formatCode>0.00</c:formatCode>
                <c:ptCount val="10"/>
                <c:pt idx="0">
                  <c:v>8381.5</c:v>
                </c:pt>
                <c:pt idx="1">
                  <c:v>8430</c:v>
                </c:pt>
                <c:pt idx="2">
                  <c:v>9054.3994140625</c:v>
                </c:pt>
                <c:pt idx="3">
                  <c:v>9423.400390625</c:v>
                </c:pt>
                <c:pt idx="4">
                  <c:v>9884.7001953125</c:v>
                </c:pt>
                <c:pt idx="5">
                  <c:v>10092.7998046875</c:v>
                </c:pt>
                <c:pt idx="6">
                  <c:v>11781</c:v>
                </c:pt>
                <c:pt idx="7">
                  <c:v>12442</c:v>
                </c:pt>
                <c:pt idx="8">
                  <c:v>13453</c:v>
                </c:pt>
                <c:pt idx="9">
                  <c:v>13773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1F-4C09-80D9-ADBB573BF7C8}"/>
            </c:ext>
          </c:extLst>
        </c:ser>
        <c:ser>
          <c:idx val="0"/>
          <c:order val="1"/>
          <c:tx>
            <c:v>Current Assets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Financials!$D$28:$M$28</c:f>
              <c:numCache>
                <c:formatCode>0.00</c:formatCode>
                <c:ptCount val="10"/>
                <c:pt idx="0">
                  <c:v>1627.300048828125</c:v>
                </c:pt>
                <c:pt idx="1">
                  <c:v>1663</c:v>
                </c:pt>
                <c:pt idx="2">
                  <c:v>1459.800048828125</c:v>
                </c:pt>
                <c:pt idx="3">
                  <c:v>1423.800048828125</c:v>
                </c:pt>
                <c:pt idx="4">
                  <c:v>1697.5</c:v>
                </c:pt>
                <c:pt idx="5">
                  <c:v>1888.0999755859375</c:v>
                </c:pt>
                <c:pt idx="6">
                  <c:v>1566</c:v>
                </c:pt>
                <c:pt idx="7">
                  <c:v>1543</c:v>
                </c:pt>
                <c:pt idx="8">
                  <c:v>3270</c:v>
                </c:pt>
                <c:pt idx="9">
                  <c:v>3802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1F-4C09-80D9-ADBB573BF7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323936248"/>
        <c:axId val="324020400"/>
      </c:barChart>
      <c:catAx>
        <c:axId val="323936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020400"/>
        <c:crosses val="autoZero"/>
        <c:auto val="1"/>
        <c:lblAlgn val="ctr"/>
        <c:lblOffset val="100"/>
        <c:noMultiLvlLbl val="0"/>
      </c:catAx>
      <c:valAx>
        <c:axId val="32402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936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Liabilities evolution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Current Liabilities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Financials!$D$36:$M$36</c:f>
              <c:numCache>
                <c:formatCode>0.00</c:formatCode>
                <c:ptCount val="10"/>
                <c:pt idx="0">
                  <c:v>1424.9000244140625</c:v>
                </c:pt>
                <c:pt idx="1">
                  <c:v>1430.9000244140625</c:v>
                </c:pt>
                <c:pt idx="2">
                  <c:v>1678.800048828125</c:v>
                </c:pt>
                <c:pt idx="3">
                  <c:v>1442</c:v>
                </c:pt>
                <c:pt idx="4">
                  <c:v>1690.0999755859375</c:v>
                </c:pt>
                <c:pt idx="5">
                  <c:v>1732.0999755859375</c:v>
                </c:pt>
                <c:pt idx="6">
                  <c:v>2028</c:v>
                </c:pt>
                <c:pt idx="7">
                  <c:v>1755</c:v>
                </c:pt>
                <c:pt idx="8">
                  <c:v>2297</c:v>
                </c:pt>
                <c:pt idx="9">
                  <c:v>2444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68-4E8A-8CFA-F7ADD20FD77D}"/>
            </c:ext>
          </c:extLst>
        </c:ser>
        <c:ser>
          <c:idx val="1"/>
          <c:order val="1"/>
          <c:tx>
            <c:v>Non-Current liabilities</c:v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Financials!$D$39:$M$39</c:f>
              <c:numCache>
                <c:formatCode>0.00</c:formatCode>
                <c:ptCount val="10"/>
                <c:pt idx="0">
                  <c:v>5036</c:v>
                </c:pt>
                <c:pt idx="1">
                  <c:v>4998.89990234375</c:v>
                </c:pt>
                <c:pt idx="2">
                  <c:v>5263</c:v>
                </c:pt>
                <c:pt idx="3">
                  <c:v>5810.2001953125</c:v>
                </c:pt>
                <c:pt idx="4">
                  <c:v>6151.2001953125</c:v>
                </c:pt>
                <c:pt idx="5">
                  <c:v>6148.7998046875</c:v>
                </c:pt>
                <c:pt idx="6">
                  <c:v>7492</c:v>
                </c:pt>
                <c:pt idx="7">
                  <c:v>8093</c:v>
                </c:pt>
                <c:pt idx="8">
                  <c:v>8895</c:v>
                </c:pt>
                <c:pt idx="9">
                  <c:v>9057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68-4E8A-8CFA-F7ADD20FD7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24449320"/>
        <c:axId val="324447752"/>
      </c:barChart>
      <c:catAx>
        <c:axId val="324449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447752"/>
        <c:crosses val="autoZero"/>
        <c:auto val="1"/>
        <c:lblAlgn val="ctr"/>
        <c:lblOffset val="100"/>
        <c:noMultiLvlLbl val="0"/>
      </c:catAx>
      <c:valAx>
        <c:axId val="324447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449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Debt to equity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Total equity</c:v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Financials!$D$44:$M$44</c:f>
              <c:numCache>
                <c:formatCode>#,##0.00</c:formatCode>
                <c:ptCount val="10"/>
                <c:pt idx="0">
                  <c:v>3547.9000244140625</c:v>
                </c:pt>
                <c:pt idx="1">
                  <c:v>3663.2000732421875</c:v>
                </c:pt>
                <c:pt idx="2">
                  <c:v>3572.3994140625</c:v>
                </c:pt>
                <c:pt idx="3">
                  <c:v>3595.000244140625</c:v>
                </c:pt>
                <c:pt idx="4">
                  <c:v>3740.9000244140625</c:v>
                </c:pt>
                <c:pt idx="5">
                  <c:v>4100</c:v>
                </c:pt>
                <c:pt idx="6">
                  <c:v>3827</c:v>
                </c:pt>
                <c:pt idx="7">
                  <c:v>4137</c:v>
                </c:pt>
                <c:pt idx="8">
                  <c:v>5531</c:v>
                </c:pt>
                <c:pt idx="9">
                  <c:v>6074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91-4451-902B-E5C55349FE88}"/>
            </c:ext>
          </c:extLst>
        </c:ser>
        <c:ser>
          <c:idx val="0"/>
          <c:order val="1"/>
          <c:tx>
            <c:v>Total liabilities</c:v>
          </c:tx>
          <c:spPr>
            <a:solidFill>
              <a:schemeClr val="accent2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Financials!$D$42:$M$42</c:f>
              <c:numCache>
                <c:formatCode>#,##0.00</c:formatCode>
                <c:ptCount val="10"/>
                <c:pt idx="0">
                  <c:v>6460.9000244140625</c:v>
                </c:pt>
                <c:pt idx="1">
                  <c:v>6429.7999267578125</c:v>
                </c:pt>
                <c:pt idx="2">
                  <c:v>6941.800048828125</c:v>
                </c:pt>
                <c:pt idx="3">
                  <c:v>7252.2001953125</c:v>
                </c:pt>
                <c:pt idx="4">
                  <c:v>7841.3001708984375</c:v>
                </c:pt>
                <c:pt idx="5">
                  <c:v>7880.8997802734375</c:v>
                </c:pt>
                <c:pt idx="6">
                  <c:v>9520</c:v>
                </c:pt>
                <c:pt idx="7">
                  <c:v>9848</c:v>
                </c:pt>
                <c:pt idx="8">
                  <c:v>11192</c:v>
                </c:pt>
                <c:pt idx="9">
                  <c:v>11501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91-4451-902B-E5C55349F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24450104"/>
        <c:axId val="324450496"/>
      </c:barChart>
      <c:scatterChart>
        <c:scatterStyle val="smoothMarker"/>
        <c:varyColors val="0"/>
        <c:ser>
          <c:idx val="2"/>
          <c:order val="2"/>
          <c:tx>
            <c:v>Debt / Equity</c:v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yVal>
            <c:numRef>
              <c:f>Financials!$D$58:$M$58</c:f>
              <c:numCache>
                <c:formatCode>0.00</c:formatCode>
                <c:ptCount val="10"/>
                <c:pt idx="0">
                  <c:v>1.8210490656317424</c:v>
                </c:pt>
                <c:pt idx="1">
                  <c:v>1.7552412639768771</c:v>
                </c:pt>
                <c:pt idx="2">
                  <c:v>1.9431757886596388</c:v>
                </c:pt>
                <c:pt idx="3">
                  <c:v>2.0173017253983829</c:v>
                </c:pt>
                <c:pt idx="4">
                  <c:v>2.096099901019576</c:v>
                </c:pt>
                <c:pt idx="5">
                  <c:v>1.9221706781154733</c:v>
                </c:pt>
                <c:pt idx="6">
                  <c:v>2.487588189182127</c:v>
                </c:pt>
                <c:pt idx="7">
                  <c:v>2.3804689388445732</c:v>
                </c:pt>
                <c:pt idx="8">
                  <c:v>2.0235038871813416</c:v>
                </c:pt>
                <c:pt idx="9">
                  <c:v>1.8934804082976622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D91-4451-902B-E5C55349F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4447360"/>
        <c:axId val="324446968"/>
      </c:scatterChart>
      <c:catAx>
        <c:axId val="324450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450496"/>
        <c:crosses val="autoZero"/>
        <c:auto val="1"/>
        <c:lblAlgn val="ctr"/>
        <c:lblOffset val="100"/>
        <c:noMultiLvlLbl val="0"/>
      </c:catAx>
      <c:valAx>
        <c:axId val="32445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450104"/>
        <c:crosses val="autoZero"/>
        <c:crossBetween val="between"/>
      </c:valAx>
      <c:valAx>
        <c:axId val="324446968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447360"/>
        <c:crosses val="max"/>
        <c:crossBetween val="midCat"/>
      </c:valAx>
      <c:valAx>
        <c:axId val="324447360"/>
        <c:scaling>
          <c:orientation val="minMax"/>
        </c:scaling>
        <c:delete val="1"/>
        <c:axPos val="b"/>
        <c:majorTickMark val="out"/>
        <c:minorTickMark val="none"/>
        <c:tickLblPos val="nextTo"/>
        <c:crossAx val="324446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Current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Current assets</c:v>
          </c:tx>
          <c:spPr>
            <a:solidFill>
              <a:srgbClr val="92D050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Financials!$D$28:$M$28</c:f>
              <c:numCache>
                <c:formatCode>0.00</c:formatCode>
                <c:ptCount val="10"/>
                <c:pt idx="0">
                  <c:v>1627.300048828125</c:v>
                </c:pt>
                <c:pt idx="1">
                  <c:v>1663</c:v>
                </c:pt>
                <c:pt idx="2">
                  <c:v>1459.800048828125</c:v>
                </c:pt>
                <c:pt idx="3">
                  <c:v>1423.800048828125</c:v>
                </c:pt>
                <c:pt idx="4">
                  <c:v>1697.5</c:v>
                </c:pt>
                <c:pt idx="5">
                  <c:v>1888.0999755859375</c:v>
                </c:pt>
                <c:pt idx="6">
                  <c:v>1566</c:v>
                </c:pt>
                <c:pt idx="7">
                  <c:v>1543</c:v>
                </c:pt>
                <c:pt idx="8">
                  <c:v>3270</c:v>
                </c:pt>
                <c:pt idx="9">
                  <c:v>3802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A7-4D67-B636-EDCF6282012C}"/>
            </c:ext>
          </c:extLst>
        </c:ser>
        <c:ser>
          <c:idx val="1"/>
          <c:order val="1"/>
          <c:tx>
            <c:v>Current liabilities</c:v>
          </c:tx>
          <c:spPr>
            <a:solidFill>
              <a:schemeClr val="accent2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Financials!$D$36:$M$36</c:f>
              <c:numCache>
                <c:formatCode>0.00</c:formatCode>
                <c:ptCount val="10"/>
                <c:pt idx="0">
                  <c:v>1424.9000244140625</c:v>
                </c:pt>
                <c:pt idx="1">
                  <c:v>1430.9000244140625</c:v>
                </c:pt>
                <c:pt idx="2">
                  <c:v>1678.800048828125</c:v>
                </c:pt>
                <c:pt idx="3">
                  <c:v>1442</c:v>
                </c:pt>
                <c:pt idx="4">
                  <c:v>1690.0999755859375</c:v>
                </c:pt>
                <c:pt idx="5">
                  <c:v>1732.0999755859375</c:v>
                </c:pt>
                <c:pt idx="6">
                  <c:v>2028</c:v>
                </c:pt>
                <c:pt idx="7">
                  <c:v>1755</c:v>
                </c:pt>
                <c:pt idx="8">
                  <c:v>2297</c:v>
                </c:pt>
                <c:pt idx="9">
                  <c:v>2444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A7-4D67-B636-EDCF628201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24448536"/>
        <c:axId val="324448928"/>
      </c:barChart>
      <c:lineChart>
        <c:grouping val="stacked"/>
        <c:varyColors val="0"/>
        <c:ser>
          <c:idx val="2"/>
          <c:order val="2"/>
          <c:tx>
            <c:v>Current ratio</c:v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Financials!$D$59:$M$59</c:f>
              <c:numCache>
                <c:formatCode>0.00</c:formatCode>
                <c:ptCount val="10"/>
                <c:pt idx="0">
                  <c:v>1.1420450704934895</c:v>
                </c:pt>
                <c:pt idx="1">
                  <c:v>1.1622055850344839</c:v>
                </c:pt>
                <c:pt idx="2">
                  <c:v>0.86954968213583816</c:v>
                </c:pt>
                <c:pt idx="3">
                  <c:v>0.98737867463809292</c:v>
                </c:pt>
                <c:pt idx="4">
                  <c:v>1.0043784536541955</c:v>
                </c:pt>
                <c:pt idx="5">
                  <c:v>1.0900640853292709</c:v>
                </c:pt>
                <c:pt idx="6">
                  <c:v>0.77218934911242598</c:v>
                </c:pt>
                <c:pt idx="7">
                  <c:v>0.87920227920227922</c:v>
                </c:pt>
                <c:pt idx="8">
                  <c:v>1.4235959947757946</c:v>
                </c:pt>
                <c:pt idx="9">
                  <c:v>1.5556464811783961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A7-4D67-B636-EDCF628201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4912592"/>
        <c:axId val="324917688"/>
      </c:lineChart>
      <c:catAx>
        <c:axId val="324448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448928"/>
        <c:crosses val="autoZero"/>
        <c:auto val="1"/>
        <c:lblAlgn val="ctr"/>
        <c:lblOffset val="100"/>
        <c:noMultiLvlLbl val="0"/>
      </c:catAx>
      <c:valAx>
        <c:axId val="32444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448536"/>
        <c:crosses val="autoZero"/>
        <c:crossBetween val="between"/>
      </c:valAx>
      <c:valAx>
        <c:axId val="324917688"/>
        <c:scaling>
          <c:orientation val="minMax"/>
        </c:scaling>
        <c:delete val="0"/>
        <c:axPos val="r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2592"/>
        <c:crosses val="max"/>
        <c:crossBetween val="between"/>
      </c:valAx>
      <c:catAx>
        <c:axId val="324912592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7688"/>
        <c:crosses val="max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Profitability</a:t>
            </a:r>
            <a:r>
              <a:rPr lang="en-US" baseline="0"/>
              <a:t> </a:t>
            </a:r>
            <a:r>
              <a:rPr lang="en-US"/>
              <a:t>evolution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EBIDTA</c:v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Financials!$D$9:$M$9</c:f>
              <c:numCache>
                <c:formatCode>0.00</c:formatCode>
                <c:ptCount val="10"/>
                <c:pt idx="0">
                  <c:v>1194.199951171875</c:v>
                </c:pt>
                <c:pt idx="1">
                  <c:v>1368.5</c:v>
                </c:pt>
                <c:pt idx="2">
                  <c:v>1209</c:v>
                </c:pt>
                <c:pt idx="3">
                  <c:v>1388.9010009765625</c:v>
                </c:pt>
                <c:pt idx="4">
                  <c:v>1426.300048828125</c:v>
                </c:pt>
                <c:pt idx="5">
                  <c:v>1520</c:v>
                </c:pt>
                <c:pt idx="6">
                  <c:v>1065</c:v>
                </c:pt>
                <c:pt idx="7">
                  <c:v>1466</c:v>
                </c:pt>
                <c:pt idx="8">
                  <c:v>2852</c:v>
                </c:pt>
                <c:pt idx="9">
                  <c:v>2184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5D-49BE-8C18-62B89DC40B3C}"/>
            </c:ext>
          </c:extLst>
        </c:ser>
        <c:ser>
          <c:idx val="2"/>
          <c:order val="1"/>
          <c:tx>
            <c:v>Net Income</c:v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Financials!$D$6:$M$6</c:f>
              <c:numCache>
                <c:formatCode>0.00</c:formatCode>
                <c:ptCount val="10"/>
                <c:pt idx="0">
                  <c:v>278.10000610351563</c:v>
                </c:pt>
                <c:pt idx="1">
                  <c:v>337.20001220703125</c:v>
                </c:pt>
                <c:pt idx="2">
                  <c:v>281</c:v>
                </c:pt>
                <c:pt idx="3">
                  <c:v>364.70001220703125</c:v>
                </c:pt>
                <c:pt idx="4">
                  <c:v>436.60000610351563</c:v>
                </c:pt>
                <c:pt idx="5">
                  <c:v>719</c:v>
                </c:pt>
                <c:pt idx="6">
                  <c:v>256</c:v>
                </c:pt>
                <c:pt idx="7">
                  <c:v>532</c:v>
                </c:pt>
                <c:pt idx="8">
                  <c:v>1467</c:v>
                </c:pt>
                <c:pt idx="9">
                  <c:v>1073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5D-49BE-8C18-62B89DC40B3C}"/>
            </c:ext>
          </c:extLst>
        </c:ser>
        <c:ser>
          <c:idx val="3"/>
          <c:order val="2"/>
          <c:tx>
            <c:v>Free Cash Flow</c:v>
          </c:tx>
          <c:spPr>
            <a:gradFill rotWithShape="1">
              <a:gsLst>
                <a:gs pos="0">
                  <a:schemeClr val="accent1">
                    <a:lumMod val="60000"/>
                    <a:shade val="51000"/>
                    <a:satMod val="130000"/>
                  </a:schemeClr>
                </a:gs>
                <a:gs pos="80000">
                  <a:schemeClr val="accent1">
                    <a:lumMod val="60000"/>
                    <a:shade val="93000"/>
                    <a:satMod val="130000"/>
                  </a:schemeClr>
                </a:gs>
                <a:gs pos="100000">
                  <a:schemeClr val="accent1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Financials!$D$20:$M$20</c:f>
              <c:numCache>
                <c:formatCode>0.00</c:formatCode>
                <c:ptCount val="10"/>
                <c:pt idx="0">
                  <c:v>315.5</c:v>
                </c:pt>
                <c:pt idx="1">
                  <c:v>548.5999755859375</c:v>
                </c:pt>
                <c:pt idx="2">
                  <c:v>673.20001220703125</c:v>
                </c:pt>
                <c:pt idx="3">
                  <c:v>405.89999389648438</c:v>
                </c:pt>
                <c:pt idx="4">
                  <c:v>325.5</c:v>
                </c:pt>
                <c:pt idx="5">
                  <c:v>511</c:v>
                </c:pt>
                <c:pt idx="6">
                  <c:v>373</c:v>
                </c:pt>
                <c:pt idx="7">
                  <c:v>447</c:v>
                </c:pt>
                <c:pt idx="8">
                  <c:v>791</c:v>
                </c:pt>
                <c:pt idx="9">
                  <c:v>-88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B5D-49BE-8C18-62B89DC40B3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324913768"/>
        <c:axId val="324912984"/>
      </c:barChart>
      <c:valAx>
        <c:axId val="324912984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3768"/>
        <c:crosses val="max"/>
        <c:crossBetween val="between"/>
      </c:valAx>
      <c:catAx>
        <c:axId val="324913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29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ROA ROE ROIC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ROA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Financials!$D$76:$M$76</c:f>
              <c:numCache>
                <c:formatCode>0.00</c:formatCode>
                <c:ptCount val="10"/>
                <c:pt idx="0">
                  <c:v>2.7785549191391619</c:v>
                </c:pt>
                <c:pt idx="1">
                  <c:v>3.3409294779256018</c:v>
                </c:pt>
                <c:pt idx="2">
                  <c:v>2.6725762716579329</c:v>
                </c:pt>
                <c:pt idx="3">
                  <c:v>3.3621579525769199</c:v>
                </c:pt>
                <c:pt idx="4">
                  <c:v>3.7695774441907415</c:v>
                </c:pt>
                <c:pt idx="5">
                  <c:v>6.0012187163424606</c:v>
                </c:pt>
                <c:pt idx="6">
                  <c:v>1.9180340151344872</c:v>
                </c:pt>
                <c:pt idx="7">
                  <c:v>3.8040757954951734</c:v>
                </c:pt>
                <c:pt idx="8">
                  <c:v>8.772349458829158</c:v>
                </c:pt>
                <c:pt idx="9">
                  <c:v>6.1052631578947372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6F-45DB-907A-A59C0CB47A38}"/>
            </c:ext>
          </c:extLst>
        </c:ser>
        <c:ser>
          <c:idx val="1"/>
          <c:order val="1"/>
          <c:tx>
            <c:v>ROE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Financials!$D$77:$M$77</c:f>
              <c:numCache>
                <c:formatCode>0.00</c:formatCode>
                <c:ptCount val="10"/>
                <c:pt idx="0">
                  <c:v>7.8384397584439984</c:v>
                </c:pt>
                <c:pt idx="1">
                  <c:v>9.2050667576173435</c:v>
                </c:pt>
                <c:pt idx="2">
                  <c:v>7.8658617760898508</c:v>
                </c:pt>
                <c:pt idx="3">
                  <c:v>10.144644991372205</c:v>
                </c:pt>
                <c:pt idx="4">
                  <c:v>11.67098835184458</c:v>
                </c:pt>
                <c:pt idx="5">
                  <c:v>17.536585365853657</c:v>
                </c:pt>
                <c:pt idx="6">
                  <c:v>6.68931277763261</c:v>
                </c:pt>
                <c:pt idx="7">
                  <c:v>12.859560067681896</c:v>
                </c:pt>
                <c:pt idx="8">
                  <c:v>26.523232688483095</c:v>
                </c:pt>
                <c:pt idx="9">
                  <c:v>17.665459334869936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6F-45DB-907A-A59C0CB47A38}"/>
            </c:ext>
          </c:extLst>
        </c:ser>
        <c:ser>
          <c:idx val="2"/>
          <c:order val="2"/>
          <c:tx>
            <c:v>ROIC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Financials!$D$78:$M$78</c:f>
              <c:numCache>
                <c:formatCode>0.00</c:formatCode>
                <c:ptCount val="10"/>
                <c:pt idx="0">
                  <c:v>7.1100001335144043</c:v>
                </c:pt>
                <c:pt idx="1">
                  <c:v>7.6700000762939453</c:v>
                </c:pt>
                <c:pt idx="2">
                  <c:v>6.8000001907348633</c:v>
                </c:pt>
                <c:pt idx="3">
                  <c:v>7.570000171661377</c:v>
                </c:pt>
                <c:pt idx="4">
                  <c:v>8</c:v>
                </c:pt>
                <c:pt idx="5">
                  <c:v>11.529999732971191</c:v>
                </c:pt>
                <c:pt idx="6">
                  <c:v>4.679999828338623</c:v>
                </c:pt>
                <c:pt idx="7">
                  <c:v>7.4600000381469727</c:v>
                </c:pt>
                <c:pt idx="8">
                  <c:v>14.869999885559082</c:v>
                </c:pt>
                <c:pt idx="9">
                  <c:v>10.489999771118164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6F-45DB-907A-A59C0CB47A3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24912200"/>
        <c:axId val="324911024"/>
      </c:lineChart>
      <c:catAx>
        <c:axId val="32491220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1024"/>
        <c:crosses val="autoZero"/>
        <c:auto val="1"/>
        <c:lblAlgn val="ctr"/>
        <c:lblOffset val="100"/>
        <c:noMultiLvlLbl val="1"/>
      </c:catAx>
      <c:valAx>
        <c:axId val="32491102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2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Shares outstanding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Financials!$D$12:$M$12</c:f>
              <c:numCache>
                <c:formatCode>0.00</c:formatCode>
                <c:ptCount val="10"/>
                <c:pt idx="0">
                  <c:v>173.28199768066406</c:v>
                </c:pt>
                <c:pt idx="1">
                  <c:v>175.23100280761719</c:v>
                </c:pt>
                <c:pt idx="2">
                  <c:v>175.66700744628906</c:v>
                </c:pt>
                <c:pt idx="3">
                  <c:v>175.57200622558594</c:v>
                </c:pt>
                <c:pt idx="4">
                  <c:v>177.15899658203125</c:v>
                </c:pt>
                <c:pt idx="5">
                  <c:v>176.90499877929688</c:v>
                </c:pt>
                <c:pt idx="6">
                  <c:v>181.11099243164063</c:v>
                </c:pt>
                <c:pt idx="7">
                  <c:v>209.86900329589844</c:v>
                </c:pt>
                <c:pt idx="8">
                  <c:v>212.12600708007813</c:v>
                </c:pt>
                <c:pt idx="9">
                  <c:v>215.82099914550781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55-4179-91AC-A4368A515C1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24911416"/>
        <c:axId val="324916120"/>
      </c:barChart>
      <c:catAx>
        <c:axId val="324911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6120"/>
        <c:crosses val="autoZero"/>
        <c:auto val="1"/>
        <c:lblAlgn val="ctr"/>
        <c:lblOffset val="100"/>
        <c:noMultiLvlLbl val="0"/>
      </c:catAx>
      <c:valAx>
        <c:axId val="324916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1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291727</xdr:colOff>
      <xdr:row>25</xdr:row>
      <xdr:rowOff>184524</xdr:rowOff>
    </xdr:from>
    <xdr:to>
      <xdr:col>16</xdr:col>
      <xdr:colOff>261472</xdr:colOff>
      <xdr:row>44</xdr:row>
      <xdr:rowOff>134471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433295</xdr:colOff>
      <xdr:row>83</xdr:row>
      <xdr:rowOff>175558</xdr:rowOff>
    </xdr:from>
    <xdr:to>
      <xdr:col>16</xdr:col>
      <xdr:colOff>351866</xdr:colOff>
      <xdr:row>102</xdr:row>
      <xdr:rowOff>125132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310777</xdr:colOff>
      <xdr:row>64</xdr:row>
      <xdr:rowOff>8141</xdr:rowOff>
    </xdr:from>
    <xdr:to>
      <xdr:col>33</xdr:col>
      <xdr:colOff>431427</xdr:colOff>
      <xdr:row>82</xdr:row>
      <xdr:rowOff>40342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291353</xdr:colOff>
      <xdr:row>84</xdr:row>
      <xdr:rowOff>79245</xdr:rowOff>
    </xdr:from>
    <xdr:to>
      <xdr:col>33</xdr:col>
      <xdr:colOff>430508</xdr:colOff>
      <xdr:row>102</xdr:row>
      <xdr:rowOff>162821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320115</xdr:colOff>
      <xdr:row>45</xdr:row>
      <xdr:rowOff>110192</xdr:rowOff>
    </xdr:from>
    <xdr:to>
      <xdr:col>33</xdr:col>
      <xdr:colOff>313766</xdr:colOff>
      <xdr:row>62</xdr:row>
      <xdr:rowOff>135592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288365</xdr:colOff>
      <xdr:row>45</xdr:row>
      <xdr:rowOff>148291</xdr:rowOff>
    </xdr:from>
    <xdr:to>
      <xdr:col>16</xdr:col>
      <xdr:colOff>212166</xdr:colOff>
      <xdr:row>62</xdr:row>
      <xdr:rowOff>154641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399677</xdr:colOff>
      <xdr:row>1</xdr:row>
      <xdr:rowOff>70221</xdr:rowOff>
    </xdr:from>
    <xdr:to>
      <xdr:col>16</xdr:col>
      <xdr:colOff>273051</xdr:colOff>
      <xdr:row>24</xdr:row>
      <xdr:rowOff>37352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294105</xdr:colOff>
      <xdr:row>25</xdr:row>
      <xdr:rowOff>174123</xdr:rowOff>
    </xdr:from>
    <xdr:to>
      <xdr:col>33</xdr:col>
      <xdr:colOff>387349</xdr:colOff>
      <xdr:row>44</xdr:row>
      <xdr:rowOff>139700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413251</xdr:colOff>
      <xdr:row>125</xdr:row>
      <xdr:rowOff>335</xdr:rowOff>
    </xdr:from>
    <xdr:to>
      <xdr:col>16</xdr:col>
      <xdr:colOff>406400</xdr:colOff>
      <xdr:row>143</xdr:row>
      <xdr:rowOff>120650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419100</xdr:colOff>
      <xdr:row>104</xdr:row>
      <xdr:rowOff>161471</xdr:rowOff>
    </xdr:from>
    <xdr:to>
      <xdr:col>16</xdr:col>
      <xdr:colOff>406400</xdr:colOff>
      <xdr:row>123</xdr:row>
      <xdr:rowOff>114300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17</xdr:col>
      <xdr:colOff>304799</xdr:colOff>
      <xdr:row>105</xdr:row>
      <xdr:rowOff>33564</xdr:rowOff>
    </xdr:from>
    <xdr:to>
      <xdr:col>33</xdr:col>
      <xdr:colOff>363765</xdr:colOff>
      <xdr:row>123</xdr:row>
      <xdr:rowOff>165100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17</xdr:col>
      <xdr:colOff>320674</xdr:colOff>
      <xdr:row>1</xdr:row>
      <xdr:rowOff>82550</xdr:rowOff>
    </xdr:from>
    <xdr:to>
      <xdr:col>33</xdr:col>
      <xdr:colOff>311150</xdr:colOff>
      <xdr:row>24</xdr:row>
      <xdr:rowOff>31750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323281</xdr:colOff>
      <xdr:row>63</xdr:row>
      <xdr:rowOff>138398</xdr:rowOff>
    </xdr:from>
    <xdr:to>
      <xdr:col>16</xdr:col>
      <xdr:colOff>244232</xdr:colOff>
      <xdr:row>82</xdr:row>
      <xdr:rowOff>67571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30EF526C-4CEE-D15C-6E9C-073E5DDA42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19051</xdr:colOff>
      <xdr:row>1</xdr:row>
      <xdr:rowOff>101600</xdr:rowOff>
    </xdr:from>
    <xdr:to>
      <xdr:col>14</xdr:col>
      <xdr:colOff>355601</xdr:colOff>
      <xdr:row>11</xdr:row>
      <xdr:rowOff>184149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83801" y="469900"/>
          <a:ext cx="2774950" cy="2006599"/>
        </a:xfrm>
        <a:prstGeom prst="rect">
          <a:avLst/>
        </a:prstGeom>
      </xdr:spPr>
    </xdr:pic>
    <xdr:clientData/>
  </xdr:twoCellAnchor>
  <xdr:twoCellAnchor editAs="oneCell">
    <xdr:from>
      <xdr:col>15</xdr:col>
      <xdr:colOff>533400</xdr:colOff>
      <xdr:row>2</xdr:row>
      <xdr:rowOff>171450</xdr:rowOff>
    </xdr:from>
    <xdr:to>
      <xdr:col>19</xdr:col>
      <xdr:colOff>464485</xdr:colOff>
      <xdr:row>4</xdr:row>
      <xdr:rowOff>25399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646150" y="793750"/>
          <a:ext cx="2369485" cy="234949"/>
        </a:xfrm>
        <a:prstGeom prst="rect">
          <a:avLst/>
        </a:prstGeom>
      </xdr:spPr>
    </xdr:pic>
    <xdr:clientData/>
  </xdr:twoCellAnchor>
  <xdr:twoCellAnchor editAs="oneCell">
    <xdr:from>
      <xdr:col>9</xdr:col>
      <xdr:colOff>590551</xdr:colOff>
      <xdr:row>15</xdr:row>
      <xdr:rowOff>25400</xdr:rowOff>
    </xdr:from>
    <xdr:to>
      <xdr:col>15</xdr:col>
      <xdr:colOff>304801</xdr:colOff>
      <xdr:row>17</xdr:row>
      <xdr:rowOff>213669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045701" y="3175000"/>
          <a:ext cx="3371850" cy="594669"/>
        </a:xfrm>
        <a:prstGeom prst="rect">
          <a:avLst/>
        </a:prstGeom>
      </xdr:spPr>
    </xdr:pic>
    <xdr:clientData/>
  </xdr:twoCellAnchor>
  <xdr:oneCellAnchor>
    <xdr:from>
      <xdr:col>9</xdr:col>
      <xdr:colOff>600075</xdr:colOff>
      <xdr:row>24</xdr:row>
      <xdr:rowOff>50800</xdr:rowOff>
    </xdr:from>
    <xdr:ext cx="4526945" cy="63831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00000000-0008-0000-0200-000005000000}"/>
                </a:ext>
              </a:extLst>
            </xdr:cNvPr>
            <xdr:cNvSpPr txBox="1"/>
          </xdr:nvSpPr>
          <xdr:spPr>
            <a:xfrm>
              <a:off x="10055225" y="4965700"/>
              <a:ext cx="4526945" cy="6383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2000" b="0" i="1">
                        <a:latin typeface="Cambria Math" panose="02040503050406030204" pitchFamily="18" charset="0"/>
                      </a:rPr>
                      <m:t>𝑅𝑑</m:t>
                    </m:r>
                    <m:r>
                      <a:rPr lang="en-US" sz="2000" b="0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en-US" sz="20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𝑇𝑜𝑡𝑎𝑙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𝑑𝑒𝑏𝑡</m:t>
                        </m:r>
                      </m:num>
                      <m:den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𝐼𝑛𝑡𝑒𝑟𝑒𝑠𝑡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𝐸𝑥𝑝𝑒𝑛𝑠𝑒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𝑁𝑜𝑛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𝑂𝑝𝑒𝑟𝑎𝑡𝑖𝑛𝑔</m:t>
                        </m:r>
                      </m:den>
                    </m:f>
                  </m:oMath>
                </m:oMathPara>
              </a14:m>
              <a:endParaRPr lang="en-US" sz="2000"/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10055225" y="4965700"/>
              <a:ext cx="4526945" cy="6383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2000" b="0" i="0">
                  <a:latin typeface="Cambria Math" panose="02040503050406030204" pitchFamily="18" charset="0"/>
                </a:rPr>
                <a:t>𝑅𝑑=  (𝑇𝑜𝑡𝑎𝑙 𝑑𝑒𝑏𝑡)/(𝐼𝑛𝑡𝑒𝑟𝑒𝑠𝑡 𝐸𝑥𝑝𝑒𝑛𝑠𝑒 𝑁𝑜𝑛 𝑂𝑝𝑒𝑟𝑎𝑡𝑖𝑛𝑔)</a:t>
              </a:r>
              <a:endParaRPr lang="en-US" sz="20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882650</xdr:colOff>
      <xdr:row>32</xdr:row>
      <xdr:rowOff>19824</xdr:rowOff>
    </xdr:from>
    <xdr:to>
      <xdr:col>27</xdr:col>
      <xdr:colOff>107950</xdr:colOff>
      <xdr:row>47</xdr:row>
      <xdr:rowOff>243839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376400" y="7849374"/>
          <a:ext cx="8864600" cy="3037065"/>
        </a:xfrm>
        <a:prstGeom prst="rect">
          <a:avLst/>
        </a:prstGeom>
      </xdr:spPr>
    </xdr:pic>
    <xdr:clientData/>
  </xdr:twoCellAnchor>
  <xdr:twoCellAnchor editAs="oneCell">
    <xdr:from>
      <xdr:col>12</xdr:col>
      <xdr:colOff>900945</xdr:colOff>
      <xdr:row>14</xdr:row>
      <xdr:rowOff>82550</xdr:rowOff>
    </xdr:from>
    <xdr:to>
      <xdr:col>27</xdr:col>
      <xdr:colOff>100558</xdr:colOff>
      <xdr:row>37</xdr:row>
      <xdr:rowOff>14307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394695" y="3365500"/>
          <a:ext cx="8838913" cy="434825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6350</xdr:colOff>
      <xdr:row>1</xdr:row>
      <xdr:rowOff>158750</xdr:rowOff>
    </xdr:from>
    <xdr:to>
      <xdr:col>7</xdr:col>
      <xdr:colOff>361949</xdr:colOff>
      <xdr:row>9</xdr:row>
      <xdr:rowOff>181709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5950" y="342900"/>
          <a:ext cx="5492749" cy="1496159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fred.stlouisfed.org/series/BAMLC0A2CAAEY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V47"/>
  <sheetViews>
    <sheetView showGridLines="0" topLeftCell="A10" zoomScale="75" workbookViewId="0">
      <selection activeCell="H36" sqref="H36"/>
    </sheetView>
  </sheetViews>
  <sheetFormatPr defaultRowHeight="14.5"/>
  <cols>
    <col min="2" max="2" width="16.90625" bestFit="1" customWidth="1"/>
    <col min="3" max="3" width="31.453125" bestFit="1" customWidth="1"/>
    <col min="4" max="4" width="7.08984375" customWidth="1"/>
    <col min="5" max="5" width="22.1796875" bestFit="1" customWidth="1"/>
    <col min="6" max="6" width="19.54296875" customWidth="1"/>
    <col min="20" max="20" width="7.453125" bestFit="1" customWidth="1"/>
  </cols>
  <sheetData>
    <row r="2" spans="2:22" ht="15" thickBot="1"/>
    <row r="3" spans="2:22">
      <c r="B3" s="139" t="s">
        <v>159</v>
      </c>
      <c r="C3" s="140"/>
      <c r="D3" s="140"/>
      <c r="E3" s="140"/>
      <c r="F3" s="140"/>
      <c r="G3" s="140"/>
      <c r="H3" s="140"/>
      <c r="I3" s="140"/>
      <c r="J3" s="140"/>
      <c r="K3" s="140"/>
      <c r="L3" s="140"/>
      <c r="M3" s="140"/>
      <c r="N3" s="140"/>
      <c r="O3" s="140"/>
      <c r="P3" s="141"/>
    </row>
    <row r="4" spans="2:22">
      <c r="B4" s="142"/>
      <c r="C4" s="143"/>
      <c r="D4" s="143"/>
      <c r="E4" s="143"/>
      <c r="F4" s="143"/>
      <c r="G4" s="143"/>
      <c r="H4" s="143"/>
      <c r="I4" s="143"/>
      <c r="J4" s="143"/>
      <c r="K4" s="143"/>
      <c r="L4" s="143"/>
      <c r="M4" s="143"/>
      <c r="N4" s="143"/>
      <c r="O4" s="143"/>
      <c r="P4" s="144"/>
    </row>
    <row r="5" spans="2:22">
      <c r="B5" s="142"/>
      <c r="C5" s="143"/>
      <c r="D5" s="143"/>
      <c r="E5" s="143"/>
      <c r="F5" s="143"/>
      <c r="G5" s="143"/>
      <c r="H5" s="143"/>
      <c r="I5" s="143"/>
      <c r="J5" s="143"/>
      <c r="K5" s="143"/>
      <c r="L5" s="143"/>
      <c r="M5" s="143"/>
      <c r="N5" s="143"/>
      <c r="O5" s="143"/>
      <c r="P5" s="144"/>
    </row>
    <row r="6" spans="2:22" ht="15" thickBot="1">
      <c r="B6" s="145"/>
      <c r="C6" s="146"/>
      <c r="D6" s="146"/>
      <c r="E6" s="146"/>
      <c r="F6" s="146"/>
      <c r="G6" s="146"/>
      <c r="H6" s="146"/>
      <c r="I6" s="146"/>
      <c r="J6" s="146"/>
      <c r="K6" s="146"/>
      <c r="L6" s="146"/>
      <c r="M6" s="146"/>
      <c r="N6" s="146"/>
      <c r="O6" s="146"/>
      <c r="P6" s="147"/>
    </row>
    <row r="8" spans="2:22" ht="13.5" customHeight="1"/>
    <row r="10" spans="2:22" ht="17.5" thickBot="1">
      <c r="B10" s="2" t="s">
        <v>86</v>
      </c>
      <c r="C10" s="2" t="s">
        <v>66</v>
      </c>
      <c r="D10" s="2"/>
      <c r="E10" s="2" t="s">
        <v>67</v>
      </c>
      <c r="F10" s="2" t="s">
        <v>95</v>
      </c>
      <c r="G10" s="2">
        <v>2013</v>
      </c>
      <c r="H10" s="2">
        <v>2014</v>
      </c>
      <c r="I10" s="2">
        <v>2015</v>
      </c>
      <c r="J10" s="2">
        <v>2016</v>
      </c>
      <c r="K10" s="2">
        <v>2017</v>
      </c>
      <c r="L10" s="2">
        <v>2018</v>
      </c>
      <c r="M10" s="2">
        <v>2019</v>
      </c>
      <c r="N10" s="2">
        <v>2020</v>
      </c>
      <c r="O10" s="2">
        <v>2021</v>
      </c>
      <c r="P10" s="2">
        <v>2022</v>
      </c>
    </row>
    <row r="11" spans="2:22" ht="19" thickTop="1">
      <c r="B11" s="148" t="s">
        <v>87</v>
      </c>
      <c r="C11" s="35"/>
      <c r="D11" s="35"/>
      <c r="E11" s="45"/>
      <c r="F11" s="45"/>
      <c r="G11" s="39"/>
      <c r="H11" s="39"/>
      <c r="I11" s="39"/>
      <c r="J11" s="39"/>
      <c r="K11" s="39"/>
      <c r="L11" s="39"/>
      <c r="M11" s="39"/>
      <c r="N11" s="39"/>
      <c r="O11" s="39"/>
      <c r="P11" s="39"/>
      <c r="T11" s="54" t="s">
        <v>99</v>
      </c>
      <c r="U11" s="55" t="s">
        <v>97</v>
      </c>
      <c r="V11" s="56" t="s">
        <v>98</v>
      </c>
    </row>
    <row r="12" spans="2:22" ht="18.5">
      <c r="B12" s="149"/>
      <c r="C12" s="35" t="s">
        <v>149</v>
      </c>
      <c r="D12" s="55" t="str">
        <f>U11</f>
        <v>K</v>
      </c>
      <c r="E12" s="45" t="s">
        <v>141</v>
      </c>
      <c r="F12" s="123">
        <f>AVERAGE(L12:P12)</f>
        <v>5.3201882287392035</v>
      </c>
      <c r="G12" s="119">
        <f>Financials!D76</f>
        <v>2.7785549191391619</v>
      </c>
      <c r="H12" s="119">
        <f>Financials!E76</f>
        <v>3.3409294779256018</v>
      </c>
      <c r="I12" s="119">
        <f>Financials!F76</f>
        <v>2.6725762716579329</v>
      </c>
      <c r="J12" s="119">
        <f>Financials!G76</f>
        <v>3.3621579525769199</v>
      </c>
      <c r="K12" s="119">
        <f>Financials!H76</f>
        <v>3.7695774441907415</v>
      </c>
      <c r="L12" s="119">
        <f>Financials!I76</f>
        <v>6.0012187163424606</v>
      </c>
      <c r="M12" s="119">
        <f>Financials!J76</f>
        <v>1.9180340151344872</v>
      </c>
      <c r="N12" s="119">
        <f>Financials!K76</f>
        <v>3.8040757954951734</v>
      </c>
      <c r="O12" s="119">
        <f>Financials!L76</f>
        <v>8.772349458829158</v>
      </c>
      <c r="P12" s="119">
        <f>Financials!M76</f>
        <v>6.1052631578947372</v>
      </c>
    </row>
    <row r="13" spans="2:22">
      <c r="B13" s="149"/>
      <c r="C13" s="35"/>
      <c r="D13" s="35"/>
      <c r="E13" s="45"/>
      <c r="F13" s="45"/>
      <c r="G13" s="119"/>
      <c r="H13" s="119"/>
      <c r="I13" s="119"/>
      <c r="J13" s="119"/>
      <c r="K13" s="119"/>
      <c r="L13" s="119"/>
      <c r="M13" s="119"/>
      <c r="N13" s="119"/>
      <c r="O13" s="119"/>
      <c r="P13" s="119"/>
    </row>
    <row r="14" spans="2:22" ht="18.5">
      <c r="B14" s="150"/>
      <c r="C14" s="35" t="s">
        <v>150</v>
      </c>
      <c r="D14" s="54" t="str">
        <f>T11</f>
        <v>J</v>
      </c>
      <c r="E14" s="46">
        <v>0.08</v>
      </c>
      <c r="F14" s="124">
        <f>AVERAGE(L14:P14)</f>
        <v>16.254830046904239</v>
      </c>
      <c r="G14" s="40">
        <f>Financials!D77</f>
        <v>7.8384397584439984</v>
      </c>
      <c r="H14" s="40">
        <f>Financials!E77</f>
        <v>9.2050667576173435</v>
      </c>
      <c r="I14" s="40">
        <f>Financials!F77</f>
        <v>7.8658617760898508</v>
      </c>
      <c r="J14" s="40">
        <f>Financials!G77</f>
        <v>10.144644991372205</v>
      </c>
      <c r="K14" s="40">
        <f>Financials!H77</f>
        <v>11.67098835184458</v>
      </c>
      <c r="L14" s="40">
        <f>Financials!I77</f>
        <v>17.536585365853657</v>
      </c>
      <c r="M14" s="40">
        <f>Financials!J77</f>
        <v>6.68931277763261</v>
      </c>
      <c r="N14" s="40">
        <f>Financials!K77</f>
        <v>12.859560067681896</v>
      </c>
      <c r="O14" s="40">
        <f>Financials!L77</f>
        <v>26.523232688483095</v>
      </c>
      <c r="P14" s="40">
        <f>Financials!M77</f>
        <v>17.665459334869936</v>
      </c>
      <c r="R14" s="44"/>
      <c r="S14" s="44"/>
      <c r="T14" s="44"/>
    </row>
    <row r="15" spans="2:22">
      <c r="B15" s="150"/>
      <c r="C15" s="35"/>
      <c r="D15" s="35"/>
      <c r="E15" s="45"/>
      <c r="F15" s="45"/>
      <c r="G15" s="40"/>
      <c r="H15" s="40"/>
      <c r="I15" s="40"/>
      <c r="J15" s="40"/>
      <c r="K15" s="40"/>
      <c r="L15" s="40"/>
      <c r="M15" s="40"/>
      <c r="N15" s="40"/>
      <c r="O15" s="40"/>
      <c r="P15" s="40"/>
      <c r="R15" s="44"/>
      <c r="S15" s="44"/>
      <c r="T15" s="44"/>
    </row>
    <row r="16" spans="2:22" ht="18.5">
      <c r="B16" s="150"/>
      <c r="C16" s="35" t="s">
        <v>151</v>
      </c>
      <c r="D16" s="54" t="str">
        <f>T11</f>
        <v>J</v>
      </c>
      <c r="E16" s="47">
        <f>WACC!$C$25</f>
        <v>6.7876669991130206E-2</v>
      </c>
      <c r="F16" s="124">
        <f>AVERAGE(L16:P16)</f>
        <v>9.8059998512268063</v>
      </c>
      <c r="G16" s="40">
        <f>Financials!D78</f>
        <v>7.1100001335144043</v>
      </c>
      <c r="H16" s="40">
        <f>Financials!E78</f>
        <v>7.6700000762939453</v>
      </c>
      <c r="I16" s="40">
        <f>Financials!F78</f>
        <v>6.8000001907348633</v>
      </c>
      <c r="J16" s="40">
        <f>Financials!G78</f>
        <v>7.570000171661377</v>
      </c>
      <c r="K16" s="40">
        <f>Financials!H78</f>
        <v>8</v>
      </c>
      <c r="L16" s="40">
        <f>Financials!I78</f>
        <v>11.529999732971191</v>
      </c>
      <c r="M16" s="40">
        <f>Financials!J78</f>
        <v>4.679999828338623</v>
      </c>
      <c r="N16" s="40">
        <f>Financials!K78</f>
        <v>7.4600000381469727</v>
      </c>
      <c r="O16" s="40">
        <f>Financials!L78</f>
        <v>14.869999885559082</v>
      </c>
      <c r="P16" s="40">
        <f>Financials!M78</f>
        <v>10.489999771118164</v>
      </c>
      <c r="R16" s="44"/>
      <c r="S16" s="44"/>
      <c r="T16" s="44"/>
    </row>
    <row r="17" spans="2:20">
      <c r="B17" s="151" t="s">
        <v>63</v>
      </c>
      <c r="C17" s="36"/>
      <c r="D17" s="36"/>
      <c r="E17" s="48"/>
      <c r="F17" s="48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4"/>
      <c r="R17" s="44"/>
      <c r="S17" s="44"/>
      <c r="T17" s="44"/>
    </row>
    <row r="18" spans="2:20" ht="18.5">
      <c r="B18" s="152"/>
      <c r="C18" s="36" t="s">
        <v>152</v>
      </c>
      <c r="D18" s="55" t="str">
        <f>U11</f>
        <v>K</v>
      </c>
      <c r="E18" s="48" t="s">
        <v>68</v>
      </c>
      <c r="F18" s="125">
        <f>AVERAGE(L18:P18)</f>
        <v>1.1441396379196334</v>
      </c>
      <c r="G18" s="42">
        <f>Financials!D59</f>
        <v>1.1420450704934895</v>
      </c>
      <c r="H18" s="42">
        <f>Financials!E59</f>
        <v>1.1622055850344839</v>
      </c>
      <c r="I18" s="42">
        <f>Financials!F59</f>
        <v>0.86954968213583816</v>
      </c>
      <c r="J18" s="42">
        <f>Financials!G59</f>
        <v>0.98737867463809292</v>
      </c>
      <c r="K18" s="42">
        <f>Financials!H59</f>
        <v>1.0043784536541955</v>
      </c>
      <c r="L18" s="42">
        <f>Financials!I59</f>
        <v>1.0900640853292709</v>
      </c>
      <c r="M18" s="42">
        <f>Financials!J59</f>
        <v>0.77218934911242598</v>
      </c>
      <c r="N18" s="42">
        <f>Financials!K59</f>
        <v>0.87920227920227922</v>
      </c>
      <c r="O18" s="42">
        <f>Financials!L59</f>
        <v>1.4235959947757946</v>
      </c>
      <c r="P18" s="42">
        <f>Financials!M59</f>
        <v>1.5556464811783961</v>
      </c>
      <c r="Q18" s="44"/>
      <c r="R18" s="44"/>
      <c r="S18" s="44"/>
      <c r="T18" s="44"/>
    </row>
    <row r="19" spans="2:20">
      <c r="B19" s="152"/>
      <c r="C19" s="36"/>
      <c r="D19" s="36"/>
      <c r="E19" s="48"/>
      <c r="F19" s="48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4"/>
      <c r="R19" s="44"/>
      <c r="S19" s="44"/>
      <c r="T19" s="44"/>
    </row>
    <row r="20" spans="2:20" ht="18.5">
      <c r="B20" s="152"/>
      <c r="C20" s="36" t="s">
        <v>156</v>
      </c>
      <c r="D20" s="56" t="str">
        <f>V11</f>
        <v>L</v>
      </c>
      <c r="E20" s="49" t="s">
        <v>137</v>
      </c>
      <c r="F20" s="125">
        <f>AVERAGE(L20:P20)</f>
        <v>2.1414424203242355</v>
      </c>
      <c r="G20" s="42">
        <f>Financials!D58</f>
        <v>1.8210490656317424</v>
      </c>
      <c r="H20" s="42">
        <f>Financials!E58</f>
        <v>1.7552412639768771</v>
      </c>
      <c r="I20" s="42">
        <f>Financials!F58</f>
        <v>1.9431757886596388</v>
      </c>
      <c r="J20" s="42">
        <f>Financials!G58</f>
        <v>2.0173017253983829</v>
      </c>
      <c r="K20" s="42">
        <f>Financials!H58</f>
        <v>2.096099901019576</v>
      </c>
      <c r="L20" s="42">
        <f>Financials!I58</f>
        <v>1.9221706781154733</v>
      </c>
      <c r="M20" s="42">
        <f>Financials!J58</f>
        <v>2.487588189182127</v>
      </c>
      <c r="N20" s="42">
        <f>Financials!K58</f>
        <v>2.3804689388445732</v>
      </c>
      <c r="O20" s="42">
        <f>Financials!L58</f>
        <v>2.0235038871813416</v>
      </c>
      <c r="P20" s="42">
        <f>Financials!M58</f>
        <v>1.8934804082976622</v>
      </c>
      <c r="Q20" s="44"/>
      <c r="R20" s="44"/>
      <c r="S20" s="44"/>
      <c r="T20" s="44"/>
    </row>
    <row r="21" spans="2:20">
      <c r="B21" s="132"/>
      <c r="C21" s="36"/>
      <c r="D21" s="137"/>
      <c r="E21" s="49"/>
      <c r="F21" s="125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4"/>
      <c r="R21" s="44"/>
      <c r="S21" s="44"/>
      <c r="T21" s="44"/>
    </row>
    <row r="22" spans="2:20" ht="18.5">
      <c r="B22" s="132"/>
      <c r="C22" s="36" t="s">
        <v>157</v>
      </c>
      <c r="D22" s="55" t="str">
        <f>U11</f>
        <v>K</v>
      </c>
      <c r="E22" s="49" t="s">
        <v>158</v>
      </c>
      <c r="F22" s="125">
        <f>AVERAGE(L22:P22)</f>
        <v>3.4852113884304017</v>
      </c>
      <c r="G22" s="42">
        <f>Financials!D60</f>
        <v>2.9661699011927483</v>
      </c>
      <c r="H22" s="42">
        <f>Financials!E60</f>
        <v>2.5090245507170259</v>
      </c>
      <c r="I22" s="42">
        <f>Financials!F60</f>
        <v>2.8200992555831266</v>
      </c>
      <c r="J22" s="42">
        <f>Financials!G60</f>
        <v>2.7114963538452783</v>
      </c>
      <c r="K22" s="42">
        <f>Financials!H60</f>
        <v>2.8006730427712423</v>
      </c>
      <c r="L22" s="42">
        <f>Financials!I60</f>
        <v>2.7279605263157896</v>
      </c>
      <c r="M22" s="42">
        <f>Financials!J60</f>
        <v>5.427230046948357</v>
      </c>
      <c r="N22" s="42">
        <f>Financials!K60</f>
        <v>4.0798090040927697</v>
      </c>
      <c r="O22" s="42">
        <f>Financials!L60</f>
        <v>2.2226507713884991</v>
      </c>
      <c r="P22" s="42">
        <f>Financials!M60</f>
        <v>2.9684065934065935</v>
      </c>
      <c r="Q22" s="44"/>
      <c r="R22" s="44"/>
      <c r="S22" s="44"/>
      <c r="T22" s="44"/>
    </row>
    <row r="23" spans="2:20">
      <c r="B23" s="157" t="s">
        <v>94</v>
      </c>
      <c r="C23" s="35"/>
      <c r="D23" s="35"/>
      <c r="E23" s="50"/>
      <c r="F23" s="5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4"/>
      <c r="R23" s="44"/>
      <c r="S23" s="44"/>
      <c r="T23" s="44"/>
    </row>
    <row r="24" spans="2:20" ht="18.5">
      <c r="B24" s="157"/>
      <c r="C24" s="35" t="s">
        <v>142</v>
      </c>
      <c r="D24" s="56" t="str">
        <f>V11</f>
        <v>L</v>
      </c>
      <c r="E24" s="50" t="s">
        <v>69</v>
      </c>
      <c r="F24" s="50"/>
      <c r="G24" s="40">
        <f>Financials!D12</f>
        <v>173.28199768066406</v>
      </c>
      <c r="H24" s="40">
        <f>Financials!E12</f>
        <v>175.23100280761719</v>
      </c>
      <c r="I24" s="40">
        <f>Financials!F12</f>
        <v>175.66700744628906</v>
      </c>
      <c r="J24" s="40">
        <f>Financials!G12</f>
        <v>175.57200622558594</v>
      </c>
      <c r="K24" s="40">
        <f>Financials!H12</f>
        <v>177.15899658203125</v>
      </c>
      <c r="L24" s="40">
        <f>Financials!I12</f>
        <v>176.90499877929688</v>
      </c>
      <c r="M24" s="40">
        <f>Financials!J12</f>
        <v>181.11099243164063</v>
      </c>
      <c r="N24" s="40">
        <f>Financials!K12</f>
        <v>209.86900329589844</v>
      </c>
      <c r="O24" s="40">
        <f>Financials!L12</f>
        <v>212.12600708007813</v>
      </c>
      <c r="P24" s="40">
        <f>Financials!M12</f>
        <v>215.82099914550781</v>
      </c>
      <c r="Q24" s="44"/>
      <c r="R24" s="44"/>
      <c r="S24" s="44"/>
      <c r="T24" s="44"/>
    </row>
    <row r="25" spans="2:20">
      <c r="B25" s="155" t="s">
        <v>93</v>
      </c>
      <c r="C25" s="36"/>
      <c r="D25" s="36"/>
      <c r="E25" s="51"/>
      <c r="F25" s="51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4"/>
      <c r="R25" s="44"/>
      <c r="S25" s="44"/>
      <c r="T25" s="44"/>
    </row>
    <row r="26" spans="2:20" ht="18.5">
      <c r="B26" s="156"/>
      <c r="C26" s="36" t="s">
        <v>96</v>
      </c>
      <c r="D26" s="54" t="str">
        <f>T11</f>
        <v>J</v>
      </c>
      <c r="E26" s="51" t="s">
        <v>160</v>
      </c>
      <c r="F26" s="57">
        <f>AVERAGEIF(L26:P26,"&lt;100")</f>
        <v>14.603999900817872</v>
      </c>
      <c r="G26" s="44">
        <f>Financials!D81</f>
        <v>17.200000762939453</v>
      </c>
      <c r="H26" s="44">
        <f>Financials!E81</f>
        <v>19.780000686645508</v>
      </c>
      <c r="I26" s="44">
        <f>Financials!F81</f>
        <v>21.100000381469727</v>
      </c>
      <c r="J26" s="44">
        <f>Financials!G81</f>
        <v>22.149999618530273</v>
      </c>
      <c r="K26" s="44">
        <f>Financials!H81</f>
        <v>19.090000152587891</v>
      </c>
      <c r="L26" s="44">
        <f>Financials!I81</f>
        <v>13.140000343322754</v>
      </c>
      <c r="M26" s="44">
        <f>Financials!J81</f>
        <v>32.029998779296875</v>
      </c>
      <c r="N26" s="44">
        <f>Financials!K81</f>
        <v>13.760000228881836</v>
      </c>
      <c r="O26" s="44">
        <f>Financials!L81</f>
        <v>6.630000114440918</v>
      </c>
      <c r="P26" s="44">
        <f>Financials!M81</f>
        <v>7.4600000381469727</v>
      </c>
      <c r="Q26" s="44"/>
      <c r="R26" s="44"/>
      <c r="S26" s="44"/>
      <c r="T26" s="44"/>
    </row>
    <row r="27" spans="2:20">
      <c r="B27" s="156"/>
      <c r="C27" s="36"/>
      <c r="D27" s="36"/>
      <c r="E27" s="51"/>
      <c r="F27" s="57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</row>
    <row r="28" spans="2:20" ht="18.5">
      <c r="B28" s="156"/>
      <c r="C28" s="36" t="s">
        <v>104</v>
      </c>
      <c r="D28" s="54" t="str">
        <f>T11</f>
        <v>J</v>
      </c>
      <c r="E28" s="51" t="s">
        <v>161</v>
      </c>
      <c r="F28" s="57">
        <f>AVERAGEIF(L28:P28, "&lt;100")</f>
        <v>8.139999961853027</v>
      </c>
      <c r="G28" s="44">
        <f>Financials!D82</f>
        <v>5.9800000190734863</v>
      </c>
      <c r="H28" s="44">
        <f>Financials!E82</f>
        <v>6.619999885559082</v>
      </c>
      <c r="I28" s="44">
        <f>Financials!F82</f>
        <v>5.0999999046325684</v>
      </c>
      <c r="J28" s="44">
        <f>Financials!G82</f>
        <v>8.3400001525878906</v>
      </c>
      <c r="K28" s="44">
        <f>Financials!H82</f>
        <v>8.619999885559082</v>
      </c>
      <c r="L28" s="44">
        <f>Financials!I82</f>
        <v>8.6999998092651367</v>
      </c>
      <c r="M28" s="44">
        <f>Financials!J82</f>
        <v>7.5900001525878906</v>
      </c>
      <c r="N28" s="44">
        <f>Financials!K82</f>
        <v>6.6599998474121094</v>
      </c>
      <c r="O28" s="44">
        <f>Financials!L82</f>
        <v>6.5799999237060547</v>
      </c>
      <c r="P28" s="44">
        <f>Financials!M82</f>
        <v>11.170000076293945</v>
      </c>
      <c r="Q28" s="44"/>
      <c r="R28" s="44"/>
      <c r="S28" s="44"/>
      <c r="T28" s="44"/>
    </row>
    <row r="29" spans="2:20">
      <c r="B29" s="156"/>
      <c r="C29" s="36"/>
      <c r="D29" s="36"/>
      <c r="E29" s="51"/>
      <c r="F29" s="51"/>
      <c r="G29" s="38"/>
      <c r="H29" s="38"/>
      <c r="I29" s="38"/>
      <c r="J29" s="38"/>
      <c r="K29" s="38"/>
      <c r="L29" s="38"/>
      <c r="M29" s="38"/>
      <c r="N29" s="38"/>
      <c r="O29" s="38"/>
      <c r="P29" s="38"/>
    </row>
    <row r="30" spans="2:20" ht="18.5">
      <c r="B30" s="156"/>
      <c r="C30" s="36" t="s">
        <v>71</v>
      </c>
      <c r="D30" s="56" t="str">
        <f>V11</f>
        <v>L</v>
      </c>
      <c r="E30" s="51" t="s">
        <v>70</v>
      </c>
      <c r="F30" s="127">
        <f>Financials!$C$83</f>
        <v>1.9900000095367432</v>
      </c>
      <c r="G30" s="38"/>
      <c r="H30" s="38"/>
      <c r="I30" s="38"/>
      <c r="J30" s="38"/>
      <c r="K30" s="38"/>
      <c r="L30" s="38"/>
      <c r="M30" s="38"/>
      <c r="N30" s="38"/>
      <c r="O30" s="38"/>
      <c r="P30" s="38"/>
    </row>
    <row r="31" spans="2:20">
      <c r="B31" s="153" t="s">
        <v>92</v>
      </c>
      <c r="C31" s="34"/>
      <c r="D31" s="34"/>
      <c r="E31" s="34"/>
      <c r="F31" s="34"/>
    </row>
    <row r="32" spans="2:20" ht="18.5">
      <c r="B32" s="153"/>
      <c r="C32" s="35" t="s">
        <v>76</v>
      </c>
      <c r="D32" s="56" t="str">
        <f>V11</f>
        <v>L</v>
      </c>
      <c r="E32" s="50" t="s">
        <v>77</v>
      </c>
      <c r="F32" s="52">
        <f>Financials!D63</f>
        <v>-1.7034161810570312</v>
      </c>
    </row>
    <row r="33" spans="2:17" ht="18.5">
      <c r="B33" s="154"/>
      <c r="C33" s="35" t="s">
        <v>80</v>
      </c>
      <c r="D33" s="56" t="str">
        <f>V11</f>
        <v>L</v>
      </c>
      <c r="E33" s="50" t="s">
        <v>77</v>
      </c>
      <c r="F33" s="52">
        <f>Financials!D64</f>
        <v>-1.8801330526459421</v>
      </c>
    </row>
    <row r="34" spans="2:17">
      <c r="B34" s="154"/>
      <c r="C34" s="35"/>
      <c r="D34" s="35"/>
      <c r="E34" s="50"/>
      <c r="F34" s="52"/>
    </row>
    <row r="35" spans="2:17" ht="18.5">
      <c r="B35" s="154"/>
      <c r="C35" s="35" t="s">
        <v>90</v>
      </c>
      <c r="D35" s="54" t="str">
        <f>T11</f>
        <v>J</v>
      </c>
      <c r="E35" s="50" t="s">
        <v>77</v>
      </c>
      <c r="F35" s="52">
        <f>Financials!D69</f>
        <v>7.5181564583320259E-2</v>
      </c>
    </row>
    <row r="36" spans="2:17" ht="18.5">
      <c r="B36" s="154"/>
      <c r="C36" s="35" t="s">
        <v>91</v>
      </c>
      <c r="D36" s="54" t="str">
        <f>T11</f>
        <v>J</v>
      </c>
      <c r="E36" s="50" t="s">
        <v>77</v>
      </c>
      <c r="F36" s="52">
        <f>Financials!D70</f>
        <v>0.12832735434671894</v>
      </c>
    </row>
    <row r="37" spans="2:17">
      <c r="B37" s="154"/>
      <c r="C37" s="35"/>
      <c r="D37" s="35"/>
      <c r="E37" s="50"/>
      <c r="F37" s="53"/>
      <c r="Q37" s="37"/>
    </row>
    <row r="38" spans="2:17" ht="18.5">
      <c r="B38" s="154"/>
      <c r="C38" s="35" t="s">
        <v>78</v>
      </c>
      <c r="D38" s="54" t="str">
        <f>T11</f>
        <v>J</v>
      </c>
      <c r="E38" s="50" t="s">
        <v>77</v>
      </c>
      <c r="F38" s="52">
        <f>Financials!D65</f>
        <v>8.3363417168461851E-2</v>
      </c>
    </row>
    <row r="39" spans="2:17" ht="18.5">
      <c r="B39" s="154"/>
      <c r="C39" s="35" t="s">
        <v>81</v>
      </c>
      <c r="D39" s="54" t="str">
        <f>T11</f>
        <v>J</v>
      </c>
      <c r="E39" s="50" t="s">
        <v>77</v>
      </c>
      <c r="F39" s="52">
        <f>Financials!D66</f>
        <v>0.14456344772713159</v>
      </c>
    </row>
    <row r="40" spans="2:17">
      <c r="B40" s="154"/>
      <c r="C40" s="35"/>
      <c r="D40" s="35"/>
      <c r="E40" s="50"/>
      <c r="F40" s="53"/>
    </row>
    <row r="41" spans="2:17" ht="18.5">
      <c r="B41" s="154"/>
      <c r="C41" s="35" t="s">
        <v>79</v>
      </c>
      <c r="D41" s="54" t="str">
        <f>T11</f>
        <v>J</v>
      </c>
      <c r="E41" s="50" t="s">
        <v>77</v>
      </c>
      <c r="F41" s="52">
        <f>Financials!D67</f>
        <v>5.7236670649805754E-2</v>
      </c>
    </row>
    <row r="42" spans="2:17" ht="18.5">
      <c r="B42" s="154"/>
      <c r="C42" s="35" t="s">
        <v>82</v>
      </c>
      <c r="D42" s="54" t="str">
        <f>T11</f>
        <v>J</v>
      </c>
      <c r="E42" s="50" t="s">
        <v>77</v>
      </c>
      <c r="F42" s="52">
        <f>Financials!D68</f>
        <v>3.4562325727179655E-2</v>
      </c>
    </row>
    <row r="43" spans="2:17">
      <c r="B43" s="138" t="s">
        <v>61</v>
      </c>
    </row>
    <row r="44" spans="2:17" ht="18.5">
      <c r="B44" s="138"/>
      <c r="C44" s="100" t="s">
        <v>128</v>
      </c>
      <c r="D44" s="54" t="str">
        <f>T11</f>
        <v>J</v>
      </c>
      <c r="E44" s="101">
        <v>0.75</v>
      </c>
      <c r="F44" s="103">
        <f>Financials!$D$73</f>
        <v>-0.30276293709428048</v>
      </c>
    </row>
    <row r="45" spans="2:17" ht="18.5">
      <c r="B45" s="138"/>
      <c r="C45" s="100" t="s">
        <v>133</v>
      </c>
      <c r="D45" s="54" t="str">
        <f>T11</f>
        <v>J</v>
      </c>
      <c r="E45" s="101" t="s">
        <v>134</v>
      </c>
      <c r="F45" s="103">
        <f>Financials!D71</f>
        <v>0.10831621959108628</v>
      </c>
    </row>
    <row r="46" spans="2:17" ht="18.5">
      <c r="B46" s="138"/>
      <c r="C46" s="100" t="s">
        <v>130</v>
      </c>
      <c r="D46" s="54" t="str">
        <f>T11</f>
        <v>J</v>
      </c>
      <c r="E46" s="18" t="s">
        <v>77</v>
      </c>
      <c r="F46" s="103">
        <f>Financials!D72</f>
        <v>0.1251026669916562</v>
      </c>
    </row>
    <row r="47" spans="2:17" ht="18.5">
      <c r="B47" s="138"/>
      <c r="C47" s="100" t="s">
        <v>129</v>
      </c>
      <c r="D47" s="54" t="str">
        <f>T11</f>
        <v>J</v>
      </c>
      <c r="E47" s="101">
        <v>0.12</v>
      </c>
      <c r="F47" s="102">
        <f>F45+F46</f>
        <v>0.23341888658274249</v>
      </c>
    </row>
  </sheetData>
  <mergeCells count="7">
    <mergeCell ref="B43:B47"/>
    <mergeCell ref="B3:P6"/>
    <mergeCell ref="B11:B16"/>
    <mergeCell ref="B17:B20"/>
    <mergeCell ref="B31:B42"/>
    <mergeCell ref="B25:B30"/>
    <mergeCell ref="B23:B2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showGridLines="0" zoomScale="80" zoomScaleNormal="100" workbookViewId="0">
      <selection activeCell="T129" sqref="T129"/>
    </sheetView>
  </sheetViews>
  <sheetFormatPr defaultRowHeight="14.5"/>
  <cols>
    <col min="2" max="2" width="10.1796875" bestFit="1" customWidth="1"/>
  </cols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P27"/>
  <sheetViews>
    <sheetView showGridLines="0" workbookViewId="0">
      <selection activeCell="F16" sqref="F16"/>
    </sheetView>
  </sheetViews>
  <sheetFormatPr defaultRowHeight="14.5"/>
  <cols>
    <col min="2" max="2" width="61.453125" bestFit="1" customWidth="1"/>
    <col min="3" max="3" width="32.6328125" bestFit="1" customWidth="1"/>
    <col min="4" max="4" width="9.81640625" bestFit="1" customWidth="1"/>
  </cols>
  <sheetData>
    <row r="2" spans="2:16" ht="20" thickBot="1">
      <c r="B2" s="8" t="s">
        <v>1</v>
      </c>
      <c r="C2" s="8"/>
    </row>
    <row r="3" spans="2:16" ht="15" thickTop="1">
      <c r="B3" s="6"/>
      <c r="C3" s="6"/>
      <c r="D3" s="6"/>
      <c r="E3" s="6"/>
      <c r="F3" s="6"/>
      <c r="G3" s="6"/>
      <c r="H3" s="6"/>
    </row>
    <row r="4" spans="2:16" ht="15" thickBot="1">
      <c r="B4" s="1" t="s">
        <v>14</v>
      </c>
      <c r="C4" s="1"/>
      <c r="D4" s="6"/>
      <c r="E4" s="6"/>
      <c r="F4" s="6"/>
      <c r="G4" s="6"/>
      <c r="H4" s="6"/>
      <c r="P4" t="s">
        <v>2</v>
      </c>
    </row>
    <row r="5" spans="2:16">
      <c r="B5" s="7" t="s">
        <v>8</v>
      </c>
      <c r="C5" s="58">
        <v>7.4099998474121094</v>
      </c>
    </row>
    <row r="6" spans="2:16">
      <c r="B6" s="4" t="s">
        <v>5</v>
      </c>
      <c r="C6" s="59">
        <v>2444000</v>
      </c>
    </row>
    <row r="7" spans="2:16">
      <c r="B7" s="4" t="s">
        <v>4</v>
      </c>
      <c r="C7" s="59">
        <v>9057000</v>
      </c>
    </row>
    <row r="8" spans="2:16">
      <c r="B8" s="4" t="s">
        <v>3</v>
      </c>
      <c r="C8" s="59">
        <v>340000</v>
      </c>
    </row>
    <row r="9" spans="2:16">
      <c r="B9" s="10" t="s">
        <v>6</v>
      </c>
      <c r="C9" s="59">
        <v>206000</v>
      </c>
    </row>
    <row r="10" spans="2:16">
      <c r="B10" s="10" t="s">
        <v>7</v>
      </c>
      <c r="C10" s="59">
        <v>-10000</v>
      </c>
    </row>
    <row r="11" spans="2:16">
      <c r="B11" s="10" t="s">
        <v>9</v>
      </c>
      <c r="C11" s="60">
        <v>1.1000000238418579</v>
      </c>
      <c r="G11" s="33"/>
    </row>
    <row r="13" spans="2:16" ht="15" thickBot="1">
      <c r="B13" s="1" t="s">
        <v>15</v>
      </c>
      <c r="C13" s="1"/>
    </row>
    <row r="14" spans="2:16">
      <c r="B14" s="10" t="s">
        <v>16</v>
      </c>
      <c r="C14" s="13">
        <v>3.3000000000000002E-2</v>
      </c>
    </row>
    <row r="15" spans="2:16">
      <c r="B15" s="10" t="s">
        <v>13</v>
      </c>
      <c r="C15" s="14">
        <v>0.12</v>
      </c>
      <c r="K15" t="s">
        <v>10</v>
      </c>
    </row>
    <row r="17" spans="2:15" ht="17.5" thickBot="1">
      <c r="B17" s="2" t="s">
        <v>21</v>
      </c>
      <c r="C17" s="11">
        <f>SUM(C6:C7)</f>
        <v>11501000</v>
      </c>
    </row>
    <row r="18" spans="2:15" ht="18" thickTop="1" thickBot="1">
      <c r="B18" s="2" t="s">
        <v>20</v>
      </c>
      <c r="C18" s="12">
        <f>C8/C17</f>
        <v>2.9562646726371621E-2</v>
      </c>
    </row>
    <row r="19" spans="2:15" ht="18" thickTop="1" thickBot="1">
      <c r="B19" s="2" t="s">
        <v>19</v>
      </c>
      <c r="C19" s="12">
        <f>C14+C11*(C15-C14)</f>
        <v>0.12870000207424181</v>
      </c>
    </row>
    <row r="20" spans="2:15" ht="18" thickTop="1" thickBot="1">
      <c r="B20" s="2" t="s">
        <v>18</v>
      </c>
      <c r="C20" s="12">
        <f>C8/C17</f>
        <v>2.9562646726371621E-2</v>
      </c>
      <c r="K20" t="s">
        <v>17</v>
      </c>
    </row>
    <row r="21" spans="2:15" ht="18" thickTop="1" thickBot="1">
      <c r="B21" s="16" t="s">
        <v>22</v>
      </c>
      <c r="C21" s="11">
        <f>C17+C5*1000000</f>
        <v>18910999.847412109</v>
      </c>
      <c r="K21" t="s">
        <v>11</v>
      </c>
    </row>
    <row r="22" spans="2:15" ht="18" thickTop="1" thickBot="1">
      <c r="B22" s="2" t="s">
        <v>23</v>
      </c>
      <c r="C22" s="12">
        <f>C5*1000000/C21</f>
        <v>0.39183543478406513</v>
      </c>
      <c r="K22" t="s">
        <v>12</v>
      </c>
    </row>
    <row r="23" spans="2:15" ht="18" thickTop="1" thickBot="1">
      <c r="B23" s="16" t="s">
        <v>24</v>
      </c>
      <c r="C23" s="12">
        <f>C17/C21</f>
        <v>0.60816456521593543</v>
      </c>
    </row>
    <row r="24" spans="2:15" ht="14.5" customHeight="1" thickTop="1">
      <c r="K24" s="15"/>
      <c r="L24" s="15"/>
      <c r="M24" s="15"/>
      <c r="N24" s="15"/>
      <c r="O24" s="15"/>
    </row>
    <row r="25" spans="2:15" ht="18" customHeight="1" thickBot="1">
      <c r="B25" s="3" t="s">
        <v>0</v>
      </c>
      <c r="C25" s="17">
        <f>C23*C20*(1-C18)+C22*C19</f>
        <v>6.7876669991130206E-2</v>
      </c>
      <c r="K25" s="15"/>
      <c r="L25" s="15"/>
      <c r="M25" s="15"/>
      <c r="N25" s="15"/>
      <c r="O25" s="15"/>
    </row>
    <row r="26" spans="2:15" ht="14.5" customHeight="1" thickTop="1">
      <c r="K26" s="15"/>
      <c r="L26" s="15"/>
      <c r="M26" s="15"/>
      <c r="N26" s="15"/>
      <c r="O26" s="15"/>
    </row>
    <row r="27" spans="2:15" ht="14.5" customHeight="1">
      <c r="K27" s="15"/>
      <c r="L27" s="15"/>
      <c r="M27" s="15"/>
      <c r="N27" s="15"/>
      <c r="O27" s="15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L74"/>
  <sheetViews>
    <sheetView showGridLines="0" tabSelected="1" zoomScale="82" workbookViewId="0">
      <selection activeCell="G12" sqref="G12"/>
    </sheetView>
  </sheetViews>
  <sheetFormatPr defaultRowHeight="14.5"/>
  <cols>
    <col min="2" max="2" width="62.26953125" bestFit="1" customWidth="1"/>
    <col min="3" max="3" width="21.90625" bestFit="1" customWidth="1"/>
    <col min="4" max="5" width="11.81640625" bestFit="1" customWidth="1"/>
    <col min="6" max="6" width="12.1796875" bestFit="1" customWidth="1"/>
    <col min="7" max="7" width="10.81640625" bestFit="1" customWidth="1"/>
    <col min="8" max="8" width="11.453125" bestFit="1" customWidth="1"/>
    <col min="9" max="12" width="10.54296875" bestFit="1" customWidth="1"/>
    <col min="13" max="13" width="15.81640625" bestFit="1" customWidth="1"/>
  </cols>
  <sheetData>
    <row r="3" spans="2:12" ht="20" thickBot="1">
      <c r="B3" s="19" t="s">
        <v>33</v>
      </c>
      <c r="C3" s="19"/>
    </row>
    <row r="4" spans="2:12" ht="15" thickTop="1">
      <c r="B4" s="18" t="s">
        <v>0</v>
      </c>
      <c r="C4" s="20">
        <f>WACC!C25</f>
        <v>6.7876669991130206E-2</v>
      </c>
    </row>
    <row r="5" spans="2:12">
      <c r="B5" s="18" t="s">
        <v>25</v>
      </c>
      <c r="C5" s="20">
        <v>2.5000000000000001E-2</v>
      </c>
    </row>
    <row r="6" spans="2:12">
      <c r="B6" s="18" t="s">
        <v>36</v>
      </c>
      <c r="C6" s="65">
        <v>0</v>
      </c>
    </row>
    <row r="7" spans="2:12">
      <c r="B7" s="18" t="s">
        <v>31</v>
      </c>
      <c r="C7" s="13">
        <f>AVERAGE(C28:L28)</f>
        <v>7.7008642117546128E-2</v>
      </c>
    </row>
    <row r="8" spans="2:12">
      <c r="B8" s="18" t="s">
        <v>112</v>
      </c>
      <c r="C8" s="13">
        <f>AVERAGEIF(C29:L29,"&lt;2")</f>
        <v>0.71444351639606829</v>
      </c>
    </row>
    <row r="9" spans="2:12">
      <c r="B9" s="18" t="s">
        <v>136</v>
      </c>
      <c r="C9" s="66">
        <v>11.529999732971191</v>
      </c>
    </row>
    <row r="10" spans="2:12">
      <c r="B10" s="18" t="s">
        <v>100</v>
      </c>
      <c r="C10" s="67">
        <v>0.01</v>
      </c>
    </row>
    <row r="11" spans="2:12">
      <c r="B11" s="18" t="s">
        <v>44</v>
      </c>
      <c r="C11" s="59">
        <v>209690320</v>
      </c>
    </row>
    <row r="12" spans="2:12">
      <c r="B12" s="18"/>
    </row>
    <row r="13" spans="2:12" ht="20" thickBot="1">
      <c r="B13" s="3" t="s">
        <v>34</v>
      </c>
      <c r="C13" s="3"/>
    </row>
    <row r="14" spans="2:12" ht="15" thickTop="1"/>
    <row r="15" spans="2:12" ht="17.5" thickBot="1">
      <c r="B15" s="2"/>
      <c r="C15" s="2">
        <v>2013</v>
      </c>
      <c r="D15" s="2">
        <v>2014</v>
      </c>
      <c r="E15" s="2">
        <v>2015</v>
      </c>
      <c r="F15" s="2">
        <v>2016</v>
      </c>
      <c r="G15" s="2">
        <v>2017</v>
      </c>
      <c r="H15" s="2">
        <v>2018</v>
      </c>
      <c r="I15" s="2">
        <v>2019</v>
      </c>
      <c r="J15" s="2">
        <v>2020</v>
      </c>
      <c r="K15" s="2">
        <v>2021</v>
      </c>
      <c r="L15" s="2">
        <v>2022</v>
      </c>
    </row>
    <row r="16" spans="2:12" ht="15" thickTop="1">
      <c r="B16" s="18" t="s">
        <v>26</v>
      </c>
      <c r="C16" s="21">
        <f>Financials!D3</f>
        <v>7194.7001953125</v>
      </c>
      <c r="D16" s="21">
        <f>Financials!E3</f>
        <v>8277.2998046875</v>
      </c>
      <c r="E16" s="21">
        <f>Financials!F3</f>
        <v>6691.10009765625</v>
      </c>
      <c r="F16" s="21">
        <f>Financials!G3</f>
        <v>5685.7001953125</v>
      </c>
      <c r="G16" s="21">
        <f>Financials!H3</f>
        <v>6120.7001953125</v>
      </c>
      <c r="H16" s="21">
        <f>Financials!I3</f>
        <v>7651</v>
      </c>
      <c r="I16" s="21">
        <f>Financials!J3</f>
        <v>7320</v>
      </c>
      <c r="J16" s="21">
        <f>Financials!K3</f>
        <v>6559</v>
      </c>
      <c r="K16" s="21">
        <f>Financials!L3</f>
        <v>7447</v>
      </c>
      <c r="L16" s="21">
        <f>Financials!M3</f>
        <v>10106</v>
      </c>
    </row>
    <row r="17" spans="2:12">
      <c r="B17" s="18" t="s">
        <v>27</v>
      </c>
      <c r="C17" s="22"/>
      <c r="D17" s="20">
        <f t="shared" ref="D17:L17" si="0">(D16-C16)/C16</f>
        <v>0.15047181675204988</v>
      </c>
      <c r="E17" s="20">
        <f t="shared" si="0"/>
        <v>-0.19163250630754883</v>
      </c>
      <c r="F17" s="20">
        <f t="shared" si="0"/>
        <v>-0.15025928287874818</v>
      </c>
      <c r="G17" s="20">
        <f t="shared" si="0"/>
        <v>7.6507727290761829E-2</v>
      </c>
      <c r="H17" s="20">
        <f t="shared" si="0"/>
        <v>0.25002038261234727</v>
      </c>
      <c r="I17" s="20">
        <f t="shared" si="0"/>
        <v>-4.3262318651156713E-2</v>
      </c>
      <c r="J17" s="20">
        <f t="shared" si="0"/>
        <v>-0.10396174863387977</v>
      </c>
      <c r="K17" s="20">
        <f t="shared" si="0"/>
        <v>0.13538649184326879</v>
      </c>
      <c r="L17" s="20">
        <f t="shared" si="0"/>
        <v>0.35705653283201289</v>
      </c>
    </row>
    <row r="18" spans="2:12">
      <c r="B18" s="18"/>
      <c r="C18" s="22"/>
      <c r="D18" s="20"/>
      <c r="E18" s="20"/>
      <c r="F18" s="20"/>
      <c r="G18" s="20"/>
      <c r="H18" s="20"/>
      <c r="I18" s="20"/>
      <c r="J18" s="20"/>
      <c r="K18" s="20"/>
      <c r="L18" s="20"/>
    </row>
    <row r="19" spans="2:12">
      <c r="B19" s="18" t="s">
        <v>29</v>
      </c>
      <c r="C19" s="21">
        <f>Financials!D6</f>
        <v>278.10000610351563</v>
      </c>
      <c r="D19" s="21">
        <f>Financials!E6</f>
        <v>337.20001220703125</v>
      </c>
      <c r="E19" s="21">
        <f>Financials!F6</f>
        <v>281</v>
      </c>
      <c r="F19" s="21">
        <f>Financials!G6</f>
        <v>364.70001220703125</v>
      </c>
      <c r="G19" s="21">
        <f>Financials!H6</f>
        <v>436.60000610351563</v>
      </c>
      <c r="H19" s="21">
        <f>Financials!I6</f>
        <v>719</v>
      </c>
      <c r="I19" s="21">
        <f>Financials!J6</f>
        <v>256</v>
      </c>
      <c r="J19" s="21">
        <f>Financials!K6</f>
        <v>532</v>
      </c>
      <c r="K19" s="21">
        <f>Financials!L6</f>
        <v>1467</v>
      </c>
      <c r="L19" s="21">
        <f>Financials!M6</f>
        <v>1073</v>
      </c>
    </row>
    <row r="20" spans="2:12">
      <c r="B20" s="18" t="s">
        <v>27</v>
      </c>
      <c r="C20" s="22"/>
      <c r="D20" s="20">
        <f>(D19-C19)/C19</f>
        <v>0.2125135016412659</v>
      </c>
      <c r="E20" s="20">
        <f t="shared" ref="E20:L20" si="1">(E19-D19)/D19</f>
        <v>-0.16666669683429941</v>
      </c>
      <c r="F20" s="20">
        <f t="shared" si="1"/>
        <v>0.29786481212466653</v>
      </c>
      <c r="G20" s="20">
        <f t="shared" si="1"/>
        <v>0.19714831776772354</v>
      </c>
      <c r="H20" s="20">
        <f t="shared" si="1"/>
        <v>0.64681628481133868</v>
      </c>
      <c r="I20" s="20">
        <f t="shared" si="1"/>
        <v>-0.64394993045897075</v>
      </c>
      <c r="J20" s="20">
        <f t="shared" si="1"/>
        <v>1.078125</v>
      </c>
      <c r="K20" s="20">
        <f t="shared" si="1"/>
        <v>1.7575187969924813</v>
      </c>
      <c r="L20" s="20">
        <f t="shared" si="1"/>
        <v>-0.26857532379004773</v>
      </c>
    </row>
    <row r="22" spans="2:12">
      <c r="B22" s="18" t="s">
        <v>30</v>
      </c>
      <c r="C22" s="25">
        <f>Financials!D20</f>
        <v>315.5</v>
      </c>
      <c r="D22" s="25">
        <f>Financials!E20</f>
        <v>548.5999755859375</v>
      </c>
      <c r="E22" s="25">
        <f>Financials!F20</f>
        <v>673.20001220703125</v>
      </c>
      <c r="F22" s="25">
        <f>Financials!G20</f>
        <v>405.89999389648438</v>
      </c>
      <c r="G22" s="25">
        <f>Financials!H20</f>
        <v>325.5</v>
      </c>
      <c r="H22" s="25">
        <f>Financials!I20</f>
        <v>511</v>
      </c>
      <c r="I22" s="25">
        <f>Financials!J20</f>
        <v>373</v>
      </c>
      <c r="J22" s="25">
        <f>Financials!K20</f>
        <v>447</v>
      </c>
      <c r="K22" s="25">
        <f>Financials!L20</f>
        <v>791</v>
      </c>
      <c r="L22" s="25">
        <f>Financials!M20</f>
        <v>-88</v>
      </c>
    </row>
    <row r="23" spans="2:12">
      <c r="B23" s="18" t="s">
        <v>27</v>
      </c>
      <c r="C23" s="26"/>
      <c r="D23" s="26">
        <f>(D22-C22)/C22</f>
        <v>0.73882718093799682</v>
      </c>
      <c r="E23" s="26">
        <f t="shared" ref="E23:L23" si="2">(E22-D22)/D22</f>
        <v>0.22712366417445357</v>
      </c>
      <c r="F23" s="26">
        <f t="shared" si="2"/>
        <v>-0.39705884352887311</v>
      </c>
      <c r="G23" s="26">
        <f t="shared" si="2"/>
        <v>-0.19807833236131725</v>
      </c>
      <c r="H23" s="26">
        <f t="shared" si="2"/>
        <v>0.56989247311827962</v>
      </c>
      <c r="I23" s="26">
        <f t="shared" si="2"/>
        <v>-0.27005870841487278</v>
      </c>
      <c r="J23" s="26">
        <f t="shared" si="2"/>
        <v>0.19839142091152814</v>
      </c>
      <c r="K23" s="26">
        <f t="shared" si="2"/>
        <v>0.76957494407158833</v>
      </c>
      <c r="L23" s="26">
        <f t="shared" si="2"/>
        <v>-1.1112515802781289</v>
      </c>
    </row>
    <row r="24" spans="2:12">
      <c r="B24" s="18"/>
      <c r="C24" s="26"/>
      <c r="D24" s="26"/>
      <c r="E24" s="26"/>
      <c r="F24" s="26"/>
      <c r="G24" s="26"/>
      <c r="H24" s="26"/>
      <c r="I24" s="26"/>
      <c r="J24" s="26"/>
      <c r="K24" s="26"/>
      <c r="L24" s="26"/>
    </row>
    <row r="25" spans="2:12">
      <c r="B25" s="18" t="s">
        <v>47</v>
      </c>
      <c r="C25" s="62">
        <f>Financials!D9</f>
        <v>1194.199951171875</v>
      </c>
      <c r="D25" s="62">
        <f>Financials!E9</f>
        <v>1368.5</v>
      </c>
      <c r="E25" s="62">
        <f>Financials!F9</f>
        <v>1209</v>
      </c>
      <c r="F25" s="62">
        <f>Financials!G9</f>
        <v>1388.9010009765625</v>
      </c>
      <c r="G25" s="62">
        <f>Financials!H9</f>
        <v>1426.300048828125</v>
      </c>
      <c r="H25" s="62">
        <f>Financials!I9</f>
        <v>1520</v>
      </c>
      <c r="I25" s="62">
        <f>Financials!J9</f>
        <v>1065</v>
      </c>
      <c r="J25" s="62">
        <f>Financials!K9</f>
        <v>1466</v>
      </c>
      <c r="K25" s="62">
        <f>Financials!L9</f>
        <v>2852</v>
      </c>
      <c r="L25" s="62">
        <f>Financials!M9</f>
        <v>2184</v>
      </c>
    </row>
    <row r="26" spans="2:12">
      <c r="B26" s="18" t="s">
        <v>27</v>
      </c>
      <c r="C26" s="63"/>
      <c r="D26" s="63">
        <f>Financials!E10</f>
        <v>0.14595549820369919</v>
      </c>
      <c r="E26" s="63">
        <f>Financials!F10</f>
        <v>-0.11655096821337231</v>
      </c>
      <c r="F26" s="63">
        <f>Financials!G10</f>
        <v>0.14880148964149131</v>
      </c>
      <c r="G26" s="63">
        <f>Financials!H10</f>
        <v>2.6927079630057572E-2</v>
      </c>
      <c r="H26" s="63">
        <f>Financials!I10</f>
        <v>6.5694417699039082E-2</v>
      </c>
      <c r="I26" s="63">
        <f>Financials!J10</f>
        <v>-0.29934210526315791</v>
      </c>
      <c r="J26" s="63">
        <f>Financials!K10</f>
        <v>0.37652582159624415</v>
      </c>
      <c r="K26" s="63">
        <f>Financials!L10</f>
        <v>0.94542974079126874</v>
      </c>
      <c r="L26" s="63">
        <f>Financials!M10</f>
        <v>-0.23422159887798036</v>
      </c>
    </row>
    <row r="28" spans="2:12" ht="15" thickBot="1">
      <c r="B28" s="1" t="s">
        <v>31</v>
      </c>
      <c r="C28" s="24">
        <f t="shared" ref="C28:L28" si="3">C19/C16</f>
        <v>3.8653453035430725E-2</v>
      </c>
      <c r="D28" s="24">
        <f t="shared" si="3"/>
        <v>4.0737924222108278E-2</v>
      </c>
      <c r="E28" s="24">
        <f t="shared" si="3"/>
        <v>4.1996083737923504E-2</v>
      </c>
      <c r="F28" s="24">
        <f t="shared" si="3"/>
        <v>6.4143377188213876E-2</v>
      </c>
      <c r="G28" s="24">
        <f t="shared" si="3"/>
        <v>7.1331709146264577E-2</v>
      </c>
      <c r="H28" s="24">
        <f t="shared" si="3"/>
        <v>9.3974643837406877E-2</v>
      </c>
      <c r="I28" s="24">
        <f t="shared" si="3"/>
        <v>3.4972677595628415E-2</v>
      </c>
      <c r="J28" s="24">
        <f t="shared" si="3"/>
        <v>8.1109925293489857E-2</v>
      </c>
      <c r="K28" s="24">
        <f t="shared" si="3"/>
        <v>0.19699207734658253</v>
      </c>
      <c r="L28" s="24">
        <f t="shared" si="3"/>
        <v>0.10617454977241243</v>
      </c>
    </row>
    <row r="29" spans="2:12" ht="15" thickBot="1">
      <c r="B29" s="1" t="s">
        <v>32</v>
      </c>
      <c r="C29" s="24">
        <f t="shared" ref="C29:L29" si="4">C22/C19</f>
        <v>1.1344839736629231</v>
      </c>
      <c r="D29" s="24"/>
      <c r="E29" s="24"/>
      <c r="F29" s="24">
        <f t="shared" si="4"/>
        <v>1.1129695100368266</v>
      </c>
      <c r="G29" s="24">
        <f t="shared" si="4"/>
        <v>0.74553365884018186</v>
      </c>
      <c r="H29" s="24">
        <f t="shared" si="4"/>
        <v>0.71070931849791374</v>
      </c>
      <c r="I29" s="24"/>
      <c r="J29" s="24">
        <f t="shared" si="4"/>
        <v>0.84022556390977443</v>
      </c>
      <c r="K29" s="24">
        <f t="shared" si="4"/>
        <v>0.53919563735514653</v>
      </c>
      <c r="L29" s="24">
        <f t="shared" si="4"/>
        <v>-8.2013047530288916E-2</v>
      </c>
    </row>
    <row r="32" spans="2:12" ht="20" thickBot="1">
      <c r="B32" s="3" t="s">
        <v>35</v>
      </c>
      <c r="C32" s="3"/>
    </row>
    <row r="33" spans="2:12" ht="15" thickTop="1"/>
    <row r="35" spans="2:12" ht="17.5" thickBot="1">
      <c r="B35" s="2"/>
      <c r="C35" s="2">
        <v>2023</v>
      </c>
      <c r="D35" s="2">
        <v>2024</v>
      </c>
      <c r="E35" s="2">
        <v>2025</v>
      </c>
      <c r="F35" s="2">
        <v>2026</v>
      </c>
      <c r="G35" s="2">
        <v>2027</v>
      </c>
      <c r="H35" s="2">
        <v>2028</v>
      </c>
      <c r="I35" s="2">
        <v>2029</v>
      </c>
      <c r="J35" s="2">
        <v>2030</v>
      </c>
      <c r="K35" s="2">
        <v>2031</v>
      </c>
      <c r="L35" s="2">
        <v>2032</v>
      </c>
    </row>
    <row r="36" spans="2:12" ht="15" thickTop="1">
      <c r="B36" s="18" t="s">
        <v>26</v>
      </c>
      <c r="C36" s="21">
        <f>L16*(C37+1)</f>
        <v>9978.6643998343534</v>
      </c>
      <c r="D36" s="21">
        <f>C36*(D37+1)</f>
        <v>10509.529373443658</v>
      </c>
      <c r="E36" s="21">
        <f>D36*(E37+1)</f>
        <v>10666.121359369736</v>
      </c>
      <c r="F36" s="21">
        <f t="shared" ref="F36:L36" si="5">E36*(F37+1)</f>
        <v>10666.121359369699</v>
      </c>
      <c r="G36" s="21">
        <f t="shared" si="5"/>
        <v>10666.121359369699</v>
      </c>
      <c r="H36" s="21">
        <f t="shared" si="5"/>
        <v>10666.121359369699</v>
      </c>
      <c r="I36" s="21">
        <f t="shared" si="5"/>
        <v>10666.121359369699</v>
      </c>
      <c r="J36" s="21">
        <f t="shared" si="5"/>
        <v>10666.121359369699</v>
      </c>
      <c r="K36" s="21">
        <f t="shared" si="5"/>
        <v>10666.121359369699</v>
      </c>
      <c r="L36" s="21">
        <f t="shared" si="5"/>
        <v>10666.121359369699</v>
      </c>
    </row>
    <row r="37" spans="2:12">
      <c r="B37" s="18" t="s">
        <v>27</v>
      </c>
      <c r="C37" s="68">
        <v>-1.2600000016391277E-2</v>
      </c>
      <c r="D37" s="68">
        <v>5.3200002759695053E-2</v>
      </c>
      <c r="E37" s="68">
        <v>1.4899999834597111E-2</v>
      </c>
      <c r="F37" s="27">
        <f>C6</f>
        <v>0</v>
      </c>
      <c r="G37" s="27">
        <f>C6</f>
        <v>0</v>
      </c>
      <c r="H37" s="27">
        <f>C6</f>
        <v>0</v>
      </c>
      <c r="I37" s="27">
        <f>C6</f>
        <v>0</v>
      </c>
      <c r="J37" s="27">
        <f>C6</f>
        <v>0</v>
      </c>
      <c r="K37" s="27">
        <f>C6</f>
        <v>0</v>
      </c>
      <c r="L37" s="27">
        <f>C6</f>
        <v>0</v>
      </c>
    </row>
    <row r="38" spans="2:12">
      <c r="B38" s="18"/>
      <c r="C38" s="22"/>
      <c r="D38" s="22"/>
      <c r="E38" s="22"/>
      <c r="F38" s="22"/>
      <c r="G38" s="22"/>
      <c r="H38" s="22"/>
      <c r="I38" s="22"/>
      <c r="J38" s="22"/>
      <c r="K38" s="22"/>
      <c r="L38" s="22"/>
    </row>
    <row r="39" spans="2:12">
      <c r="B39" s="18" t="s">
        <v>28</v>
      </c>
      <c r="C39" s="21">
        <f>C36*C7</f>
        <v>768.44339557794137</v>
      </c>
      <c r="D39" s="21">
        <f>D36*C7</f>
        <v>809.32458634336444</v>
      </c>
      <c r="E39" s="21">
        <f>E36*C7</f>
        <v>821.38352254601557</v>
      </c>
      <c r="F39" s="21">
        <f>F36*C7</f>
        <v>821.38352254601557</v>
      </c>
      <c r="G39" s="21">
        <f>G36*C7</f>
        <v>821.38352254601557</v>
      </c>
      <c r="H39" s="21">
        <f>H36*C7</f>
        <v>821.38352254601557</v>
      </c>
      <c r="I39" s="21">
        <f>I36*C7</f>
        <v>821.38352254601557</v>
      </c>
      <c r="J39" s="21">
        <f>J36*C7</f>
        <v>821.38352254601557</v>
      </c>
      <c r="K39" s="21">
        <f>K36*C7</f>
        <v>821.38352254601557</v>
      </c>
      <c r="L39" s="21">
        <f>L36*C7</f>
        <v>821.38352254601557</v>
      </c>
    </row>
    <row r="40" spans="2:12">
      <c r="B40" s="18"/>
      <c r="C40" s="20">
        <f>(C39-L19)/L19</f>
        <v>-0.28383653720601959</v>
      </c>
      <c r="D40" s="20">
        <f>(D39-C39)/C39</f>
        <v>5.3200002759704428E-2</v>
      </c>
      <c r="E40" s="20">
        <f t="shared" ref="E40:L40" si="6">(E39-D39)/D39</f>
        <v>1.4899999834596618E-2</v>
      </c>
      <c r="F40" s="20">
        <f t="shared" si="6"/>
        <v>0</v>
      </c>
      <c r="G40" s="20">
        <f t="shared" si="6"/>
        <v>0</v>
      </c>
      <c r="H40" s="20">
        <f t="shared" si="6"/>
        <v>0</v>
      </c>
      <c r="I40" s="20">
        <f t="shared" si="6"/>
        <v>0</v>
      </c>
      <c r="J40" s="20">
        <f t="shared" si="6"/>
        <v>0</v>
      </c>
      <c r="K40" s="20">
        <f t="shared" si="6"/>
        <v>0</v>
      </c>
      <c r="L40" s="20">
        <f t="shared" si="6"/>
        <v>0</v>
      </c>
    </row>
    <row r="41" spans="2:12">
      <c r="B41" s="18"/>
      <c r="C41" s="22"/>
      <c r="D41" s="22"/>
      <c r="E41" s="22"/>
      <c r="F41" s="22"/>
      <c r="G41" s="22"/>
      <c r="H41" s="22"/>
      <c r="I41" s="22"/>
      <c r="J41" s="22"/>
      <c r="K41" s="22"/>
      <c r="L41" s="22"/>
    </row>
    <row r="42" spans="2:12">
      <c r="B42" s="18" t="s">
        <v>30</v>
      </c>
      <c r="C42" s="21">
        <f>C39*C8</f>
        <v>549.00940168803936</v>
      </c>
      <c r="D42" s="21">
        <f>D39*C8</f>
        <v>578.21670337294665</v>
      </c>
      <c r="E42" s="21">
        <f>E39*C8</f>
        <v>586.83213215756462</v>
      </c>
      <c r="F42" s="21">
        <f>F39*C8</f>
        <v>586.83213215756462</v>
      </c>
      <c r="G42" s="21">
        <f>G39*C8</f>
        <v>586.83213215756462</v>
      </c>
      <c r="H42" s="21">
        <f>H39*C8</f>
        <v>586.83213215756462</v>
      </c>
      <c r="I42" s="21">
        <f>I39*C8</f>
        <v>586.83213215756462</v>
      </c>
      <c r="J42" s="21">
        <f>J39*C8</f>
        <v>586.83213215756462</v>
      </c>
      <c r="K42" s="21">
        <f>K39*C8</f>
        <v>586.83213215756462</v>
      </c>
      <c r="L42" s="21">
        <f>L39*C8</f>
        <v>586.83213215756462</v>
      </c>
    </row>
    <row r="43" spans="2:12">
      <c r="B43" s="18" t="s">
        <v>27</v>
      </c>
      <c r="C43" s="20">
        <f>(C42-L22)/L22</f>
        <v>-7.2387432010004469</v>
      </c>
      <c r="D43" s="20">
        <f>(D42-C42)/C42</f>
        <v>5.3200002759704289E-2</v>
      </c>
      <c r="E43" s="20">
        <f t="shared" ref="E43:L43" si="7">(E42-D42)/D42</f>
        <v>1.4899999834596712E-2</v>
      </c>
      <c r="F43" s="20">
        <f t="shared" si="7"/>
        <v>0</v>
      </c>
      <c r="G43" s="20">
        <f t="shared" si="7"/>
        <v>0</v>
      </c>
      <c r="H43" s="20">
        <f t="shared" si="7"/>
        <v>0</v>
      </c>
      <c r="I43" s="20">
        <f t="shared" si="7"/>
        <v>0</v>
      </c>
      <c r="J43" s="20">
        <f t="shared" si="7"/>
        <v>0</v>
      </c>
      <c r="K43" s="20">
        <f t="shared" si="7"/>
        <v>0</v>
      </c>
      <c r="L43" s="20">
        <f t="shared" si="7"/>
        <v>0</v>
      </c>
    </row>
    <row r="45" spans="2:12">
      <c r="B45" s="18" t="s">
        <v>47</v>
      </c>
      <c r="C45" s="21">
        <f>L25*(1+C46)</f>
        <v>2205.84</v>
      </c>
      <c r="D45" s="21">
        <f>C45*(1+D46)</f>
        <v>2227.8984</v>
      </c>
      <c r="E45" s="21">
        <f t="shared" ref="E45:L45" si="8">D45*(1+E46)</f>
        <v>2250.1773840000001</v>
      </c>
      <c r="F45" s="21">
        <f t="shared" si="8"/>
        <v>2272.6791578400002</v>
      </c>
      <c r="G45" s="21">
        <f t="shared" si="8"/>
        <v>2295.4059494184003</v>
      </c>
      <c r="H45" s="21">
        <f t="shared" si="8"/>
        <v>2318.3600089125844</v>
      </c>
      <c r="I45" s="21">
        <f t="shared" si="8"/>
        <v>2341.5436090017101</v>
      </c>
      <c r="J45" s="21">
        <f t="shared" si="8"/>
        <v>2364.9590450917271</v>
      </c>
      <c r="K45" s="21">
        <f t="shared" si="8"/>
        <v>2388.6086355426446</v>
      </c>
      <c r="L45" s="21">
        <f t="shared" si="8"/>
        <v>2412.494721898071</v>
      </c>
    </row>
    <row r="46" spans="2:12">
      <c r="B46" s="18" t="s">
        <v>27</v>
      </c>
      <c r="C46" s="20">
        <f>C10</f>
        <v>0.01</v>
      </c>
      <c r="D46" s="20">
        <f>C10</f>
        <v>0.01</v>
      </c>
      <c r="E46" s="20">
        <f>C10</f>
        <v>0.01</v>
      </c>
      <c r="F46" s="20">
        <f>C10</f>
        <v>0.01</v>
      </c>
      <c r="G46" s="20">
        <f>C10</f>
        <v>0.01</v>
      </c>
      <c r="H46" s="20">
        <f>C10</f>
        <v>0.01</v>
      </c>
      <c r="I46" s="20">
        <f>C10</f>
        <v>0.01</v>
      </c>
      <c r="J46" s="20">
        <f>C10</f>
        <v>0.01</v>
      </c>
      <c r="K46" s="20">
        <f>C10</f>
        <v>0.01</v>
      </c>
      <c r="L46" s="20">
        <f>C10</f>
        <v>0.01</v>
      </c>
    </row>
    <row r="48" spans="2:12" ht="20" thickBot="1">
      <c r="B48" s="3" t="s">
        <v>103</v>
      </c>
      <c r="C48" s="3"/>
    </row>
    <row r="49" spans="2:12" ht="20" thickTop="1">
      <c r="B49" s="64"/>
      <c r="C49" s="64"/>
    </row>
    <row r="50" spans="2:12" ht="17.5" thickBot="1">
      <c r="B50" s="2"/>
      <c r="C50" s="2">
        <v>2023</v>
      </c>
      <c r="D50" s="2">
        <v>2024</v>
      </c>
      <c r="E50" s="2">
        <v>2025</v>
      </c>
      <c r="F50" s="2">
        <v>2026</v>
      </c>
      <c r="G50" s="2">
        <v>2027</v>
      </c>
      <c r="H50" s="2">
        <v>2028</v>
      </c>
      <c r="I50" s="2">
        <v>2029</v>
      </c>
      <c r="J50" s="2">
        <v>2030</v>
      </c>
      <c r="K50" s="2">
        <v>2031</v>
      </c>
      <c r="L50" s="2">
        <v>2032</v>
      </c>
    </row>
    <row r="51" spans="2:12" ht="15" thickTop="1">
      <c r="B51" s="18" t="s">
        <v>38</v>
      </c>
      <c r="C51" s="61">
        <f>POWER((1+C4),1)</f>
        <v>1.0678766699911302</v>
      </c>
      <c r="D51" s="61">
        <f>POWER((1+C4),2)</f>
        <v>1.1403605823113452</v>
      </c>
      <c r="E51" s="61">
        <f>POWER((1+C4),3)</f>
        <v>1.2177644612277854</v>
      </c>
      <c r="F51" s="61">
        <f>POWER((1+C4),4)</f>
        <v>1.3004222576894702</v>
      </c>
      <c r="G51" s="61">
        <f>POWER((1+C4),5)</f>
        <v>1.3886905901237787</v>
      </c>
      <c r="H51" s="61">
        <f>POWER((1+C4),6)</f>
        <v>1.4829502830293984</v>
      </c>
      <c r="I51" s="61">
        <f>POWER((1+C4),7)</f>
        <v>1.5836080100038379</v>
      </c>
      <c r="J51" s="61">
        <f>POWER((1+C4),8)</f>
        <v>1.6910980482941789</v>
      </c>
      <c r="K51" s="61">
        <f>POWER((1+C4),9)</f>
        <v>1.8058841524408871</v>
      </c>
      <c r="L51" s="61">
        <f>POWER((1+C4),10)</f>
        <v>1.9284615550983291</v>
      </c>
    </row>
    <row r="52" spans="2:12">
      <c r="B52" s="18"/>
      <c r="C52" s="22"/>
      <c r="D52" s="22"/>
      <c r="E52" s="22"/>
      <c r="F52" s="22"/>
      <c r="G52" s="22"/>
      <c r="H52" s="22"/>
      <c r="I52" s="22"/>
      <c r="J52" s="22"/>
      <c r="K52" s="22"/>
      <c r="L52" s="22"/>
    </row>
    <row r="53" spans="2:12">
      <c r="B53" s="18" t="s">
        <v>39</v>
      </c>
      <c r="C53" s="21">
        <f t="shared" ref="C53:L53" si="9">C42/C51</f>
        <v>514.11311541490966</v>
      </c>
      <c r="D53" s="21">
        <f t="shared" si="9"/>
        <v>507.04725535232501</v>
      </c>
      <c r="E53" s="21">
        <f t="shared" si="9"/>
        <v>481.89296932339732</v>
      </c>
      <c r="F53" s="21">
        <f t="shared" si="9"/>
        <v>451.26275614523905</v>
      </c>
      <c r="G53" s="21">
        <f t="shared" si="9"/>
        <v>422.57946898398603</v>
      </c>
      <c r="H53" s="21">
        <f t="shared" si="9"/>
        <v>395.71935679379152</v>
      </c>
      <c r="I53" s="21">
        <f t="shared" si="9"/>
        <v>370.56653442675025</v>
      </c>
      <c r="J53" s="21">
        <f t="shared" si="9"/>
        <v>347.01248265853411</v>
      </c>
      <c r="K53" s="21">
        <f t="shared" si="9"/>
        <v>324.95557999353656</v>
      </c>
      <c r="L53" s="21">
        <f t="shared" si="9"/>
        <v>304.30066422954593</v>
      </c>
    </row>
    <row r="54" spans="2:12">
      <c r="B54" s="18"/>
      <c r="C54" s="21"/>
      <c r="D54" s="21"/>
      <c r="E54" s="21"/>
      <c r="F54" s="21"/>
      <c r="G54" s="21"/>
      <c r="H54" s="21"/>
      <c r="I54" s="21"/>
      <c r="J54" s="21"/>
      <c r="K54" s="21"/>
      <c r="L54" s="21"/>
    </row>
    <row r="55" spans="2:12" ht="15" thickBot="1">
      <c r="B55" s="73" t="s">
        <v>40</v>
      </c>
      <c r="C55" s="74">
        <f>POWER((1+C4),11)</f>
        <v>2.05935910366432</v>
      </c>
      <c r="D55" s="21"/>
      <c r="E55" s="21"/>
      <c r="F55" s="21"/>
      <c r="G55" s="21"/>
      <c r="H55" s="21"/>
      <c r="I55" s="21"/>
      <c r="J55" s="21"/>
      <c r="K55" s="21"/>
      <c r="L55" s="21"/>
    </row>
    <row r="56" spans="2:12">
      <c r="B56" s="18"/>
      <c r="C56" s="21"/>
      <c r="D56" s="21"/>
      <c r="E56" s="21"/>
      <c r="F56" s="21"/>
      <c r="G56" s="21"/>
      <c r="H56" s="21"/>
      <c r="I56" s="21"/>
      <c r="J56" s="21"/>
      <c r="K56" s="21"/>
      <c r="L56" s="21"/>
    </row>
    <row r="57" spans="2:12">
      <c r="B57" s="158" t="s">
        <v>101</v>
      </c>
      <c r="C57" s="158"/>
      <c r="D57" s="158"/>
      <c r="E57" s="158"/>
      <c r="F57" s="158"/>
      <c r="G57" s="158"/>
      <c r="H57" s="158"/>
      <c r="I57" s="158"/>
      <c r="J57" s="158"/>
      <c r="K57" s="158"/>
      <c r="L57" s="158"/>
    </row>
    <row r="58" spans="2:12">
      <c r="B58" s="158"/>
      <c r="C58" s="158"/>
      <c r="D58" s="158"/>
      <c r="E58" s="158"/>
      <c r="F58" s="158"/>
      <c r="G58" s="158"/>
      <c r="H58" s="158"/>
      <c r="I58" s="158"/>
      <c r="J58" s="158"/>
      <c r="K58" s="158"/>
      <c r="L58" s="158"/>
    </row>
    <row r="59" spans="2:12">
      <c r="B59" s="18" t="s">
        <v>37</v>
      </c>
      <c r="C59" s="25">
        <f>L53*(1+C5)/(C4-C5)</f>
        <v>7274.5430300396056</v>
      </c>
    </row>
    <row r="60" spans="2:12" ht="15" thickBot="1">
      <c r="B60" s="5" t="s">
        <v>41</v>
      </c>
      <c r="C60" s="23">
        <f>C59/C55</f>
        <v>3532.4305591461198</v>
      </c>
    </row>
    <row r="61" spans="2:12" ht="15" thickTop="1"/>
    <row r="62" spans="2:12" ht="14.5" customHeight="1" thickBot="1">
      <c r="B62" s="3" t="s">
        <v>43</v>
      </c>
      <c r="C62" s="71">
        <f>(SUM(C53:L53)+C59)</f>
        <v>11393.99321336162</v>
      </c>
    </row>
    <row r="63" spans="2:12" ht="15" thickTop="1">
      <c r="F63" s="9"/>
    </row>
    <row r="64" spans="2:12" ht="18.5">
      <c r="B64" s="69" t="s">
        <v>42</v>
      </c>
      <c r="C64" s="70">
        <f>C62/(C11/1000000)</f>
        <v>54.337239856191836</v>
      </c>
      <c r="D64" s="29"/>
      <c r="E64" s="30"/>
    </row>
    <row r="67" spans="2:12">
      <c r="B67" s="158" t="s">
        <v>102</v>
      </c>
      <c r="C67" s="158"/>
      <c r="D67" s="158"/>
      <c r="E67" s="158"/>
      <c r="F67" s="158"/>
      <c r="G67" s="158"/>
      <c r="H67" s="158"/>
      <c r="I67" s="158"/>
      <c r="J67" s="158"/>
      <c r="K67" s="158"/>
      <c r="L67" s="158"/>
    </row>
    <row r="68" spans="2:12">
      <c r="B68" s="158"/>
      <c r="C68" s="158"/>
      <c r="D68" s="158"/>
      <c r="E68" s="158"/>
      <c r="F68" s="158"/>
      <c r="G68" s="158"/>
      <c r="H68" s="158"/>
      <c r="I68" s="158"/>
      <c r="J68" s="158"/>
      <c r="K68" s="158"/>
      <c r="L68" s="158"/>
    </row>
    <row r="69" spans="2:12">
      <c r="B69" s="18" t="s">
        <v>37</v>
      </c>
      <c r="C69" s="25">
        <f>L45*C9</f>
        <v>27816.063499279167</v>
      </c>
    </row>
    <row r="70" spans="2:12" ht="15" thickBot="1">
      <c r="B70" s="5" t="s">
        <v>41</v>
      </c>
      <c r="C70" s="23">
        <f>C69/C55</f>
        <v>13507.145718191967</v>
      </c>
    </row>
    <row r="71" spans="2:12" ht="15" thickTop="1">
      <c r="B71" s="18"/>
      <c r="C71" s="28"/>
    </row>
    <row r="72" spans="2:12" ht="20" thickBot="1">
      <c r="B72" s="3" t="s">
        <v>43</v>
      </c>
      <c r="C72" s="72">
        <f>SUM(C53:L53)+C70</f>
        <v>17626.595901513982</v>
      </c>
    </row>
    <row r="73" spans="2:12" ht="15" thickTop="1"/>
    <row r="74" spans="2:12" ht="18.5">
      <c r="B74" s="69" t="s">
        <v>42</v>
      </c>
      <c r="C74" s="70">
        <f>C72/(C11/1000000)</f>
        <v>84.06013163370622</v>
      </c>
    </row>
  </sheetData>
  <mergeCells count="2">
    <mergeCell ref="B57:L58"/>
    <mergeCell ref="B67:L68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3:E21"/>
  <sheetViews>
    <sheetView showGridLines="0" workbookViewId="0">
      <selection activeCell="C15" sqref="C15"/>
    </sheetView>
  </sheetViews>
  <sheetFormatPr defaultRowHeight="14.5"/>
  <cols>
    <col min="2" max="2" width="29.90625" customWidth="1"/>
  </cols>
  <sheetData>
    <row r="13" spans="2:3" ht="20" thickBot="1">
      <c r="B13" s="8" t="s">
        <v>105</v>
      </c>
      <c r="C13" s="8"/>
    </row>
    <row r="14" spans="2:3" ht="15" thickTop="1"/>
    <row r="15" spans="2:3">
      <c r="B15" s="18" t="s">
        <v>106</v>
      </c>
      <c r="C15" s="78">
        <v>1</v>
      </c>
    </row>
    <row r="16" spans="2:3">
      <c r="B16" s="18" t="s">
        <v>111</v>
      </c>
      <c r="C16">
        <v>7</v>
      </c>
    </row>
    <row r="17" spans="2:5">
      <c r="B17" s="18" t="s">
        <v>154</v>
      </c>
      <c r="C17" s="78">
        <v>6</v>
      </c>
    </row>
    <row r="18" spans="2:5">
      <c r="B18" s="18" t="s">
        <v>108</v>
      </c>
      <c r="C18">
        <v>4.42</v>
      </c>
      <c r="D18" s="77" t="s">
        <v>110</v>
      </c>
      <c r="E18" s="76" t="s">
        <v>109</v>
      </c>
    </row>
    <row r="20" spans="2:5" ht="15" thickBot="1">
      <c r="B20" s="75" t="s">
        <v>107</v>
      </c>
      <c r="C20" s="79">
        <f>(C15*(C16+C17)*4.4)/C18</f>
        <v>12.941176470588236</v>
      </c>
    </row>
    <row r="21" spans="2:5" ht="15" thickTop="1"/>
  </sheetData>
  <hyperlinks>
    <hyperlink ref="E18" r:id="rId1" xr:uid="{00000000-0004-0000-0400-000000000000}"/>
  </hyperlinks>
  <pageMargins left="0.7" right="0.7" top="0.75" bottom="0.75" header="0.3" footer="0.3"/>
  <pageSetup orientation="portrait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P28"/>
  <sheetViews>
    <sheetView workbookViewId="0">
      <selection activeCell="P7" sqref="P7"/>
    </sheetView>
  </sheetViews>
  <sheetFormatPr defaultRowHeight="14.5"/>
  <cols>
    <col min="2" max="2" width="16.1796875" bestFit="1" customWidth="1"/>
    <col min="3" max="3" width="12.6328125" bestFit="1" customWidth="1"/>
    <col min="15" max="15" width="22.54296875" bestFit="1" customWidth="1"/>
    <col min="16" max="16" width="6.81640625" bestFit="1" customWidth="1"/>
  </cols>
  <sheetData>
    <row r="2" spans="2:16" ht="15" thickBot="1">
      <c r="B2" s="1" t="s">
        <v>120</v>
      </c>
      <c r="C2" s="117">
        <v>1.4299999475479126</v>
      </c>
    </row>
    <row r="3" spans="2:16" ht="15" thickBot="1"/>
    <row r="4" spans="2:16" ht="20" thickBot="1">
      <c r="B4" s="161" t="s">
        <v>113</v>
      </c>
      <c r="C4" s="162"/>
    </row>
    <row r="5" spans="2:16" ht="15" thickBot="1">
      <c r="B5" s="80" t="s">
        <v>114</v>
      </c>
      <c r="C5" s="81" t="s">
        <v>115</v>
      </c>
      <c r="D5" s="82"/>
      <c r="E5" s="82"/>
      <c r="F5" s="82"/>
      <c r="G5" s="82"/>
      <c r="H5" s="82"/>
      <c r="I5" s="82"/>
      <c r="J5" s="82"/>
      <c r="K5" s="82"/>
      <c r="L5" s="82"/>
      <c r="M5" s="82"/>
      <c r="N5" s="83"/>
      <c r="O5" s="84" t="s">
        <v>116</v>
      </c>
      <c r="P5" s="85" t="s">
        <v>117</v>
      </c>
    </row>
    <row r="6" spans="2:16" ht="15" thickBot="1">
      <c r="B6" s="86" t="s">
        <v>118</v>
      </c>
      <c r="C6" s="87">
        <v>1</v>
      </c>
      <c r="D6" s="87">
        <v>2</v>
      </c>
      <c r="E6" s="87">
        <v>3</v>
      </c>
      <c r="F6" s="87">
        <v>4</v>
      </c>
      <c r="G6" s="87">
        <v>5</v>
      </c>
      <c r="H6" s="87">
        <v>6</v>
      </c>
      <c r="I6" s="87">
        <v>7</v>
      </c>
      <c r="J6" s="87">
        <v>8</v>
      </c>
      <c r="K6" s="87">
        <v>9</v>
      </c>
      <c r="L6" s="87">
        <v>10</v>
      </c>
      <c r="M6" s="163" t="s">
        <v>119</v>
      </c>
      <c r="N6" s="164"/>
      <c r="O6" s="88" t="s">
        <v>120</v>
      </c>
      <c r="P6" s="106">
        <f>C2</f>
        <v>1.4299999475479126</v>
      </c>
    </row>
    <row r="7" spans="2:16" ht="15" thickBot="1">
      <c r="B7" s="89" t="s">
        <v>121</v>
      </c>
      <c r="C7" s="90">
        <f>P6*(1+P7)</f>
        <v>1.4800499459251713</v>
      </c>
      <c r="D7" s="90">
        <f>C7*(1+P7)</f>
        <v>1.5318516942530931</v>
      </c>
      <c r="E7" s="90">
        <f>D7*(1+P7)</f>
        <v>1.5854665037802094</v>
      </c>
      <c r="F7" s="90">
        <f>E7*(1+P7)</f>
        <v>1.6409578316487676</v>
      </c>
      <c r="G7" s="90">
        <f>F7*(1+P7)</f>
        <v>1.698391356000996</v>
      </c>
      <c r="H7" s="90">
        <f>G7*(1+P7)</f>
        <v>1.7578350537141123</v>
      </c>
      <c r="I7" s="90">
        <f>H7*(1+P7)</f>
        <v>1.8193592808560388</v>
      </c>
      <c r="J7" s="90">
        <f>I7*(1+P7)</f>
        <v>1.883036855957104</v>
      </c>
      <c r="K7" s="90">
        <f>J7*(1+P7)</f>
        <v>1.9489431461961899</v>
      </c>
      <c r="L7" s="90">
        <f>K7*(1+P7)</f>
        <v>2.0171561566034688</v>
      </c>
      <c r="M7" s="159">
        <f>L7*(1+P7)/(P8-P7)</f>
        <v>63.502679328869434</v>
      </c>
      <c r="N7" s="160"/>
      <c r="O7" s="88" t="s">
        <v>122</v>
      </c>
      <c r="P7" s="104">
        <v>3.5000000149011612E-2</v>
      </c>
    </row>
    <row r="8" spans="2:16" ht="15" thickBot="1">
      <c r="B8" s="89" t="s">
        <v>123</v>
      </c>
      <c r="C8" s="90">
        <f>C7/(1+P8)</f>
        <v>1.3859746050426063</v>
      </c>
      <c r="D8" s="90">
        <f>D7/(1+P8)^2</f>
        <v>1.3433046687287653</v>
      </c>
      <c r="E8" s="90">
        <f>E7/(1+P8)^3</f>
        <v>1.3019484097784317</v>
      </c>
      <c r="F8" s="90">
        <f>F7/(1+P8)^4</f>
        <v>1.2618653840671321</v>
      </c>
      <c r="G8" s="90">
        <f>G7/(1+P8)^5</f>
        <v>1.2230163926217827</v>
      </c>
      <c r="H8" s="90">
        <f>H7/(1+P8)^6</f>
        <v>1.1853634432862914</v>
      </c>
      <c r="I8" s="90">
        <f>I7/(1+P8)^7</f>
        <v>1.1488697135673294</v>
      </c>
      <c r="J8" s="90">
        <f>J7/(1+P8)^8</f>
        <v>1.1134995146239626</v>
      </c>
      <c r="K8" s="90">
        <f>K7/(1+P8)^9</f>
        <v>1.0792182563659674</v>
      </c>
      <c r="L8" s="90">
        <f>L7/(1+P8)^10</f>
        <v>1.0459924136266319</v>
      </c>
      <c r="M8" s="159">
        <f>M7/POWER((1+P8),10)</f>
        <v>32.929191230691387</v>
      </c>
      <c r="N8" s="160"/>
      <c r="O8" s="91" t="s">
        <v>124</v>
      </c>
      <c r="P8" s="105">
        <f>WACC!$C$25</f>
        <v>6.7876669991130206E-2</v>
      </c>
    </row>
    <row r="9" spans="2:16">
      <c r="B9" s="92"/>
      <c r="N9" s="93"/>
    </row>
    <row r="10" spans="2:16" ht="20" thickBot="1">
      <c r="B10" s="94" t="s">
        <v>125</v>
      </c>
      <c r="C10" s="95">
        <f>SUM(C8:N8)*(1-P9)</f>
        <v>45.018244032400297</v>
      </c>
      <c r="D10" s="96"/>
      <c r="E10" s="96"/>
      <c r="F10" s="96"/>
      <c r="G10" s="96"/>
      <c r="H10" s="96"/>
      <c r="I10" s="96"/>
      <c r="J10" s="96"/>
      <c r="K10" s="96"/>
      <c r="L10" s="96"/>
      <c r="M10" s="96"/>
      <c r="N10" s="97"/>
    </row>
    <row r="11" spans="2:16">
      <c r="B11" s="98"/>
      <c r="C11" s="98"/>
    </row>
    <row r="12" spans="2:16" ht="15" thickBot="1">
      <c r="O12" s="99"/>
    </row>
    <row r="13" spans="2:16" ht="20" thickBot="1">
      <c r="B13" s="161" t="s">
        <v>113</v>
      </c>
      <c r="C13" s="162"/>
    </row>
    <row r="14" spans="2:16" ht="15" thickBot="1">
      <c r="B14" s="80" t="s">
        <v>114</v>
      </c>
      <c r="C14" s="81" t="s">
        <v>126</v>
      </c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3"/>
      <c r="O14" s="84" t="s">
        <v>116</v>
      </c>
      <c r="P14" s="85" t="s">
        <v>117</v>
      </c>
    </row>
    <row r="15" spans="2:16" ht="15" thickBot="1">
      <c r="B15" s="86" t="s">
        <v>118</v>
      </c>
      <c r="C15" s="87">
        <v>1</v>
      </c>
      <c r="D15" s="87">
        <v>2</v>
      </c>
      <c r="E15" s="87">
        <v>3</v>
      </c>
      <c r="F15" s="87">
        <v>4</v>
      </c>
      <c r="G15" s="87">
        <v>5</v>
      </c>
      <c r="H15" s="87">
        <v>6</v>
      </c>
      <c r="I15" s="87">
        <v>7</v>
      </c>
      <c r="J15" s="87">
        <v>8</v>
      </c>
      <c r="K15" s="87">
        <v>9</v>
      </c>
      <c r="L15" s="87">
        <v>10</v>
      </c>
      <c r="M15" s="163" t="s">
        <v>119</v>
      </c>
      <c r="N15" s="164"/>
      <c r="O15" s="88" t="s">
        <v>120</v>
      </c>
      <c r="P15" s="106">
        <f>C2</f>
        <v>1.4299999475479126</v>
      </c>
    </row>
    <row r="16" spans="2:16" ht="15" thickBot="1">
      <c r="B16" s="89" t="s">
        <v>121</v>
      </c>
      <c r="C16" s="90">
        <f>P15*(1+P16)</f>
        <v>1.4871999441713064</v>
      </c>
      <c r="D16" s="90">
        <f>C16*(1+P16)</f>
        <v>1.5466879406085015</v>
      </c>
      <c r="E16" s="90">
        <f>D16*(1+P16)</f>
        <v>1.6085554568499927</v>
      </c>
      <c r="F16" s="90">
        <f>E16*(1+P16)</f>
        <v>1.6728976736858283</v>
      </c>
      <c r="G16" s="90">
        <f>F16*(1+P16)</f>
        <v>1.7398135791375755</v>
      </c>
      <c r="H16" s="90">
        <f>G16*(1+P16)</f>
        <v>1.809406120747568</v>
      </c>
      <c r="I16" s="90">
        <f>H16*(1+P16)</f>
        <v>1.8817823639597371</v>
      </c>
      <c r="J16" s="90">
        <f>I16*(1+P16)</f>
        <v>1.9570536568356844</v>
      </c>
      <c r="K16" s="90">
        <f>J16*(1+P16)</f>
        <v>2.0353358013593641</v>
      </c>
      <c r="L16" s="90">
        <f>K16*(1+P16)</f>
        <v>2.1167492315940017</v>
      </c>
      <c r="M16" s="159">
        <f>L16*(1+P16)/(P17-P16)</f>
        <v>78.96994616146948</v>
      </c>
      <c r="N16" s="160"/>
      <c r="O16" s="88" t="s">
        <v>122</v>
      </c>
      <c r="P16" s="104">
        <v>3.9999999105930328E-2</v>
      </c>
    </row>
    <row r="17" spans="2:16" ht="15" thickBot="1">
      <c r="B17" s="89" t="s">
        <v>123</v>
      </c>
      <c r="C17" s="90">
        <f>C16/(1+P17)</f>
        <v>1.3926701331378117</v>
      </c>
      <c r="D17" s="90">
        <f>D16/(1+P17)^2</f>
        <v>1.3563148048081264</v>
      </c>
      <c r="E17" s="90">
        <f>E16/(1+P17)^3</f>
        <v>1.3209085238274991</v>
      </c>
      <c r="F17" s="90">
        <f>F16/(1+P17)^4</f>
        <v>1.2864265155366974</v>
      </c>
      <c r="G17" s="90">
        <f>G16/(1+P17)^5</f>
        <v>1.2528446520131622</v>
      </c>
      <c r="H17" s="90">
        <f>H16/(1+P17)^6</f>
        <v>1.2201394351881303</v>
      </c>
      <c r="I17" s="90">
        <f>I16/(1+P17)^7</f>
        <v>1.1882879804044291</v>
      </c>
      <c r="J17" s="90">
        <f>J16/(1+P17)^8</f>
        <v>1.1572680004035076</v>
      </c>
      <c r="K17" s="90">
        <f>K16/(1+P17)^9</f>
        <v>1.1270577897304963</v>
      </c>
      <c r="L17" s="90">
        <f>L16/(1+P17)^10</f>
        <v>1.097636209546355</v>
      </c>
      <c r="M17" s="159">
        <f>M16/POWER((1+P17),10)</f>
        <v>40.949712454829267</v>
      </c>
      <c r="N17" s="160"/>
      <c r="O17" s="91" t="s">
        <v>124</v>
      </c>
      <c r="P17" s="105">
        <f>WACC!$C$25</f>
        <v>6.7876669991130206E-2</v>
      </c>
    </row>
    <row r="18" spans="2:16">
      <c r="B18" s="92"/>
      <c r="N18" s="93"/>
    </row>
    <row r="19" spans="2:16" ht="20" thickBot="1">
      <c r="B19" s="94" t="s">
        <v>125</v>
      </c>
      <c r="C19" s="95">
        <f>SUM(C17:N17)*(1-P18)</f>
        <v>53.349266499425497</v>
      </c>
      <c r="D19" s="96"/>
      <c r="E19" s="96"/>
      <c r="F19" s="96"/>
      <c r="G19" s="96"/>
      <c r="H19" s="96"/>
      <c r="I19" s="96"/>
      <c r="J19" s="96"/>
      <c r="K19" s="96"/>
      <c r="L19" s="96"/>
      <c r="M19" s="96"/>
      <c r="N19" s="97"/>
    </row>
    <row r="21" spans="2:16" ht="15" thickBot="1"/>
    <row r="22" spans="2:16" ht="20" thickBot="1">
      <c r="B22" s="161" t="s">
        <v>113</v>
      </c>
      <c r="C22" s="162"/>
    </row>
    <row r="23" spans="2:16" ht="15" thickBot="1">
      <c r="B23" s="80" t="s">
        <v>114</v>
      </c>
      <c r="C23" s="81" t="s">
        <v>127</v>
      </c>
      <c r="D23" s="82"/>
      <c r="E23" s="82"/>
      <c r="F23" s="82"/>
      <c r="G23" s="82"/>
      <c r="H23" s="82"/>
      <c r="I23" s="82"/>
      <c r="J23" s="82"/>
      <c r="K23" s="82"/>
      <c r="L23" s="82"/>
      <c r="M23" s="82"/>
      <c r="N23" s="83"/>
      <c r="O23" s="84" t="s">
        <v>116</v>
      </c>
      <c r="P23" s="85" t="s">
        <v>117</v>
      </c>
    </row>
    <row r="24" spans="2:16" ht="15" thickBot="1">
      <c r="B24" s="86" t="s">
        <v>118</v>
      </c>
      <c r="C24" s="87">
        <v>1</v>
      </c>
      <c r="D24" s="87">
        <v>2</v>
      </c>
      <c r="E24" s="87">
        <v>3</v>
      </c>
      <c r="F24" s="87">
        <v>4</v>
      </c>
      <c r="G24" s="87">
        <v>5</v>
      </c>
      <c r="H24" s="87">
        <v>6</v>
      </c>
      <c r="I24" s="87">
        <v>7</v>
      </c>
      <c r="J24" s="87">
        <v>8</v>
      </c>
      <c r="K24" s="87">
        <v>9</v>
      </c>
      <c r="L24" s="87">
        <v>10</v>
      </c>
      <c r="M24" s="163" t="s">
        <v>119</v>
      </c>
      <c r="N24" s="164"/>
      <c r="O24" s="88" t="s">
        <v>120</v>
      </c>
      <c r="P24" s="106">
        <f>C2</f>
        <v>1.4299999475479126</v>
      </c>
    </row>
    <row r="25" spans="2:16" ht="15" thickBot="1">
      <c r="B25" s="89" t="s">
        <v>121</v>
      </c>
      <c r="C25" s="90">
        <f>P24*(1+P25)</f>
        <v>1.4943499477446061</v>
      </c>
      <c r="D25" s="90">
        <f>C25*(1+P25)</f>
        <v>1.5615956980652244</v>
      </c>
      <c r="E25" s="90">
        <f>D25*(1+P25)</f>
        <v>1.6318675072705067</v>
      </c>
      <c r="F25" s="90">
        <f>E25*(1+P25)</f>
        <v>1.7053015480156906</v>
      </c>
      <c r="G25" s="90">
        <f>F25*(1+P25)</f>
        <v>1.7820401207257139</v>
      </c>
      <c r="H25" s="90">
        <f>G25*(1+P25)</f>
        <v>1.8622319293449041</v>
      </c>
      <c r="I25" s="90">
        <f>H25*(1+P25)</f>
        <v>1.9460323694953519</v>
      </c>
      <c r="J25" s="90">
        <f>I25*(1+P25)</f>
        <v>2.033603829602419</v>
      </c>
      <c r="K25" s="90">
        <f>J25*(1+P25)</f>
        <v>2.1251160055708973</v>
      </c>
      <c r="L25" s="90">
        <f>K25*(1+P25)</f>
        <v>2.2207462296215956</v>
      </c>
      <c r="M25" s="159">
        <f>L25*(1+P25)/(P26-P25)</f>
        <v>101.44308573842819</v>
      </c>
      <c r="N25" s="160"/>
      <c r="O25" s="88" t="s">
        <v>122</v>
      </c>
      <c r="P25" s="104">
        <v>4.5000001788139343E-2</v>
      </c>
    </row>
    <row r="26" spans="2:16" ht="15" thickBot="1">
      <c r="B26" s="89" t="s">
        <v>123</v>
      </c>
      <c r="C26" s="90">
        <f>C25/(1+P26)</f>
        <v>1.3993656662215708</v>
      </c>
      <c r="D26" s="90">
        <f>D25/(1+P26)^2</f>
        <v>1.3693876500887867</v>
      </c>
      <c r="E26" s="90">
        <f>E25/(1+P26)^3</f>
        <v>1.3400518402591646</v>
      </c>
      <c r="F26" s="90">
        <f>F25/(1+P26)^4</f>
        <v>1.3113444790199076</v>
      </c>
      <c r="G26" s="90">
        <f>G25/(1+P26)^5</f>
        <v>1.2832521033838569</v>
      </c>
      <c r="H26" s="90">
        <f>H25/(1+P26)^6</f>
        <v>1.2557615387757275</v>
      </c>
      <c r="I26" s="90">
        <f>I25/(1+P26)^7</f>
        <v>1.2288598928535548</v>
      </c>
      <c r="J26" s="90">
        <f>J25/(1+P26)^8</f>
        <v>1.2025345494625386</v>
      </c>
      <c r="K26" s="90">
        <f>K25/(1+P26)^9</f>
        <v>1.1767731627183982</v>
      </c>
      <c r="L26" s="90">
        <f>L25/(1+P26)^10</f>
        <v>1.1515636512174943</v>
      </c>
      <c r="M26" s="159">
        <f>M25/POWER((1+P26),10)</f>
        <v>52.603115405769927</v>
      </c>
      <c r="N26" s="160"/>
      <c r="O26" s="91" t="s">
        <v>124</v>
      </c>
      <c r="P26" s="105">
        <f>WACC!$C$25</f>
        <v>6.7876669991130206E-2</v>
      </c>
    </row>
    <row r="27" spans="2:16">
      <c r="B27" s="92"/>
      <c r="N27" s="93"/>
    </row>
    <row r="28" spans="2:16" ht="20" thickBot="1">
      <c r="B28" s="94" t="s">
        <v>125</v>
      </c>
      <c r="C28" s="95">
        <f>SUM(C26:N26)*(1-P27)</f>
        <v>65.322009939770894</v>
      </c>
      <c r="D28" s="96"/>
      <c r="E28" s="96"/>
      <c r="F28" s="96"/>
      <c r="G28" s="96"/>
      <c r="H28" s="96"/>
      <c r="I28" s="96"/>
      <c r="J28" s="96"/>
      <c r="K28" s="96"/>
      <c r="L28" s="96"/>
      <c r="M28" s="96"/>
      <c r="N28" s="97"/>
    </row>
  </sheetData>
  <mergeCells count="12">
    <mergeCell ref="M26:N26"/>
    <mergeCell ref="B4:C4"/>
    <mergeCell ref="M6:N6"/>
    <mergeCell ref="M7:N7"/>
    <mergeCell ref="M8:N8"/>
    <mergeCell ref="B13:C13"/>
    <mergeCell ref="M15:N15"/>
    <mergeCell ref="M16:N16"/>
    <mergeCell ref="M17:N17"/>
    <mergeCell ref="B22:C22"/>
    <mergeCell ref="M24:N24"/>
    <mergeCell ref="M25:N2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AJ83"/>
  <sheetViews>
    <sheetView zoomScale="85" zoomScaleNormal="85" workbookViewId="0">
      <selection activeCell="D60" sqref="D60:M60"/>
    </sheetView>
  </sheetViews>
  <sheetFormatPr defaultRowHeight="14.5"/>
  <cols>
    <col min="2" max="2" width="62.26953125" bestFit="1" customWidth="1"/>
    <col min="3" max="3" width="10" style="110" bestFit="1" customWidth="1"/>
    <col min="4" max="4" width="13.26953125" style="110" bestFit="1" customWidth="1"/>
    <col min="5" max="11" width="11.26953125" style="110" bestFit="1" customWidth="1"/>
    <col min="12" max="13" width="11.6328125" style="110" bestFit="1" customWidth="1"/>
    <col min="19" max="19" width="11.7265625" customWidth="1"/>
  </cols>
  <sheetData>
    <row r="2" spans="2:17" ht="17.5" thickBot="1">
      <c r="B2" s="2" t="s">
        <v>45</v>
      </c>
      <c r="C2" s="109"/>
      <c r="D2" s="109">
        <v>2013</v>
      </c>
      <c r="E2" s="109">
        <v>2014</v>
      </c>
      <c r="F2" s="109">
        <v>2015</v>
      </c>
      <c r="G2" s="109">
        <v>2016</v>
      </c>
      <c r="H2" s="109">
        <v>2017</v>
      </c>
      <c r="I2" s="109">
        <v>2018</v>
      </c>
      <c r="J2" s="109">
        <v>2019</v>
      </c>
      <c r="K2" s="109">
        <v>2020</v>
      </c>
      <c r="L2" s="109">
        <v>2021</v>
      </c>
      <c r="M2" s="109">
        <v>2022</v>
      </c>
    </row>
    <row r="3" spans="2:17" ht="15" thickTop="1">
      <c r="B3" s="18" t="s">
        <v>26</v>
      </c>
      <c r="C3" s="120">
        <v>6521.2998046875</v>
      </c>
      <c r="D3" s="110">
        <v>7194.7001953125</v>
      </c>
      <c r="E3" s="110">
        <v>8277.2998046875</v>
      </c>
      <c r="F3" s="110">
        <v>6691.10009765625</v>
      </c>
      <c r="G3" s="110">
        <v>5685.7001953125</v>
      </c>
      <c r="H3" s="110">
        <v>6120.7001953125</v>
      </c>
      <c r="I3" s="110">
        <v>7651</v>
      </c>
      <c r="J3" s="110">
        <v>7320</v>
      </c>
      <c r="K3" s="110">
        <v>6559</v>
      </c>
      <c r="L3" s="110">
        <v>7447</v>
      </c>
      <c r="M3" s="110">
        <v>10106</v>
      </c>
      <c r="Q3" s="107"/>
    </row>
    <row r="4" spans="2:17">
      <c r="B4" s="18" t="s">
        <v>27</v>
      </c>
      <c r="C4" s="113"/>
      <c r="D4" s="121">
        <f t="shared" ref="D4:M4" si="0">(D3-C3)/C3</f>
        <v>0.10326168260826789</v>
      </c>
      <c r="E4" s="121">
        <f t="shared" si="0"/>
        <v>0.15047181675204988</v>
      </c>
      <c r="F4" s="121">
        <f t="shared" si="0"/>
        <v>-0.19163250630754883</v>
      </c>
      <c r="G4" s="121">
        <f t="shared" si="0"/>
        <v>-0.15025928287874818</v>
      </c>
      <c r="H4" s="121">
        <f t="shared" si="0"/>
        <v>7.6507727290761829E-2</v>
      </c>
      <c r="I4" s="121">
        <f t="shared" si="0"/>
        <v>0.25002038261234727</v>
      </c>
      <c r="J4" s="121">
        <f t="shared" si="0"/>
        <v>-4.3262318651156713E-2</v>
      </c>
      <c r="K4" s="121">
        <f t="shared" si="0"/>
        <v>-0.10396174863387977</v>
      </c>
      <c r="L4" s="121">
        <f t="shared" si="0"/>
        <v>0.13538649184326879</v>
      </c>
      <c r="M4" s="121">
        <f t="shared" si="0"/>
        <v>0.35705653283201289</v>
      </c>
      <c r="Q4" s="107"/>
    </row>
    <row r="5" spans="2:17">
      <c r="B5" s="18"/>
      <c r="C5" s="113"/>
      <c r="D5" s="115"/>
      <c r="E5" s="115"/>
      <c r="F5" s="115"/>
      <c r="G5" s="115"/>
      <c r="H5" s="115"/>
      <c r="I5" s="115"/>
      <c r="J5" s="115"/>
      <c r="K5" s="115"/>
      <c r="L5" s="115"/>
      <c r="M5" s="115"/>
      <c r="Q5" s="107"/>
    </row>
    <row r="6" spans="2:17">
      <c r="B6" s="18" t="s">
        <v>29</v>
      </c>
      <c r="C6" s="110">
        <v>210.19999694824219</v>
      </c>
      <c r="D6" s="110">
        <v>278.10000610351563</v>
      </c>
      <c r="E6" s="110">
        <v>337.20001220703125</v>
      </c>
      <c r="F6" s="110">
        <v>281</v>
      </c>
      <c r="G6" s="110">
        <v>364.70001220703125</v>
      </c>
      <c r="H6" s="110">
        <v>436.60000610351563</v>
      </c>
      <c r="I6" s="110">
        <v>719</v>
      </c>
      <c r="J6" s="110">
        <v>256</v>
      </c>
      <c r="K6" s="110">
        <v>532</v>
      </c>
      <c r="L6" s="110">
        <v>1467</v>
      </c>
      <c r="M6" s="110">
        <v>1073</v>
      </c>
      <c r="Q6" s="107"/>
    </row>
    <row r="7" spans="2:17">
      <c r="B7" s="18" t="s">
        <v>27</v>
      </c>
      <c r="C7" s="113"/>
      <c r="D7" s="121">
        <f t="shared" ref="D7" si="1">(D6-C6)/C6</f>
        <v>0.3230257380640808</v>
      </c>
      <c r="E7" s="121">
        <f t="shared" ref="E7" si="2">(E6-D6)/D6</f>
        <v>0.2125135016412659</v>
      </c>
      <c r="F7" s="121">
        <f t="shared" ref="F7" si="3">(F6-E6)/E6</f>
        <v>-0.16666669683429941</v>
      </c>
      <c r="G7" s="121">
        <f t="shared" ref="G7" si="4">(G6-F6)/F6</f>
        <v>0.29786481212466653</v>
      </c>
      <c r="H7" s="121">
        <f t="shared" ref="H7" si="5">(H6-G6)/G6</f>
        <v>0.19714831776772354</v>
      </c>
      <c r="I7" s="121">
        <f t="shared" ref="I7" si="6">(I6-H6)/H6</f>
        <v>0.64681628481133868</v>
      </c>
      <c r="J7" s="121">
        <f t="shared" ref="J7" si="7">(J6-I6)/I6</f>
        <v>-0.64394993045897075</v>
      </c>
      <c r="K7" s="121">
        <f t="shared" ref="K7" si="8">(K6-J6)/J6</f>
        <v>1.078125</v>
      </c>
      <c r="L7" s="121">
        <f t="shared" ref="L7" si="9">(L6-K6)/K6</f>
        <v>1.7575187969924813</v>
      </c>
      <c r="M7" s="121">
        <f t="shared" ref="M7" si="10">(M6-L6)/L6</f>
        <v>-0.26857532379004773</v>
      </c>
      <c r="Q7" s="107"/>
    </row>
    <row r="8" spans="2:17">
      <c r="D8" s="115"/>
      <c r="E8" s="115"/>
      <c r="F8" s="115"/>
      <c r="G8" s="115"/>
      <c r="H8" s="115"/>
      <c r="I8" s="115"/>
      <c r="J8" s="115"/>
      <c r="K8" s="115"/>
      <c r="L8" s="115"/>
      <c r="M8" s="115"/>
      <c r="Q8" s="107"/>
    </row>
    <row r="9" spans="2:17">
      <c r="B9" s="18" t="s">
        <v>47</v>
      </c>
      <c r="C9" s="110">
        <v>853.599609375</v>
      </c>
      <c r="D9" s="110">
        <v>1194.199951171875</v>
      </c>
      <c r="E9" s="110">
        <v>1368.5</v>
      </c>
      <c r="F9" s="110">
        <v>1209</v>
      </c>
      <c r="G9" s="110">
        <v>1388.9010009765625</v>
      </c>
      <c r="H9" s="110">
        <v>1426.300048828125</v>
      </c>
      <c r="I9" s="110">
        <v>1520</v>
      </c>
      <c r="J9" s="110">
        <v>1065</v>
      </c>
      <c r="K9" s="110">
        <v>1466</v>
      </c>
      <c r="L9" s="110">
        <v>2852</v>
      </c>
      <c r="M9" s="110">
        <v>2184</v>
      </c>
      <c r="Q9" s="107"/>
    </row>
    <row r="10" spans="2:17">
      <c r="B10" s="18" t="s">
        <v>27</v>
      </c>
      <c r="C10" s="113"/>
      <c r="D10" s="121">
        <f t="shared" ref="D10" si="11">(D9-C9)/C9</f>
        <v>0.39901651553737277</v>
      </c>
      <c r="E10" s="121">
        <f t="shared" ref="E10" si="12">(E9-D9)/D9</f>
        <v>0.14595549820369919</v>
      </c>
      <c r="F10" s="121">
        <f t="shared" ref="F10" si="13">(F9-E9)/E9</f>
        <v>-0.11655096821337231</v>
      </c>
      <c r="G10" s="121">
        <f t="shared" ref="G10" si="14">(G9-F9)/F9</f>
        <v>0.14880148964149131</v>
      </c>
      <c r="H10" s="121">
        <f t="shared" ref="H10" si="15">(H9-G9)/G9</f>
        <v>2.6927079630057572E-2</v>
      </c>
      <c r="I10" s="121">
        <f t="shared" ref="I10" si="16">(I9-H9)/H9</f>
        <v>6.5694417699039082E-2</v>
      </c>
      <c r="J10" s="121">
        <f t="shared" ref="J10" si="17">(J9-I9)/I9</f>
        <v>-0.29934210526315791</v>
      </c>
      <c r="K10" s="121">
        <f t="shared" ref="K10" si="18">(K9-J9)/J9</f>
        <v>0.37652582159624415</v>
      </c>
      <c r="L10" s="121">
        <f t="shared" ref="L10" si="19">(L9-K9)/K9</f>
        <v>0.94542974079126874</v>
      </c>
      <c r="M10" s="121">
        <f t="shared" ref="M10" si="20">(M9-L9)/L9</f>
        <v>-0.23422159887798036</v>
      </c>
      <c r="Q10" s="107"/>
    </row>
    <row r="11" spans="2:17">
      <c r="B11" s="18"/>
      <c r="C11" s="113"/>
      <c r="Q11" s="107"/>
    </row>
    <row r="12" spans="2:17">
      <c r="B12" s="18" t="s">
        <v>143</v>
      </c>
      <c r="C12" s="110">
        <v>170.14799499511719</v>
      </c>
      <c r="D12" s="110">
        <v>173.28199768066406</v>
      </c>
      <c r="E12" s="110">
        <v>175.23100280761719</v>
      </c>
      <c r="F12" s="110">
        <v>175.66700744628906</v>
      </c>
      <c r="G12" s="110">
        <v>175.57200622558594</v>
      </c>
      <c r="H12" s="110">
        <v>177.15899658203125</v>
      </c>
      <c r="I12" s="110">
        <v>176.90499877929688</v>
      </c>
      <c r="J12" s="110">
        <v>181.11099243164063</v>
      </c>
      <c r="K12" s="110">
        <v>209.86900329589844</v>
      </c>
      <c r="L12" s="110">
        <v>212.12600708007813</v>
      </c>
      <c r="M12" s="110">
        <v>215.82099914550781</v>
      </c>
      <c r="Q12" s="107"/>
    </row>
    <row r="13" spans="2:17">
      <c r="B13" s="18" t="s">
        <v>27</v>
      </c>
      <c r="C13" s="113"/>
      <c r="D13" s="121">
        <f t="shared" ref="D13" si="21">(D12-C12)/C12</f>
        <v>1.8419274853264191E-2</v>
      </c>
      <c r="E13" s="121">
        <f t="shared" ref="E13" si="22">(E12-D12)/D12</f>
        <v>1.1247591515795489E-2</v>
      </c>
      <c r="F13" s="121">
        <f t="shared" ref="F13" si="23">(F12-E12)/E12</f>
        <v>2.4881706529440838E-3</v>
      </c>
      <c r="G13" s="121">
        <f t="shared" ref="G13" si="24">(G12-F12)/F12</f>
        <v>-5.4080286380566974E-4</v>
      </c>
      <c r="H13" s="121">
        <f t="shared" ref="H13" si="25">(H12-G12)/G12</f>
        <v>9.0389714770716043E-3</v>
      </c>
      <c r="I13" s="121">
        <f t="shared" ref="I13" si="26">(I12-H12)/H12</f>
        <v>-1.4337279372474028E-3</v>
      </c>
      <c r="J13" s="121">
        <f t="shared" ref="J13" si="27">(J12-I12)/I12</f>
        <v>2.377543699367738E-2</v>
      </c>
      <c r="K13" s="121">
        <f t="shared" ref="K13" si="28">(K12-J12)/J12</f>
        <v>0.15878666710477166</v>
      </c>
      <c r="L13" s="121">
        <f t="shared" ref="L13" si="29">(L12-K12)/K12</f>
        <v>1.0754345561919407E-2</v>
      </c>
      <c r="M13" s="121">
        <f t="shared" ref="M13" si="30">(M12-L12)/L12</f>
        <v>1.7418854558624786E-2</v>
      </c>
      <c r="Q13" s="107"/>
    </row>
    <row r="14" spans="2:17">
      <c r="B14" s="18"/>
      <c r="C14" s="113"/>
      <c r="Q14" s="107"/>
    </row>
    <row r="15" spans="2:17">
      <c r="B15" s="18" t="s">
        <v>144</v>
      </c>
      <c r="C15" s="110">
        <v>1.2400000095367432</v>
      </c>
      <c r="D15" s="110">
        <v>1.6000000238418579</v>
      </c>
      <c r="E15" s="110">
        <v>1.9199999570846558</v>
      </c>
      <c r="F15" s="110">
        <v>1.6000000238418579</v>
      </c>
      <c r="G15" s="110">
        <v>2.0799999237060547</v>
      </c>
      <c r="H15" s="110">
        <v>2.4600000381469727</v>
      </c>
      <c r="I15" s="110">
        <v>4.059999942779541</v>
      </c>
      <c r="J15" s="110">
        <v>1.4099999666213989</v>
      </c>
      <c r="K15" s="110">
        <v>2.5399999618530273</v>
      </c>
      <c r="L15" s="110">
        <v>6.9200000762939453</v>
      </c>
      <c r="M15" s="110">
        <v>4.9699997901916504</v>
      </c>
      <c r="Q15" s="107"/>
    </row>
    <row r="16" spans="2:17">
      <c r="B16" s="18" t="s">
        <v>27</v>
      </c>
      <c r="D16" s="121">
        <f t="shared" ref="D16" si="31">(D15-C15)/C15</f>
        <v>0.29032258994869675</v>
      </c>
      <c r="E16" s="121">
        <f t="shared" ref="E16" si="32">(E15-D15)/D15</f>
        <v>0.19999995529651693</v>
      </c>
      <c r="F16" s="121">
        <f t="shared" ref="F16" si="33">(F15-E15)/E15</f>
        <v>-0.16666663562257986</v>
      </c>
      <c r="G16" s="121">
        <f t="shared" ref="G16" si="34">(G15-F15)/F15</f>
        <v>0.29999993294477539</v>
      </c>
      <c r="H16" s="121">
        <f t="shared" ref="H16" si="35">(H15-G15)/G15</f>
        <v>0.18269236941309638</v>
      </c>
      <c r="I16" s="121">
        <f t="shared" ref="I16" si="36">(I15-H15)/H15</f>
        <v>0.65040645521200591</v>
      </c>
      <c r="J16" s="121">
        <f t="shared" ref="J16" si="37">(J15-I15)/I15</f>
        <v>-0.65270936293262805</v>
      </c>
      <c r="K16" s="121">
        <f t="shared" ref="K16" si="38">(K15-J15)/J15</f>
        <v>0.80141845530628086</v>
      </c>
      <c r="L16" s="121">
        <f t="shared" ref="L16" si="39">(L15-K15)/K15</f>
        <v>1.7244095197724087</v>
      </c>
      <c r="M16" s="121">
        <f t="shared" ref="M16" si="40">(M15-L15)/L15</f>
        <v>-0.28179194575191752</v>
      </c>
      <c r="Q16" s="107"/>
    </row>
    <row r="17" spans="2:36">
      <c r="B17" s="18"/>
      <c r="Q17" s="107"/>
    </row>
    <row r="19" spans="2:36" ht="17.5" thickBot="1">
      <c r="B19" s="2" t="s">
        <v>46</v>
      </c>
      <c r="C19" s="109"/>
      <c r="D19" s="109">
        <v>2013</v>
      </c>
      <c r="E19" s="109">
        <v>2014</v>
      </c>
      <c r="F19" s="109">
        <v>2015</v>
      </c>
      <c r="G19" s="109">
        <v>2016</v>
      </c>
      <c r="H19" s="109">
        <v>2017</v>
      </c>
      <c r="I19" s="109">
        <v>2018</v>
      </c>
      <c r="J19" s="109">
        <v>2019</v>
      </c>
      <c r="K19" s="109">
        <v>2020</v>
      </c>
      <c r="L19" s="109">
        <v>2021</v>
      </c>
      <c r="M19" s="109">
        <v>2022</v>
      </c>
    </row>
    <row r="20" spans="2:36" ht="15" thickTop="1">
      <c r="B20" s="31" t="s">
        <v>30</v>
      </c>
      <c r="C20" s="110">
        <v>368.29998779296875</v>
      </c>
      <c r="D20" s="128">
        <v>315.5</v>
      </c>
      <c r="E20" s="128">
        <v>548.5999755859375</v>
      </c>
      <c r="F20" s="128">
        <v>673.20001220703125</v>
      </c>
      <c r="G20" s="128">
        <v>405.89999389648438</v>
      </c>
      <c r="H20" s="128">
        <v>325.5</v>
      </c>
      <c r="I20" s="128">
        <v>511</v>
      </c>
      <c r="J20" s="128">
        <v>373</v>
      </c>
      <c r="K20" s="128">
        <v>447</v>
      </c>
      <c r="L20" s="128">
        <v>791</v>
      </c>
      <c r="M20" s="128">
        <v>-88</v>
      </c>
      <c r="O20" s="107"/>
      <c r="P20" s="107"/>
      <c r="Q20" s="107"/>
      <c r="R20" s="107"/>
      <c r="S20" s="107"/>
      <c r="T20" s="108"/>
      <c r="U20" s="107"/>
      <c r="V20" s="107"/>
      <c r="W20" s="107"/>
      <c r="X20" s="107"/>
      <c r="Y20" s="107"/>
      <c r="Z20" s="107"/>
      <c r="AA20" s="107"/>
      <c r="AB20" s="107"/>
      <c r="AC20" s="107"/>
      <c r="AD20" s="107"/>
      <c r="AE20" s="107"/>
      <c r="AF20" s="107"/>
      <c r="AG20" s="107"/>
      <c r="AH20" s="107"/>
      <c r="AI20" s="107"/>
      <c r="AJ20" s="107"/>
    </row>
    <row r="21" spans="2:36">
      <c r="B21" s="31" t="s">
        <v>27</v>
      </c>
      <c r="D21" s="129"/>
      <c r="E21" s="131">
        <f t="shared" ref="E21" si="41">(E20-D20)/D20</f>
        <v>0.73882718093799682</v>
      </c>
      <c r="F21" s="131">
        <f t="shared" ref="F21" si="42">(F20-E20)/E20</f>
        <v>0.22712366417445357</v>
      </c>
      <c r="G21" s="131">
        <f t="shared" ref="G21" si="43">(G20-F20)/F20</f>
        <v>-0.39705884352887311</v>
      </c>
      <c r="H21" s="131">
        <f t="shared" ref="H21" si="44">(H20-G20)/G20</f>
        <v>-0.19807833236131725</v>
      </c>
      <c r="I21" s="131">
        <f t="shared" ref="I21" si="45">(I20-H20)/H20</f>
        <v>0.56989247311827962</v>
      </c>
      <c r="J21" s="131">
        <f t="shared" ref="J21" si="46">(J20-I20)/I20</f>
        <v>-0.27005870841487278</v>
      </c>
      <c r="K21" s="131">
        <f t="shared" ref="K21" si="47">(K20-J20)/J20</f>
        <v>0.19839142091152814</v>
      </c>
      <c r="L21" s="131">
        <f t="shared" ref="L21" si="48">(L20-K20)/K20</f>
        <v>0.76957494407158833</v>
      </c>
      <c r="M21" s="131">
        <f t="shared" ref="M21" si="49">(M20-L20)/L20</f>
        <v>-1.1112515802781289</v>
      </c>
      <c r="O21" s="107"/>
      <c r="P21" s="107"/>
      <c r="Q21" s="107"/>
      <c r="R21" s="107"/>
      <c r="S21" s="107"/>
      <c r="T21" s="107"/>
      <c r="U21" s="107"/>
      <c r="V21" s="107"/>
      <c r="W21" s="107"/>
      <c r="X21" s="107"/>
      <c r="Y21" s="107"/>
      <c r="Z21" s="107"/>
      <c r="AA21" s="107"/>
      <c r="AB21" s="107"/>
      <c r="AC21" s="107"/>
      <c r="AD21" s="107"/>
      <c r="AE21" s="107"/>
      <c r="AF21" s="107"/>
      <c r="AG21" s="107"/>
      <c r="AH21" s="107"/>
      <c r="AI21" s="107"/>
      <c r="AJ21" s="107"/>
    </row>
    <row r="22" spans="2:36">
      <c r="D22" s="130"/>
      <c r="E22" s="130"/>
      <c r="F22" s="130"/>
      <c r="G22" s="130"/>
      <c r="H22" s="130"/>
      <c r="I22" s="130"/>
      <c r="J22" s="130"/>
      <c r="K22" s="130"/>
      <c r="L22" s="130"/>
      <c r="M22" s="130"/>
      <c r="O22" s="107"/>
      <c r="P22" s="107"/>
      <c r="Q22" s="107"/>
      <c r="R22" s="107"/>
      <c r="S22" s="107"/>
      <c r="T22" s="107"/>
      <c r="U22" s="107"/>
      <c r="V22" s="107"/>
      <c r="W22" s="107"/>
      <c r="X22" s="107"/>
      <c r="Y22" s="107"/>
      <c r="Z22" s="107"/>
      <c r="AA22" s="107"/>
      <c r="AB22" s="107"/>
      <c r="AC22" s="107"/>
      <c r="AD22" s="107"/>
      <c r="AE22" s="107"/>
      <c r="AF22" s="107"/>
      <c r="AG22" s="107"/>
      <c r="AH22" s="107"/>
      <c r="AI22" s="107"/>
      <c r="AJ22" s="107"/>
    </row>
    <row r="23" spans="2:36">
      <c r="B23" s="18" t="s">
        <v>60</v>
      </c>
      <c r="C23" s="113">
        <v>119.09999847412109</v>
      </c>
      <c r="D23" s="130">
        <v>125.80000305175781</v>
      </c>
      <c r="E23" s="130">
        <v>136.10000610351563</v>
      </c>
      <c r="F23" s="130">
        <v>153.5</v>
      </c>
      <c r="G23" s="130">
        <v>160.69999694824219</v>
      </c>
      <c r="H23" s="130">
        <v>168.89999389648438</v>
      </c>
      <c r="I23" s="130">
        <v>177</v>
      </c>
      <c r="J23" s="130">
        <v>200</v>
      </c>
      <c r="K23" s="130">
        <v>273</v>
      </c>
      <c r="L23" s="130">
        <v>282</v>
      </c>
      <c r="M23" s="130">
        <v>296</v>
      </c>
      <c r="O23" s="107"/>
      <c r="P23" s="107"/>
      <c r="Q23" s="107"/>
      <c r="R23" s="107"/>
      <c r="S23" s="107"/>
      <c r="T23" s="107"/>
      <c r="U23" s="107"/>
      <c r="V23" s="107"/>
      <c r="W23" s="107"/>
      <c r="X23" s="107"/>
      <c r="Y23" s="107"/>
      <c r="Z23" s="107"/>
      <c r="AA23" s="107"/>
      <c r="AB23" s="107"/>
      <c r="AC23" s="107"/>
      <c r="AD23" s="107"/>
      <c r="AE23" s="107"/>
      <c r="AF23" s="107"/>
      <c r="AG23" s="107"/>
      <c r="AH23" s="107"/>
      <c r="AI23" s="107"/>
      <c r="AJ23" s="107"/>
    </row>
    <row r="24" spans="2:36">
      <c r="D24" s="121">
        <f t="shared" ref="D24" si="50">(D23-C23)/C23</f>
        <v>5.6255286846981369E-2</v>
      </c>
      <c r="E24" s="121">
        <f t="shared" ref="E24" si="51">(E23-D23)/D23</f>
        <v>8.187601591329105E-2</v>
      </c>
      <c r="F24" s="121">
        <f t="shared" ref="F24" si="52">(F23-E23)/E23</f>
        <v>0.12784712061842363</v>
      </c>
      <c r="G24" s="121">
        <f t="shared" ref="G24" si="53">(G23-F23)/F23</f>
        <v>4.6905517578125014E-2</v>
      </c>
      <c r="H24" s="121">
        <f t="shared" ref="H24" si="54">(H23-G23)/G23</f>
        <v>5.1026739912653711E-2</v>
      </c>
      <c r="I24" s="121">
        <f t="shared" ref="I24" si="55">(I23-H23)/H23</f>
        <v>4.7957409095467397E-2</v>
      </c>
      <c r="J24" s="121">
        <f t="shared" ref="J24" si="56">(J23-I23)/I23</f>
        <v>0.12994350282485875</v>
      </c>
      <c r="K24" s="121">
        <f t="shared" ref="K24" si="57">(K23-J23)/J23</f>
        <v>0.36499999999999999</v>
      </c>
      <c r="L24" s="121">
        <f t="shared" ref="L24" si="58">(L23-K23)/K23</f>
        <v>3.2967032967032968E-2</v>
      </c>
      <c r="M24" s="121">
        <f t="shared" ref="M24" si="59">(M23-L23)/L23</f>
        <v>4.9645390070921988E-2</v>
      </c>
      <c r="O24" s="107"/>
      <c r="P24" s="107"/>
      <c r="Q24" s="107"/>
      <c r="R24" s="107"/>
      <c r="S24" s="107"/>
      <c r="T24" s="107"/>
      <c r="U24" s="107"/>
      <c r="V24" s="107"/>
      <c r="W24" s="107"/>
      <c r="X24" s="107"/>
      <c r="Y24" s="107"/>
      <c r="Z24" s="107"/>
      <c r="AA24" s="107"/>
      <c r="AB24" s="107"/>
      <c r="AC24" s="107"/>
      <c r="AD24" s="107"/>
      <c r="AE24" s="107"/>
      <c r="AF24" s="107"/>
      <c r="AG24" s="107"/>
      <c r="AH24" s="107"/>
      <c r="AI24" s="107"/>
      <c r="AJ24" s="107"/>
    </row>
    <row r="25" spans="2:36">
      <c r="O25" s="107"/>
      <c r="P25" s="107"/>
      <c r="Q25" s="107"/>
      <c r="R25" s="107"/>
      <c r="S25" s="107"/>
      <c r="T25" s="107"/>
      <c r="U25" s="107"/>
      <c r="V25" s="107"/>
      <c r="W25" s="107"/>
      <c r="X25" s="107"/>
      <c r="Y25" s="107"/>
      <c r="Z25" s="107"/>
      <c r="AA25" s="107"/>
      <c r="AB25" s="107"/>
      <c r="AC25" s="107"/>
      <c r="AD25" s="107"/>
      <c r="AE25" s="107"/>
      <c r="AF25" s="107"/>
      <c r="AG25" s="107"/>
      <c r="AH25" s="107"/>
      <c r="AI25" s="107"/>
      <c r="AJ25" s="107"/>
    </row>
    <row r="26" spans="2:36">
      <c r="O26" s="107"/>
      <c r="P26" s="107"/>
      <c r="Q26" s="107"/>
      <c r="R26" s="107"/>
      <c r="S26" s="107"/>
      <c r="T26" s="107"/>
      <c r="U26" s="107"/>
      <c r="V26" s="107"/>
      <c r="W26" s="107"/>
      <c r="X26" s="107"/>
      <c r="Y26" s="107"/>
      <c r="Z26" s="107"/>
      <c r="AA26" s="107"/>
      <c r="AB26" s="107"/>
      <c r="AC26" s="107"/>
      <c r="AD26" s="107"/>
      <c r="AE26" s="107"/>
      <c r="AF26" s="107"/>
      <c r="AG26" s="107"/>
      <c r="AH26" s="107"/>
      <c r="AI26" s="107"/>
      <c r="AJ26" s="107"/>
    </row>
    <row r="27" spans="2:36" ht="17.5" thickBot="1">
      <c r="B27" s="2" t="s">
        <v>48</v>
      </c>
      <c r="C27" s="109">
        <v>2012</v>
      </c>
      <c r="D27" s="109">
        <v>2013</v>
      </c>
      <c r="E27" s="109">
        <v>2014</v>
      </c>
      <c r="F27" s="109">
        <v>2015</v>
      </c>
      <c r="G27" s="109">
        <v>2016</v>
      </c>
      <c r="H27" s="109">
        <v>2017</v>
      </c>
      <c r="I27" s="109">
        <v>2018</v>
      </c>
      <c r="J27" s="109">
        <v>2019</v>
      </c>
      <c r="K27" s="109">
        <v>2020</v>
      </c>
      <c r="L27" s="109">
        <v>2021</v>
      </c>
      <c r="M27" s="109">
        <v>2022</v>
      </c>
      <c r="O27" s="107"/>
      <c r="P27" s="107"/>
      <c r="Q27" s="107"/>
      <c r="R27" s="107"/>
      <c r="S27" s="107"/>
      <c r="T27" s="107"/>
      <c r="U27" s="107"/>
      <c r="V27" s="107"/>
      <c r="W27" s="107"/>
      <c r="X27" s="107"/>
      <c r="Y27" s="107"/>
      <c r="Z27" s="107"/>
      <c r="AA27" s="107"/>
      <c r="AB27" s="107"/>
      <c r="AC27" s="107"/>
      <c r="AD27" s="107"/>
      <c r="AE27" s="107"/>
      <c r="AF27" s="107"/>
      <c r="AG27" s="107"/>
      <c r="AH27" s="107"/>
      <c r="AI27" s="107"/>
      <c r="AJ27" s="107"/>
    </row>
    <row r="28" spans="2:36" ht="15" thickTop="1">
      <c r="B28" s="18" t="s">
        <v>49</v>
      </c>
      <c r="C28" s="110">
        <v>1470.4000244140625</v>
      </c>
      <c r="D28" s="110">
        <v>1627.300048828125</v>
      </c>
      <c r="E28" s="110">
        <v>1663</v>
      </c>
      <c r="F28" s="110">
        <v>1459.800048828125</v>
      </c>
      <c r="G28" s="110">
        <v>1423.800048828125</v>
      </c>
      <c r="H28" s="110">
        <v>1697.5</v>
      </c>
      <c r="I28" s="110">
        <v>1888.0999755859375</v>
      </c>
      <c r="J28" s="110">
        <v>1566</v>
      </c>
      <c r="K28" s="110">
        <v>1543</v>
      </c>
      <c r="L28" s="110">
        <v>3270</v>
      </c>
      <c r="M28" s="110">
        <v>3802</v>
      </c>
      <c r="O28" s="107"/>
      <c r="P28" s="107"/>
      <c r="Q28" s="107"/>
      <c r="R28" s="107"/>
      <c r="S28" s="107"/>
      <c r="T28" s="107"/>
      <c r="U28" s="107"/>
      <c r="V28" s="107"/>
      <c r="W28" s="107"/>
      <c r="X28" s="107"/>
      <c r="Y28" s="107"/>
      <c r="Z28" s="107"/>
      <c r="AA28" s="107"/>
      <c r="AB28" s="107"/>
      <c r="AC28" s="107"/>
      <c r="AD28" s="107"/>
      <c r="AE28" s="107"/>
      <c r="AF28" s="107"/>
      <c r="AG28" s="107"/>
      <c r="AH28" s="107"/>
      <c r="AI28" s="107"/>
      <c r="AJ28" s="107"/>
    </row>
    <row r="29" spans="2:36">
      <c r="B29" s="18" t="s">
        <v>27</v>
      </c>
      <c r="C29" s="113"/>
      <c r="D29" s="121">
        <f t="shared" ref="D29" si="60">(D28-C28)/C28</f>
        <v>0.10670567315624611</v>
      </c>
      <c r="E29" s="121">
        <f t="shared" ref="E29" si="61">(E28-D28)/D28</f>
        <v>2.1938149143167333E-2</v>
      </c>
      <c r="F29" s="121">
        <f t="shared" ref="F29" si="62">(F28-E28)/E28</f>
        <v>-0.12218878603239627</v>
      </c>
      <c r="G29" s="121">
        <f t="shared" ref="G29" si="63">(G28-F28)/F28</f>
        <v>-2.4660911628890121E-2</v>
      </c>
      <c r="H29" s="121">
        <f t="shared" ref="H29" si="64">(H28-G28)/G28</f>
        <v>0.19223201417723362</v>
      </c>
      <c r="I29" s="121">
        <f t="shared" ref="I29" si="65">(I28-H28)/H28</f>
        <v>0.11228275439525066</v>
      </c>
      <c r="J29" s="121">
        <f t="shared" ref="J29" si="66">(J28-I28)/I28</f>
        <v>-0.17059476709435351</v>
      </c>
      <c r="K29" s="121">
        <f t="shared" ref="K29" si="67">(K28-J28)/J28</f>
        <v>-1.4687100893997445E-2</v>
      </c>
      <c r="L29" s="121">
        <f t="shared" ref="L29" si="68">(L28-K28)/K28</f>
        <v>1.1192482177576151</v>
      </c>
      <c r="M29" s="121">
        <f t="shared" ref="M29" si="69">(M28-L28)/L28</f>
        <v>0.16269113149847095</v>
      </c>
      <c r="O29" s="107"/>
      <c r="P29" s="107"/>
      <c r="Q29" s="107"/>
      <c r="R29" s="107"/>
      <c r="S29" s="107"/>
      <c r="T29" s="107"/>
      <c r="U29" s="107"/>
      <c r="V29" s="107"/>
      <c r="W29" s="107"/>
      <c r="X29" s="107"/>
      <c r="Y29" s="107"/>
      <c r="Z29" s="107"/>
      <c r="AA29" s="107"/>
      <c r="AB29" s="107"/>
      <c r="AC29" s="107"/>
      <c r="AD29" s="107"/>
      <c r="AE29" s="107"/>
      <c r="AF29" s="107"/>
      <c r="AG29" s="107"/>
      <c r="AH29" s="107"/>
      <c r="AI29" s="107"/>
      <c r="AJ29" s="107"/>
    </row>
    <row r="30" spans="2:36">
      <c r="O30" s="107"/>
      <c r="P30" s="107"/>
      <c r="Q30" s="107"/>
      <c r="R30" s="107"/>
      <c r="S30" s="107"/>
      <c r="T30" s="107"/>
      <c r="U30" s="107"/>
      <c r="V30" s="107"/>
      <c r="W30" s="107"/>
      <c r="X30" s="107"/>
      <c r="Y30" s="107"/>
      <c r="Z30" s="107"/>
      <c r="AA30" s="107"/>
      <c r="AB30" s="107"/>
      <c r="AC30" s="107"/>
      <c r="AD30" s="107"/>
      <c r="AE30" s="107"/>
      <c r="AF30" s="107"/>
      <c r="AG30" s="107"/>
      <c r="AH30" s="107"/>
      <c r="AI30" s="107"/>
      <c r="AJ30" s="107"/>
    </row>
    <row r="31" spans="2:36">
      <c r="B31" s="18" t="s">
        <v>53</v>
      </c>
      <c r="C31" s="110">
        <v>8206.5</v>
      </c>
      <c r="D31" s="110">
        <v>8381.5</v>
      </c>
      <c r="E31" s="110">
        <v>8430</v>
      </c>
      <c r="F31" s="110">
        <v>9054.3994140625</v>
      </c>
      <c r="G31" s="110">
        <v>9423.400390625</v>
      </c>
      <c r="H31" s="110">
        <v>9884.7001953125</v>
      </c>
      <c r="I31" s="110">
        <v>10092.7998046875</v>
      </c>
      <c r="J31" s="110">
        <v>11781</v>
      </c>
      <c r="K31" s="110">
        <v>12442</v>
      </c>
      <c r="L31" s="110">
        <v>13453</v>
      </c>
      <c r="M31" s="110">
        <v>13773</v>
      </c>
      <c r="O31" s="107"/>
      <c r="P31" s="107"/>
      <c r="Q31" s="107"/>
      <c r="R31" s="107"/>
      <c r="S31" s="107"/>
      <c r="T31" s="107"/>
      <c r="U31" s="107"/>
      <c r="V31" s="107"/>
      <c r="W31" s="107"/>
      <c r="X31" s="107"/>
      <c r="Y31" s="107"/>
      <c r="Z31" s="107"/>
      <c r="AA31" s="107"/>
      <c r="AB31" s="107"/>
      <c r="AC31" s="107"/>
      <c r="AD31" s="107"/>
      <c r="AE31" s="107"/>
      <c r="AF31" s="107"/>
      <c r="AG31" s="107"/>
      <c r="AH31" s="107"/>
      <c r="AI31" s="107"/>
      <c r="AJ31" s="107"/>
    </row>
    <row r="32" spans="2:36">
      <c r="B32" s="18" t="s">
        <v>27</v>
      </c>
      <c r="C32" s="113"/>
      <c r="D32" s="121">
        <f t="shared" ref="D32" si="70">(D31-C31)/C31</f>
        <v>2.1324559800158412E-2</v>
      </c>
      <c r="E32" s="121">
        <f t="shared" ref="E32" si="71">(E31-D31)/D31</f>
        <v>5.7865537195012822E-3</v>
      </c>
      <c r="F32" s="121">
        <f t="shared" ref="F32" si="72">(F31-E31)/E31</f>
        <v>7.406873239175564E-2</v>
      </c>
      <c r="G32" s="121">
        <f t="shared" ref="G32" si="73">(G31-F31)/F31</f>
        <v>4.0753777217890343E-2</v>
      </c>
      <c r="H32" s="121">
        <f t="shared" ref="H32" si="74">(H31-G31)/G31</f>
        <v>4.8952584583631879E-2</v>
      </c>
      <c r="I32" s="121">
        <f t="shared" ref="I32" si="75">(I31-H31)/H31</f>
        <v>2.1052698135820499E-2</v>
      </c>
      <c r="J32" s="121">
        <f t="shared" ref="J32" si="76">(J31-I31)/I31</f>
        <v>0.16726777782002891</v>
      </c>
      <c r="K32" s="121">
        <f t="shared" ref="K32" si="77">(K31-J31)/J31</f>
        <v>5.6107291401409048E-2</v>
      </c>
      <c r="L32" s="121">
        <f t="shared" ref="L32" si="78">(L31-K31)/K31</f>
        <v>8.1257032631409737E-2</v>
      </c>
      <c r="M32" s="121">
        <f t="shared" ref="M32" si="79">(M31-L31)/L31</f>
        <v>2.3786516018731881E-2</v>
      </c>
      <c r="O32" s="107"/>
      <c r="P32" s="107"/>
      <c r="Q32" s="107"/>
      <c r="R32" s="107"/>
      <c r="S32" s="107"/>
      <c r="T32" s="107"/>
      <c r="U32" s="107"/>
      <c r="V32" s="107"/>
      <c r="W32" s="107"/>
      <c r="X32" s="107"/>
      <c r="Y32" s="107"/>
      <c r="Z32" s="107"/>
      <c r="AA32" s="107"/>
      <c r="AB32" s="107"/>
      <c r="AC32" s="107"/>
      <c r="AD32" s="107"/>
      <c r="AE32" s="107"/>
      <c r="AF32" s="107"/>
      <c r="AG32" s="107"/>
      <c r="AH32" s="107"/>
      <c r="AI32" s="107"/>
      <c r="AJ32" s="107"/>
    </row>
    <row r="33" spans="2:36">
      <c r="O33" s="107"/>
      <c r="P33" s="107"/>
      <c r="Q33" s="107"/>
      <c r="R33" s="107"/>
      <c r="S33" s="107"/>
      <c r="T33" s="107"/>
      <c r="U33" s="107"/>
      <c r="V33" s="107"/>
      <c r="W33" s="107"/>
      <c r="X33" s="107"/>
      <c r="Y33" s="107"/>
      <c r="Z33" s="107"/>
      <c r="AA33" s="107"/>
      <c r="AB33" s="107"/>
      <c r="AC33" s="107"/>
      <c r="AD33" s="107"/>
      <c r="AE33" s="107"/>
      <c r="AF33" s="107"/>
      <c r="AG33" s="107"/>
      <c r="AH33" s="107"/>
      <c r="AI33" s="107"/>
      <c r="AJ33" s="107"/>
    </row>
    <row r="34" spans="2:36">
      <c r="B34" s="32" t="s">
        <v>50</v>
      </c>
      <c r="C34" s="111"/>
      <c r="D34" s="111">
        <f>D28+D31</f>
        <v>10008.800048828125</v>
      </c>
      <c r="E34" s="111">
        <f t="shared" ref="E34:M34" si="80">E28+E31</f>
        <v>10093</v>
      </c>
      <c r="F34" s="111">
        <f t="shared" si="80"/>
        <v>10514.199462890625</v>
      </c>
      <c r="G34" s="111">
        <f t="shared" si="80"/>
        <v>10847.200439453125</v>
      </c>
      <c r="H34" s="111">
        <f t="shared" si="80"/>
        <v>11582.2001953125</v>
      </c>
      <c r="I34" s="111">
        <f t="shared" si="80"/>
        <v>11980.899780273438</v>
      </c>
      <c r="J34" s="111">
        <f t="shared" si="80"/>
        <v>13347</v>
      </c>
      <c r="K34" s="111">
        <f t="shared" si="80"/>
        <v>13985</v>
      </c>
      <c r="L34" s="111">
        <f t="shared" si="80"/>
        <v>16723</v>
      </c>
      <c r="M34" s="111">
        <f t="shared" si="80"/>
        <v>17575</v>
      </c>
      <c r="O34" s="107"/>
      <c r="P34" s="107"/>
      <c r="Q34" s="107"/>
      <c r="R34" s="107"/>
      <c r="S34" s="107"/>
      <c r="T34" s="107"/>
      <c r="U34" s="107"/>
      <c r="V34" s="107"/>
      <c r="W34" s="107"/>
      <c r="X34" s="107"/>
      <c r="Y34" s="107"/>
      <c r="Z34" s="107"/>
      <c r="AA34" s="107"/>
      <c r="AB34" s="107"/>
      <c r="AC34" s="107"/>
      <c r="AD34" s="107"/>
      <c r="AE34" s="107"/>
      <c r="AF34" s="107"/>
      <c r="AG34" s="107"/>
      <c r="AH34" s="107"/>
      <c r="AI34" s="107"/>
      <c r="AJ34" s="107"/>
    </row>
    <row r="35" spans="2:36">
      <c r="O35" s="107"/>
      <c r="P35" s="107"/>
      <c r="Q35" s="107"/>
      <c r="R35" s="107"/>
      <c r="S35" s="107"/>
      <c r="T35" s="107"/>
      <c r="U35" s="107"/>
      <c r="V35" s="107"/>
      <c r="W35" s="107"/>
      <c r="X35" s="107"/>
      <c r="Y35" s="107"/>
      <c r="Z35" s="107"/>
      <c r="AA35" s="107"/>
      <c r="AB35" s="107"/>
      <c r="AC35" s="107"/>
      <c r="AD35" s="107"/>
      <c r="AE35" s="107"/>
      <c r="AF35" s="107"/>
      <c r="AG35" s="107"/>
      <c r="AH35" s="107"/>
      <c r="AI35" s="107"/>
      <c r="AJ35" s="107"/>
    </row>
    <row r="36" spans="2:36">
      <c r="B36" s="18" t="s">
        <v>51</v>
      </c>
      <c r="C36" s="113">
        <v>1482.300048828125</v>
      </c>
      <c r="D36" s="118">
        <v>1424.9000244140625</v>
      </c>
      <c r="E36" s="110">
        <v>1430.9000244140625</v>
      </c>
      <c r="F36" s="110">
        <v>1678.800048828125</v>
      </c>
      <c r="G36" s="110">
        <v>1442</v>
      </c>
      <c r="H36" s="110">
        <v>1690.0999755859375</v>
      </c>
      <c r="I36" s="110">
        <v>1732.0999755859375</v>
      </c>
      <c r="J36" s="110">
        <v>2028</v>
      </c>
      <c r="K36" s="110">
        <v>1755</v>
      </c>
      <c r="L36" s="110">
        <v>2297</v>
      </c>
      <c r="M36" s="110">
        <v>2444</v>
      </c>
      <c r="O36" s="107"/>
      <c r="P36" s="107"/>
      <c r="Q36" s="107"/>
      <c r="R36" s="107"/>
      <c r="S36" s="107"/>
      <c r="T36" s="107"/>
      <c r="U36" s="107"/>
      <c r="V36" s="107"/>
      <c r="W36" s="107"/>
      <c r="X36" s="107"/>
      <c r="Y36" s="107"/>
      <c r="Z36" s="107"/>
      <c r="AA36" s="107"/>
      <c r="AB36" s="107"/>
      <c r="AC36" s="107"/>
      <c r="AD36" s="107"/>
      <c r="AE36" s="107"/>
      <c r="AF36" s="107"/>
      <c r="AG36" s="107"/>
      <c r="AH36" s="107"/>
      <c r="AI36" s="107"/>
      <c r="AJ36" s="107"/>
    </row>
    <row r="37" spans="2:36">
      <c r="B37" s="18" t="s">
        <v>27</v>
      </c>
      <c r="C37" s="113"/>
      <c r="D37" s="121">
        <f t="shared" ref="D37" si="81">(D36-C36)/C36</f>
        <v>-3.872362040292824E-2</v>
      </c>
      <c r="E37" s="121">
        <f t="shared" ref="E37" si="82">(E36-D36)/D36</f>
        <v>4.2108217399092884E-3</v>
      </c>
      <c r="F37" s="121">
        <f t="shared" ref="F37" si="83">(F36-E36)/E36</f>
        <v>0.17324762050764217</v>
      </c>
      <c r="G37" s="121">
        <f t="shared" ref="G37" si="84">(G36-F36)/F36</f>
        <v>-0.14105315817295869</v>
      </c>
      <c r="H37" s="121">
        <f t="shared" ref="H37" si="85">(H36-G36)/G36</f>
        <v>0.17205268764628157</v>
      </c>
      <c r="I37" s="121">
        <f t="shared" ref="I37" si="86">(I36-H36)/H36</f>
        <v>2.4850600915155351E-2</v>
      </c>
      <c r="J37" s="121">
        <f t="shared" ref="J37" si="87">(J36-I36)/I36</f>
        <v>0.17083310928052237</v>
      </c>
      <c r="K37" s="121">
        <f t="shared" ref="K37" si="88">(K36-J36)/J36</f>
        <v>-0.13461538461538461</v>
      </c>
      <c r="L37" s="121">
        <f t="shared" ref="L37" si="89">(L36-K36)/K36</f>
        <v>0.30883190883190881</v>
      </c>
      <c r="M37" s="121">
        <f t="shared" ref="M37" si="90">(M36-L36)/L36</f>
        <v>6.3996517196343056E-2</v>
      </c>
      <c r="O37" s="107"/>
      <c r="P37" s="107"/>
      <c r="Q37" s="107"/>
      <c r="R37" s="107"/>
      <c r="S37" s="107"/>
      <c r="T37" s="107"/>
      <c r="U37" s="107"/>
      <c r="V37" s="107"/>
      <c r="W37" s="107"/>
      <c r="X37" s="107"/>
      <c r="Y37" s="107"/>
      <c r="Z37" s="107"/>
      <c r="AA37" s="107"/>
      <c r="AB37" s="107"/>
      <c r="AC37" s="107"/>
      <c r="AD37" s="107"/>
      <c r="AE37" s="107"/>
      <c r="AF37" s="107"/>
      <c r="AG37" s="107"/>
      <c r="AH37" s="107"/>
      <c r="AI37" s="107"/>
      <c r="AJ37" s="107"/>
    </row>
    <row r="38" spans="2:36">
      <c r="O38" s="107"/>
      <c r="P38" s="107"/>
      <c r="Q38" s="107"/>
      <c r="R38" s="107"/>
      <c r="S38" s="107"/>
      <c r="T38" s="107"/>
      <c r="U38" s="107"/>
      <c r="V38" s="107"/>
      <c r="W38" s="107"/>
      <c r="X38" s="107"/>
      <c r="Y38" s="107"/>
      <c r="Z38" s="107"/>
      <c r="AA38" s="107"/>
      <c r="AB38" s="107"/>
      <c r="AC38" s="107"/>
      <c r="AD38" s="107"/>
      <c r="AE38" s="107"/>
      <c r="AF38" s="107"/>
      <c r="AG38" s="107"/>
      <c r="AH38" s="107"/>
      <c r="AI38" s="107"/>
      <c r="AJ38" s="107"/>
    </row>
    <row r="39" spans="2:36">
      <c r="B39" s="18" t="s">
        <v>52</v>
      </c>
      <c r="C39" s="113">
        <v>4879.2001953125</v>
      </c>
      <c r="D39" s="110">
        <v>5036</v>
      </c>
      <c r="E39" s="110">
        <v>4998.89990234375</v>
      </c>
      <c r="F39" s="110">
        <v>5263</v>
      </c>
      <c r="G39" s="110">
        <v>5810.2001953125</v>
      </c>
      <c r="H39" s="110">
        <v>6151.2001953125</v>
      </c>
      <c r="I39" s="110">
        <v>6148.7998046875</v>
      </c>
      <c r="J39" s="110">
        <v>7492</v>
      </c>
      <c r="K39" s="110">
        <v>8093</v>
      </c>
      <c r="L39" s="110">
        <v>8895</v>
      </c>
      <c r="M39" s="110">
        <v>9057</v>
      </c>
      <c r="O39" s="107"/>
      <c r="P39" s="107"/>
      <c r="Q39" s="107"/>
      <c r="R39" s="107"/>
      <c r="S39" s="107"/>
      <c r="T39" s="107"/>
      <c r="U39" s="107"/>
      <c r="V39" s="107"/>
      <c r="W39" s="107"/>
      <c r="X39" s="107"/>
      <c r="Y39" s="107"/>
      <c r="Z39" s="107"/>
      <c r="AA39" s="107"/>
      <c r="AB39" s="107"/>
      <c r="AC39" s="107"/>
      <c r="AD39" s="107"/>
      <c r="AE39" s="107"/>
      <c r="AF39" s="107"/>
      <c r="AG39" s="107"/>
      <c r="AH39" s="107"/>
      <c r="AI39" s="107"/>
      <c r="AJ39" s="107"/>
    </row>
    <row r="40" spans="2:36">
      <c r="B40" s="18" t="s">
        <v>27</v>
      </c>
      <c r="C40" s="113"/>
      <c r="D40" s="121">
        <f t="shared" ref="D40" si="91">(D39-C39)/C39</f>
        <v>3.2136374489847588E-2</v>
      </c>
      <c r="E40" s="121">
        <f t="shared" ref="E40" si="92">(E39-D39)/D39</f>
        <v>-7.3669772947279584E-3</v>
      </c>
      <c r="F40" s="121">
        <f t="shared" ref="F40" si="93">(F39-E39)/E39</f>
        <v>5.2831643524693467E-2</v>
      </c>
      <c r="G40" s="121">
        <f t="shared" ref="G40" si="94">(G39-F39)/F39</f>
        <v>0.10397115624406232</v>
      </c>
      <c r="H40" s="121">
        <f t="shared" ref="H40" si="95">(H39-G39)/G39</f>
        <v>5.8689888220221545E-2</v>
      </c>
      <c r="I40" s="121">
        <f t="shared" ref="I40" si="96">(I39-H39)/H39</f>
        <v>-3.9023126362058727E-4</v>
      </c>
      <c r="J40" s="121">
        <f t="shared" ref="J40" si="97">(J39-I39)/I39</f>
        <v>0.21844916698841285</v>
      </c>
      <c r="K40" s="121">
        <f t="shared" ref="K40" si="98">(K39-J39)/J39</f>
        <v>8.0218900160170845E-2</v>
      </c>
      <c r="L40" s="121">
        <f t="shared" ref="L40" si="99">(L39-K39)/K39</f>
        <v>9.9097985913752629E-2</v>
      </c>
      <c r="M40" s="121">
        <f t="shared" ref="M40" si="100">(M39-L39)/L39</f>
        <v>1.821247892074199E-2</v>
      </c>
      <c r="O40" s="107"/>
      <c r="P40" s="107"/>
      <c r="Q40" s="107"/>
      <c r="R40" s="107"/>
      <c r="S40" s="107"/>
      <c r="T40" s="107"/>
      <c r="U40" s="107"/>
      <c r="V40" s="107"/>
      <c r="W40" s="107"/>
      <c r="X40" s="107"/>
      <c r="Y40" s="107"/>
      <c r="Z40" s="107"/>
      <c r="AA40" s="107"/>
      <c r="AB40" s="107"/>
      <c r="AC40" s="107"/>
      <c r="AD40" s="107"/>
      <c r="AE40" s="107"/>
      <c r="AF40" s="107"/>
      <c r="AG40" s="107"/>
      <c r="AH40" s="107"/>
      <c r="AI40" s="107"/>
      <c r="AJ40" s="107"/>
    </row>
    <row r="41" spans="2:36">
      <c r="O41" s="107"/>
      <c r="P41" s="107"/>
      <c r="Q41" s="107"/>
      <c r="R41" s="107"/>
      <c r="S41" s="107"/>
      <c r="T41" s="107"/>
      <c r="U41" s="107"/>
      <c r="V41" s="107"/>
      <c r="W41" s="107"/>
      <c r="X41" s="107"/>
      <c r="Y41" s="107"/>
      <c r="Z41" s="107"/>
      <c r="AA41" s="107"/>
      <c r="AB41" s="107"/>
      <c r="AC41" s="107"/>
      <c r="AD41" s="107"/>
      <c r="AE41" s="107"/>
      <c r="AF41" s="107"/>
      <c r="AG41" s="107"/>
      <c r="AH41" s="107"/>
      <c r="AI41" s="107"/>
      <c r="AJ41" s="107"/>
    </row>
    <row r="42" spans="2:36">
      <c r="B42" s="31" t="s">
        <v>54</v>
      </c>
      <c r="C42" s="116">
        <v>1</v>
      </c>
      <c r="D42" s="111">
        <f>D36+D39</f>
        <v>6460.9000244140625</v>
      </c>
      <c r="E42" s="111">
        <f t="shared" ref="E42:M42" si="101">E36+E39</f>
        <v>6429.7999267578125</v>
      </c>
      <c r="F42" s="111">
        <f t="shared" si="101"/>
        <v>6941.800048828125</v>
      </c>
      <c r="G42" s="111">
        <f t="shared" si="101"/>
        <v>7252.2001953125</v>
      </c>
      <c r="H42" s="111">
        <f t="shared" si="101"/>
        <v>7841.3001708984375</v>
      </c>
      <c r="I42" s="111">
        <f t="shared" si="101"/>
        <v>7880.8997802734375</v>
      </c>
      <c r="J42" s="111">
        <f t="shared" si="101"/>
        <v>9520</v>
      </c>
      <c r="K42" s="111">
        <f t="shared" si="101"/>
        <v>9848</v>
      </c>
      <c r="L42" s="111">
        <f t="shared" si="101"/>
        <v>11192</v>
      </c>
      <c r="M42" s="111">
        <f t="shared" si="101"/>
        <v>11501</v>
      </c>
      <c r="O42" s="107"/>
      <c r="P42" s="107"/>
      <c r="Q42" s="107"/>
      <c r="R42" s="107"/>
      <c r="S42" s="107"/>
      <c r="T42" s="107"/>
      <c r="U42" s="107"/>
      <c r="V42" s="107"/>
      <c r="W42" s="107"/>
      <c r="X42" s="107"/>
      <c r="Y42" s="107"/>
      <c r="Z42" s="107"/>
      <c r="AA42" s="107"/>
      <c r="AB42" s="107"/>
      <c r="AC42" s="107"/>
      <c r="AD42" s="107"/>
      <c r="AE42" s="107"/>
      <c r="AF42" s="107"/>
      <c r="AG42" s="107"/>
      <c r="AH42" s="107"/>
      <c r="AI42" s="107"/>
      <c r="AJ42" s="107"/>
    </row>
    <row r="43" spans="2:36">
      <c r="B43" s="18"/>
      <c r="C43" s="113"/>
      <c r="O43" s="107"/>
      <c r="P43" s="107"/>
      <c r="Q43" s="107"/>
      <c r="R43" s="107"/>
      <c r="S43" s="107"/>
      <c r="T43" s="107"/>
      <c r="U43" s="107"/>
      <c r="V43" s="107"/>
      <c r="W43" s="107"/>
      <c r="X43" s="107"/>
      <c r="Y43" s="107"/>
      <c r="Z43" s="107"/>
      <c r="AA43" s="107"/>
      <c r="AB43" s="107"/>
      <c r="AC43" s="107"/>
      <c r="AD43" s="107"/>
      <c r="AE43" s="107"/>
      <c r="AF43" s="107"/>
      <c r="AG43" s="107"/>
      <c r="AH43" s="107"/>
      <c r="AI43" s="107"/>
      <c r="AJ43" s="107"/>
    </row>
    <row r="44" spans="2:36">
      <c r="B44" s="31" t="s">
        <v>55</v>
      </c>
      <c r="C44" s="134">
        <v>1</v>
      </c>
      <c r="D44" s="134">
        <f>D34-D42</f>
        <v>3547.9000244140625</v>
      </c>
      <c r="E44" s="134">
        <f t="shared" ref="E44:M44" si="102">E34-E42</f>
        <v>3663.2000732421875</v>
      </c>
      <c r="F44" s="134">
        <f t="shared" si="102"/>
        <v>3572.3994140625</v>
      </c>
      <c r="G44" s="134">
        <f t="shared" si="102"/>
        <v>3595.000244140625</v>
      </c>
      <c r="H44" s="134">
        <f t="shared" si="102"/>
        <v>3740.9000244140625</v>
      </c>
      <c r="I44" s="134">
        <f t="shared" si="102"/>
        <v>4100</v>
      </c>
      <c r="J44" s="134">
        <f t="shared" si="102"/>
        <v>3827</v>
      </c>
      <c r="K44" s="134">
        <f t="shared" si="102"/>
        <v>4137</v>
      </c>
      <c r="L44" s="134">
        <f t="shared" si="102"/>
        <v>5531</v>
      </c>
      <c r="M44" s="134">
        <f t="shared" si="102"/>
        <v>6074</v>
      </c>
      <c r="O44" s="107"/>
      <c r="P44" s="107"/>
      <c r="Q44" s="107"/>
      <c r="R44" s="107"/>
      <c r="S44" s="107"/>
      <c r="T44" s="107"/>
      <c r="U44" s="107"/>
      <c r="V44" s="107"/>
      <c r="W44" s="107"/>
      <c r="X44" s="107"/>
      <c r="Y44" s="107"/>
      <c r="Z44" s="107"/>
      <c r="AA44" s="107"/>
      <c r="AB44" s="107"/>
      <c r="AC44" s="107"/>
      <c r="AD44" s="107"/>
      <c r="AE44" s="107"/>
      <c r="AF44" s="107"/>
      <c r="AG44" s="107"/>
      <c r="AH44" s="107"/>
      <c r="AI44" s="107"/>
      <c r="AJ44" s="107"/>
    </row>
    <row r="45" spans="2:36">
      <c r="C45" s="135"/>
      <c r="D45" s="135"/>
      <c r="E45" s="135"/>
      <c r="F45" s="135"/>
      <c r="G45" s="135"/>
      <c r="H45" s="135"/>
      <c r="I45" s="135"/>
      <c r="J45" s="135"/>
      <c r="K45" s="135"/>
      <c r="L45" s="135"/>
      <c r="M45" s="135"/>
      <c r="O45" s="107"/>
      <c r="P45" s="107"/>
      <c r="Q45" s="107"/>
      <c r="R45" s="107"/>
      <c r="S45" s="107"/>
      <c r="T45" s="107"/>
      <c r="U45" s="107"/>
      <c r="V45" s="107"/>
      <c r="W45" s="107"/>
      <c r="X45" s="107"/>
      <c r="Y45" s="107"/>
      <c r="Z45" s="107"/>
      <c r="AA45" s="107"/>
      <c r="AB45" s="107"/>
      <c r="AC45" s="107"/>
      <c r="AD45" s="107"/>
      <c r="AE45" s="107"/>
      <c r="AF45" s="107"/>
      <c r="AG45" s="107"/>
      <c r="AH45" s="107"/>
      <c r="AI45" s="107"/>
      <c r="AJ45" s="107"/>
    </row>
    <row r="46" spans="2:36">
      <c r="B46" s="122" t="s">
        <v>155</v>
      </c>
      <c r="C46" s="133">
        <v>3347.60009765625</v>
      </c>
      <c r="D46" s="133">
        <v>3542.199951171875</v>
      </c>
      <c r="E46" s="133">
        <v>3433.60009765625</v>
      </c>
      <c r="F46" s="133">
        <v>3409.5</v>
      </c>
      <c r="G46" s="133">
        <v>3766</v>
      </c>
      <c r="H46" s="133">
        <v>3994.60009765625</v>
      </c>
      <c r="I46" s="133">
        <v>4146.5</v>
      </c>
      <c r="J46" s="133">
        <v>5780</v>
      </c>
      <c r="K46" s="136">
        <v>5981</v>
      </c>
      <c r="L46" s="133">
        <v>6339</v>
      </c>
      <c r="M46" s="133">
        <v>6483</v>
      </c>
      <c r="Q46" s="107"/>
      <c r="R46" s="107"/>
      <c r="S46" s="107"/>
      <c r="T46" s="107"/>
      <c r="U46" s="107"/>
      <c r="V46" s="107"/>
      <c r="W46" s="107"/>
      <c r="X46" s="107"/>
      <c r="Y46" s="107"/>
      <c r="Z46" s="107"/>
      <c r="AA46" s="107"/>
      <c r="AB46" s="107"/>
      <c r="AC46" s="107"/>
      <c r="AD46" s="107"/>
      <c r="AE46" s="107"/>
      <c r="AF46" s="107"/>
      <c r="AG46" s="107"/>
      <c r="AH46" s="107"/>
      <c r="AI46" s="107"/>
      <c r="AJ46" s="107"/>
    </row>
    <row r="47" spans="2:36">
      <c r="O47" s="107"/>
      <c r="P47" s="107"/>
      <c r="Q47" s="107"/>
      <c r="R47" s="107"/>
      <c r="S47" s="107"/>
      <c r="T47" s="107"/>
      <c r="U47" s="107"/>
      <c r="V47" s="107"/>
      <c r="W47" s="107"/>
      <c r="X47" s="107"/>
      <c r="Y47" s="107"/>
      <c r="Z47" s="107"/>
      <c r="AA47" s="107"/>
      <c r="AB47" s="107"/>
      <c r="AC47" s="107"/>
      <c r="AD47" s="107"/>
      <c r="AE47" s="107"/>
      <c r="AF47" s="107"/>
      <c r="AG47" s="107"/>
      <c r="AH47" s="107"/>
      <c r="AI47" s="107"/>
      <c r="AJ47" s="107"/>
    </row>
    <row r="48" spans="2:36">
      <c r="O48" s="107"/>
      <c r="P48" s="107"/>
      <c r="Q48" s="107"/>
      <c r="R48" s="107"/>
      <c r="S48" s="107"/>
      <c r="T48" s="107"/>
      <c r="U48" s="107"/>
      <c r="V48" s="107"/>
      <c r="W48" s="107"/>
      <c r="X48" s="107"/>
      <c r="Y48" s="107"/>
      <c r="Z48" s="107"/>
      <c r="AA48" s="107"/>
      <c r="AB48" s="107"/>
      <c r="AC48" s="107"/>
      <c r="AD48" s="107"/>
      <c r="AE48" s="107"/>
      <c r="AF48" s="107"/>
      <c r="AG48" s="107"/>
      <c r="AH48" s="107"/>
      <c r="AI48" s="107"/>
      <c r="AJ48" s="107"/>
    </row>
    <row r="49" spans="2:36" ht="17.5" thickBot="1">
      <c r="B49" s="2" t="s">
        <v>56</v>
      </c>
      <c r="C49" s="109"/>
      <c r="D49" s="109">
        <v>2013</v>
      </c>
      <c r="E49" s="109">
        <v>2014</v>
      </c>
      <c r="F49" s="109">
        <v>2015</v>
      </c>
      <c r="G49" s="109">
        <v>2016</v>
      </c>
      <c r="H49" s="109">
        <v>2017</v>
      </c>
      <c r="I49" s="109">
        <v>2018</v>
      </c>
      <c r="J49" s="109">
        <v>2019</v>
      </c>
      <c r="K49" s="109">
        <v>2020</v>
      </c>
      <c r="L49" s="109">
        <v>2021</v>
      </c>
      <c r="M49" s="109">
        <v>2022</v>
      </c>
      <c r="O49" s="107"/>
      <c r="P49" s="107"/>
      <c r="Q49" s="107"/>
      <c r="R49" s="107"/>
      <c r="S49" s="107"/>
      <c r="T49" s="107"/>
      <c r="U49" s="107"/>
      <c r="V49" s="107"/>
      <c r="W49" s="107"/>
      <c r="X49" s="107"/>
      <c r="Y49" s="107"/>
      <c r="Z49" s="107"/>
      <c r="AA49" s="107"/>
      <c r="AB49" s="107"/>
      <c r="AC49" s="107"/>
      <c r="AD49" s="107"/>
      <c r="AE49" s="107"/>
      <c r="AF49" s="107"/>
      <c r="AG49" s="107"/>
      <c r="AH49" s="107"/>
      <c r="AI49" s="107"/>
      <c r="AJ49" s="107"/>
    </row>
    <row r="50" spans="2:36" ht="15" thickTop="1">
      <c r="B50" s="18" t="s">
        <v>57</v>
      </c>
      <c r="C50" s="113"/>
      <c r="D50" s="126">
        <f t="shared" ref="D50:M50" si="103">D6/D3</f>
        <v>3.8653453035430725E-2</v>
      </c>
      <c r="E50" s="126">
        <f t="shared" si="103"/>
        <v>4.0737924222108278E-2</v>
      </c>
      <c r="F50" s="126">
        <f t="shared" si="103"/>
        <v>4.1996083737923504E-2</v>
      </c>
      <c r="G50" s="126">
        <f t="shared" si="103"/>
        <v>6.4143377188213876E-2</v>
      </c>
      <c r="H50" s="126">
        <f t="shared" si="103"/>
        <v>7.1331709146264577E-2</v>
      </c>
      <c r="I50" s="126">
        <f t="shared" si="103"/>
        <v>9.3974643837406877E-2</v>
      </c>
      <c r="J50" s="126">
        <f t="shared" si="103"/>
        <v>3.4972677595628415E-2</v>
      </c>
      <c r="K50" s="126">
        <f t="shared" si="103"/>
        <v>8.1109925293489857E-2</v>
      </c>
      <c r="L50" s="126">
        <f t="shared" si="103"/>
        <v>0.19699207734658253</v>
      </c>
      <c r="M50" s="126">
        <f t="shared" si="103"/>
        <v>0.10617454977241243</v>
      </c>
      <c r="O50" s="107"/>
      <c r="P50" s="107"/>
      <c r="Q50" s="107"/>
      <c r="R50" s="107"/>
      <c r="S50" s="107"/>
      <c r="T50" s="107"/>
      <c r="U50" s="107"/>
      <c r="V50" s="107"/>
      <c r="W50" s="107"/>
      <c r="X50" s="107"/>
      <c r="Y50" s="107"/>
      <c r="Z50" s="107"/>
      <c r="AA50" s="107"/>
      <c r="AB50" s="107"/>
      <c r="AC50" s="107"/>
      <c r="AD50" s="107"/>
      <c r="AE50" s="107"/>
      <c r="AF50" s="107"/>
      <c r="AG50" s="107"/>
      <c r="AH50" s="107"/>
      <c r="AI50" s="107"/>
      <c r="AJ50" s="107"/>
    </row>
    <row r="51" spans="2:36">
      <c r="B51" s="18" t="s">
        <v>58</v>
      </c>
      <c r="C51" s="113"/>
      <c r="D51" s="126">
        <f t="shared" ref="D51:M51" si="104">D9/D3</f>
        <v>0.16598328196495618</v>
      </c>
      <c r="E51" s="126">
        <f t="shared" si="104"/>
        <v>0.16533169418667276</v>
      </c>
      <c r="F51" s="126">
        <f t="shared" si="104"/>
        <v>0.18068777665177763</v>
      </c>
      <c r="G51" s="126">
        <f t="shared" si="104"/>
        <v>0.24427967590018571</v>
      </c>
      <c r="H51" s="126">
        <f t="shared" si="104"/>
        <v>0.23302890246453387</v>
      </c>
      <c r="I51" s="126">
        <f t="shared" si="104"/>
        <v>0.19866684093582537</v>
      </c>
      <c r="J51" s="126">
        <f t="shared" si="104"/>
        <v>0.14549180327868852</v>
      </c>
      <c r="K51" s="126">
        <f t="shared" si="104"/>
        <v>0.22350968135386493</v>
      </c>
      <c r="L51" s="126">
        <f t="shared" si="104"/>
        <v>0.38297300926547601</v>
      </c>
      <c r="M51" s="126">
        <f t="shared" si="104"/>
        <v>0.21610924203443499</v>
      </c>
      <c r="O51" s="107"/>
      <c r="P51" s="107"/>
      <c r="Q51" s="107"/>
      <c r="R51" s="107"/>
      <c r="S51" s="107"/>
      <c r="T51" s="107"/>
      <c r="U51" s="107"/>
      <c r="V51" s="107"/>
      <c r="W51" s="107"/>
      <c r="X51" s="107"/>
      <c r="Y51" s="107"/>
      <c r="Z51" s="107"/>
      <c r="AA51" s="107"/>
      <c r="AB51" s="107"/>
      <c r="AC51" s="107"/>
      <c r="AD51" s="107"/>
      <c r="AE51" s="107"/>
      <c r="AF51" s="107"/>
      <c r="AG51" s="107"/>
      <c r="AH51" s="107"/>
      <c r="AI51" s="107"/>
      <c r="AJ51" s="107"/>
    </row>
    <row r="52" spans="2:36">
      <c r="B52" s="18" t="s">
        <v>59</v>
      </c>
      <c r="C52" s="113"/>
      <c r="D52" s="126">
        <f t="shared" ref="D52:M52" si="105">D20/D3</f>
        <v>4.3851722995428631E-2</v>
      </c>
      <c r="E52" s="126">
        <f t="shared" si="105"/>
        <v>6.6277649539196529E-2</v>
      </c>
      <c r="F52" s="126">
        <f t="shared" si="105"/>
        <v>0.1006112600890306</v>
      </c>
      <c r="G52" s="126">
        <f t="shared" si="105"/>
        <v>7.1389623081273765E-2</v>
      </c>
      <c r="H52" s="126">
        <f t="shared" si="105"/>
        <v>5.3180190111138288E-2</v>
      </c>
      <c r="I52" s="126">
        <f t="shared" si="105"/>
        <v>6.6788655077767614E-2</v>
      </c>
      <c r="J52" s="126">
        <f t="shared" si="105"/>
        <v>5.0956284153005467E-2</v>
      </c>
      <c r="K52" s="126">
        <f t="shared" si="105"/>
        <v>6.8150632718402201E-2</v>
      </c>
      <c r="L52" s="126">
        <f t="shared" si="105"/>
        <v>0.10621726869880489</v>
      </c>
      <c r="M52" s="126">
        <f t="shared" si="105"/>
        <v>-8.7076983969918854E-3</v>
      </c>
      <c r="O52" s="107"/>
      <c r="P52" s="107"/>
      <c r="Q52" s="107"/>
      <c r="R52" s="107"/>
      <c r="S52" s="107"/>
      <c r="T52" s="107"/>
      <c r="U52" s="107"/>
      <c r="V52" s="107"/>
      <c r="W52" s="107"/>
      <c r="X52" s="107"/>
      <c r="Y52" s="107"/>
      <c r="Z52" s="107"/>
      <c r="AA52" s="107"/>
      <c r="AB52" s="107"/>
      <c r="AC52" s="107"/>
      <c r="AD52" s="107"/>
      <c r="AE52" s="107"/>
      <c r="AF52" s="107"/>
      <c r="AG52" s="107"/>
      <c r="AH52" s="107"/>
      <c r="AI52" s="107"/>
      <c r="AJ52" s="107"/>
    </row>
    <row r="53" spans="2:36">
      <c r="O53" s="107"/>
      <c r="P53" s="107"/>
      <c r="Q53" s="107"/>
      <c r="R53" s="107"/>
      <c r="S53" s="107"/>
      <c r="T53" s="107"/>
      <c r="U53" s="107"/>
      <c r="V53" s="107"/>
      <c r="W53" s="107"/>
      <c r="X53" s="107"/>
      <c r="Y53" s="107"/>
      <c r="Z53" s="107"/>
      <c r="AA53" s="107"/>
      <c r="AB53" s="107"/>
      <c r="AC53" s="107"/>
      <c r="AD53" s="107"/>
      <c r="AE53" s="107"/>
      <c r="AF53" s="107"/>
      <c r="AG53" s="107"/>
      <c r="AH53" s="107"/>
      <c r="AI53" s="107"/>
      <c r="AJ53" s="107"/>
    </row>
    <row r="54" spans="2:36" ht="17.5" thickBot="1">
      <c r="B54" s="2" t="s">
        <v>61</v>
      </c>
      <c r="C54" s="109"/>
      <c r="D54" s="109">
        <v>2013</v>
      </c>
      <c r="E54" s="109">
        <v>2014</v>
      </c>
      <c r="F54" s="109">
        <v>2015</v>
      </c>
      <c r="G54" s="109">
        <v>2016</v>
      </c>
      <c r="H54" s="109">
        <v>2017</v>
      </c>
      <c r="I54" s="109">
        <v>2018</v>
      </c>
      <c r="J54" s="109">
        <v>2019</v>
      </c>
      <c r="K54" s="109">
        <v>2020</v>
      </c>
      <c r="L54" s="109">
        <v>2021</v>
      </c>
      <c r="M54" s="109">
        <v>2022</v>
      </c>
      <c r="O54" s="107"/>
      <c r="P54" s="107"/>
      <c r="Q54" s="107"/>
      <c r="R54" s="107"/>
      <c r="S54" s="107"/>
      <c r="T54" s="107"/>
      <c r="U54" s="107"/>
      <c r="V54" s="107"/>
      <c r="W54" s="107"/>
      <c r="X54" s="107"/>
      <c r="Y54" s="107"/>
      <c r="Z54" s="107"/>
      <c r="AA54" s="107"/>
      <c r="AB54" s="107"/>
      <c r="AC54" s="107"/>
      <c r="AD54" s="107"/>
      <c r="AE54" s="107"/>
      <c r="AF54" s="107"/>
      <c r="AG54" s="107"/>
      <c r="AH54" s="107"/>
      <c r="AI54" s="107"/>
      <c r="AJ54" s="107"/>
    </row>
    <row r="55" spans="2:36" ht="15" thickTop="1">
      <c r="B55" s="10" t="s">
        <v>62</v>
      </c>
      <c r="C55" s="114"/>
      <c r="D55" s="126">
        <f>D23/D20</f>
        <v>0.39873218082966083</v>
      </c>
      <c r="E55" s="126">
        <f t="shared" ref="E55:M55" si="106">E23/E20</f>
        <v>0.24808605935163039</v>
      </c>
      <c r="F55" s="126">
        <f t="shared" si="106"/>
        <v>0.22801544446911526</v>
      </c>
      <c r="G55" s="126">
        <f t="shared" si="106"/>
        <v>0.39591032117439512</v>
      </c>
      <c r="H55" s="126">
        <f t="shared" si="106"/>
        <v>0.51889399046538864</v>
      </c>
      <c r="I55" s="126">
        <f t="shared" si="106"/>
        <v>0.34637964774951074</v>
      </c>
      <c r="J55" s="126">
        <f t="shared" si="106"/>
        <v>0.53619302949061665</v>
      </c>
      <c r="K55" s="126">
        <f t="shared" si="106"/>
        <v>0.61073825503355705</v>
      </c>
      <c r="L55" s="126">
        <f t="shared" si="106"/>
        <v>0.35651074589127685</v>
      </c>
      <c r="M55" s="126">
        <f t="shared" si="106"/>
        <v>-3.3636363636363638</v>
      </c>
      <c r="O55" s="107"/>
      <c r="P55" s="107"/>
      <c r="Q55" s="107"/>
      <c r="R55" s="107"/>
      <c r="S55" s="107"/>
      <c r="T55" s="107"/>
      <c r="U55" s="107"/>
      <c r="V55" s="107"/>
      <c r="W55" s="107"/>
      <c r="X55" s="107"/>
      <c r="Y55" s="107"/>
      <c r="Z55" s="107"/>
      <c r="AA55" s="107"/>
      <c r="AB55" s="107"/>
      <c r="AC55" s="107"/>
      <c r="AD55" s="107"/>
      <c r="AE55" s="107"/>
      <c r="AF55" s="107"/>
      <c r="AG55" s="107"/>
      <c r="AH55" s="107"/>
      <c r="AI55" s="107"/>
      <c r="AJ55" s="107"/>
    </row>
    <row r="56" spans="2:36">
      <c r="O56" s="107"/>
      <c r="P56" s="107"/>
      <c r="Q56" s="107"/>
      <c r="R56" s="107"/>
      <c r="S56" s="107"/>
      <c r="T56" s="107"/>
      <c r="U56" s="107"/>
      <c r="V56" s="107"/>
      <c r="W56" s="107"/>
      <c r="X56" s="107"/>
      <c r="Y56" s="107"/>
      <c r="Z56" s="107"/>
      <c r="AA56" s="107"/>
      <c r="AB56" s="107"/>
      <c r="AC56" s="107"/>
      <c r="AD56" s="107"/>
      <c r="AE56" s="107"/>
      <c r="AF56" s="107"/>
      <c r="AG56" s="107"/>
      <c r="AH56" s="107"/>
      <c r="AI56" s="107"/>
      <c r="AJ56" s="107"/>
    </row>
    <row r="57" spans="2:36" ht="17.5" thickBot="1">
      <c r="B57" s="2" t="s">
        <v>63</v>
      </c>
      <c r="C57" s="109"/>
      <c r="D57" s="109">
        <v>2013</v>
      </c>
      <c r="E57" s="109">
        <v>2014</v>
      </c>
      <c r="F57" s="109">
        <v>2015</v>
      </c>
      <c r="G57" s="109">
        <v>2016</v>
      </c>
      <c r="H57" s="109">
        <v>2017</v>
      </c>
      <c r="I57" s="109">
        <v>2018</v>
      </c>
      <c r="J57" s="109">
        <v>2019</v>
      </c>
      <c r="K57" s="109">
        <v>2020</v>
      </c>
      <c r="L57" s="109">
        <v>2021</v>
      </c>
      <c r="M57" s="109">
        <v>2022</v>
      </c>
      <c r="O57" s="107"/>
      <c r="P57" s="107"/>
      <c r="Q57" s="107"/>
      <c r="R57" s="107"/>
      <c r="S57" s="107"/>
      <c r="T57" s="107"/>
      <c r="U57" s="107"/>
      <c r="V57" s="107"/>
      <c r="W57" s="107"/>
      <c r="X57" s="107"/>
      <c r="Y57" s="107"/>
      <c r="Z57" s="107"/>
      <c r="AA57" s="107"/>
      <c r="AB57" s="107"/>
      <c r="AC57" s="107"/>
      <c r="AD57" s="107"/>
      <c r="AE57" s="107"/>
      <c r="AF57" s="107"/>
      <c r="AG57" s="107"/>
      <c r="AH57" s="107"/>
      <c r="AI57" s="107"/>
      <c r="AJ57" s="107"/>
    </row>
    <row r="58" spans="2:36" ht="15" thickTop="1">
      <c r="B58" s="18" t="s">
        <v>64</v>
      </c>
      <c r="C58" s="113"/>
      <c r="D58" s="112">
        <f>D42/D44</f>
        <v>1.8210490656317424</v>
      </c>
      <c r="E58" s="112">
        <f t="shared" ref="E58:M58" si="107">E42/E44</f>
        <v>1.7552412639768771</v>
      </c>
      <c r="F58" s="112">
        <f t="shared" si="107"/>
        <v>1.9431757886596388</v>
      </c>
      <c r="G58" s="112">
        <f t="shared" si="107"/>
        <v>2.0173017253983829</v>
      </c>
      <c r="H58" s="112">
        <f t="shared" si="107"/>
        <v>2.096099901019576</v>
      </c>
      <c r="I58" s="112">
        <f t="shared" si="107"/>
        <v>1.9221706781154733</v>
      </c>
      <c r="J58" s="112">
        <f t="shared" si="107"/>
        <v>2.487588189182127</v>
      </c>
      <c r="K58" s="112">
        <f t="shared" si="107"/>
        <v>2.3804689388445732</v>
      </c>
      <c r="L58" s="112">
        <f t="shared" si="107"/>
        <v>2.0235038871813416</v>
      </c>
      <c r="M58" s="112">
        <f t="shared" si="107"/>
        <v>1.8934804082976622</v>
      </c>
      <c r="O58" s="107"/>
      <c r="P58" s="107"/>
      <c r="Q58" s="107"/>
      <c r="R58" s="107"/>
      <c r="S58" s="107"/>
      <c r="T58" s="107"/>
      <c r="U58" s="107"/>
      <c r="V58" s="107"/>
      <c r="W58" s="107"/>
      <c r="X58" s="107"/>
      <c r="Y58" s="107"/>
      <c r="Z58" s="107"/>
      <c r="AA58" s="107"/>
      <c r="AB58" s="107"/>
      <c r="AC58" s="107"/>
      <c r="AD58" s="107"/>
      <c r="AE58" s="107"/>
      <c r="AF58" s="107"/>
      <c r="AG58" s="107"/>
      <c r="AH58" s="107"/>
      <c r="AI58" s="107"/>
      <c r="AJ58" s="107"/>
    </row>
    <row r="59" spans="2:36">
      <c r="B59" s="18" t="s">
        <v>65</v>
      </c>
      <c r="C59" s="113"/>
      <c r="D59" s="112">
        <f>D28/D36</f>
        <v>1.1420450704934895</v>
      </c>
      <c r="E59" s="112">
        <f t="shared" ref="E59:M59" si="108">E28/E36</f>
        <v>1.1622055850344839</v>
      </c>
      <c r="F59" s="112">
        <f t="shared" si="108"/>
        <v>0.86954968213583816</v>
      </c>
      <c r="G59" s="112">
        <f t="shared" si="108"/>
        <v>0.98737867463809292</v>
      </c>
      <c r="H59" s="112">
        <f t="shared" si="108"/>
        <v>1.0043784536541955</v>
      </c>
      <c r="I59" s="112">
        <f t="shared" si="108"/>
        <v>1.0900640853292709</v>
      </c>
      <c r="J59" s="112">
        <f t="shared" si="108"/>
        <v>0.77218934911242598</v>
      </c>
      <c r="K59" s="112">
        <f t="shared" si="108"/>
        <v>0.87920227920227922</v>
      </c>
      <c r="L59" s="112">
        <f t="shared" si="108"/>
        <v>1.4235959947757946</v>
      </c>
      <c r="M59" s="112">
        <f t="shared" si="108"/>
        <v>1.5556464811783961</v>
      </c>
      <c r="O59" s="107"/>
      <c r="P59" s="107"/>
      <c r="Q59" s="107"/>
      <c r="R59" s="107"/>
      <c r="S59" s="107"/>
      <c r="T59" s="107"/>
      <c r="U59" s="107"/>
      <c r="V59" s="107"/>
      <c r="W59" s="107"/>
      <c r="X59" s="107"/>
      <c r="Y59" s="107"/>
      <c r="Z59" s="107"/>
      <c r="AA59" s="107"/>
      <c r="AB59" s="107"/>
      <c r="AC59" s="107"/>
      <c r="AD59" s="107"/>
      <c r="AE59" s="107"/>
      <c r="AF59" s="107"/>
      <c r="AG59" s="107"/>
      <c r="AH59" s="107"/>
      <c r="AI59" s="107"/>
      <c r="AJ59" s="107"/>
    </row>
    <row r="60" spans="2:36">
      <c r="B60" s="122" t="s">
        <v>157</v>
      </c>
      <c r="D60" s="112">
        <f>D46/D9</f>
        <v>2.9661699011927483</v>
      </c>
      <c r="E60" s="112">
        <f t="shared" ref="E60:M60" si="109">E46/E9</f>
        <v>2.5090245507170259</v>
      </c>
      <c r="F60" s="112">
        <f t="shared" si="109"/>
        <v>2.8200992555831266</v>
      </c>
      <c r="G60" s="112">
        <f t="shared" si="109"/>
        <v>2.7114963538452783</v>
      </c>
      <c r="H60" s="112">
        <f t="shared" si="109"/>
        <v>2.8006730427712423</v>
      </c>
      <c r="I60" s="112">
        <f t="shared" si="109"/>
        <v>2.7279605263157896</v>
      </c>
      <c r="J60" s="112">
        <f t="shared" si="109"/>
        <v>5.427230046948357</v>
      </c>
      <c r="K60" s="112">
        <f t="shared" si="109"/>
        <v>4.0798090040927697</v>
      </c>
      <c r="L60" s="112">
        <f t="shared" si="109"/>
        <v>2.2226507713884991</v>
      </c>
      <c r="M60" s="112">
        <f t="shared" si="109"/>
        <v>2.9684065934065935</v>
      </c>
      <c r="O60" s="107"/>
      <c r="P60" s="107"/>
      <c r="Q60" s="107"/>
      <c r="R60" s="107"/>
      <c r="S60" s="107"/>
      <c r="T60" s="107"/>
      <c r="U60" s="107"/>
      <c r="V60" s="107"/>
      <c r="W60" s="107"/>
      <c r="X60" s="107"/>
      <c r="Y60" s="107"/>
      <c r="Z60" s="107"/>
      <c r="AA60" s="107"/>
      <c r="AB60" s="107"/>
      <c r="AC60" s="107"/>
      <c r="AD60" s="107"/>
      <c r="AE60" s="107"/>
      <c r="AF60" s="107"/>
      <c r="AG60" s="107"/>
      <c r="AH60" s="107"/>
      <c r="AI60" s="107"/>
      <c r="AJ60" s="107"/>
    </row>
    <row r="61" spans="2:36">
      <c r="O61" s="107"/>
      <c r="P61" s="107"/>
      <c r="Q61" s="107"/>
      <c r="R61" s="107"/>
      <c r="S61" s="107"/>
      <c r="T61" s="107"/>
      <c r="U61" s="107"/>
      <c r="V61" s="107"/>
      <c r="W61" s="107"/>
      <c r="X61" s="107"/>
      <c r="Y61" s="107"/>
      <c r="Z61" s="107"/>
      <c r="AA61" s="107"/>
      <c r="AB61" s="107"/>
      <c r="AC61" s="107"/>
      <c r="AD61" s="107"/>
      <c r="AE61" s="107"/>
      <c r="AF61" s="107"/>
      <c r="AG61" s="107"/>
      <c r="AH61" s="107"/>
      <c r="AI61" s="107"/>
      <c r="AJ61" s="107"/>
    </row>
    <row r="62" spans="2:36" ht="17.5" thickBot="1">
      <c r="B62" s="2" t="s">
        <v>72</v>
      </c>
      <c r="C62" s="109"/>
      <c r="D62" s="109"/>
      <c r="O62" s="107"/>
      <c r="P62" s="107"/>
      <c r="Q62" s="107"/>
      <c r="R62" s="107"/>
      <c r="S62" s="107"/>
      <c r="T62" s="107"/>
      <c r="U62" s="107"/>
      <c r="V62" s="107"/>
      <c r="W62" s="107"/>
      <c r="X62" s="107"/>
      <c r="Y62" s="107"/>
      <c r="Z62" s="107"/>
      <c r="AA62" s="107"/>
      <c r="AB62" s="107"/>
      <c r="AC62" s="107"/>
      <c r="AD62" s="107"/>
      <c r="AE62" s="107"/>
      <c r="AF62" s="107"/>
      <c r="AG62" s="107"/>
      <c r="AH62" s="107"/>
      <c r="AI62" s="107"/>
      <c r="AJ62" s="107"/>
    </row>
    <row r="63" spans="2:36" ht="15" thickTop="1">
      <c r="B63" s="18" t="s">
        <v>73</v>
      </c>
      <c r="C63" s="113"/>
      <c r="D63" s="121">
        <f>(M20/I20)^0.2 - 1</f>
        <v>-1.7034161810570312</v>
      </c>
      <c r="O63" s="107"/>
      <c r="P63" s="107"/>
      <c r="Q63" s="107"/>
      <c r="R63" s="107"/>
      <c r="S63" s="107"/>
      <c r="T63" s="107"/>
      <c r="U63" s="107"/>
      <c r="V63" s="107"/>
      <c r="W63" s="107"/>
      <c r="X63" s="107"/>
      <c r="Y63" s="107"/>
      <c r="Z63" s="107"/>
      <c r="AA63" s="107"/>
      <c r="AB63" s="107"/>
      <c r="AC63" s="107"/>
      <c r="AD63" s="107"/>
      <c r="AE63" s="107"/>
      <c r="AF63" s="107"/>
      <c r="AG63" s="107"/>
      <c r="AH63" s="107"/>
      <c r="AI63" s="107"/>
      <c r="AJ63" s="107"/>
    </row>
    <row r="64" spans="2:36">
      <c r="B64" s="18" t="s">
        <v>83</v>
      </c>
      <c r="C64" s="113"/>
      <c r="D64" s="121">
        <f>(M20/D20)^0.1 - 1</f>
        <v>-1.8801330526459421</v>
      </c>
    </row>
    <row r="65" spans="2:13">
      <c r="B65" s="10" t="s">
        <v>74</v>
      </c>
      <c r="C65" s="114"/>
      <c r="D65" s="121">
        <f>(M6/I6)^0.2 - 1</f>
        <v>8.3363417168461851E-2</v>
      </c>
    </row>
    <row r="66" spans="2:13">
      <c r="B66" s="10" t="s">
        <v>84</v>
      </c>
      <c r="C66" s="114"/>
      <c r="D66" s="121">
        <f>(M6/D6)^0.1 - 1</f>
        <v>0.14456344772713159</v>
      </c>
    </row>
    <row r="67" spans="2:13">
      <c r="B67" s="10" t="s">
        <v>75</v>
      </c>
      <c r="C67" s="114"/>
      <c r="D67" s="121">
        <f>(M3/I3)^0.2 - 1</f>
        <v>5.7236670649805754E-2</v>
      </c>
    </row>
    <row r="68" spans="2:13">
      <c r="B68" s="10" t="s">
        <v>85</v>
      </c>
      <c r="C68" s="114"/>
      <c r="D68" s="121">
        <f>(M3/D3)^0.1 - 1</f>
        <v>3.4562325727179655E-2</v>
      </c>
    </row>
    <row r="69" spans="2:13">
      <c r="B69" s="10" t="s">
        <v>88</v>
      </c>
      <c r="C69" s="114"/>
      <c r="D69" s="121">
        <f>(M9/I9)^0.2 - 1</f>
        <v>7.5181564583320259E-2</v>
      </c>
    </row>
    <row r="70" spans="2:13">
      <c r="B70" s="10" t="s">
        <v>89</v>
      </c>
      <c r="C70" s="114"/>
      <c r="D70" s="121">
        <f>(M9/D9)^0.2 - 1</f>
        <v>0.12832735434671894</v>
      </c>
    </row>
    <row r="71" spans="2:13">
      <c r="B71" s="10" t="s">
        <v>131</v>
      </c>
      <c r="D71" s="121">
        <f>(M23/I23)^0.2 - 1</f>
        <v>0.10831621959108628</v>
      </c>
    </row>
    <row r="72" spans="2:13">
      <c r="B72" s="10" t="s">
        <v>132</v>
      </c>
      <c r="D72" s="121">
        <f>AVERAGE(I24:M24)</f>
        <v>0.1251026669916562</v>
      </c>
    </row>
    <row r="73" spans="2:13">
      <c r="B73" s="10" t="s">
        <v>135</v>
      </c>
      <c r="D73" s="121">
        <f>AVERAGE(I55:M55)</f>
        <v>-0.30276293709428048</v>
      </c>
    </row>
    <row r="75" spans="2:13" ht="17.5" thickBot="1">
      <c r="B75" s="2" t="s">
        <v>145</v>
      </c>
      <c r="C75" s="109"/>
      <c r="D75" s="109">
        <v>2013</v>
      </c>
      <c r="E75" s="109">
        <v>2014</v>
      </c>
      <c r="F75" s="109">
        <v>2015</v>
      </c>
      <c r="G75" s="109">
        <v>2016</v>
      </c>
      <c r="H75" s="109">
        <v>2017</v>
      </c>
      <c r="I75" s="109">
        <v>2018</v>
      </c>
      <c r="J75" s="109">
        <v>2019</v>
      </c>
      <c r="K75" s="109">
        <v>2020</v>
      </c>
      <c r="L75" s="109">
        <v>2021</v>
      </c>
      <c r="M75" s="109">
        <v>2022</v>
      </c>
    </row>
    <row r="76" spans="2:13" ht="15" thickTop="1">
      <c r="B76" s="10" t="s">
        <v>138</v>
      </c>
      <c r="C76" s="110">
        <v>0</v>
      </c>
      <c r="D76" s="110">
        <f t="shared" ref="D76:M76" si="110">100*D6/D34</f>
        <v>2.7785549191391619</v>
      </c>
      <c r="E76" s="110">
        <f t="shared" si="110"/>
        <v>3.3409294779256018</v>
      </c>
      <c r="F76" s="110">
        <f t="shared" si="110"/>
        <v>2.6725762716579329</v>
      </c>
      <c r="G76" s="110">
        <f t="shared" si="110"/>
        <v>3.3621579525769199</v>
      </c>
      <c r="H76" s="110">
        <f t="shared" si="110"/>
        <v>3.7695774441907415</v>
      </c>
      <c r="I76" s="110">
        <f t="shared" si="110"/>
        <v>6.0012187163424606</v>
      </c>
      <c r="J76" s="110">
        <f t="shared" si="110"/>
        <v>1.9180340151344872</v>
      </c>
      <c r="K76" s="110">
        <f t="shared" si="110"/>
        <v>3.8040757954951734</v>
      </c>
      <c r="L76" s="110">
        <f t="shared" si="110"/>
        <v>8.772349458829158</v>
      </c>
      <c r="M76" s="110">
        <f t="shared" si="110"/>
        <v>6.1052631578947372</v>
      </c>
    </row>
    <row r="77" spans="2:13">
      <c r="B77" s="10" t="s">
        <v>139</v>
      </c>
      <c r="C77" s="110">
        <v>0</v>
      </c>
      <c r="D77" s="110">
        <f t="shared" ref="D77:M77" si="111">100*D6/D44</f>
        <v>7.8384397584439984</v>
      </c>
      <c r="E77" s="110">
        <f t="shared" si="111"/>
        <v>9.2050667576173435</v>
      </c>
      <c r="F77" s="110">
        <f t="shared" si="111"/>
        <v>7.8658617760898508</v>
      </c>
      <c r="G77" s="110">
        <f t="shared" si="111"/>
        <v>10.144644991372205</v>
      </c>
      <c r="H77" s="110">
        <f t="shared" si="111"/>
        <v>11.67098835184458</v>
      </c>
      <c r="I77" s="110">
        <f t="shared" si="111"/>
        <v>17.536585365853657</v>
      </c>
      <c r="J77" s="110">
        <f t="shared" si="111"/>
        <v>6.68931277763261</v>
      </c>
      <c r="K77" s="110">
        <f t="shared" si="111"/>
        <v>12.859560067681896</v>
      </c>
      <c r="L77" s="110">
        <f t="shared" si="111"/>
        <v>26.523232688483095</v>
      </c>
      <c r="M77" s="110">
        <f t="shared" si="111"/>
        <v>17.665459334869936</v>
      </c>
    </row>
    <row r="78" spans="2:13">
      <c r="B78" s="10" t="s">
        <v>140</v>
      </c>
      <c r="C78" s="110">
        <v>0</v>
      </c>
      <c r="D78" s="40">
        <v>7.1100001335144043</v>
      </c>
      <c r="E78" s="40">
        <v>7.6700000762939453</v>
      </c>
      <c r="F78" s="40">
        <v>6.8000001907348633</v>
      </c>
      <c r="G78" s="40">
        <v>7.570000171661377</v>
      </c>
      <c r="H78" s="40">
        <v>8</v>
      </c>
      <c r="I78" s="40">
        <v>11.529999732971191</v>
      </c>
      <c r="J78" s="40">
        <v>4.679999828338623</v>
      </c>
      <c r="K78" s="40">
        <v>7.4600000381469727</v>
      </c>
      <c r="L78" s="40">
        <v>14.869999885559082</v>
      </c>
      <c r="M78" s="40">
        <v>10.489999771118164</v>
      </c>
    </row>
    <row r="80" spans="2:13" ht="17.5" thickBot="1">
      <c r="B80" s="2" t="s">
        <v>146</v>
      </c>
      <c r="C80" s="109"/>
      <c r="D80" s="109">
        <v>2013</v>
      </c>
      <c r="E80" s="109">
        <v>2014</v>
      </c>
      <c r="F80" s="109">
        <v>2015</v>
      </c>
      <c r="G80" s="109">
        <v>2016</v>
      </c>
      <c r="H80" s="109">
        <v>2017</v>
      </c>
      <c r="I80" s="109">
        <v>2018</v>
      </c>
      <c r="J80" s="109">
        <v>2019</v>
      </c>
      <c r="K80" s="109">
        <v>2020</v>
      </c>
      <c r="L80" s="109">
        <v>2021</v>
      </c>
      <c r="M80" s="109">
        <v>2022</v>
      </c>
    </row>
    <row r="81" spans="2:13" ht="15" thickTop="1">
      <c r="B81" s="122" t="s">
        <v>147</v>
      </c>
      <c r="C81" s="110">
        <v>0</v>
      </c>
      <c r="D81" s="40">
        <v>17.200000762939453</v>
      </c>
      <c r="E81" s="40">
        <v>19.780000686645508</v>
      </c>
      <c r="F81" s="40">
        <v>21.100000381469727</v>
      </c>
      <c r="G81" s="40">
        <v>22.149999618530273</v>
      </c>
      <c r="H81" s="40">
        <v>19.090000152587891</v>
      </c>
      <c r="I81" s="40">
        <v>13.140000343322754</v>
      </c>
      <c r="J81" s="40">
        <v>32.029998779296875</v>
      </c>
      <c r="K81" s="40">
        <v>13.760000228881836</v>
      </c>
      <c r="L81" s="40">
        <v>6.630000114440918</v>
      </c>
      <c r="M81" s="40">
        <v>7.4600000381469727</v>
      </c>
    </row>
    <row r="82" spans="2:13">
      <c r="B82" s="122" t="s">
        <v>148</v>
      </c>
      <c r="C82" s="110">
        <v>0</v>
      </c>
      <c r="D82" s="40">
        <v>5.9800000190734863</v>
      </c>
      <c r="E82" s="40">
        <v>6.619999885559082</v>
      </c>
      <c r="F82" s="40">
        <v>5.0999999046325684</v>
      </c>
      <c r="G82" s="40">
        <v>8.3400001525878906</v>
      </c>
      <c r="H82" s="40">
        <v>8.619999885559082</v>
      </c>
      <c r="I82" s="40">
        <v>8.6999998092651367</v>
      </c>
      <c r="J82" s="40">
        <v>7.5900001525878906</v>
      </c>
      <c r="K82" s="40">
        <v>6.6599998474121094</v>
      </c>
      <c r="L82" s="40">
        <v>6.5799999237060547</v>
      </c>
      <c r="M82" s="40">
        <v>11.170000076293945</v>
      </c>
    </row>
    <row r="83" spans="2:13">
      <c r="B83" s="122" t="s">
        <v>153</v>
      </c>
      <c r="C83" s="110">
        <v>1.9900000095367432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Valuation Metrics</vt:lpstr>
      <vt:lpstr>Graphics</vt:lpstr>
      <vt:lpstr>WACC</vt:lpstr>
      <vt:lpstr>DCF</vt:lpstr>
      <vt:lpstr>Graham</vt:lpstr>
      <vt:lpstr>DDM</vt:lpstr>
      <vt:lpstr>Financials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2023-04-16T20:55:54Z</dcterms:modified>
</cp:coreProperties>
</file>