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73AE8CE-1F60-4B8B-A5CA-5AD21C70123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<sst xmlns="http://schemas.openxmlformats.org/spreadsheetml/2006/main" count="227" uniqueCount="162">
  <si>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</si>
  <si>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</si>
  <si>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</si>
  <si>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</si>
  <si>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</si>
  <si>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</si>
  <si>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</si>
  <si>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</si>
  <si>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</si>
  <si>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</si>
  <si>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</si>
  <si>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</si>
  <si>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</si>
  <si>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</si>
  <si>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</si>
  <si>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</si>
  <si>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</si>
  <si>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</si>
  <si>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</si>
  <si>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</si>
  <si>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</si>
  <si>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</si>
  <si>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</si>
  <si>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</si>
  <si>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</si>
  <si>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</si>
  <si>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</si>
  <si>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</si>
  <si>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</si>
  <si>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</si>
  <si>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</si>
  <si>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</si>
  <si>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</si>
  <si>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</si>
  <si>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</si>
  <si>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</si>
  <si>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</si>
  <si>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</si>
  <si>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</si>
  <si>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</si>
  <si>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</si>
  <si>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</si>
  <si>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</si>
  <si>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</si>
  <si>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</si>
  <si>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</si>
  <si>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</si>
  <si>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</si>
  <si>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</si>
  <si>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</si>
  <si>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</si>
  <si>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</si>
  <si>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</si>
  <si>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</si>
  <si>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</si>
  <si>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</si>
  <si>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</si>
  <si>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</si>
  <si>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</si>
  <si>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</si>
  <si>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</si>
  <si>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</si>
  <si>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</si>
  <si>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</si>
  <si>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</si>
  <si>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</si>
  <si>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</si>
  <si>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</si>
  <si>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</si>
  <si>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</si>
  <si>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</si>
  <si>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</si>
  <si>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</si>
  <si>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</si>
  <si>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</si>
  <si>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</si>
  <si>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</si>
  <si>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</si>
  <si>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</si>
  <si>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</si>
  <si>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</si>
  <si>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</si>
  <si>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</si>
  <si>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</si>
  <si>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</si>
  <si>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</si>
  <si>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</si>
  <si>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</si>
  <si>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</si>
  <si>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</si>
  <si>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</si>
  <si>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</si>
  <si>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</si>
  <si>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</si>
  <si>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</si>
  <si>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</si>
  <si>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</si>
  <si>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</si>
  <si>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</si>
  <si>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</si>
  <si>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</si>
  <si>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</si>
  <si>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</si>
  <si>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</si>
  <si>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</si>
  <si>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</si>
  <si>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</si>
  <si>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</si>
  <si>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</si>
  <si>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</si>
  <si>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</si>
  <si>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</si>
  <si>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</si>
  <si>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</si>
  <si>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</si>
  <si>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</si>
  <si>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</si>
  <si>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</si>
  <si>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</si>
  <si>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</si>
  <si>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</si>
  <si>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</si>
  <si>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</si>
  <si>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</si>
  <si>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</si>
  <si>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</si>
  <si>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</si>
  <si>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</si>
  <si>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</si>
  <si>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</si>
  <si>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</si>
  <si>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</si>
  <si>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</si>
  <si>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</si>
  <si>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</si>
  <si>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</si>
  <si>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</si>
  <si>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</si>
  <si>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</si>
  <si>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</si>
  <si>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</si>
  <si>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</si>
  <si>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</si>
  <si>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</si>
  <si>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</si>
  <si>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</si>
  <si>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</si>
  <si>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</si>
  <si>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</si>
  <si>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</si>
  <si>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</si>
  <si>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</si>
  <si>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</si>
  <si>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</si>
  <si>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</si>
  <si>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</si>
  <si>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</si>
  <si>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</si>
  <si>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</si>
  <si>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CMCA_Comcast</t>
  </si>
  <si>
    <t>sector median (19.38)</t>
  </si>
  <si>
    <t>sector median (7.86)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</si>
</sst>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8.7538858901588384E-2</c:v>
                </c:pt>
                <c:pt idx="1">
                  <c:v>0.13786986550345329</c:v>
                </c:pt>
                <c:pt idx="2">
                  <c:v>0.14505435512011811</c:v>
                </c:pt>
                <c:pt idx="3">
                  <c:v>0.12517340467697186</c:v>
                </c:pt>
                <c:pt idx="4">
                  <c:v>0.13197850145244563</c:v>
                </c:pt>
                <c:pt idx="5">
                  <c:v>0.14880379231168062</c:v>
                </c:pt>
                <c:pt idx="6">
                  <c:v>0.13427328303133779</c:v>
                </c:pt>
                <c:pt idx="7">
                  <c:v>0.13576146151172222</c:v>
                </c:pt>
                <c:pt idx="8">
                  <c:v>0.16321690939554065</c:v>
                </c:pt>
                <c:pt idx="9">
                  <c:v>0.12729458851820435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44567</c:v>
                </c:pt>
                <c:pt idx="1">
                  <c:v>43864</c:v>
                </c:pt>
                <c:pt idx="2">
                  <c:v>48994</c:v>
                </c:pt>
                <c:pt idx="3">
                  <c:v>55566</c:v>
                </c:pt>
                <c:pt idx="4">
                  <c:v>59422</c:v>
                </c:pt>
                <c:pt idx="5">
                  <c:v>107345</c:v>
                </c:pt>
                <c:pt idx="6">
                  <c:v>102931</c:v>
                </c:pt>
                <c:pt idx="7">
                  <c:v>105782</c:v>
                </c:pt>
                <c:pt idx="8">
                  <c:v>97888</c:v>
                </c:pt>
                <c:pt idx="9">
                  <c:v>98240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2.0792665857982646</c:v>
                </c:pt>
                <c:pt idx="1">
                  <c:v>1.9135366226061161</c:v>
                </c:pt>
                <c:pt idx="2">
                  <c:v>1.9853310641056812</c:v>
                </c:pt>
                <c:pt idx="3">
                  <c:v>2.1162356704878698</c:v>
                </c:pt>
                <c:pt idx="4">
                  <c:v>2.144733992636974</c:v>
                </c:pt>
                <c:pt idx="5">
                  <c:v>3.6161360956712145</c:v>
                </c:pt>
                <c:pt idx="6">
                  <c:v>3.0204530782322907</c:v>
                </c:pt>
                <c:pt idx="7">
                  <c:v>3.4577190860654397</c:v>
                </c:pt>
                <c:pt idx="8">
                  <c:v>2.8274168857052078</c:v>
                </c:pt>
                <c:pt idx="9">
                  <c:v>3.5259493216567366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5660</c:v>
                </c:pt>
                <c:pt idx="1">
                  <c:v>9482</c:v>
                </c:pt>
                <c:pt idx="2">
                  <c:v>10808</c:v>
                </c:pt>
                <c:pt idx="3">
                  <c:v>10106</c:v>
                </c:pt>
                <c:pt idx="4">
                  <c:v>11222</c:v>
                </c:pt>
                <c:pt idx="5">
                  <c:v>14063</c:v>
                </c:pt>
                <c:pt idx="6">
                  <c:v>14628</c:v>
                </c:pt>
                <c:pt idx="7">
                  <c:v>14060</c:v>
                </c:pt>
                <c:pt idx="8">
                  <c:v>18996</c:v>
                </c:pt>
                <c:pt idx="9">
                  <c:v>15457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0.34699646643109539</c:v>
                </c:pt>
                <c:pt idx="1">
                  <c:v>0.23771356253954862</c:v>
                </c:pt>
                <c:pt idx="2">
                  <c:v>0.22548112509252405</c:v>
                </c:pt>
                <c:pt idx="3">
                  <c:v>0.25737185830199882</c:v>
                </c:pt>
                <c:pt idx="4">
                  <c:v>0.25690607734806631</c:v>
                </c:pt>
                <c:pt idx="5">
                  <c:v>0.23835596956552657</c:v>
                </c:pt>
                <c:pt idx="6">
                  <c:v>0.25533223954060708</c:v>
                </c:pt>
                <c:pt idx="7">
                  <c:v>0.29445234708392604</c:v>
                </c:pt>
                <c:pt idx="8">
                  <c:v>0.23857654242998527</c:v>
                </c:pt>
                <c:pt idx="9">
                  <c:v>0.30672187358478359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5660</c:v>
                </c:pt>
                <c:pt idx="1">
                  <c:v>9482</c:v>
                </c:pt>
                <c:pt idx="2">
                  <c:v>10808</c:v>
                </c:pt>
                <c:pt idx="3">
                  <c:v>10106</c:v>
                </c:pt>
                <c:pt idx="4">
                  <c:v>11222</c:v>
                </c:pt>
                <c:pt idx="5">
                  <c:v>14063</c:v>
                </c:pt>
                <c:pt idx="6">
                  <c:v>14628</c:v>
                </c:pt>
                <c:pt idx="7">
                  <c:v>14060</c:v>
                </c:pt>
                <c:pt idx="8">
                  <c:v>18996</c:v>
                </c:pt>
                <c:pt idx="9">
                  <c:v>15457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4.1366607122623718</v>
      </c>
      <c r="G12" s="119">
        <f>Financials!D76</f>
        <v>4.2918400886577297</v>
      </c>
      <c r="H12" s="119">
        <f>Financials!E76</f>
        <v>5.2642820348523109</v>
      </c>
      <c r="I12" s="119">
        <f>Financials!F76</f>
        <v>4.9005246917286014</v>
      </c>
      <c r="J12" s="119">
        <f>Financials!G76</f>
        <v>4.8077562326869803</v>
      </c>
      <c r="K12" s="119">
        <f>Financials!H76</f>
        <v>12.127791232356424</v>
      </c>
      <c r="L12" s="119">
        <f>Financials!I76</f>
        <v>4.6610034805549816</v>
      </c>
      <c r="M12" s="119">
        <f>Financials!J76</f>
        <v>4.9568360071977953</v>
      </c>
      <c r="N12" s="119">
        <f>Financials!K76</f>
        <v>3.8463645027367099</v>
      </c>
      <c r="O12" s="119">
        <f>Financials!L76</f>
        <v>5.1318388575777893</v>
      </c>
      <c r="P12" s="119">
        <f>Financials!M76</f>
        <v>2.0872607132445826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12.866531517853939</v>
      </c>
      <c r="G14" s="40">
        <f>Financials!D77</f>
        <v>13.349524070664733</v>
      </c>
      <c r="H14" s="40">
        <f>Financials!E77</f>
        <v>15.791060526117434</v>
      </c>
      <c r="I14" s="40">
        <f>Financials!F77</f>
        <v>15.122827818740969</v>
      </c>
      <c r="J14" s="40">
        <f>Financials!G77</f>
        <v>15.448428098408517</v>
      </c>
      <c r="K14" s="40">
        <f>Financials!H77</f>
        <v>32.731539469327231</v>
      </c>
      <c r="L14" s="40">
        <f>Financials!I77</f>
        <v>16.180243303633002</v>
      </c>
      <c r="M14" s="40">
        <f>Financials!J77</f>
        <v>15.567398717123304</v>
      </c>
      <c r="N14" s="40">
        <f>Financials!K77</f>
        <v>11.482700734700996</v>
      </c>
      <c r="O14" s="40">
        <f>Financials!L77</f>
        <v>14.523689852188452</v>
      </c>
      <c r="P14" s="40">
        <f>Financials!M77</f>
        <v>6.5786249816239524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6.8610102783180901E-2</v>
      </c>
      <c r="F16" s="124">
        <f>AVERAGE(L16:P16)</f>
        <v>7.7499999046325687</v>
      </c>
      <c r="G16" s="40">
        <f>Financials!D78</f>
        <v>8.9899997711181641</v>
      </c>
      <c r="H16" s="40">
        <f>Financials!E78</f>
        <v>10.210000038146973</v>
      </c>
      <c r="I16" s="40">
        <f>Financials!F78</f>
        <v>9.5799999237060547</v>
      </c>
      <c r="J16" s="40">
        <f>Financials!G78</f>
        <v>9.5900001525878906</v>
      </c>
      <c r="K16" s="40">
        <f>Financials!H78</f>
        <v>19.969999313354492</v>
      </c>
      <c r="L16" s="40">
        <f>Financials!I78</f>
        <v>9.1499996185302734</v>
      </c>
      <c r="M16" s="40">
        <f>Financials!J78</f>
        <v>9.0299997329711914</v>
      </c>
      <c r="N16" s="40">
        <f>Financials!K78</f>
        <v>7.4000000953674316</v>
      </c>
      <c r="O16" s="40">
        <f>Financials!L78</f>
        <v>8.9700002670288086</v>
      </c>
      <c r="P16" s="40">
        <f>Financials!M78</f>
        <v>4.1999998092651367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0.83726286876165845</v>
      </c>
      <c r="G18" s="42">
        <f>Financials!D59</f>
        <v>0.74423646362098139</v>
      </c>
      <c r="H18" s="42">
        <f>Financials!E59</f>
        <v>0.77719701321079837</v>
      </c>
      <c r="I18" s="42">
        <f>Financials!F59</f>
        <v>0.67680712949719446</v>
      </c>
      <c r="J18" s="42">
        <f>Financials!G59</f>
        <v>0.75973995820756912</v>
      </c>
      <c r="K18" s="42">
        <f>Financials!H59</f>
        <v>0.74310007729732186</v>
      </c>
      <c r="L18" s="42">
        <f>Financials!I59</f>
        <v>0.79150816940187663</v>
      </c>
      <c r="M18" s="42">
        <f>Financials!J59</f>
        <v>0.83824111976759541</v>
      </c>
      <c r="N18" s="42">
        <f>Financials!K59</f>
        <v>0.92863592165578557</v>
      </c>
      <c r="O18" s="42">
        <f>Financials!L59</f>
        <v>0.84527054654490941</v>
      </c>
      <c r="P18" s="42">
        <f>Financials!M59</f>
        <v>0.78265858643812525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6" t="str">
        <f>V11</f>
        <v>L</v>
      </c>
      <c r="E20" s="49" t="s">
        <v>137</v>
      </c>
      <c r="F20" s="125">
        <f>AVERAGE(L20:P20)</f>
        <v>2.1158501553160587</v>
      </c>
      <c r="G20" s="42">
        <f>Financials!D58</f>
        <v>2.1104430255787534</v>
      </c>
      <c r="H20" s="42">
        <f>Financials!E58</f>
        <v>1.9996608125423985</v>
      </c>
      <c r="I20" s="42">
        <f>Financials!F58</f>
        <v>2.0859609470525027</v>
      </c>
      <c r="J20" s="42">
        <f>Financials!G58</f>
        <v>2.2132303200769039</v>
      </c>
      <c r="K20" s="42">
        <f>Financials!H58</f>
        <v>1.6988871132610606</v>
      </c>
      <c r="L20" s="42">
        <f>Financials!I58</f>
        <v>2.4714076853052331</v>
      </c>
      <c r="M20" s="42">
        <f>Financials!J58</f>
        <v>2.1405918401411643</v>
      </c>
      <c r="N20" s="42">
        <f>Financials!K58</f>
        <v>1.98533868189845</v>
      </c>
      <c r="O20" s="42">
        <f>Financials!L58</f>
        <v>1.8301141667265024</v>
      </c>
      <c r="P20" s="42">
        <f>Financials!M58</f>
        <v>2.1517984025089429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5" t="str">
        <f>U11</f>
        <v>K</v>
      </c>
      <c r="E22" s="49" t="s">
        <v>158</v>
      </c>
      <c r="F22" s="125">
        <f>AVERAGE(L22:P22)</f>
        <v>3.2895348934661781</v>
      </c>
      <c r="G22" s="42">
        <f>Financials!D60</f>
        <v>2.0792665857982646</v>
      </c>
      <c r="H22" s="42">
        <f>Financials!E60</f>
        <v>1.9135366226061161</v>
      </c>
      <c r="I22" s="42">
        <f>Financials!F60</f>
        <v>1.9853310641056812</v>
      </c>
      <c r="J22" s="42">
        <f>Financials!G60</f>
        <v>2.1162356704878698</v>
      </c>
      <c r="K22" s="42">
        <f>Financials!H60</f>
        <v>2.144733992636974</v>
      </c>
      <c r="L22" s="42">
        <f>Financials!I60</f>
        <v>3.6161360956712145</v>
      </c>
      <c r="M22" s="42">
        <f>Financials!J60</f>
        <v>3.0204530782322907</v>
      </c>
      <c r="N22" s="42">
        <f>Financials!K60</f>
        <v>3.4577190860654397</v>
      </c>
      <c r="O22" s="42">
        <f>Financials!L60</f>
        <v>2.8274168857052078</v>
      </c>
      <c r="P22" s="42">
        <f>Financials!M60</f>
        <v>3.5259493216567366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5330</v>
      </c>
      <c r="H24" s="40">
        <f>Financials!E12</f>
        <v>5240</v>
      </c>
      <c r="I24" s="40">
        <f>Financials!F12</f>
        <v>5035</v>
      </c>
      <c r="J24" s="40">
        <f>Financials!G12</f>
        <v>4875</v>
      </c>
      <c r="K24" s="40">
        <f>Financials!H12</f>
        <v>4786</v>
      </c>
      <c r="L24" s="40">
        <f>Financials!I12</f>
        <v>4640</v>
      </c>
      <c r="M24" s="40">
        <f>Financials!J12</f>
        <v>4610</v>
      </c>
      <c r="N24" s="40">
        <f>Financials!K12</f>
        <v>4624</v>
      </c>
      <c r="O24" s="40">
        <f>Financials!L12</f>
        <v>4654</v>
      </c>
      <c r="P24" s="40">
        <f>Financials!M12</f>
        <v>4430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18.525999927520751</v>
      </c>
      <c r="G26" s="44">
        <f>Financials!D81</f>
        <v>21.649999618530273</v>
      </c>
      <c r="H26" s="44">
        <f>Financials!E81</f>
        <v>18.239999771118164</v>
      </c>
      <c r="I26" s="44">
        <f>Financials!F81</f>
        <v>17.690000534057617</v>
      </c>
      <c r="J26" s="44">
        <f>Financials!G81</f>
        <v>20.25</v>
      </c>
      <c r="K26" s="44">
        <f>Financials!H81</f>
        <v>19.209999084472656</v>
      </c>
      <c r="L26" s="44">
        <f>Financials!I81</f>
        <v>6.6500000953674316</v>
      </c>
      <c r="M26" s="44">
        <f>Financials!J81</f>
        <v>16.659999847412109</v>
      </c>
      <c r="N26" s="44">
        <f>Financials!K81</f>
        <v>23.5</v>
      </c>
      <c r="O26" s="44">
        <f>Financials!L81</f>
        <v>16.180000305175781</v>
      </c>
      <c r="P26" s="44">
        <f>Financials!M81</f>
        <v>29.639999389648438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7.7179999351501465</v>
      </c>
      <c r="G28" s="44">
        <f>Financials!D82</f>
        <v>9.0900001525878906</v>
      </c>
      <c r="H28" s="44">
        <f>Financials!E82</f>
        <v>10.340000152587891</v>
      </c>
      <c r="I28" s="44">
        <f>Financials!F82</f>
        <v>7.7800002098083496</v>
      </c>
      <c r="J28" s="44">
        <f>Financials!G82</f>
        <v>9.1800003051757813</v>
      </c>
      <c r="K28" s="44">
        <f>Financials!H82</f>
        <v>9.0799999237060547</v>
      </c>
      <c r="L28" s="44">
        <f>Financials!I82</f>
        <v>6.6100001335144043</v>
      </c>
      <c r="M28" s="44">
        <f>Financials!J82</f>
        <v>8.1999998092651367</v>
      </c>
      <c r="N28" s="44">
        <f>Financials!K82</f>
        <v>9.3299999237060547</v>
      </c>
      <c r="O28" s="44">
        <f>Financials!L82</f>
        <v>8.8599996566772461</v>
      </c>
      <c r="P28" s="44">
        <f>Financials!M82</f>
        <v>5.5900001525878906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4" t="str">
        <f>T11</f>
        <v>J</v>
      </c>
      <c r="E30" s="51" t="s">
        <v>70</v>
      </c>
      <c r="F30" s="127">
        <f>Financials!$C$83</f>
        <v>0.72000002861022949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1.9082739857263942E-2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0.10568362440493972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-1.2595625542054179E-2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5.3857309948096344E-2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>
        <f>Financials!D65</f>
        <v>-0.14468153045679921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>
        <f>Financials!D66</f>
        <v>-2.3562454391197973E-2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5.140553170801887E-2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6.5049938261403595E-2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0.26668779444096569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7.1798608998944413E-2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0.10523482790922609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0.1770334369081705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zoomScale="78" zoomScaleNormal="100" workbookViewId="0">
      <selection activeCell="Q23" sqref="Q23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159.83000183105469</v>
      </c>
    </row>
    <row r="6" spans="2:16">
      <c r="B6" s="4" t="s">
        <v>5</v>
      </c>
      <c r="C6" s="59">
        <v>27887000</v>
      </c>
    </row>
    <row r="7" spans="2:16">
      <c r="B7" s="4" t="s">
        <v>4</v>
      </c>
      <c r="C7" s="59">
        <v>147350000</v>
      </c>
    </row>
    <row r="8" spans="2:16">
      <c r="B8" s="4" t="s">
        <v>3</v>
      </c>
      <c r="C8" s="59">
        <v>3896000</v>
      </c>
    </row>
    <row r="9" spans="2:16">
      <c r="B9" s="10" t="s">
        <v>6</v>
      </c>
      <c r="C9" s="59">
        <v>9284000</v>
      </c>
    </row>
    <row r="10" spans="2:16">
      <c r="B10" s="10" t="s">
        <v>7</v>
      </c>
      <c r="C10" s="59">
        <v>4359000</v>
      </c>
    </row>
    <row r="11" spans="2:16">
      <c r="B11" s="10" t="s">
        <v>9</v>
      </c>
      <c r="C11" s="60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335067001.83105499</v>
      </c>
      <c r="K21" t="s">
        <v>11</v>
      </c>
    </row>
    <row r="22" spans="2:15" ht="18" thickTop="1" thickBot="1">
      <c r="B22" s="2" t="s">
        <v>23</v>
      </c>
      <c r="C22" s="12">
        <f>C5*1000000/C21</f>
        <v>0.47700907865479186</v>
      </c>
      <c r="K22" t="s">
        <v>12</v>
      </c>
    </row>
    <row r="23" spans="2:15" ht="18" thickTop="1" thickBot="1">
      <c r="B23" s="16" t="s">
        <v>24</v>
      </c>
      <c r="C23" s="12">
        <f>C17/C21</f>
        <v>0.52299092134520819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6.8610102783180901E-2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12" sqref="G12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6.8610102783180901E-2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9.9999997764825821E-3</v>
      </c>
    </row>
    <row r="7" spans="2:12">
      <c r="B7" s="18" t="s">
        <v>31</v>
      </c>
      <c r="C7" s="13">
        <f>AVERAGE(C28:L28)</f>
        <v>0.12232623694075792</v>
      </c>
    </row>
    <row r="8" spans="2:12">
      <c r="B8" s="18" t="s">
        <v>112</v>
      </c>
      <c r="C8" s="13">
        <f>AVERAGEIF(C29:L29,"&lt;2")</f>
        <v>1.1043926498481418</v>
      </c>
    </row>
    <row r="9" spans="2:12">
      <c r="B9" s="18" t="s">
        <v>136</v>
      </c>
      <c r="C9" s="66">
        <v>8.9700002670288086</v>
      </c>
    </row>
    <row r="10" spans="2:12">
      <c r="B10" s="18" t="s">
        <v>100</v>
      </c>
      <c r="C10" s="67">
        <v>4.999999888241291E-3</v>
      </c>
    </row>
    <row r="11" spans="2:12">
      <c r="B11" s="18" t="s">
        <v>44</v>
      </c>
      <c r="C11" s="59">
        <v>4206611968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2" spans="2:12">
      <c r="B22" s="18" t="s">
        <v>30</v>
      </c>
      <c r="C22" s="25">
        <f>Financials!D20</f>
        <v>5660</v>
      </c>
      <c r="D22" s="25">
        <f>Financials!E20</f>
        <v>9482</v>
      </c>
      <c r="E22" s="25">
        <f>Financials!F20</f>
        <v>10808</v>
      </c>
      <c r="F22" s="25">
        <f>Financials!G20</f>
        <v>10106</v>
      </c>
      <c r="G22" s="25">
        <f>Financials!H20</f>
        <v>11222</v>
      </c>
      <c r="H22" s="25">
        <f>Financials!I20</f>
        <v>14063</v>
      </c>
      <c r="I22" s="25">
        <f>Financials!J20</f>
        <v>14628</v>
      </c>
      <c r="J22" s="25">
        <f>Financials!K20</f>
        <v>14060</v>
      </c>
      <c r="K22" s="25">
        <f>Financials!L20</f>
        <v>18996</v>
      </c>
      <c r="L22" s="25">
        <f>Financials!M20</f>
        <v>15457</v>
      </c>
    </row>
    <row r="23" spans="2:12">
      <c r="B23" s="18" t="s">
        <v>27</v>
      </c>
      <c r="C23" s="26"/>
      <c r="D23" s="26">
        <f>(D22-C22)/C22</f>
        <v>0.67526501766784452</v>
      </c>
      <c r="E23" s="26">
        <f t="shared" ref="E23:L23" si="2">(E22-D22)/D22</f>
        <v>0.13984391478591016</v>
      </c>
      <c r="F23" s="26">
        <f t="shared" si="2"/>
        <v>-6.4951887490747595E-2</v>
      </c>
      <c r="G23" s="26">
        <f t="shared" si="2"/>
        <v>0.11042944785276074</v>
      </c>
      <c r="H23" s="26">
        <f t="shared" si="2"/>
        <v>0.25316342897879168</v>
      </c>
      <c r="I23" s="26">
        <f t="shared" si="2"/>
        <v>4.0176349285358744E-2</v>
      </c>
      <c r="J23" s="26">
        <f t="shared" si="2"/>
        <v>-3.8829641782882146E-2</v>
      </c>
      <c r="K23" s="26">
        <f t="shared" si="2"/>
        <v>0.35106685633001422</v>
      </c>
      <c r="L23" s="26">
        <f t="shared" si="2"/>
        <v>-0.18630237944830491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21434</v>
      </c>
      <c r="D25" s="62">
        <f>Financials!E9</f>
        <v>22923</v>
      </c>
      <c r="E25" s="62">
        <f>Financials!F9</f>
        <v>24678</v>
      </c>
      <c r="F25" s="62">
        <f>Financials!G9</f>
        <v>26257</v>
      </c>
      <c r="G25" s="62">
        <f>Financials!H9</f>
        <v>27706</v>
      </c>
      <c r="H25" s="62">
        <f>Financials!I9</f>
        <v>29685</v>
      </c>
      <c r="I25" s="62">
        <f>Financials!J9</f>
        <v>34078</v>
      </c>
      <c r="J25" s="62">
        <f>Financials!K9</f>
        <v>30593</v>
      </c>
      <c r="K25" s="62">
        <f>Financials!L9</f>
        <v>34621</v>
      </c>
      <c r="L25" s="62">
        <f>Financials!M9</f>
        <v>27862</v>
      </c>
    </row>
    <row r="26" spans="2:12">
      <c r="B26" s="18" t="s">
        <v>27</v>
      </c>
      <c r="C26" s="63"/>
      <c r="D26" s="63">
        <f>Financials!E10</f>
        <v>6.9469067836148174E-2</v>
      </c>
      <c r="E26" s="63">
        <f>Financials!F10</f>
        <v>7.656065959952886E-2</v>
      </c>
      <c r="F26" s="63">
        <f>Financials!G10</f>
        <v>6.398411540643488E-2</v>
      </c>
      <c r="G26" s="63">
        <f>Financials!H10</f>
        <v>5.5185283924286857E-2</v>
      </c>
      <c r="H26" s="63">
        <f>Financials!I10</f>
        <v>7.1428571428571425E-2</v>
      </c>
      <c r="I26" s="63">
        <f>Financials!J10</f>
        <v>0.14798719892201448</v>
      </c>
      <c r="J26" s="63">
        <f>Financials!K10</f>
        <v>-0.10226539116145314</v>
      </c>
      <c r="K26" s="63">
        <f>Financials!L10</f>
        <v>0.13166410616807767</v>
      </c>
      <c r="L26" s="63">
        <f>Financials!M10</f>
        <v>-0.19522832962652725</v>
      </c>
    </row>
    <row r="28" spans="2:12" ht="15" thickBot="1">
      <c r="B28" s="1" t="s">
        <v>31</v>
      </c>
      <c r="C28" s="24">
        <f t="shared" ref="C28:L28" si="3">C19/C16</f>
        <v>0.10541782018961597</v>
      </c>
      <c r="D28" s="24">
        <f t="shared" si="3"/>
        <v>0.12184660123591422</v>
      </c>
      <c r="E28" s="24">
        <f t="shared" si="3"/>
        <v>0.10955576432693598</v>
      </c>
      <c r="F28" s="24">
        <f t="shared" si="3"/>
        <v>0.10748612762584225</v>
      </c>
      <c r="G28" s="24">
        <f t="shared" si="3"/>
        <v>0.26737936468734197</v>
      </c>
      <c r="H28" s="24">
        <f t="shared" si="3"/>
        <v>0.12412837144338515</v>
      </c>
      <c r="I28" s="24">
        <f t="shared" si="3"/>
        <v>0.11985276569183602</v>
      </c>
      <c r="J28" s="24">
        <f t="shared" si="3"/>
        <v>0.10171488161909543</v>
      </c>
      <c r="K28" s="24">
        <f t="shared" si="3"/>
        <v>0.12165657086394295</v>
      </c>
      <c r="L28" s="24">
        <f t="shared" si="3"/>
        <v>4.4224101723669362E-2</v>
      </c>
    </row>
    <row r="29" spans="2:12" ht="15" thickBot="1">
      <c r="B29" s="1" t="s">
        <v>32</v>
      </c>
      <c r="C29" s="24">
        <f t="shared" ref="C29:L29" si="4">C22/C19</f>
        <v>0.83039906103286387</v>
      </c>
      <c r="D29" s="24">
        <f t="shared" si="4"/>
        <v>1.1315035799522672</v>
      </c>
      <c r="E29" s="24">
        <f t="shared" si="4"/>
        <v>1.3240230307484993</v>
      </c>
      <c r="F29" s="24">
        <f t="shared" si="4"/>
        <v>1.164554044710763</v>
      </c>
      <c r="G29" s="24">
        <f t="shared" si="4"/>
        <v>0.49360017594018035</v>
      </c>
      <c r="H29" s="24">
        <f t="shared" si="4"/>
        <v>1.1987895320092063</v>
      </c>
      <c r="I29" s="24">
        <f t="shared" si="4"/>
        <v>1.1203186030481733</v>
      </c>
      <c r="J29" s="24">
        <f t="shared" si="4"/>
        <v>1.3347256502752991</v>
      </c>
      <c r="K29" s="24">
        <f t="shared" si="4"/>
        <v>1.3416201709160251</v>
      </c>
      <c r="L29" s="24">
        <f t="shared" si="4"/>
        <v>2.8783985102420857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120188.44466839546</v>
      </c>
      <c r="D36" s="21">
        <f>C36*(D37+1)</f>
        <v>123541.7021750671</v>
      </c>
      <c r="E36" s="21">
        <f>D36*(E37+1)</f>
        <v>123492.28549544537</v>
      </c>
      <c r="F36" s="21">
        <f t="shared" ref="F36:L36" si="5">E36*(F37+1)</f>
        <v>124727.20832279646</v>
      </c>
      <c r="G36" s="21">
        <f t="shared" si="5"/>
        <v>125974.48037814493</v>
      </c>
      <c r="H36" s="21">
        <f t="shared" si="5"/>
        <v>127234.22515376864</v>
      </c>
      <c r="I36" s="21">
        <f t="shared" si="5"/>
        <v>128506.5673768673</v>
      </c>
      <c r="J36" s="21">
        <f t="shared" si="5"/>
        <v>129791.63302191188</v>
      </c>
      <c r="K36" s="21">
        <f t="shared" si="5"/>
        <v>131089.5493231201</v>
      </c>
      <c r="L36" s="21">
        <f t="shared" si="5"/>
        <v>132400.44478705007</v>
      </c>
    </row>
    <row r="37" spans="2:12">
      <c r="B37" s="18" t="s">
        <v>27</v>
      </c>
      <c r="C37" s="68">
        <v>-1.0199999436736107E-2</v>
      </c>
      <c r="D37" s="68">
        <v>2.7899999171495438E-2</v>
      </c>
      <c r="E37" s="68">
        <v>-3.9999998989515007E-4</v>
      </c>
      <c r="F37" s="27">
        <f>C6</f>
        <v>9.9999997764825821E-3</v>
      </c>
      <c r="G37" s="27">
        <f>C6</f>
        <v>9.9999997764825821E-3</v>
      </c>
      <c r="H37" s="27">
        <f>C6</f>
        <v>9.9999997764825821E-3</v>
      </c>
      <c r="I37" s="27">
        <f>C6</f>
        <v>9.9999997764825821E-3</v>
      </c>
      <c r="J37" s="27">
        <f>C6</f>
        <v>9.9999997764825821E-3</v>
      </c>
      <c r="K37" s="27">
        <f>C6</f>
        <v>9.9999997764825821E-3</v>
      </c>
      <c r="L37" s="27">
        <f>C6</f>
        <v>9.9999997764825821E-3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14702.200160047269</v>
      </c>
      <c r="D39" s="21">
        <f>D36*C7</f>
        <v>15112.391532331803</v>
      </c>
      <c r="E39" s="21">
        <f>E36*C7</f>
        <v>15106.346575871537</v>
      </c>
      <c r="F39" s="21">
        <f>F36*C7</f>
        <v>15257.410038253627</v>
      </c>
      <c r="G39" s="21">
        <f>G36*C7</f>
        <v>15409.984135225835</v>
      </c>
      <c r="H39" s="21">
        <f>H36*C7</f>
        <v>15564.083973133698</v>
      </c>
      <c r="I39" s="21">
        <f>I36*C7</f>
        <v>15719.724809386114</v>
      </c>
      <c r="J39" s="21">
        <f>J36*C7</f>
        <v>15876.922053966318</v>
      </c>
      <c r="K39" s="21">
        <f>K36*C7</f>
        <v>16035.691270957159</v>
      </c>
      <c r="L39" s="21">
        <f>L36*C7</f>
        <v>16196.048180082425</v>
      </c>
    </row>
    <row r="40" spans="2:12">
      <c r="B40" s="18"/>
      <c r="C40" s="20">
        <f>(C39-L19)/L19</f>
        <v>1.7378398808281694</v>
      </c>
      <c r="D40" s="20">
        <f>(D39-C39)/C39</f>
        <v>2.7899999171499195E-2</v>
      </c>
      <c r="E40" s="20">
        <f t="shared" ref="E40:L40" si="6">(E39-D39)/D39</f>
        <v>-3.9999998989790399E-4</v>
      </c>
      <c r="F40" s="20">
        <f t="shared" si="6"/>
        <v>9.9999997764763978E-3</v>
      </c>
      <c r="G40" s="20">
        <f t="shared" si="6"/>
        <v>9.9999997764805438E-3</v>
      </c>
      <c r="H40" s="20">
        <f t="shared" si="6"/>
        <v>9.9999997764828978E-3</v>
      </c>
      <c r="I40" s="20">
        <f t="shared" si="6"/>
        <v>9.999999776477626E-3</v>
      </c>
      <c r="J40" s="20">
        <f t="shared" si="6"/>
        <v>9.9999997764810104E-3</v>
      </c>
      <c r="K40" s="20">
        <f t="shared" si="6"/>
        <v>9.9999997764792202E-3</v>
      </c>
      <c r="L40" s="20">
        <f t="shared" si="6"/>
        <v>9.9999997764795463E-3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16237.001793352385</v>
      </c>
      <c r="D42" s="21">
        <f>D39*C8</f>
        <v>16690.014129934509</v>
      </c>
      <c r="E42" s="21">
        <f>E39*C8</f>
        <v>16683.338124451104</v>
      </c>
      <c r="F42" s="21">
        <f>F39*C8</f>
        <v>16850.171501966506</v>
      </c>
      <c r="G42" s="21">
        <f>G39*C8</f>
        <v>17018.673213219819</v>
      </c>
      <c r="H42" s="21">
        <f>H39*C8</f>
        <v>17188.859941548093</v>
      </c>
      <c r="I42" s="21">
        <f>I39*C8</f>
        <v>17360.748537121461</v>
      </c>
      <c r="J42" s="21">
        <f>J39*C8</f>
        <v>17534.356018612216</v>
      </c>
      <c r="K42" s="21">
        <f>K39*C8</f>
        <v>17709.699574879109</v>
      </c>
      <c r="L42" s="21">
        <f>L39*C8</f>
        <v>17886.796566669345</v>
      </c>
    </row>
    <row r="43" spans="2:12">
      <c r="B43" s="18" t="s">
        <v>27</v>
      </c>
      <c r="C43" s="20">
        <f>(C42-L22)/L22</f>
        <v>5.0462689613274568E-2</v>
      </c>
      <c r="D43" s="20">
        <f>(D42-C42)/C42</f>
        <v>2.7899999171496798E-2</v>
      </c>
      <c r="E43" s="20">
        <f t="shared" ref="E43:L43" si="7">(E42-D42)/D42</f>
        <v>-3.9999998990001336E-4</v>
      </c>
      <c r="F43" s="20">
        <f t="shared" si="7"/>
        <v>9.9999997764770466E-3</v>
      </c>
      <c r="G43" s="20">
        <f t="shared" si="7"/>
        <v>9.9999997764799019E-3</v>
      </c>
      <c r="H43" s="20">
        <f t="shared" si="7"/>
        <v>9.9999997764852779E-3</v>
      </c>
      <c r="I43" s="20">
        <f t="shared" si="7"/>
        <v>9.9999997764765661E-3</v>
      </c>
      <c r="J43" s="20">
        <f t="shared" si="7"/>
        <v>9.9999997764808352E-3</v>
      </c>
      <c r="K43" s="20">
        <f t="shared" si="7"/>
        <v>9.9999997764828666E-3</v>
      </c>
      <c r="L43" s="20">
        <f t="shared" si="7"/>
        <v>9.9999997764753726E-3</v>
      </c>
    </row>
    <row r="45" spans="2:12">
      <c r="B45" s="18" t="s">
        <v>47</v>
      </c>
      <c r="C45" s="21">
        <f>L25*(1+C46)</f>
        <v>28001.309996886142</v>
      </c>
      <c r="D45" s="21">
        <f>C45*(1+D46)</f>
        <v>28141.316543741104</v>
      </c>
      <c r="E45" s="21">
        <f t="shared" ref="E45:L45" si="8">D45*(1+E46)</f>
        <v>28282.023123314731</v>
      </c>
      <c r="F45" s="21">
        <f t="shared" si="8"/>
        <v>28423.433235770473</v>
      </c>
      <c r="G45" s="21">
        <f t="shared" si="8"/>
        <v>28565.55039877275</v>
      </c>
      <c r="H45" s="21">
        <f t="shared" si="8"/>
        <v>28708.378147574076</v>
      </c>
      <c r="I45" s="21">
        <f t="shared" si="8"/>
        <v>28851.920035103522</v>
      </c>
      <c r="J45" s="21">
        <f t="shared" si="8"/>
        <v>28996.179632054525</v>
      </c>
      <c r="K45" s="21">
        <f t="shared" si="8"/>
        <v>29141.160526974159</v>
      </c>
      <c r="L45" s="21">
        <f t="shared" si="8"/>
        <v>29286.866326352254</v>
      </c>
    </row>
    <row r="46" spans="2:12">
      <c r="B46" s="18" t="s">
        <v>27</v>
      </c>
      <c r="C46" s="20">
        <f>C10</f>
        <v>4.999999888241291E-3</v>
      </c>
      <c r="D46" s="20">
        <f>C10</f>
        <v>4.999999888241291E-3</v>
      </c>
      <c r="E46" s="20">
        <f>C10</f>
        <v>4.999999888241291E-3</v>
      </c>
      <c r="F46" s="20">
        <f>C10</f>
        <v>4.999999888241291E-3</v>
      </c>
      <c r="G46" s="20">
        <f>C10</f>
        <v>4.999999888241291E-3</v>
      </c>
      <c r="H46" s="20">
        <f>C10</f>
        <v>4.999999888241291E-3</v>
      </c>
      <c r="I46" s="20">
        <f>C10</f>
        <v>4.999999888241291E-3</v>
      </c>
      <c r="J46" s="20">
        <f>C10</f>
        <v>4.999999888241291E-3</v>
      </c>
      <c r="K46" s="20">
        <f>C10</f>
        <v>4.999999888241291E-3</v>
      </c>
      <c r="L46" s="20">
        <f>C10</f>
        <v>4.999999888241291E-3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1.0686101027831809</v>
      </c>
      <c r="D51" s="61">
        <f>POWER((1+C4),2)</f>
        <v>1.1419275517702805</v>
      </c>
      <c r="E51" s="61">
        <f>POWER((1+C4),3)</f>
        <v>1.2202753184681856</v>
      </c>
      <c r="F51" s="61">
        <f>POWER((1+C4),4)</f>
        <v>1.3039985334920665</v>
      </c>
      <c r="G51" s="61">
        <f>POWER((1+C4),5)</f>
        <v>1.3934660069040745</v>
      </c>
      <c r="H51" s="61">
        <f>POWER((1+C4),6)</f>
        <v>1.4890718528626317</v>
      </c>
      <c r="I51" s="61">
        <f>POWER((1+C4),7)</f>
        <v>1.5912372257390786</v>
      </c>
      <c r="J51" s="61">
        <f>POWER((1+C4),8)</f>
        <v>1.7004121753494603</v>
      </c>
      <c r="K51" s="61">
        <f>POWER((1+C4),9)</f>
        <v>1.817077629473959</v>
      </c>
      <c r="L51" s="61">
        <f>POWER((1+C4),10)</f>
        <v>1.9417475123971861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15194.505227924907</v>
      </c>
      <c r="D53" s="21">
        <f t="shared" si="9"/>
        <v>14615.650619919545</v>
      </c>
      <c r="E53" s="21">
        <f t="shared" si="9"/>
        <v>13671.781992111151</v>
      </c>
      <c r="F53" s="21">
        <f t="shared" si="9"/>
        <v>12921.925193306954</v>
      </c>
      <c r="G53" s="21">
        <f t="shared" si="9"/>
        <v>12213.195821712938</v>
      </c>
      <c r="H53" s="21">
        <f t="shared" si="9"/>
        <v>11543.33815960848</v>
      </c>
      <c r="I53" s="21">
        <f t="shared" si="9"/>
        <v>10910.220208717135</v>
      </c>
      <c r="J53" s="21">
        <f t="shared" si="9"/>
        <v>10311.826904561318</v>
      </c>
      <c r="K53" s="21">
        <f t="shared" si="9"/>
        <v>9746.2537029890245</v>
      </c>
      <c r="L53" s="21">
        <f t="shared" si="9"/>
        <v>9211.7005184608697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2.074971008801743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216509.30469863239</v>
      </c>
    </row>
    <row r="60" spans="2:12" ht="15" thickBot="1">
      <c r="B60" s="5" t="s">
        <v>41</v>
      </c>
      <c r="C60" s="23">
        <f>C59/C55</f>
        <v>104343.29143888252</v>
      </c>
    </row>
    <row r="61" spans="2:12" ht="15" thickTop="1"/>
    <row r="62" spans="2:12" ht="14.5" customHeight="1" thickBot="1">
      <c r="B62" s="3" t="s">
        <v>43</v>
      </c>
      <c r="C62" s="71">
        <f>(SUM(C53:L53)+C59)</f>
        <v>336849.7030479447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80.076247966388379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262703.19876781717</v>
      </c>
    </row>
    <row r="70" spans="2:12" ht="15" thickBot="1">
      <c r="B70" s="5" t="s">
        <v>41</v>
      </c>
      <c r="C70" s="23">
        <f>C69/C55</f>
        <v>126605.72010571057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246946.11845502286</v>
      </c>
    </row>
    <row r="73" spans="2:12" ht="15" thickTop="1"/>
    <row r="74" spans="2:12" ht="18.5">
      <c r="B74" s="69" t="s">
        <v>42</v>
      </c>
      <c r="C74" s="70">
        <f>C72/(C11/1000000)</f>
        <v>58.704278011273658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2.6700000762939453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9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42.526698047758821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1.0800000429153442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1.0800000429153442</v>
      </c>
    </row>
    <row r="7" spans="2:16" ht="15" thickBot="1">
      <c r="B7" s="89" t="s">
        <v>121</v>
      </c>
      <c r="C7" s="90">
        <f>P6*(1+P7)</f>
        <v>1.1070000443905559</v>
      </c>
      <c r="D7" s="90">
        <f>C7*(1+P7)</f>
        <v>1.1346750459127146</v>
      </c>
      <c r="E7" s="90">
        <f>D7*(1+P7)</f>
        <v>1.1630419224832282</v>
      </c>
      <c r="F7" s="90">
        <f>E7*(1+P7)</f>
        <v>1.1921179709785787</v>
      </c>
      <c r="G7" s="90">
        <f>F7*(1+P7)</f>
        <v>1.2219209206971442</v>
      </c>
      <c r="H7" s="90">
        <f>G7*(1+P7)</f>
        <v>1.2524689441697707</v>
      </c>
      <c r="I7" s="90">
        <f>H7*(1+P7)</f>
        <v>1.2837806682405966</v>
      </c>
      <c r="J7" s="90">
        <f>I7*(1+P7)</f>
        <v>1.3158751854248618</v>
      </c>
      <c r="K7" s="90">
        <f>J7*(1+P7)</f>
        <v>1.3487720655506845</v>
      </c>
      <c r="L7" s="90">
        <f>K7*(1+P7)</f>
        <v>1.3824913676919051</v>
      </c>
      <c r="M7" s="159">
        <f>L7*(1+P7)/(P8-P7)</f>
        <v>32.493701552352015</v>
      </c>
      <c r="N7" s="160"/>
      <c r="O7" s="88" t="s">
        <v>122</v>
      </c>
      <c r="P7" s="104">
        <v>2.500000037252903E-2</v>
      </c>
    </row>
    <row r="8" spans="2:16" ht="15" thickBot="1">
      <c r="B8" s="89" t="s">
        <v>123</v>
      </c>
      <c r="C8" s="90">
        <f>C7/(1+P8)</f>
        <v>1.0359251157249907</v>
      </c>
      <c r="D8" s="90">
        <f>D7/(1+P8)^2</f>
        <v>0.99364889143244972</v>
      </c>
      <c r="E8" s="90">
        <f>E7/(1+P8)^3</f>
        <v>0.95309796476355435</v>
      </c>
      <c r="F8" s="90">
        <f>F7/(1+P8)^4</f>
        <v>0.91420192612189743</v>
      </c>
      <c r="G8" s="90">
        <f>G7/(1+P8)^5</f>
        <v>0.87689323933487273</v>
      </c>
      <c r="H8" s="90">
        <f>H7/(1+P8)^6</f>
        <v>0.84110712438892155</v>
      </c>
      <c r="I8" s="90">
        <f>I7/(1+P8)^7</f>
        <v>0.8067814449503744</v>
      </c>
      <c r="J8" s="90">
        <f>J7/(1+P8)^8</f>
        <v>0.77385660047654514</v>
      </c>
      <c r="K8" s="90">
        <f>K7/(1+P8)^9</f>
        <v>0.74227542272981839</v>
      </c>
      <c r="L8" s="90">
        <f>L7/(1+P8)^10</f>
        <v>0.71198307651500548</v>
      </c>
      <c r="M8" s="159">
        <f>M7/POWER((1+P8),10)</f>
        <v>16.734256820155164</v>
      </c>
      <c r="N8" s="160"/>
      <c r="O8" s="91" t="s">
        <v>124</v>
      </c>
      <c r="P8" s="105">
        <f>WACC!$C$25</f>
        <v>6.8610102783180901E-2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25.3840276265936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1.0800000429153442</v>
      </c>
    </row>
    <row r="16" spans="2:16" ht="15" thickBot="1">
      <c r="B16" s="89" t="s">
        <v>121</v>
      </c>
      <c r="C16" s="90">
        <f>P15*(1+P16)</f>
        <v>1.1124000434786061</v>
      </c>
      <c r="D16" s="90">
        <f>C16*(1+P16)</f>
        <v>1.1457720440370485</v>
      </c>
      <c r="E16" s="90">
        <f>D16*(1+P16)</f>
        <v>1.1801452045898642</v>
      </c>
      <c r="F16" s="90">
        <f>E16*(1+P16)</f>
        <v>1.2155495599362094</v>
      </c>
      <c r="G16" s="90">
        <f>F16*(1+P16)</f>
        <v>1.2520160459192096</v>
      </c>
      <c r="H16" s="90">
        <f>G16*(1+P16)</f>
        <v>1.289576526457247</v>
      </c>
      <c r="I16" s="90">
        <f>H16*(1+P16)</f>
        <v>1.3282638213862419</v>
      </c>
      <c r="J16" s="90">
        <f>I16*(1+P16)</f>
        <v>1.3681117351371599</v>
      </c>
      <c r="K16" s="90">
        <f>J16*(1+P16)</f>
        <v>1.4091550862738875</v>
      </c>
      <c r="L16" s="90">
        <f>K16*(1+P16)</f>
        <v>1.4514297379171976</v>
      </c>
      <c r="M16" s="159">
        <f>L16*(1+P16)/(P17-P16)</f>
        <v>38.719726065300442</v>
      </c>
      <c r="N16" s="160"/>
      <c r="O16" s="88" t="s">
        <v>122</v>
      </c>
      <c r="P16" s="104">
        <v>2.9999999329447746E-2</v>
      </c>
    </row>
    <row r="17" spans="2:16" ht="15" thickBot="1">
      <c r="B17" s="89" t="s">
        <v>123</v>
      </c>
      <c r="C17" s="90">
        <f>C16/(1+P17)</f>
        <v>1.0409784079163951</v>
      </c>
      <c r="D17" s="90">
        <f>D16/(1+P17)^2</f>
        <v>1.0033666691558585</v>
      </c>
      <c r="E17" s="90">
        <f>E16/(1+P17)^3</f>
        <v>0.96711388547241517</v>
      </c>
      <c r="F17" s="90">
        <f>F16/(1+P17)^4</f>
        <v>0.93217095626710855</v>
      </c>
      <c r="G17" s="90">
        <f>G16/(1+P17)^5</f>
        <v>0.89849055500167807</v>
      </c>
      <c r="H17" s="90">
        <f>H16/(1+P17)^6</f>
        <v>0.86602706509973637</v>
      </c>
      <c r="I17" s="90">
        <f>I16/(1+P17)^7</f>
        <v>0.83473651816391048</v>
      </c>
      <c r="J17" s="90">
        <f>J16/(1+P17)^8</f>
        <v>0.80457653442524468</v>
      </c>
      <c r="K17" s="90">
        <f>K16/(1+P17)^9</f>
        <v>0.77550626534422595</v>
      </c>
      <c r="L17" s="90">
        <f>L16/(1+P17)^10</f>
        <v>0.74748633828572963</v>
      </c>
      <c r="M17" s="159">
        <f>M16/POWER((1+P17),10)</f>
        <v>19.940659544092245</v>
      </c>
      <c r="N17" s="160"/>
      <c r="O17" s="91" t="s">
        <v>124</v>
      </c>
      <c r="P17" s="105">
        <f>WACC!$C$25</f>
        <v>6.8610102783180901E-2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28.811112739224502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1.0800000429153442</v>
      </c>
    </row>
    <row r="25" spans="2:16" ht="15" thickBot="1">
      <c r="B25" s="89" t="s">
        <v>121</v>
      </c>
      <c r="C25" s="90">
        <f>P24*(1+P25)</f>
        <v>1.1178000445783076</v>
      </c>
      <c r="D25" s="90">
        <f>C25*(1+P25)</f>
        <v>1.1569230463051143</v>
      </c>
      <c r="E25" s="90">
        <f>D25*(1+P25)</f>
        <v>1.1974153530981819</v>
      </c>
      <c r="F25" s="90">
        <f>E25*(1+P25)</f>
        <v>1.2393248906350431</v>
      </c>
      <c r="G25" s="90">
        <f>F25*(1+P25)</f>
        <v>1.2827012619919382</v>
      </c>
      <c r="H25" s="90">
        <f>G25*(1+P25)</f>
        <v>1.3275958063527933</v>
      </c>
      <c r="I25" s="90">
        <f>H25*(1+P25)</f>
        <v>1.3740616597729627</v>
      </c>
      <c r="J25" s="90">
        <f>I25*(1+P25)</f>
        <v>1.4221538180697626</v>
      </c>
      <c r="K25" s="90">
        <f>J25*(1+P25)</f>
        <v>1.4719292019141168</v>
      </c>
      <c r="L25" s="90">
        <f>K25*(1+P25)</f>
        <v>1.5234467242004464</v>
      </c>
      <c r="M25" s="159">
        <f>L25*(1+P25)/(P26-P25)</f>
        <v>46.913494342366832</v>
      </c>
      <c r="N25" s="160"/>
      <c r="O25" s="88" t="s">
        <v>122</v>
      </c>
      <c r="P25" s="104">
        <v>3.5000000149011612E-2</v>
      </c>
    </row>
    <row r="26" spans="2:16" ht="15" thickBot="1">
      <c r="B26" s="89" t="s">
        <v>123</v>
      </c>
      <c r="C26" s="90">
        <f>C25/(1+P26)</f>
        <v>1.0460317019902914</v>
      </c>
      <c r="D26" s="90">
        <f>D25/(1+P26)^2</f>
        <v>1.0131317389720418</v>
      </c>
      <c r="E26" s="90">
        <f>E25/(1+P26)^3</f>
        <v>0.98126655106102934</v>
      </c>
      <c r="F26" s="90">
        <f>F25/(1+P26)^4</f>
        <v>0.95040359233853133</v>
      </c>
      <c r="G26" s="90">
        <f>G25/(1+P26)^5</f>
        <v>0.92051134052547046</v>
      </c>
      <c r="H26" s="90">
        <f>H25/(1+P26)^6</f>
        <v>0.89155926478670977</v>
      </c>
      <c r="I26" s="90">
        <f>I25/(1+P26)^7</f>
        <v>0.863517794548045</v>
      </c>
      <c r="J26" s="90">
        <f>J25/(1+P26)^8</f>
        <v>0.83635828929388034</v>
      </c>
      <c r="K26" s="90">
        <f>K25/(1+P26)^9</f>
        <v>0.81005300931487456</v>
      </c>
      <c r="L26" s="90">
        <f>L25/(1+P26)^10</f>
        <v>0.78457508737563642</v>
      </c>
      <c r="M26" s="159">
        <f>M25/POWER((1+P26),10)</f>
        <v>24.160450338082118</v>
      </c>
      <c r="N26" s="160"/>
      <c r="O26" s="91" t="s">
        <v>124</v>
      </c>
      <c r="P26" s="105">
        <f>WACC!$C$25</f>
        <v>6.8610102783180901E-2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33.257858708288602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62570</v>
      </c>
      <c r="D3" s="110">
        <v>64657</v>
      </c>
      <c r="E3" s="110">
        <v>68775</v>
      </c>
      <c r="F3" s="110">
        <v>74510</v>
      </c>
      <c r="G3" s="110">
        <v>80736</v>
      </c>
      <c r="H3" s="110">
        <v>85029</v>
      </c>
      <c r="I3" s="110">
        <v>94507</v>
      </c>
      <c r="J3" s="110">
        <v>108942</v>
      </c>
      <c r="K3" s="110">
        <v>103564</v>
      </c>
      <c r="L3" s="110">
        <v>116385</v>
      </c>
      <c r="M3" s="110">
        <v>121427</v>
      </c>
      <c r="Q3" s="107"/>
    </row>
    <row r="4" spans="2:17">
      <c r="B4" s="18" t="s">
        <v>27</v>
      </c>
      <c r="C4" s="113"/>
      <c r="D4" s="121">
        <f t="shared" ref="D4:M4" si="0">(D3-C3)/C3</f>
        <v>3.3354642800063929E-2</v>
      </c>
      <c r="E4" s="121">
        <f t="shared" si="0"/>
        <v>6.3689933031226317E-2</v>
      </c>
      <c r="F4" s="121">
        <f t="shared" si="0"/>
        <v>8.338785896037805E-2</v>
      </c>
      <c r="G4" s="121">
        <f t="shared" si="0"/>
        <v>8.3559253791437388E-2</v>
      </c>
      <c r="H4" s="121">
        <f t="shared" si="0"/>
        <v>5.3173305588585018E-2</v>
      </c>
      <c r="I4" s="121">
        <f t="shared" si="0"/>
        <v>0.11146785214456244</v>
      </c>
      <c r="J4" s="121">
        <f t="shared" si="0"/>
        <v>0.15274000867660598</v>
      </c>
      <c r="K4" s="121">
        <f t="shared" si="0"/>
        <v>-4.9365717537772393E-2</v>
      </c>
      <c r="L4" s="121">
        <f t="shared" si="0"/>
        <v>0.12379784481093817</v>
      </c>
      <c r="M4" s="121">
        <f t="shared" si="0"/>
        <v>4.3321733900416722E-2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6203</v>
      </c>
      <c r="D6" s="110">
        <v>6816</v>
      </c>
      <c r="E6" s="110">
        <v>8380</v>
      </c>
      <c r="F6" s="110">
        <v>8163</v>
      </c>
      <c r="G6" s="110">
        <v>8678</v>
      </c>
      <c r="H6" s="110">
        <v>22735</v>
      </c>
      <c r="I6" s="110">
        <v>11731</v>
      </c>
      <c r="J6" s="110">
        <v>13057</v>
      </c>
      <c r="K6" s="110">
        <v>10534</v>
      </c>
      <c r="L6" s="110">
        <v>14159</v>
      </c>
      <c r="M6" s="110">
        <v>5370</v>
      </c>
      <c r="Q6" s="107"/>
    </row>
    <row r="7" spans="2:17">
      <c r="B7" s="18" t="s">
        <v>27</v>
      </c>
      <c r="C7" s="113"/>
      <c r="D7" s="121">
        <f t="shared" ref="D7" si="1">(D6-C6)/C6</f>
        <v>9.8823150088666781E-2</v>
      </c>
      <c r="E7" s="121">
        <f t="shared" ref="E7" si="2">(E6-D6)/D6</f>
        <v>0.22946009389671362</v>
      </c>
      <c r="F7" s="121">
        <f t="shared" ref="F7" si="3">(F6-E6)/E6</f>
        <v>-2.5894988066825775E-2</v>
      </c>
      <c r="G7" s="121">
        <f t="shared" ref="G7" si="4">(G6-F6)/F6</f>
        <v>6.3089550410388343E-2</v>
      </c>
      <c r="H7" s="121">
        <f t="shared" ref="H7" si="5">(H6-G6)/G6</f>
        <v>1.6198432818621802</v>
      </c>
      <c r="I7" s="121">
        <f t="shared" ref="I7" si="6">(I6-H6)/H6</f>
        <v>-0.48401143611172204</v>
      </c>
      <c r="J7" s="121">
        <f t="shared" ref="J7" si="7">(J6-I6)/I6</f>
        <v>0.11303384195720739</v>
      </c>
      <c r="K7" s="121">
        <f t="shared" ref="K7" si="8">(K6-J6)/J6</f>
        <v>-0.1932296852263154</v>
      </c>
      <c r="L7" s="121">
        <f t="shared" ref="L7" si="9">(L6-K6)/K6</f>
        <v>0.34412378963356749</v>
      </c>
      <c r="M7" s="121">
        <f t="shared" ref="M7" si="10">(M6-L6)/L6</f>
        <v>-0.62073592767850838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19977</v>
      </c>
      <c r="D9" s="110">
        <v>21434</v>
      </c>
      <c r="E9" s="110">
        <v>22923</v>
      </c>
      <c r="F9" s="110">
        <v>24678</v>
      </c>
      <c r="G9" s="110">
        <v>26257</v>
      </c>
      <c r="H9" s="110">
        <v>27706</v>
      </c>
      <c r="I9" s="110">
        <v>29685</v>
      </c>
      <c r="J9" s="110">
        <v>34078</v>
      </c>
      <c r="K9" s="110">
        <v>30593</v>
      </c>
      <c r="L9" s="110">
        <v>34621</v>
      </c>
      <c r="M9" s="110">
        <v>27862</v>
      </c>
      <c r="Q9" s="107"/>
    </row>
    <row r="10" spans="2:17">
      <c r="B10" s="18" t="s">
        <v>27</v>
      </c>
      <c r="C10" s="113"/>
      <c r="D10" s="121">
        <f t="shared" ref="D10" si="11">(D9-C9)/C9</f>
        <v>7.2933873955048301E-2</v>
      </c>
      <c r="E10" s="121">
        <f t="shared" ref="E10" si="12">(E9-D9)/D9</f>
        <v>6.9469067836148174E-2</v>
      </c>
      <c r="F10" s="121">
        <f t="shared" ref="F10" si="13">(F9-E9)/E9</f>
        <v>7.656065959952886E-2</v>
      </c>
      <c r="G10" s="121">
        <f t="shared" ref="G10" si="14">(G9-F9)/F9</f>
        <v>6.398411540643488E-2</v>
      </c>
      <c r="H10" s="121">
        <f t="shared" ref="H10" si="15">(H9-G9)/G9</f>
        <v>5.5185283924286857E-2</v>
      </c>
      <c r="I10" s="121">
        <f t="shared" ref="I10" si="16">(I9-H9)/H9</f>
        <v>7.1428571428571425E-2</v>
      </c>
      <c r="J10" s="121">
        <f t="shared" ref="J10" si="17">(J9-I9)/I9</f>
        <v>0.14798719892201448</v>
      </c>
      <c r="K10" s="121">
        <f t="shared" ref="K10" si="18">(K9-J9)/J9</f>
        <v>-0.10226539116145314</v>
      </c>
      <c r="L10" s="121">
        <f t="shared" ref="L10" si="19">(L9-K9)/K9</f>
        <v>0.13166410616807767</v>
      </c>
      <c r="M10" s="121">
        <f t="shared" ref="M10" si="20">(M9-L9)/L9</f>
        <v>-0.19522832962652725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5434</v>
      </c>
      <c r="D12" s="110">
        <v>5330</v>
      </c>
      <c r="E12" s="110">
        <v>5240</v>
      </c>
      <c r="F12" s="110">
        <v>5035</v>
      </c>
      <c r="G12" s="110">
        <v>4875</v>
      </c>
      <c r="H12" s="110">
        <v>4786</v>
      </c>
      <c r="I12" s="110">
        <v>4640</v>
      </c>
      <c r="J12" s="110">
        <v>4610</v>
      </c>
      <c r="K12" s="110">
        <v>4624</v>
      </c>
      <c r="L12" s="110">
        <v>4654</v>
      </c>
      <c r="M12" s="110">
        <v>4430</v>
      </c>
      <c r="Q12" s="107"/>
    </row>
    <row r="13" spans="2:17">
      <c r="B13" s="18" t="s">
        <v>27</v>
      </c>
      <c r="C13" s="113"/>
      <c r="D13" s="121">
        <f t="shared" ref="D13" si="21">(D12-C12)/C12</f>
        <v>-1.9138755980861243E-2</v>
      </c>
      <c r="E13" s="121">
        <f t="shared" ref="E13" si="22">(E12-D12)/D12</f>
        <v>-1.6885553470919325E-2</v>
      </c>
      <c r="F13" s="121">
        <f t="shared" ref="F13" si="23">(F12-E12)/E12</f>
        <v>-3.9122137404580155E-2</v>
      </c>
      <c r="G13" s="121">
        <f t="shared" ref="G13" si="24">(G12-F12)/F12</f>
        <v>-3.1777557100297914E-2</v>
      </c>
      <c r="H13" s="121">
        <f t="shared" ref="H13" si="25">(H12-G12)/G12</f>
        <v>-1.8256410256410255E-2</v>
      </c>
      <c r="I13" s="121">
        <f t="shared" ref="I13" si="26">(I12-H12)/H12</f>
        <v>-3.0505641454241537E-2</v>
      </c>
      <c r="J13" s="121">
        <f t="shared" ref="J13" si="27">(J12-I12)/I12</f>
        <v>-6.4655172413793103E-3</v>
      </c>
      <c r="K13" s="121">
        <f t="shared" ref="K13" si="28">(K12-J12)/J12</f>
        <v>3.036876355748373E-3</v>
      </c>
      <c r="L13" s="121">
        <f t="shared" ref="L13" si="29">(L12-K12)/K12</f>
        <v>6.487889273356401E-3</v>
      </c>
      <c r="M13" s="121">
        <f t="shared" ref="M13" si="30">(M12-L12)/L12</f>
        <v>-4.8130640309411256E-2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1.1399999856948853</v>
      </c>
      <c r="D15" s="110">
        <v>1.2799999713897705</v>
      </c>
      <c r="E15" s="110">
        <v>1.6000000238418579</v>
      </c>
      <c r="F15" s="110">
        <v>1.6200000047683716</v>
      </c>
      <c r="G15" s="110">
        <v>1.7799999713897705</v>
      </c>
      <c r="H15" s="110">
        <v>4.75</v>
      </c>
      <c r="I15" s="110">
        <v>2.5299999713897705</v>
      </c>
      <c r="J15" s="110">
        <v>2.8299999237060547</v>
      </c>
      <c r="K15" s="110">
        <v>2.2799999713897705</v>
      </c>
      <c r="L15" s="110">
        <v>3.0399999618530273</v>
      </c>
      <c r="M15" s="110">
        <v>1.2100000381469727</v>
      </c>
      <c r="Q15" s="107"/>
    </row>
    <row r="16" spans="2:17">
      <c r="B16" s="18" t="s">
        <v>27</v>
      </c>
      <c r="D16" s="121">
        <f t="shared" ref="D16" si="31">(D15-C15)/C15</f>
        <v>0.12280700653653749</v>
      </c>
      <c r="E16" s="121">
        <f t="shared" ref="E16" si="32">(E15-D15)/D15</f>
        <v>0.25000004656612956</v>
      </c>
      <c r="F16" s="121">
        <f t="shared" ref="F16" si="33">(F15-E15)/E15</f>
        <v>1.2499987892806711E-2</v>
      </c>
      <c r="G16" s="121">
        <f t="shared" ref="G16" si="34">(G15-F15)/F15</f>
        <v>9.8765411203980844E-2</v>
      </c>
      <c r="H16" s="121">
        <f t="shared" ref="H16" si="35">(H15-G15)/G15</f>
        <v>1.6685393687345647</v>
      </c>
      <c r="I16" s="121">
        <f t="shared" ref="I16" si="36">(I15-H15)/H15</f>
        <v>-0.46736842707583792</v>
      </c>
      <c r="J16" s="121">
        <f t="shared" ref="J16" si="37">(J15-I15)/I15</f>
        <v>0.11857705759241143</v>
      </c>
      <c r="K16" s="121">
        <f t="shared" ref="K16" si="38">(K15-J15)/J15</f>
        <v>-0.19434627814266051</v>
      </c>
      <c r="L16" s="121">
        <f t="shared" ref="L16" si="39">(L15-K15)/K15</f>
        <v>0.33333333333333348</v>
      </c>
      <c r="M16" s="121">
        <f t="shared" ref="M16" si="40">(M15-L15)/L15</f>
        <v>-0.60197366666760577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9140</v>
      </c>
      <c r="D20" s="128">
        <v>5660</v>
      </c>
      <c r="E20" s="128">
        <v>9482</v>
      </c>
      <c r="F20" s="128">
        <v>10808</v>
      </c>
      <c r="G20" s="128">
        <v>10106</v>
      </c>
      <c r="H20" s="128">
        <v>11222</v>
      </c>
      <c r="I20" s="128">
        <v>14063</v>
      </c>
      <c r="J20" s="128">
        <v>14628</v>
      </c>
      <c r="K20" s="128">
        <v>14060</v>
      </c>
      <c r="L20" s="128">
        <v>18996</v>
      </c>
      <c r="M20" s="128">
        <v>15457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0.67526501766784452</v>
      </c>
      <c r="F21" s="131">
        <f t="shared" ref="F21" si="42">(F20-E20)/E20</f>
        <v>0.13984391478591016</v>
      </c>
      <c r="G21" s="131">
        <f t="shared" ref="G21" si="43">(G20-F20)/F20</f>
        <v>-6.4951887490747595E-2</v>
      </c>
      <c r="H21" s="131">
        <f t="shared" ref="H21" si="44">(H20-G20)/G20</f>
        <v>0.11042944785276074</v>
      </c>
      <c r="I21" s="131">
        <f t="shared" ref="I21" si="45">(I20-H20)/H20</f>
        <v>0.25316342897879168</v>
      </c>
      <c r="J21" s="131">
        <f t="shared" ref="J21" si="46">(J20-I20)/I20</f>
        <v>4.0176349285358744E-2</v>
      </c>
      <c r="K21" s="131">
        <f t="shared" ref="K21" si="47">(K20-J20)/J20</f>
        <v>-3.8829641782882146E-2</v>
      </c>
      <c r="L21" s="131">
        <f t="shared" ref="L21" si="48">(L20-K20)/K20</f>
        <v>0.35106685633001422</v>
      </c>
      <c r="M21" s="131">
        <f t="shared" ref="M21" si="49">(M20-L20)/L20</f>
        <v>-0.18630237944830491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1608</v>
      </c>
      <c r="D23" s="130">
        <v>1964</v>
      </c>
      <c r="E23" s="130">
        <v>2254</v>
      </c>
      <c r="F23" s="130">
        <v>2437</v>
      </c>
      <c r="G23" s="130">
        <v>2601</v>
      </c>
      <c r="H23" s="130">
        <v>2883</v>
      </c>
      <c r="I23" s="130">
        <v>3352</v>
      </c>
      <c r="J23" s="130">
        <v>3735</v>
      </c>
      <c r="K23" s="130">
        <v>4140</v>
      </c>
      <c r="L23" s="130">
        <v>4532</v>
      </c>
      <c r="M23" s="130">
        <v>4741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0.22139303482587064</v>
      </c>
      <c r="E24" s="121">
        <f t="shared" ref="E24" si="51">(E23-D23)/D23</f>
        <v>0.14765784114052954</v>
      </c>
      <c r="F24" s="121">
        <f t="shared" ref="F24" si="52">(F23-E23)/E23</f>
        <v>8.1188997338065658E-2</v>
      </c>
      <c r="G24" s="121">
        <f t="shared" ref="G24" si="53">(G23-F23)/F23</f>
        <v>6.7295855560114901E-2</v>
      </c>
      <c r="H24" s="121">
        <f t="shared" ref="H24" si="54">(H23-G23)/G23</f>
        <v>0.10841983852364476</v>
      </c>
      <c r="I24" s="121">
        <f t="shared" ref="I24" si="55">(I23-H23)/H23</f>
        <v>0.16267776621574748</v>
      </c>
      <c r="J24" s="121">
        <f t="shared" ref="J24" si="56">(J23-I23)/I23</f>
        <v>0.11426014319809069</v>
      </c>
      <c r="K24" s="121">
        <f t="shared" ref="K24" si="57">(K23-J23)/J23</f>
        <v>0.10843373493975904</v>
      </c>
      <c r="L24" s="121">
        <f t="shared" ref="L24" si="58">(L23-K23)/K23</f>
        <v>9.4685990338164258E-2</v>
      </c>
      <c r="M24" s="121">
        <f t="shared" ref="M24" si="59">(M23-L23)/L23</f>
        <v>4.6116504854368932E-2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19991</v>
      </c>
      <c r="D28" s="110">
        <v>14075</v>
      </c>
      <c r="E28" s="110">
        <v>13531</v>
      </c>
      <c r="F28" s="110">
        <v>12303</v>
      </c>
      <c r="G28" s="110">
        <v>16361</v>
      </c>
      <c r="H28" s="110">
        <v>16343</v>
      </c>
      <c r="I28" s="110">
        <v>21848</v>
      </c>
      <c r="J28" s="110">
        <v>25392</v>
      </c>
      <c r="K28" s="110">
        <v>26741</v>
      </c>
      <c r="L28" s="110">
        <v>24807</v>
      </c>
      <c r="M28" s="110">
        <v>21826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-0.2959331699264669</v>
      </c>
      <c r="E29" s="121">
        <f t="shared" ref="E29" si="61">(E28-D28)/D28</f>
        <v>-3.8650088809946713E-2</v>
      </c>
      <c r="F29" s="121">
        <f t="shared" ref="F29" si="62">(F28-E28)/E28</f>
        <v>-9.0754563594708446E-2</v>
      </c>
      <c r="G29" s="121">
        <f t="shared" ref="G29" si="63">(G28-F28)/F28</f>
        <v>0.32983825083313012</v>
      </c>
      <c r="H29" s="121">
        <f t="shared" ref="H29" si="64">(H28-G28)/G28</f>
        <v>-1.1001772507792922E-3</v>
      </c>
      <c r="I29" s="121">
        <f t="shared" ref="I29" si="65">(I28-H28)/H28</f>
        <v>0.33684146117603869</v>
      </c>
      <c r="J29" s="121">
        <f t="shared" ref="J29" si="66">(J28-I28)/I28</f>
        <v>0.16221164408641522</v>
      </c>
      <c r="K29" s="121">
        <f t="shared" ref="K29" si="67">(K28-J28)/J28</f>
        <v>5.3126969124133588E-2</v>
      </c>
      <c r="L29" s="121">
        <f t="shared" ref="L29" si="68">(L28-K28)/K28</f>
        <v>-7.2323398526607088E-2</v>
      </c>
      <c r="M29" s="121">
        <f t="shared" ref="M29" si="69">(M28-L28)/L28</f>
        <v>-0.12016769460232998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144980</v>
      </c>
      <c r="D31" s="110">
        <v>144738</v>
      </c>
      <c r="E31" s="110">
        <v>145655</v>
      </c>
      <c r="F31" s="110">
        <v>154271</v>
      </c>
      <c r="G31" s="110">
        <v>164139</v>
      </c>
      <c r="H31" s="110">
        <v>171119</v>
      </c>
      <c r="I31" s="110">
        <v>229836</v>
      </c>
      <c r="J31" s="110">
        <v>238022</v>
      </c>
      <c r="K31" s="110">
        <v>247128</v>
      </c>
      <c r="L31" s="110">
        <v>251098</v>
      </c>
      <c r="M31" s="110">
        <v>235449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-1.669195751138088E-3</v>
      </c>
      <c r="E32" s="121">
        <f t="shared" ref="E32" si="71">(E31-D31)/D31</f>
        <v>6.3355856789509323E-3</v>
      </c>
      <c r="F32" s="121">
        <f t="shared" ref="F32" si="72">(F31-E31)/E31</f>
        <v>5.9153479111599329E-2</v>
      </c>
      <c r="G32" s="121">
        <f t="shared" ref="G32" si="73">(G31-F31)/F31</f>
        <v>6.3965359659300836E-2</v>
      </c>
      <c r="H32" s="121">
        <f t="shared" ref="H32" si="74">(H31-G31)/G31</f>
        <v>4.2524933135939663E-2</v>
      </c>
      <c r="I32" s="121">
        <f t="shared" ref="I32" si="75">(I31-H31)/H31</f>
        <v>0.34313547881883366</v>
      </c>
      <c r="J32" s="121">
        <f t="shared" ref="J32" si="76">(J31-I31)/I31</f>
        <v>3.5616700603908875E-2</v>
      </c>
      <c r="K32" s="121">
        <f t="shared" ref="K32" si="77">(K31-J31)/J31</f>
        <v>3.8256967843308599E-2</v>
      </c>
      <c r="L32" s="121">
        <f t="shared" ref="L32" si="78">(L31-K31)/K31</f>
        <v>1.6064549545174969E-2</v>
      </c>
      <c r="M32" s="121">
        <f t="shared" ref="M32" si="79">(M31-L31)/L31</f>
        <v>-6.2322280543851402E-2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158813</v>
      </c>
      <c r="E34" s="111">
        <f t="shared" ref="E34:M34" si="80">E28+E31</f>
        <v>159186</v>
      </c>
      <c r="F34" s="111">
        <f t="shared" si="80"/>
        <v>166574</v>
      </c>
      <c r="G34" s="111">
        <f t="shared" si="80"/>
        <v>180500</v>
      </c>
      <c r="H34" s="111">
        <f t="shared" si="80"/>
        <v>187462</v>
      </c>
      <c r="I34" s="111">
        <f t="shared" si="80"/>
        <v>251684</v>
      </c>
      <c r="J34" s="111">
        <f t="shared" si="80"/>
        <v>263414</v>
      </c>
      <c r="K34" s="111">
        <f t="shared" si="80"/>
        <v>273869</v>
      </c>
      <c r="L34" s="111">
        <f t="shared" si="80"/>
        <v>275905</v>
      </c>
      <c r="M34" s="111">
        <f t="shared" si="80"/>
        <v>257275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16714</v>
      </c>
      <c r="D36" s="118">
        <v>18912</v>
      </c>
      <c r="E36" s="110">
        <v>17410</v>
      </c>
      <c r="F36" s="110">
        <v>18178</v>
      </c>
      <c r="G36" s="110">
        <v>21535</v>
      </c>
      <c r="H36" s="110">
        <v>21993</v>
      </c>
      <c r="I36" s="110">
        <v>27603</v>
      </c>
      <c r="J36" s="110">
        <v>30292</v>
      </c>
      <c r="K36" s="110">
        <v>28796</v>
      </c>
      <c r="L36" s="110">
        <v>29348</v>
      </c>
      <c r="M36" s="110">
        <v>27887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0.13150652147899963</v>
      </c>
      <c r="E37" s="121">
        <f t="shared" ref="E37" si="82">(E36-D36)/D36</f>
        <v>-7.9420473773265651E-2</v>
      </c>
      <c r="F37" s="121">
        <f t="shared" ref="F37" si="83">(F36-E36)/E36</f>
        <v>4.4112578977599078E-2</v>
      </c>
      <c r="G37" s="121">
        <f t="shared" ref="G37" si="84">(G36-F36)/F36</f>
        <v>0.18467378149411376</v>
      </c>
      <c r="H37" s="121">
        <f t="shared" ref="H37" si="85">(H36-G36)/G36</f>
        <v>2.1267703738100767E-2</v>
      </c>
      <c r="I37" s="121">
        <f t="shared" ref="I37" si="86">(I36-H36)/H36</f>
        <v>0.25508116218796889</v>
      </c>
      <c r="J37" s="121">
        <f t="shared" ref="J37" si="87">(J36-I36)/I36</f>
        <v>9.7416947433250009E-2</v>
      </c>
      <c r="K37" s="121">
        <f t="shared" ref="K37" si="88">(K36-J36)/J36</f>
        <v>-4.9385976495444343E-2</v>
      </c>
      <c r="L37" s="121">
        <f t="shared" ref="L37" si="89">(L36-K36)/K36</f>
        <v>1.9169329073482427E-2</v>
      </c>
      <c r="M37" s="121">
        <f t="shared" ref="M37" si="90">(M36-L36)/L36</f>
        <v>-4.9781927218209079E-2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98461</v>
      </c>
      <c r="D39" s="110">
        <v>88843</v>
      </c>
      <c r="E39" s="110">
        <v>88708</v>
      </c>
      <c r="F39" s="110">
        <v>94418</v>
      </c>
      <c r="G39" s="110">
        <v>102791</v>
      </c>
      <c r="H39" s="110">
        <v>96010</v>
      </c>
      <c r="I39" s="110">
        <v>151579</v>
      </c>
      <c r="J39" s="110">
        <v>149248</v>
      </c>
      <c r="K39" s="110">
        <v>153335</v>
      </c>
      <c r="L39" s="110">
        <v>149068</v>
      </c>
      <c r="M39" s="110">
        <v>147760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-9.7683346705802296E-2</v>
      </c>
      <c r="E40" s="121">
        <f t="shared" ref="E40" si="92">(E39-D39)/D39</f>
        <v>-1.519534459664802E-3</v>
      </c>
      <c r="F40" s="121">
        <f t="shared" ref="F40" si="93">(F39-E39)/E39</f>
        <v>6.4368489876899485E-2</v>
      </c>
      <c r="G40" s="121">
        <f t="shared" ref="G40" si="94">(G39-F39)/F39</f>
        <v>8.8680124552521764E-2</v>
      </c>
      <c r="H40" s="121">
        <f t="shared" ref="H40" si="95">(H39-G39)/G39</f>
        <v>-6.5968810498973643E-2</v>
      </c>
      <c r="I40" s="121">
        <f t="shared" ref="I40" si="96">(I39-H39)/H39</f>
        <v>0.57878346005624415</v>
      </c>
      <c r="J40" s="121">
        <f t="shared" ref="J40" si="97">(J39-I39)/I39</f>
        <v>-1.5378119660375118E-2</v>
      </c>
      <c r="K40" s="121">
        <f t="shared" ref="K40" si="98">(K39-J39)/J39</f>
        <v>2.7383951543739279E-2</v>
      </c>
      <c r="L40" s="121">
        <f t="shared" ref="L40" si="99">(L39-K39)/K39</f>
        <v>-2.782795839175661E-2</v>
      </c>
      <c r="M40" s="121">
        <f t="shared" ref="M40" si="100">(M39-L39)/L39</f>
        <v>-8.7745190114578587E-3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107755</v>
      </c>
      <c r="E42" s="111">
        <f t="shared" ref="E42:M42" si="101">E36+E39</f>
        <v>106118</v>
      </c>
      <c r="F42" s="111">
        <f t="shared" si="101"/>
        <v>112596</v>
      </c>
      <c r="G42" s="111">
        <f t="shared" si="101"/>
        <v>124326</v>
      </c>
      <c r="H42" s="111">
        <f t="shared" si="101"/>
        <v>118003</v>
      </c>
      <c r="I42" s="111">
        <f t="shared" si="101"/>
        <v>179182</v>
      </c>
      <c r="J42" s="111">
        <f t="shared" si="101"/>
        <v>179540</v>
      </c>
      <c r="K42" s="111">
        <f t="shared" si="101"/>
        <v>182131</v>
      </c>
      <c r="L42" s="111">
        <f t="shared" si="101"/>
        <v>178416</v>
      </c>
      <c r="M42" s="111">
        <f t="shared" si="101"/>
        <v>175647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51058</v>
      </c>
      <c r="E44" s="134">
        <f t="shared" ref="E44:M44" si="102">E34-E42</f>
        <v>53068</v>
      </c>
      <c r="F44" s="134">
        <f t="shared" si="102"/>
        <v>53978</v>
      </c>
      <c r="G44" s="134">
        <f t="shared" si="102"/>
        <v>56174</v>
      </c>
      <c r="H44" s="134">
        <f t="shared" si="102"/>
        <v>69459</v>
      </c>
      <c r="I44" s="134">
        <f t="shared" si="102"/>
        <v>72502</v>
      </c>
      <c r="J44" s="134">
        <f t="shared" si="102"/>
        <v>83874</v>
      </c>
      <c r="K44" s="134">
        <f t="shared" si="102"/>
        <v>91738</v>
      </c>
      <c r="L44" s="134">
        <f t="shared" si="102"/>
        <v>97489</v>
      </c>
      <c r="M44" s="134">
        <f t="shared" si="102"/>
        <v>81628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38082</v>
      </c>
      <c r="D46" s="133">
        <v>44567</v>
      </c>
      <c r="E46" s="133">
        <v>43864</v>
      </c>
      <c r="F46" s="133">
        <v>48994</v>
      </c>
      <c r="G46" s="133">
        <v>55566</v>
      </c>
      <c r="H46" s="133">
        <v>59422</v>
      </c>
      <c r="I46" s="133">
        <v>107345</v>
      </c>
      <c r="J46" s="133">
        <v>102931</v>
      </c>
      <c r="K46" s="136">
        <v>105782</v>
      </c>
      <c r="L46" s="133">
        <v>97888</v>
      </c>
      <c r="M46" s="133">
        <v>98240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0.10541782018961597</v>
      </c>
      <c r="E50" s="126">
        <f t="shared" si="103"/>
        <v>0.12184660123591422</v>
      </c>
      <c r="F50" s="126">
        <f t="shared" si="103"/>
        <v>0.10955576432693598</v>
      </c>
      <c r="G50" s="126">
        <f t="shared" si="103"/>
        <v>0.10748612762584225</v>
      </c>
      <c r="H50" s="126">
        <f t="shared" si="103"/>
        <v>0.26737936468734197</v>
      </c>
      <c r="I50" s="126">
        <f t="shared" si="103"/>
        <v>0.12412837144338515</v>
      </c>
      <c r="J50" s="126">
        <f t="shared" si="103"/>
        <v>0.11985276569183602</v>
      </c>
      <c r="K50" s="126">
        <f t="shared" si="103"/>
        <v>0.10171488161909543</v>
      </c>
      <c r="L50" s="126">
        <f t="shared" si="103"/>
        <v>0.12165657086394295</v>
      </c>
      <c r="M50" s="126">
        <f t="shared" si="103"/>
        <v>4.4224101723669362E-2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0.33150316284393028</v>
      </c>
      <c r="E51" s="126">
        <f t="shared" si="104"/>
        <v>0.33330425299890948</v>
      </c>
      <c r="F51" s="126">
        <f t="shared" si="104"/>
        <v>0.33120386525298617</v>
      </c>
      <c r="G51" s="126">
        <f t="shared" si="104"/>
        <v>0.32522047166072138</v>
      </c>
      <c r="H51" s="126">
        <f t="shared" si="104"/>
        <v>0.32584177163085537</v>
      </c>
      <c r="I51" s="126">
        <f t="shared" si="104"/>
        <v>0.31410371718497043</v>
      </c>
      <c r="J51" s="126">
        <f t="shared" si="104"/>
        <v>0.31280865047456446</v>
      </c>
      <c r="K51" s="126">
        <f t="shared" si="104"/>
        <v>0.29540187710015064</v>
      </c>
      <c r="L51" s="126">
        <f t="shared" si="104"/>
        <v>0.29746960518967219</v>
      </c>
      <c r="M51" s="126">
        <f t="shared" si="104"/>
        <v>0.2294547341200886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8.7538858901588384E-2</v>
      </c>
      <c r="E52" s="126">
        <f t="shared" si="105"/>
        <v>0.13786986550345329</v>
      </c>
      <c r="F52" s="126">
        <f t="shared" si="105"/>
        <v>0.14505435512011811</v>
      </c>
      <c r="G52" s="126">
        <f t="shared" si="105"/>
        <v>0.12517340467697186</v>
      </c>
      <c r="H52" s="126">
        <f t="shared" si="105"/>
        <v>0.13197850145244563</v>
      </c>
      <c r="I52" s="126">
        <f t="shared" si="105"/>
        <v>0.14880379231168062</v>
      </c>
      <c r="J52" s="126">
        <f t="shared" si="105"/>
        <v>0.13427328303133779</v>
      </c>
      <c r="K52" s="126">
        <f t="shared" si="105"/>
        <v>0.13576146151172222</v>
      </c>
      <c r="L52" s="126">
        <f t="shared" si="105"/>
        <v>0.16321690939554065</v>
      </c>
      <c r="M52" s="126">
        <f t="shared" si="105"/>
        <v>0.12729458851820435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0.34699646643109539</v>
      </c>
      <c r="E55" s="126">
        <f t="shared" ref="E55:M55" si="106">E23/E20</f>
        <v>0.23771356253954862</v>
      </c>
      <c r="F55" s="126">
        <f t="shared" si="106"/>
        <v>0.22548112509252405</v>
      </c>
      <c r="G55" s="126">
        <f t="shared" si="106"/>
        <v>0.25737185830199882</v>
      </c>
      <c r="H55" s="126">
        <f t="shared" si="106"/>
        <v>0.25690607734806631</v>
      </c>
      <c r="I55" s="126">
        <f t="shared" si="106"/>
        <v>0.23835596956552657</v>
      </c>
      <c r="J55" s="126">
        <f t="shared" si="106"/>
        <v>0.25533223954060708</v>
      </c>
      <c r="K55" s="126">
        <f t="shared" si="106"/>
        <v>0.29445234708392604</v>
      </c>
      <c r="L55" s="126">
        <f t="shared" si="106"/>
        <v>0.23857654242998527</v>
      </c>
      <c r="M55" s="126">
        <f t="shared" si="106"/>
        <v>0.30672187358478359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2.1104430255787534</v>
      </c>
      <c r="E58" s="112">
        <f t="shared" ref="E58:M58" si="107">E42/E44</f>
        <v>1.9996608125423985</v>
      </c>
      <c r="F58" s="112">
        <f t="shared" si="107"/>
        <v>2.0859609470525027</v>
      </c>
      <c r="G58" s="112">
        <f t="shared" si="107"/>
        <v>2.2132303200769039</v>
      </c>
      <c r="H58" s="112">
        <f t="shared" si="107"/>
        <v>1.6988871132610606</v>
      </c>
      <c r="I58" s="112">
        <f t="shared" si="107"/>
        <v>2.4714076853052331</v>
      </c>
      <c r="J58" s="112">
        <f t="shared" si="107"/>
        <v>2.1405918401411643</v>
      </c>
      <c r="K58" s="112">
        <f t="shared" si="107"/>
        <v>1.98533868189845</v>
      </c>
      <c r="L58" s="112">
        <f t="shared" si="107"/>
        <v>1.8301141667265024</v>
      </c>
      <c r="M58" s="112">
        <f t="shared" si="107"/>
        <v>2.1517984025089429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0.74423646362098139</v>
      </c>
      <c r="E59" s="112">
        <f t="shared" ref="E59:M59" si="108">E28/E36</f>
        <v>0.77719701321079837</v>
      </c>
      <c r="F59" s="112">
        <f t="shared" si="108"/>
        <v>0.67680712949719446</v>
      </c>
      <c r="G59" s="112">
        <f t="shared" si="108"/>
        <v>0.75973995820756912</v>
      </c>
      <c r="H59" s="112">
        <f t="shared" si="108"/>
        <v>0.74310007729732186</v>
      </c>
      <c r="I59" s="112">
        <f t="shared" si="108"/>
        <v>0.79150816940187663</v>
      </c>
      <c r="J59" s="112">
        <f t="shared" si="108"/>
        <v>0.83824111976759541</v>
      </c>
      <c r="K59" s="112">
        <f t="shared" si="108"/>
        <v>0.92863592165578557</v>
      </c>
      <c r="L59" s="112">
        <f t="shared" si="108"/>
        <v>0.84527054654490941</v>
      </c>
      <c r="M59" s="112">
        <f t="shared" si="108"/>
        <v>0.78265858643812525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2.0792665857982646</v>
      </c>
      <c r="E60" s="112">
        <f t="shared" ref="E60:M60" si="109">E46/E9</f>
        <v>1.9135366226061161</v>
      </c>
      <c r="F60" s="112">
        <f t="shared" si="109"/>
        <v>1.9853310641056812</v>
      </c>
      <c r="G60" s="112">
        <f t="shared" si="109"/>
        <v>2.1162356704878698</v>
      </c>
      <c r="H60" s="112">
        <f t="shared" si="109"/>
        <v>2.144733992636974</v>
      </c>
      <c r="I60" s="112">
        <f t="shared" si="109"/>
        <v>3.6161360956712145</v>
      </c>
      <c r="J60" s="112">
        <f t="shared" si="109"/>
        <v>3.0204530782322907</v>
      </c>
      <c r="K60" s="112">
        <f t="shared" si="109"/>
        <v>3.4577190860654397</v>
      </c>
      <c r="L60" s="112">
        <f t="shared" si="109"/>
        <v>2.8274168857052078</v>
      </c>
      <c r="M60" s="112">
        <f t="shared" si="109"/>
        <v>3.5259493216567366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1.9082739857263942E-2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0.10568362440493972</v>
      </c>
    </row>
    <row r="65" spans="2:13">
      <c r="B65" s="10" t="s">
        <v>74</v>
      </c>
      <c r="C65" s="114"/>
      <c r="D65" s="121">
        <f>(M6/I6)^0.2 - 1</f>
        <v>-0.14468153045679921</v>
      </c>
    </row>
    <row r="66" spans="2:13">
      <c r="B66" s="10" t="s">
        <v>84</v>
      </c>
      <c r="C66" s="114"/>
      <c r="D66" s="121">
        <f>(M6/D6)^0.1 - 1</f>
        <v>-2.3562454391197973E-2</v>
      </c>
    </row>
    <row r="67" spans="2:13">
      <c r="B67" s="10" t="s">
        <v>75</v>
      </c>
      <c r="C67" s="114"/>
      <c r="D67" s="121">
        <f>(M3/I3)^0.2 - 1</f>
        <v>5.140553170801887E-2</v>
      </c>
    </row>
    <row r="68" spans="2:13">
      <c r="B68" s="10" t="s">
        <v>85</v>
      </c>
      <c r="C68" s="114"/>
      <c r="D68" s="121">
        <f>(M3/D3)^0.1 - 1</f>
        <v>6.5049938261403595E-2</v>
      </c>
    </row>
    <row r="69" spans="2:13">
      <c r="B69" s="10" t="s">
        <v>88</v>
      </c>
      <c r="C69" s="114"/>
      <c r="D69" s="121">
        <f>(M9/I9)^0.2 - 1</f>
        <v>-1.2595625542054179E-2</v>
      </c>
    </row>
    <row r="70" spans="2:13">
      <c r="B70" s="10" t="s">
        <v>89</v>
      </c>
      <c r="C70" s="114"/>
      <c r="D70" s="121">
        <f>(M9/D9)^0.2 - 1</f>
        <v>5.3857309948096344E-2</v>
      </c>
    </row>
    <row r="71" spans="2:13">
      <c r="B71" s="10" t="s">
        <v>131</v>
      </c>
      <c r="D71" s="121">
        <f>(M23/I23)^0.2 - 1</f>
        <v>7.1798608998944413E-2</v>
      </c>
    </row>
    <row r="72" spans="2:13">
      <c r="B72" s="10" t="s">
        <v>132</v>
      </c>
      <c r="D72" s="121">
        <f>AVERAGE(I24:M24)</f>
        <v>0.10523482790922609</v>
      </c>
    </row>
    <row r="73" spans="2:13">
      <c r="B73" s="10" t="s">
        <v>135</v>
      </c>
      <c r="D73" s="121">
        <f>AVERAGE(I55:M55)</f>
        <v>0.26668779444096569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4.2918400886577297</v>
      </c>
      <c r="E76" s="110">
        <f t="shared" si="110"/>
        <v>5.2642820348523109</v>
      </c>
      <c r="F76" s="110">
        <f t="shared" si="110"/>
        <v>4.9005246917286014</v>
      </c>
      <c r="G76" s="110">
        <f t="shared" si="110"/>
        <v>4.8077562326869803</v>
      </c>
      <c r="H76" s="110">
        <f t="shared" si="110"/>
        <v>12.127791232356424</v>
      </c>
      <c r="I76" s="110">
        <f t="shared" si="110"/>
        <v>4.6610034805549816</v>
      </c>
      <c r="J76" s="110">
        <f t="shared" si="110"/>
        <v>4.9568360071977953</v>
      </c>
      <c r="K76" s="110">
        <f t="shared" si="110"/>
        <v>3.8463645027367099</v>
      </c>
      <c r="L76" s="110">
        <f t="shared" si="110"/>
        <v>5.1318388575777893</v>
      </c>
      <c r="M76" s="110">
        <f t="shared" si="110"/>
        <v>2.0872607132445826</v>
      </c>
    </row>
    <row r="77" spans="2:13">
      <c r="B77" s="10" t="s">
        <v>139</v>
      </c>
      <c r="C77" s="110">
        <v>0</v>
      </c>
      <c r="D77" s="110">
        <f t="shared" ref="D77:M77" si="111">100*D6/D44</f>
        <v>13.349524070664733</v>
      </c>
      <c r="E77" s="110">
        <f t="shared" si="111"/>
        <v>15.791060526117434</v>
      </c>
      <c r="F77" s="110">
        <f t="shared" si="111"/>
        <v>15.122827818740969</v>
      </c>
      <c r="G77" s="110">
        <f t="shared" si="111"/>
        <v>15.448428098408517</v>
      </c>
      <c r="H77" s="110">
        <f t="shared" si="111"/>
        <v>32.731539469327231</v>
      </c>
      <c r="I77" s="110">
        <f t="shared" si="111"/>
        <v>16.180243303633002</v>
      </c>
      <c r="J77" s="110">
        <f t="shared" si="111"/>
        <v>15.567398717123304</v>
      </c>
      <c r="K77" s="110">
        <f t="shared" si="111"/>
        <v>11.482700734700996</v>
      </c>
      <c r="L77" s="110">
        <f t="shared" si="111"/>
        <v>14.523689852188452</v>
      </c>
      <c r="M77" s="110">
        <f t="shared" si="111"/>
        <v>6.5786249816239524</v>
      </c>
    </row>
    <row r="78" spans="2:13">
      <c r="B78" s="10" t="s">
        <v>140</v>
      </c>
      <c r="C78" s="110">
        <v>0</v>
      </c>
      <c r="D78" s="40">
        <v>8.9899997711181641</v>
      </c>
      <c r="E78" s="40">
        <v>10.210000038146973</v>
      </c>
      <c r="F78" s="40">
        <v>9.5799999237060547</v>
      </c>
      <c r="G78" s="40">
        <v>9.5900001525878906</v>
      </c>
      <c r="H78" s="40">
        <v>19.969999313354492</v>
      </c>
      <c r="I78" s="40">
        <v>9.1499996185302734</v>
      </c>
      <c r="J78" s="40">
        <v>9.0299997329711914</v>
      </c>
      <c r="K78" s="40">
        <v>7.4000000953674316</v>
      </c>
      <c r="L78" s="40">
        <v>8.9700002670288086</v>
      </c>
      <c r="M78" s="40">
        <v>4.1999998092651367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21.649999618530273</v>
      </c>
      <c r="E81" s="40">
        <v>18.239999771118164</v>
      </c>
      <c r="F81" s="40">
        <v>17.690000534057617</v>
      </c>
      <c r="G81" s="40">
        <v>20.25</v>
      </c>
      <c r="H81" s="40">
        <v>19.209999084472656</v>
      </c>
      <c r="I81" s="40">
        <v>6.6500000953674316</v>
      </c>
      <c r="J81" s="40">
        <v>16.659999847412109</v>
      </c>
      <c r="K81" s="40">
        <v>23.5</v>
      </c>
      <c r="L81" s="40">
        <v>16.180000305175781</v>
      </c>
      <c r="M81" s="40">
        <v>29.639999389648438</v>
      </c>
    </row>
    <row r="82" spans="2:13">
      <c r="B82" s="122" t="s">
        <v>148</v>
      </c>
      <c r="C82" s="110">
        <v>0</v>
      </c>
      <c r="D82" s="40">
        <v>9.0900001525878906</v>
      </c>
      <c r="E82" s="40">
        <v>10.340000152587891</v>
      </c>
      <c r="F82" s="40">
        <v>7.7800002098083496</v>
      </c>
      <c r="G82" s="40">
        <v>9.1800003051757813</v>
      </c>
      <c r="H82" s="40">
        <v>9.0799999237060547</v>
      </c>
      <c r="I82" s="40">
        <v>6.6100001335144043</v>
      </c>
      <c r="J82" s="40">
        <v>8.1999998092651367</v>
      </c>
      <c r="K82" s="40">
        <v>9.3299999237060547</v>
      </c>
      <c r="L82" s="40">
        <v>8.8599996566772461</v>
      </c>
      <c r="M82" s="40">
        <v>5.5900001525878906</v>
      </c>
    </row>
    <row r="83" spans="2:13">
      <c r="B83" s="122" t="s">
        <v>153</v>
      </c>
      <c r="C83" s="110">
        <v>0.72000002861022949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2023-04-16T16:11:12Z</dcterms:modified>
</cp:coreProperties>
</file>