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colorstyle+xml" PartName="/xl/charts/colors12.xml"/>
  <Override ContentType="application/vnd.ms-office.chartcolorstyle+xml" PartName="/xl/charts/colors1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ms-office.chartstyle+xml" PartName="/xl/charts/style11.xml"/>
  <Override ContentType="application/vnd.ms-office.chartstyle+xml" PartName="/xl/charts/style12.xml"/>
  <Override ContentType="application/vnd.ms-office.chartstyle+xml" PartName="/xl/charts/style1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3F1F3590-E7E3-434C-88AA-A46C3B1A8673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5" l="1"/>
  <c r="G22" i="5"/>
  <c r="H22" i="5"/>
  <c r="I22" i="5"/>
  <c r="J22" i="5"/>
  <c r="K22" i="5"/>
  <c r="L22" i="5"/>
  <c r="M22" i="5"/>
  <c r="N22" i="5"/>
  <c r="O22" i="5"/>
  <c r="P22" i="5"/>
  <c r="M60" i="3"/>
  <c r="L60" i="3"/>
  <c r="K60" i="3"/>
  <c r="J60" i="3"/>
  <c r="I60" i="3"/>
  <c r="H60" i="3"/>
  <c r="G60" i="3"/>
  <c r="F60" i="3"/>
  <c r="E60" i="3"/>
  <c r="D60" i="3"/>
  <c r="M55" i="3"/>
  <c r="L55" i="3"/>
  <c r="K55" i="3"/>
  <c r="J55" i="3"/>
  <c r="I55" i="3"/>
  <c r="H55" i="3"/>
  <c r="G55" i="3"/>
  <c r="F55" i="3"/>
  <c r="E55" i="3"/>
  <c r="D55" i="3"/>
  <c r="C22" i="2" l="1"/>
  <c r="D22" i="2"/>
  <c r="E22" i="2"/>
  <c r="F22" i="2"/>
  <c r="G22" i="2"/>
  <c r="H22" i="2"/>
  <c r="I22" i="2"/>
  <c r="J22" i="2"/>
  <c r="K22" i="2"/>
  <c r="L22" i="2"/>
  <c r="F30" i="5" l="1"/>
  <c r="G28" i="5" l="1"/>
  <c r="H28" i="5"/>
  <c r="I28" i="5"/>
  <c r="J28" i="5"/>
  <c r="K28" i="5"/>
  <c r="L28" i="5"/>
  <c r="M28" i="5"/>
  <c r="N28" i="5"/>
  <c r="O28" i="5"/>
  <c r="P28" i="5"/>
  <c r="G26" i="5"/>
  <c r="H26" i="5"/>
  <c r="I26" i="5"/>
  <c r="J26" i="5"/>
  <c r="K26" i="5"/>
  <c r="L26" i="5"/>
  <c r="M26" i="5"/>
  <c r="N26" i="5"/>
  <c r="O26" i="5"/>
  <c r="P26" i="5"/>
  <c r="G16" i="5"/>
  <c r="H16" i="5"/>
  <c r="I16" i="5"/>
  <c r="J16" i="5"/>
  <c r="K16" i="5"/>
  <c r="L16" i="5"/>
  <c r="M16" i="5"/>
  <c r="N16" i="5"/>
  <c r="O16" i="5"/>
  <c r="P16" i="5"/>
  <c r="F28" i="5" l="1"/>
  <c r="F26" i="5"/>
  <c r="F16" i="5"/>
  <c r="D50" i="3"/>
  <c r="E50" i="3"/>
  <c r="F50" i="3"/>
  <c r="G50" i="3"/>
  <c r="H50" i="3"/>
  <c r="I50" i="3"/>
  <c r="J50" i="3"/>
  <c r="K50" i="3"/>
  <c r="L50" i="3"/>
  <c r="M50" i="3"/>
  <c r="D51" i="3"/>
  <c r="E51" i="3"/>
  <c r="F51" i="3"/>
  <c r="G51" i="3"/>
  <c r="H51" i="3"/>
  <c r="I51" i="3"/>
  <c r="J51" i="3"/>
  <c r="K51" i="3"/>
  <c r="L51" i="3"/>
  <c r="M51" i="3"/>
  <c r="M40" i="3" l="1"/>
  <c r="L40" i="3"/>
  <c r="K40" i="3"/>
  <c r="J40" i="3"/>
  <c r="I40" i="3"/>
  <c r="H40" i="3"/>
  <c r="G40" i="3"/>
  <c r="F40" i="3"/>
  <c r="E40" i="3"/>
  <c r="D40" i="3"/>
  <c r="M37" i="3"/>
  <c r="L37" i="3"/>
  <c r="K37" i="3"/>
  <c r="J37" i="3"/>
  <c r="I37" i="3"/>
  <c r="H37" i="3"/>
  <c r="G37" i="3"/>
  <c r="F37" i="3"/>
  <c r="E37" i="3"/>
  <c r="D37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D29" i="3"/>
  <c r="M24" i="3"/>
  <c r="L24" i="3"/>
  <c r="K24" i="3"/>
  <c r="J24" i="3"/>
  <c r="I24" i="3"/>
  <c r="H24" i="3"/>
  <c r="G24" i="3"/>
  <c r="F24" i="3"/>
  <c r="E24" i="3"/>
  <c r="D24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4" i="5" l="1"/>
  <c r="H24" i="5"/>
  <c r="I24" i="5"/>
  <c r="J24" i="5"/>
  <c r="K24" i="5"/>
  <c r="L24" i="5"/>
  <c r="M24" i="5"/>
  <c r="N24" i="5"/>
  <c r="O24" i="5"/>
  <c r="P24" i="5"/>
  <c r="P24" i="7" l="1"/>
  <c r="P15" i="7"/>
  <c r="P6" i="7"/>
  <c r="L46" i="2" l="1"/>
  <c r="K46" i="2"/>
  <c r="J46" i="2"/>
  <c r="I46" i="2"/>
  <c r="H46" i="2"/>
  <c r="G46" i="2"/>
  <c r="F46" i="2"/>
  <c r="D46" i="2"/>
  <c r="E46" i="2"/>
  <c r="C46" i="2"/>
  <c r="D71" i="3" l="1"/>
  <c r="F45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59" i="3" l="1"/>
  <c r="L59" i="3"/>
  <c r="K59" i="3"/>
  <c r="J59" i="3"/>
  <c r="I59" i="3"/>
  <c r="H59" i="3"/>
  <c r="G59" i="3"/>
  <c r="F59" i="3"/>
  <c r="E59" i="3"/>
  <c r="D59" i="3"/>
  <c r="D44" i="3"/>
  <c r="D77" i="3" s="1"/>
  <c r="G14" i="5" s="1"/>
  <c r="M42" i="3"/>
  <c r="L42" i="3"/>
  <c r="K42" i="3"/>
  <c r="J42" i="3"/>
  <c r="I42" i="3"/>
  <c r="H42" i="3"/>
  <c r="G42" i="3"/>
  <c r="F42" i="3"/>
  <c r="E42" i="3"/>
  <c r="D42" i="3"/>
  <c r="M34" i="3"/>
  <c r="M76" i="3" s="1"/>
  <c r="P12" i="5" s="1"/>
  <c r="L34" i="3"/>
  <c r="L76" i="3" s="1"/>
  <c r="O12" i="5" s="1"/>
  <c r="K34" i="3"/>
  <c r="K76" i="3" s="1"/>
  <c r="N12" i="5" s="1"/>
  <c r="J34" i="3"/>
  <c r="J76" i="3" s="1"/>
  <c r="M12" i="5" s="1"/>
  <c r="I34" i="3"/>
  <c r="I76" i="3" s="1"/>
  <c r="L12" i="5" s="1"/>
  <c r="H34" i="3"/>
  <c r="H76" i="3" s="1"/>
  <c r="K12" i="5" s="1"/>
  <c r="G34" i="3"/>
  <c r="G76" i="3" s="1"/>
  <c r="J12" i="5" s="1"/>
  <c r="F34" i="3"/>
  <c r="F76" i="3" s="1"/>
  <c r="I12" i="5" s="1"/>
  <c r="E34" i="3"/>
  <c r="E76" i="3" s="1"/>
  <c r="H12" i="5" s="1"/>
  <c r="D34" i="3"/>
  <c r="D76" i="3" s="1"/>
  <c r="G12" i="5" s="1"/>
  <c r="F12" i="5" l="1"/>
  <c r="C20" i="6"/>
  <c r="C25" i="2" l="1"/>
  <c r="D25" i="2"/>
  <c r="E25" i="2"/>
  <c r="F25" i="2"/>
  <c r="G25" i="2"/>
  <c r="H25" i="2"/>
  <c r="I25" i="2"/>
  <c r="J25" i="2"/>
  <c r="K25" i="2"/>
  <c r="L25" i="2"/>
  <c r="C45" i="2" s="1"/>
  <c r="D45" i="2" s="1"/>
  <c r="E45" i="2" s="1"/>
  <c r="F45" i="2" s="1"/>
  <c r="G45" i="2" s="1"/>
  <c r="H45" i="2" s="1"/>
  <c r="I45" i="2" s="1"/>
  <c r="J45" i="2" s="1"/>
  <c r="K45" i="2" s="1"/>
  <c r="L45" i="2" s="1"/>
  <c r="C69" i="2" s="1"/>
  <c r="D26" i="2"/>
  <c r="E26" i="2"/>
  <c r="F26" i="2"/>
  <c r="G26" i="2"/>
  <c r="H26" i="2"/>
  <c r="I26" i="2"/>
  <c r="J26" i="2"/>
  <c r="K26" i="2"/>
  <c r="L26" i="2"/>
  <c r="D68" i="3"/>
  <c r="F42" i="5" s="1"/>
  <c r="D66" i="3"/>
  <c r="F39" i="5" s="1"/>
  <c r="D67" i="3"/>
  <c r="F41" i="5" s="1"/>
  <c r="D65" i="3"/>
  <c r="F38" i="5" s="1"/>
  <c r="P18" i="5" l="1"/>
  <c r="O18" i="5"/>
  <c r="N18" i="5"/>
  <c r="M18" i="5"/>
  <c r="L18" i="5"/>
  <c r="F18" i="5" s="1"/>
  <c r="K18" i="5"/>
  <c r="J18" i="5"/>
  <c r="I18" i="5"/>
  <c r="H18" i="5"/>
  <c r="G18" i="5"/>
  <c r="D72" i="3"/>
  <c r="F46" i="5" s="1"/>
  <c r="F47" i="5" s="1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44" i="3"/>
  <c r="E44" i="3"/>
  <c r="D58" i="3"/>
  <c r="G20" i="5" s="1"/>
  <c r="D52" i="3"/>
  <c r="M4" i="3"/>
  <c r="L4" i="3"/>
  <c r="K4" i="3"/>
  <c r="J4" i="3"/>
  <c r="I4" i="3"/>
  <c r="H4" i="3"/>
  <c r="G4" i="3"/>
  <c r="F4" i="3"/>
  <c r="E4" i="3"/>
  <c r="F52" i="3" l="1"/>
  <c r="F21" i="3"/>
  <c r="M52" i="3"/>
  <c r="M21" i="3"/>
  <c r="J52" i="3"/>
  <c r="J21" i="3"/>
  <c r="K52" i="3"/>
  <c r="K21" i="3"/>
  <c r="E58" i="3"/>
  <c r="H20" i="5" s="1"/>
  <c r="E77" i="3"/>
  <c r="H14" i="5" s="1"/>
  <c r="G52" i="3"/>
  <c r="G21" i="3"/>
  <c r="F58" i="3"/>
  <c r="I20" i="5" s="1"/>
  <c r="F77" i="3"/>
  <c r="I14" i="5" s="1"/>
  <c r="H52" i="3"/>
  <c r="H21" i="3"/>
  <c r="I52" i="3"/>
  <c r="I21" i="3"/>
  <c r="L52" i="3"/>
  <c r="L21" i="3"/>
  <c r="E52" i="3"/>
  <c r="E21" i="3"/>
  <c r="D73" i="3"/>
  <c r="F44" i="5" s="1"/>
  <c r="G44" i="3"/>
  <c r="H44" i="3"/>
  <c r="D64" i="3"/>
  <c r="F33" i="5" s="1"/>
  <c r="I44" i="3"/>
  <c r="M44" i="3"/>
  <c r="K17" i="2"/>
  <c r="J17" i="2"/>
  <c r="D17" i="2"/>
  <c r="E17" i="2"/>
  <c r="F17" i="2"/>
  <c r="J44" i="3"/>
  <c r="K44" i="3"/>
  <c r="L44" i="3"/>
  <c r="D63" i="3"/>
  <c r="F32" i="5" s="1"/>
  <c r="L17" i="2"/>
  <c r="I17" i="2"/>
  <c r="H17" i="2"/>
  <c r="G17" i="2"/>
  <c r="G58" i="3" l="1"/>
  <c r="J20" i="5" s="1"/>
  <c r="G77" i="3"/>
  <c r="J14" i="5" s="1"/>
  <c r="K58" i="3"/>
  <c r="N20" i="5" s="1"/>
  <c r="K77" i="3"/>
  <c r="N14" i="5" s="1"/>
  <c r="J58" i="3"/>
  <c r="M20" i="5" s="1"/>
  <c r="J77" i="3"/>
  <c r="M14" i="5" s="1"/>
  <c r="L58" i="3"/>
  <c r="O20" i="5" s="1"/>
  <c r="L77" i="3"/>
  <c r="O14" i="5" s="1"/>
  <c r="M58" i="3"/>
  <c r="P20" i="5" s="1"/>
  <c r="M77" i="3"/>
  <c r="P14" i="5" s="1"/>
  <c r="I58" i="3"/>
  <c r="L20" i="5" s="1"/>
  <c r="I77" i="3"/>
  <c r="L14" i="5" s="1"/>
  <c r="F14" i="5" s="1"/>
  <c r="H58" i="3"/>
  <c r="K20" i="5" s="1"/>
  <c r="H77" i="3"/>
  <c r="K14" i="5" s="1"/>
  <c r="L37" i="2"/>
  <c r="K37" i="2"/>
  <c r="J37" i="2"/>
  <c r="I37" i="2"/>
  <c r="H37" i="2"/>
  <c r="G37" i="2"/>
  <c r="F37" i="2"/>
  <c r="C36" i="2"/>
  <c r="L28" i="2"/>
  <c r="K28" i="2"/>
  <c r="J28" i="2"/>
  <c r="I28" i="2"/>
  <c r="H28" i="2"/>
  <c r="G28" i="2"/>
  <c r="F28" i="2"/>
  <c r="E28" i="2"/>
  <c r="D28" i="2"/>
  <c r="C28" i="2"/>
  <c r="L29" i="2"/>
  <c r="K29" i="2"/>
  <c r="I29" i="2"/>
  <c r="H29" i="2"/>
  <c r="G29" i="2"/>
  <c r="F29" i="2"/>
  <c r="C29" i="2"/>
  <c r="L20" i="2"/>
  <c r="K20" i="2"/>
  <c r="J20" i="2"/>
  <c r="I20" i="2"/>
  <c r="H20" i="2"/>
  <c r="G20" i="2"/>
  <c r="F20" i="2"/>
  <c r="E20" i="2"/>
  <c r="D20" i="2"/>
  <c r="C19" i="1"/>
  <c r="C17" i="1"/>
  <c r="C18" i="1" s="1"/>
  <c r="F20" i="5" l="1"/>
  <c r="C7" i="2"/>
  <c r="C39" i="2" s="1"/>
  <c r="C40" i="2" s="1"/>
  <c r="H23" i="2"/>
  <c r="J23" i="2"/>
  <c r="D23" i="2"/>
  <c r="F23" i="2"/>
  <c r="E23" i="2"/>
  <c r="D29" i="2"/>
  <c r="G23" i="2"/>
  <c r="E29" i="2"/>
  <c r="L23" i="2"/>
  <c r="K23" i="2"/>
  <c r="J29" i="2"/>
  <c r="D36" i="2"/>
  <c r="I23" i="2"/>
  <c r="C20" i="1"/>
  <c r="C21" i="1"/>
  <c r="C22" i="1" s="1"/>
  <c r="C8" i="2" l="1"/>
  <c r="C42" i="2" s="1"/>
  <c r="C23" i="1"/>
  <c r="C25" i="1" s="1"/>
  <c r="E36" i="2"/>
  <c r="D39" i="2"/>
  <c r="P26" i="7" l="1"/>
  <c r="P8" i="7"/>
  <c r="P17" i="7"/>
  <c r="C4" i="2"/>
  <c r="E16" i="5"/>
  <c r="C43" i="2"/>
  <c r="E39" i="2"/>
  <c r="F36" i="2"/>
  <c r="D42" i="2"/>
  <c r="D40" i="2"/>
  <c r="C55" i="2" l="1"/>
  <c r="C70" i="2" s="1"/>
  <c r="I51" i="2"/>
  <c r="H51" i="2"/>
  <c r="F51" i="2"/>
  <c r="D51" i="2"/>
  <c r="D53" i="2" s="1"/>
  <c r="L51" i="2"/>
  <c r="J51" i="2"/>
  <c r="G51" i="2"/>
  <c r="C51" i="2"/>
  <c r="C53" i="2" s="1"/>
  <c r="K51" i="2"/>
  <c r="E51" i="2"/>
  <c r="C17" i="7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3" i="2"/>
  <c r="G36" i="2"/>
  <c r="F39" i="2"/>
  <c r="E40" i="2"/>
  <c r="E42" i="2"/>
  <c r="C10" i="7" l="1"/>
  <c r="C28" i="7"/>
  <c r="C19" i="7"/>
  <c r="E43" i="2"/>
  <c r="E53" i="2"/>
  <c r="F42" i="2"/>
  <c r="F40" i="2"/>
  <c r="H36" i="2"/>
  <c r="G39" i="2"/>
  <c r="F43" i="2" l="1"/>
  <c r="F53" i="2"/>
  <c r="G40" i="2"/>
  <c r="G42" i="2"/>
  <c r="I36" i="2"/>
  <c r="H39" i="2"/>
  <c r="G43" i="2" l="1"/>
  <c r="G53" i="2"/>
  <c r="H40" i="2"/>
  <c r="H42" i="2"/>
  <c r="J36" i="2"/>
  <c r="I39" i="2"/>
  <c r="H43" i="2" l="1"/>
  <c r="H53" i="2"/>
  <c r="I40" i="2"/>
  <c r="I42" i="2"/>
  <c r="K36" i="2"/>
  <c r="J39" i="2"/>
  <c r="I43" i="2" l="1"/>
  <c r="I53" i="2"/>
  <c r="J40" i="2"/>
  <c r="J42" i="2"/>
  <c r="L36" i="2"/>
  <c r="L39" i="2" s="1"/>
  <c r="K39" i="2"/>
  <c r="J43" i="2" l="1"/>
  <c r="J53" i="2"/>
  <c r="K42" i="2"/>
  <c r="K40" i="2"/>
  <c r="L42" i="2"/>
  <c r="L53" i="2" s="1"/>
  <c r="L40" i="2"/>
  <c r="C59" i="2" l="1"/>
  <c r="C60" i="2" s="1"/>
  <c r="K43" i="2"/>
  <c r="K53" i="2"/>
  <c r="L43" i="2"/>
  <c r="D69" i="3"/>
  <c r="F35" i="5" s="1"/>
  <c r="D70" i="3"/>
  <c r="F36" i="5" s="1"/>
  <c r="C62" i="2" l="1"/>
  <c r="C64" i="2" s="1"/>
  <c r="C72" i="2"/>
  <c r="C74" i="2" s="1"/>
  <c r="D47" i="5"/>
  <c r="D46" i="5"/>
  <c r="D45" i="5"/>
  <c r="D44" i="5"/>
  <c r="D42" i="5"/>
  <c r="D41" i="5"/>
  <c r="D39" i="5"/>
  <c r="D38" i="5"/>
  <c r="D36" i="5"/>
  <c r="D35" i="5"/>
  <c r="D33" i="5"/>
  <c r="D32" i="5"/>
  <c r="D30" i="5"/>
  <c r="D28" i="5"/>
  <c r="D26" i="5"/>
  <c r="D24" i="5"/>
  <c r="D20" i="5"/>
  <c r="D18" i="5"/>
  <c r="D16" i="5"/>
  <c r="D14" i="5"/>
  <c r="D12" i="5"/>
</calcChain>
</file>

<file path=xl/sharedStrings.xml><?xml version="1.0" encoding="utf-8"?>
<sst xmlns="http://schemas.openxmlformats.org/spreadsheetml/2006/main" count="231" uniqueCount="165">
  <si>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</si>
  <si>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</si>
  <si>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</si>
  <si>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</si>
  <si>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</si>
  <si>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</si>
  <si>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</si>
  <si>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</si>
  <si>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</si>
  <si>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</si>
  <si>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</si>
  <si>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</si>
  <si>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</si>
  <si>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</si>
  <si>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</si>
  <si>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</si>
  <si>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</si>
  <si>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</si>
  <si>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</si>
  <si>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</si>
  <si>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</si>
  <si>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</si>
  <si>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</si>
  <si>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</si>
  <si>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</si>
  <si>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</si>
  <si>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</si>
  <si>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</si>
  <si>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</si>
  <si>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</si>
  <si>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</si>
  <si>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</si>
  <si>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</si>
  <si>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</si>
  <si>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</si>
  <si>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</si>
  <si>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</si>
  <si>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</si>
  <si>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</si>
  <si>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</si>
  <si>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</si>
  <si>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</si>
  <si>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</si>
  <si>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</si>
  <si>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</si>
  <si>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</si>
  <si>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</si>
  <si>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</si>
  <si>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</si>
  <si>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</si>
  <si>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</si>
  <si>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</si>
  <si>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</si>
  <si>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</si>
  <si>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</si>
  <si>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</si>
  <si>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</si>
  <si>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</si>
  <si>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</si>
  <si>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</si>
  <si>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</si>
  <si>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</si>
  <si>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</si>
  <si>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</si>
  <si>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</si>
  <si>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</si>
  <si>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</si>
  <si>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</si>
  <si>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</si>
  <si>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</si>
  <si>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</si>
  <si>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</si>
  <si>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</si>
  <si>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</si>
  <si>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</si>
  <si>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</si>
  <si>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</si>
  <si>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</si>
  <si>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</si>
  <si>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</si>
  <si>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</si>
  <si>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</si>
  <si>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</si>
  <si>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</si>
  <si>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</si>
  <si>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</si>
  <si>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</si>
  <si>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</si>
  <si>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</si>
  <si>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</si>
  <si>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</si>
  <si>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</si>
  <si>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</si>
  <si>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</si>
  <si>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</si>
  <si>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</si>
  <si>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</si>
  <si>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</si>
  <si>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</si>
  <si>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</si>
  <si>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</si>
  <si>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</si>
  <si>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</si>
  <si>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</si>
  <si>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</si>
  <si>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</si>
  <si>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</si>
  <si>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</si>
  <si>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</si>
  <si>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</si>
  <si>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</si>
  <si>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</si>
  <si>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Free Cash Flow Ratio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</si>
  <si>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</si>
  <si>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</si>
  <si>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</si>
  <si>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</si>
  <si>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</si>
  <si>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</si>
  <si>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</si>
  <si>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</si>
  <si>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</si>
  <si>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</si>
  <si>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</si>
  <si>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</si>
  <si>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</si>
  <si>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</si>
  <si>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</si>
  <si>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</si>
  <si>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</si>
  <si>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</si>
  <si>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</si>
  <si>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</si>
  <si>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</si>
  <si>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</si>
  <si>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</si>
  <si>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</si>
  <si>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</si>
  <si>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</si>
  <si>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</si>
  <si>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</si>
  <si>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</si>
  <si>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</si>
  <si>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</si>
  <si>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</si>
  <si>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</si>
  <si>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</si>
  <si>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</si>
  <si>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</si>
  <si>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</si>
  <si>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</si>
  <si>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</si>
  <si>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</si>
  <si>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PEG</t>
  </si>
  <si>
    <t>EPS Growth esitmation (%)</t>
  </si>
  <si>
    <t>CE_Celanese</t>
  </si>
  <si>
    <t>sector median (19.16)</t>
  </si>
  <si>
    <t>sector median (14.4)</t>
  </si>
  <si>
    <t>Long Term Debt</t>
  </si>
  <si>
    <t>Liabilities / Equity (last 5 Y) &lt;=</t>
  </si>
  <si>
    <t>Long Term Debt / EBIDTA</t>
  </si>
  <si>
    <t>&lt;3 Excelent &lt; 3.5 Good</t>
  </si>
  <si>
    <t>JNJ_JohnsonAndJohnson</t>
  </si>
  <si>
    <t>sector median (25.27)</t>
  </si>
  <si>
    <t>sector median (18.34)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</si>
</sst>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&quot;$&quot;#,##0.00"/>
  </numFmts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true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true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true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true" applyAlignment="1">
      <alignment horizontal="right" vertical="center"/>
    </xf>
    <xf numFmtId="2" fontId="12" fillId="8" borderId="0" xfId="9" applyNumberFormat="1" applyFont="1" applyFill="1"/>
    <xf numFmtId="2" fontId="13" fillId="0" borderId="0" xfId="4" applyNumberFormat="true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2" fontId="24" fillId="0" borderId="0" xfId="0" applyNumberFormat="true" applyFont="1" applyAlignment="1">
      <alignment vertical="center"/>
    </xf>
    <xf numFmtId="0" fontId="24" fillId="0" borderId="0" xfId="0" applyFont="1"/>
    <xf numFmtId="2" fontId="24" fillId="0" borderId="0" xfId="0" applyNumberFormat="true" applyFont="1" applyAlignment="1">
      <alignment horizontal="right"/>
    </xf>
    <xf numFmtId="10" fontId="25" fillId="8" borderId="0" xfId="0" applyNumberFormat="1" applyFont="1" applyFill="1"/>
    <xf numFmtId="0" fontId="13" fillId="7" borderId="0" xfId="10" applyFill="1" applyAlignment="1">
      <alignment horizontal="left" vertical="center"/>
    </xf>
    <xf numFmtId="2" fontId="26" fillId="0" borderId="0" xfId="0" applyNumberFormat="true" applyFont="1" applyAlignment="1">
      <alignment vertical="center"/>
    </xf>
    <xf numFmtId="4" fontId="11" fillId="3" borderId="0" xfId="6" applyNumberFormat="1" applyFont="1" applyBorder="1" applyAlignment="1">
      <alignment horizontal="right" vertical="top"/>
    </xf>
    <xf numFmtId="2" fontId="12" fillId="0" borderId="0" xfId="0" applyNumberFormat="1" applyFont="1" applyAlignment="1">
      <alignment horizontal="right" vertical="top"/>
    </xf>
    <xf numFmtId="2" fontId="10" fillId="0" borderId="0" xfId="0" applyNumberFormat="true" applyFont="1" applyAlignment="1">
      <alignment horizontal="right" vertical="top"/>
    </xf>
    <xf numFmtId="0" fontId="0" fillId="0" borderId="0" xfId="0"/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12" Target="persons/person.xml" Type="http://schemas.microsoft.com/office/2017/10/relationships/perso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10.xml.rels><?xml version="1.0" encoding="UTF-8" standalone="no"?><Relationships xmlns="http://schemas.openxmlformats.org/package/2006/relationships"><Relationship Id="rId1" Target="style10.xml" Type="http://schemas.microsoft.com/office/2011/relationships/chartStyle"/><Relationship Id="rId2" Target="colors10.xml" Type="http://schemas.microsoft.com/office/2011/relationships/chartColorStyle"/></Relationships>
</file>

<file path=xl/charts/_rels/chart11.xml.rels><?xml version="1.0" encoding="UTF-8" standalone="no"?><Relationships xmlns="http://schemas.openxmlformats.org/package/2006/relationships"><Relationship Id="rId1" Target="style11.xml" Type="http://schemas.microsoft.com/office/2011/relationships/chartStyle"/><Relationship Id="rId2" Target="colors11.xml" Type="http://schemas.microsoft.com/office/2011/relationships/chartColorStyle"/></Relationships>
</file>

<file path=xl/charts/_rels/chart12.xml.rels><?xml version="1.0" encoding="UTF-8" standalone="no"?><Relationships xmlns="http://schemas.openxmlformats.org/package/2006/relationships"><Relationship Id="rId1" Target="style12.xml" Type="http://schemas.microsoft.com/office/2011/relationships/chartStyle"/><Relationship Id="rId2" Target="colors12.xml" Type="http://schemas.microsoft.com/office/2011/relationships/chartColorStyle"/></Relationships>
</file>

<file path=xl/charts/_rels/chart13.xml.rels><?xml version="1.0" encoding="UTF-8" standalone="no"?><Relationships xmlns="http://schemas.openxmlformats.org/package/2006/relationships"><Relationship Id="rId1" Target="style13.xml" Type="http://schemas.microsoft.com/office/2011/relationships/chartStyle"/><Relationship Id="rId2" Target="colors13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_rels/chart9.xml.rels><?xml version="1.0" encoding="UTF-8" standalone="no"?><Relationships xmlns="http://schemas.openxmlformats.org/package/2006/relationships"><Relationship Id="rId1" Target="style9.xml" Type="http://schemas.microsoft.com/office/2011/relationships/chartStyle"/><Relationship Id="rId2" Target="colors9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Financials!$D$50:$M$50</c:f>
              <c:numCache>
                <c:formatCode>0.00%</c:formatCode>
                <c:ptCount val="10"/>
                <c:pt idx="0">
                  <c:v>0.16912442396313365</c:v>
                </c:pt>
                <c:pt idx="1">
                  <c:v>9.1737724198765067E-2</c:v>
                </c:pt>
                <c:pt idx="2">
                  <c:v>5.3577722946774764E-2</c:v>
                </c:pt>
                <c:pt idx="3">
                  <c:v>0.16700686583781776</c:v>
                </c:pt>
                <c:pt idx="4">
                  <c:v>0.13729641693811076</c:v>
                </c:pt>
                <c:pt idx="5">
                  <c:v>0.16869322152341021</c:v>
                </c:pt>
                <c:pt idx="6">
                  <c:v>0.13530252501191042</c:v>
                </c:pt>
                <c:pt idx="7">
                  <c:v>0.35101679929266139</c:v>
                </c:pt>
                <c:pt idx="8">
                  <c:v>0.22138924680801217</c:v>
                </c:pt>
                <c:pt idx="9">
                  <c:v>0.1958027499224646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Financials!$D$51:$M$51</c:f>
              <c:numCache>
                <c:formatCode>0.00%</c:formatCode>
                <c:ptCount val="10"/>
                <c:pt idx="0">
                  <c:v>0.28064516129032258</c:v>
                </c:pt>
                <c:pt idx="1">
                  <c:v>0.15524845633637166</c:v>
                </c:pt>
                <c:pt idx="2">
                  <c:v>0.1214310891787099</c:v>
                </c:pt>
                <c:pt idx="3">
                  <c:v>0.22805715346075339</c:v>
                </c:pt>
                <c:pt idx="4">
                  <c:v>0.19006514657980456</c:v>
                </c:pt>
                <c:pt idx="5">
                  <c:v>0.23522012578616353</c:v>
                </c:pt>
                <c:pt idx="6">
                  <c:v>0.18897887883118947</c:v>
                </c:pt>
                <c:pt idx="7">
                  <c:v>0.18037135278514588</c:v>
                </c:pt>
                <c:pt idx="8">
                  <c:v>0.2722267775565187</c:v>
                </c:pt>
                <c:pt idx="9">
                  <c:v>0.19187428925876149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0.00%</c:formatCode>
                <c:ptCount val="10"/>
                <c:pt idx="0">
                  <c:v>5.9139784946236562E-2</c:v>
                </c:pt>
                <c:pt idx="1">
                  <c:v>4.1752425757130257E-2</c:v>
                </c:pt>
                <c:pt idx="2">
                  <c:v>6.0274938315121609E-2</c:v>
                </c:pt>
                <c:pt idx="3">
                  <c:v>0.12005938021896456</c:v>
                </c:pt>
                <c:pt idx="4">
                  <c:v>8.7296416938110744E-2</c:v>
                </c:pt>
                <c:pt idx="5">
                  <c:v>0.17064989517819706</c:v>
                </c:pt>
                <c:pt idx="6">
                  <c:v>0.17214546609496587</c:v>
                </c:pt>
                <c:pt idx="7">
                  <c:v>0.17312113174182139</c:v>
                </c:pt>
                <c:pt idx="8">
                  <c:v>0.15110694623404006</c:v>
                </c:pt>
                <c:pt idx="9">
                  <c:v>0.13191357386539854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061504"/>
        <c:axId val="323784136"/>
      </c:lineChart>
      <c:catAx>
        <c:axId val="324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4136"/>
        <c:crosses val="autoZero"/>
        <c:auto val="1"/>
        <c:lblAlgn val="ctr"/>
        <c:lblOffset val="100"/>
        <c:noMultiLvlLbl val="0"/>
      </c:catAx>
      <c:valAx>
        <c:axId val="3237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Financials!$D$81:$M$81</c:f>
              <c:numCache>
                <c:formatCode>0.00</c:formatCode>
                <c:ptCount val="10"/>
                <c:pt idx="0">
                  <c:v>17.280000686645508</c:v>
                </c:pt>
                <c:pt idx="1">
                  <c:v>6.9099998474121094</c:v>
                </c:pt>
                <c:pt idx="2">
                  <c:v>19.739999771118164</c:v>
                </c:pt>
                <c:pt idx="3">
                  <c:v>25.079999923706055</c:v>
                </c:pt>
                <c:pt idx="4">
                  <c:v>18.399999618530273</c:v>
                </c:pt>
                <c:pt idx="5">
                  <c:v>9.2899999618530273</c:v>
                </c:pt>
                <c:pt idx="6">
                  <c:v>16.959999084472656</c:v>
                </c:pt>
                <c:pt idx="7">
                  <c:v>26.139999389648438</c:v>
                </c:pt>
                <c:pt idx="8">
                  <c:v>6.8400001525878906</c:v>
                </c:pt>
                <c:pt idx="9">
                  <c:v>6.7399997711181641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99-43A2-91C6-E54CD548E410}"/>
            </c:ext>
          </c:extLst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Financials!$D$82:$M$82</c:f>
              <c:numCache>
                <c:formatCode>0.00</c:formatCode>
                <c:ptCount val="10"/>
                <c:pt idx="0">
                  <c:v>13.220000267028809</c:v>
                </c:pt>
                <c:pt idx="1">
                  <c:v>9.8900003433227539</c:v>
                </c:pt>
                <c:pt idx="2">
                  <c:v>11.619999885559082</c:v>
                </c:pt>
                <c:pt idx="3">
                  <c:v>10.770000457763672</c:v>
                </c:pt>
                <c:pt idx="4">
                  <c:v>21.469999313354492</c:v>
                </c:pt>
                <c:pt idx="5">
                  <c:v>9.7899999618530273</c:v>
                </c:pt>
                <c:pt idx="6">
                  <c:v>10.529999732971191</c:v>
                </c:pt>
                <c:pt idx="7">
                  <c:v>11.140000343322754</c:v>
                </c:pt>
                <c:pt idx="8">
                  <c:v>13.199999809265137</c:v>
                </c:pt>
                <c:pt idx="9">
                  <c:v>6.0100002288818359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99-43A2-91C6-E54CD548E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914160"/>
        <c:axId val="324911808"/>
      </c:lineChart>
      <c:catAx>
        <c:axId val="3249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808"/>
        <c:crosses val="autoZero"/>
        <c:auto val="1"/>
        <c:lblAlgn val="ctr"/>
        <c:lblOffset val="100"/>
        <c:noMultiLvlLbl val="0"/>
      </c:catAx>
      <c:valAx>
        <c:axId val="324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6.9099998474121094</c:v>
                </c:pt>
                <c:pt idx="1">
                  <c:v>4</c:v>
                </c:pt>
                <c:pt idx="2">
                  <c:v>2</c:v>
                </c:pt>
                <c:pt idx="3">
                  <c:v>6.179999828338623</c:v>
                </c:pt>
                <c:pt idx="4">
                  <c:v>6.0900001525878906</c:v>
                </c:pt>
                <c:pt idx="5">
                  <c:v>8.9099998474121094</c:v>
                </c:pt>
                <c:pt idx="6">
                  <c:v>6.8400001525878906</c:v>
                </c:pt>
                <c:pt idx="7">
                  <c:v>16.75</c:v>
                </c:pt>
                <c:pt idx="8">
                  <c:v>16.860000610351563</c:v>
                </c:pt>
                <c:pt idx="9">
                  <c:v>17.340000152587891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E-4D0E-B961-FAF8C19FC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5728"/>
        <c:axId val="324918080"/>
      </c:barChart>
      <c:catAx>
        <c:axId val="3249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8080"/>
        <c:crosses val="autoZero"/>
        <c:auto val="1"/>
        <c:lblAlgn val="ctr"/>
        <c:lblOffset val="100"/>
        <c:noMultiLvlLbl val="0"/>
      </c:catAx>
      <c:valAx>
        <c:axId val="3249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6510</c:v>
                </c:pt>
                <c:pt idx="1">
                  <c:v>6802</c:v>
                </c:pt>
                <c:pt idx="2">
                  <c:v>5674</c:v>
                </c:pt>
                <c:pt idx="3">
                  <c:v>5389</c:v>
                </c:pt>
                <c:pt idx="4">
                  <c:v>6140</c:v>
                </c:pt>
                <c:pt idx="5">
                  <c:v>7155</c:v>
                </c:pt>
                <c:pt idx="6">
                  <c:v>6297</c:v>
                </c:pt>
                <c:pt idx="7">
                  <c:v>5655</c:v>
                </c:pt>
                <c:pt idx="8">
                  <c:v>8537</c:v>
                </c:pt>
                <c:pt idx="9">
                  <c:v>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E-45FB-AC97-BE6E1683F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4944"/>
        <c:axId val="324915336"/>
      </c:barChart>
      <c:catAx>
        <c:axId val="324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336"/>
        <c:crosses val="autoZero"/>
        <c:auto val="1"/>
        <c:lblAlgn val="ctr"/>
        <c:lblOffset val="100"/>
        <c:noMultiLvlLbl val="0"/>
      </c:catAx>
      <c:valAx>
        <c:axId val="3249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debt to EBIDTA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Long Term Debt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2887</c:v>
                </c:pt>
                <c:pt idx="1">
                  <c:v>2586</c:v>
                </c:pt>
                <c:pt idx="2">
                  <c:v>2468</c:v>
                </c:pt>
                <c:pt idx="3">
                  <c:v>2890</c:v>
                </c:pt>
                <c:pt idx="4">
                  <c:v>3315</c:v>
                </c:pt>
                <c:pt idx="5">
                  <c:v>2970</c:v>
                </c:pt>
                <c:pt idx="6">
                  <c:v>3409</c:v>
                </c:pt>
                <c:pt idx="7">
                  <c:v>3227</c:v>
                </c:pt>
                <c:pt idx="8">
                  <c:v>3176</c:v>
                </c:pt>
                <c:pt idx="9">
                  <c:v>13373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5CF-BF1C-D9569523F0D8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557008"/>
        <c:axId val="647553648"/>
      </c:barChart>
      <c:lineChart>
        <c:grouping val="stacked"/>
        <c:varyColors val="0"/>
        <c:ser>
          <c:idx val="2"/>
          <c:order val="2"/>
          <c:tx>
            <c:v>Debt / EBIDTA ratio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</c:formatCode>
                <c:ptCount val="10"/>
                <c:pt idx="0">
                  <c:v>1.5801860974274768</c:v>
                </c:pt>
                <c:pt idx="1">
                  <c:v>2.4488636363636362</c:v>
                </c:pt>
                <c:pt idx="2">
                  <c:v>3.5820029027576199</c:v>
                </c:pt>
                <c:pt idx="3">
                  <c:v>2.3515052888527257</c:v>
                </c:pt>
                <c:pt idx="4">
                  <c:v>2.8406169665809768</c:v>
                </c:pt>
                <c:pt idx="5">
                  <c:v>1.7647058823529411</c:v>
                </c:pt>
                <c:pt idx="6">
                  <c:v>2.8647058823529412</c:v>
                </c:pt>
                <c:pt idx="7">
                  <c:v>3.1637254901960783</c:v>
                </c:pt>
                <c:pt idx="8">
                  <c:v>1.3666092943201378</c:v>
                </c:pt>
                <c:pt idx="9">
                  <c:v>7.2052801724137927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62128"/>
        <c:axId val="874567888"/>
      </c:lineChart>
      <c:catAx>
        <c:axId val="6475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3648"/>
        <c:crosses val="autoZero"/>
        <c:auto val="1"/>
        <c:lblAlgn val="ctr"/>
        <c:lblOffset val="100"/>
        <c:noMultiLvlLbl val="0"/>
      </c:catAx>
      <c:valAx>
        <c:axId val="647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7008"/>
        <c:crosses val="autoZero"/>
        <c:crossBetween val="between"/>
      </c:valAx>
      <c:valAx>
        <c:axId val="8745678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2128"/>
        <c:crosses val="max"/>
        <c:crossBetween val="between"/>
      </c:valAx>
      <c:catAx>
        <c:axId val="87456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45678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Free Cash Flow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Financials!$D$23:$M$23</c:f>
              <c:numCache>
                <c:formatCode>0.00</c:formatCode>
                <c:ptCount val="10"/>
                <c:pt idx="0">
                  <c:v>83</c:v>
                </c:pt>
                <c:pt idx="1">
                  <c:v>144</c:v>
                </c:pt>
                <c:pt idx="2">
                  <c:v>174</c:v>
                </c:pt>
                <c:pt idx="3">
                  <c:v>201</c:v>
                </c:pt>
                <c:pt idx="4">
                  <c:v>241</c:v>
                </c:pt>
                <c:pt idx="5">
                  <c:v>280</c:v>
                </c:pt>
                <c:pt idx="6">
                  <c:v>300</c:v>
                </c:pt>
                <c:pt idx="7">
                  <c:v>293</c:v>
                </c:pt>
                <c:pt idx="8">
                  <c:v>304</c:v>
                </c:pt>
                <c:pt idx="9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3890768"/>
        <c:axId val="323891152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Financials!$D$55:$M$55</c:f>
              <c:numCache>
                <c:formatCode>0.00%</c:formatCode>
                <c:ptCount val="10"/>
                <c:pt idx="0">
                  <c:v>0.21558441558441557</c:v>
                </c:pt>
                <c:pt idx="1">
                  <c:v>0.50704225352112675</c:v>
                </c:pt>
                <c:pt idx="2">
                  <c:v>0.50877192982456143</c:v>
                </c:pt>
                <c:pt idx="3">
                  <c:v>0.31066460587326122</c:v>
                </c:pt>
                <c:pt idx="4">
                  <c:v>0.44962686567164178</c:v>
                </c:pt>
                <c:pt idx="5">
                  <c:v>0.22932022932022933</c:v>
                </c:pt>
                <c:pt idx="6">
                  <c:v>0.2767527675276753</c:v>
                </c:pt>
                <c:pt idx="7">
                  <c:v>0.2992849846782431</c:v>
                </c:pt>
                <c:pt idx="8">
                  <c:v>0.23565891472868217</c:v>
                </c:pt>
                <c:pt idx="9">
                  <c:v>0.23275862068965517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24800"/>
        <c:axId val="323899736"/>
      </c:scatterChart>
      <c:catAx>
        <c:axId val="323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1152"/>
        <c:crosses val="autoZero"/>
        <c:auto val="1"/>
        <c:lblAlgn val="ctr"/>
        <c:lblOffset val="100"/>
        <c:noMultiLvlLbl val="0"/>
      </c:catAx>
      <c:valAx>
        <c:axId val="323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0768"/>
        <c:crosses val="autoZero"/>
        <c:crossBetween val="between"/>
      </c:valAx>
      <c:valAx>
        <c:axId val="323899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24800"/>
        <c:crosses val="max"/>
        <c:crossBetween val="midCat"/>
      </c:valAx>
      <c:valAx>
        <c:axId val="32392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32389973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5836</c:v>
                </c:pt>
                <c:pt idx="1">
                  <c:v>6098</c:v>
                </c:pt>
                <c:pt idx="2">
                  <c:v>5799</c:v>
                </c:pt>
                <c:pt idx="3">
                  <c:v>5885</c:v>
                </c:pt>
                <c:pt idx="4">
                  <c:v>6746</c:v>
                </c:pt>
                <c:pt idx="5">
                  <c:v>6439</c:v>
                </c:pt>
                <c:pt idx="6">
                  <c:v>6711</c:v>
                </c:pt>
                <c:pt idx="7">
                  <c:v>7146</c:v>
                </c:pt>
                <c:pt idx="8">
                  <c:v>8168</c:v>
                </c:pt>
                <c:pt idx="9">
                  <c:v>19661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3936248"/>
        <c:axId val="324020400"/>
      </c:barChart>
      <c:catAx>
        <c:axId val="3239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0400"/>
        <c:crosses val="autoZero"/>
        <c:auto val="1"/>
        <c:lblAlgn val="ctr"/>
        <c:lblOffset val="100"/>
        <c:noMultiLvlLbl val="0"/>
      </c:catAx>
      <c:valAx>
        <c:axId val="324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Financials!$D$39:$M$39</c:f>
              <c:numCache>
                <c:formatCode>0.00</c:formatCode>
                <c:ptCount val="10"/>
                <c:pt idx="0">
                  <c:v>4774</c:v>
                </c:pt>
                <c:pt idx="1">
                  <c:v>4380</c:v>
                </c:pt>
                <c:pt idx="2">
                  <c:v>4207</c:v>
                </c:pt>
                <c:pt idx="3">
                  <c:v>4259</c:v>
                </c:pt>
                <c:pt idx="4">
                  <c:v>4680</c:v>
                </c:pt>
                <c:pt idx="5">
                  <c:v>4155</c:v>
                </c:pt>
                <c:pt idx="6">
                  <c:v>4824</c:v>
                </c:pt>
                <c:pt idx="7">
                  <c:v>5041</c:v>
                </c:pt>
                <c:pt idx="8">
                  <c:v>4933</c:v>
                </c:pt>
                <c:pt idx="9">
                  <c:v>16099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49320"/>
        <c:axId val="324447752"/>
      </c:barChart>
      <c:catAx>
        <c:axId val="3244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752"/>
        <c:crosses val="autoZero"/>
        <c:auto val="1"/>
        <c:lblAlgn val="ctr"/>
        <c:lblOffset val="100"/>
        <c:noMultiLvlLbl val="0"/>
      </c:catAx>
      <c:valAx>
        <c:axId val="3244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Financials!$D$44:$M$44</c:f>
              <c:numCache>
                <c:formatCode>#,##0.00</c:formatCode>
                <c:ptCount val="10"/>
                <c:pt idx="0">
                  <c:v>2699</c:v>
                </c:pt>
                <c:pt idx="1">
                  <c:v>3078</c:v>
                </c:pt>
                <c:pt idx="2">
                  <c:v>2829</c:v>
                </c:pt>
                <c:pt idx="3">
                  <c:v>3021</c:v>
                </c:pt>
                <c:pt idx="4">
                  <c:v>3299</c:v>
                </c:pt>
                <c:pt idx="5">
                  <c:v>3379</c:v>
                </c:pt>
                <c:pt idx="6">
                  <c:v>2898</c:v>
                </c:pt>
                <c:pt idx="7">
                  <c:v>3895</c:v>
                </c:pt>
                <c:pt idx="8">
                  <c:v>4537</c:v>
                </c:pt>
                <c:pt idx="9">
                  <c:v>6105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Financials!$D$42:$M$42</c:f>
              <c:numCache>
                <c:formatCode>#,##0.00</c:formatCode>
                <c:ptCount val="10"/>
                <c:pt idx="0">
                  <c:v>6319</c:v>
                </c:pt>
                <c:pt idx="1">
                  <c:v>5718</c:v>
                </c:pt>
                <c:pt idx="2">
                  <c:v>5757</c:v>
                </c:pt>
                <c:pt idx="3">
                  <c:v>5336</c:v>
                </c:pt>
                <c:pt idx="4">
                  <c:v>6239</c:v>
                </c:pt>
                <c:pt idx="5">
                  <c:v>5934</c:v>
                </c:pt>
                <c:pt idx="6">
                  <c:v>6578</c:v>
                </c:pt>
                <c:pt idx="7">
                  <c:v>7014</c:v>
                </c:pt>
                <c:pt idx="8">
                  <c:v>7438</c:v>
                </c:pt>
                <c:pt idx="9">
                  <c:v>20167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50104"/>
        <c:axId val="324450496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Financials!$D$58:$M$58</c:f>
              <c:numCache>
                <c:formatCode>0.00</c:formatCode>
                <c:ptCount val="10"/>
                <c:pt idx="0">
                  <c:v>2.341237495368655</c:v>
                </c:pt>
                <c:pt idx="1">
                  <c:v>1.8576998050682261</c:v>
                </c:pt>
                <c:pt idx="2">
                  <c:v>2.0349946977730649</c:v>
                </c:pt>
                <c:pt idx="3">
                  <c:v>1.7663025488248925</c:v>
                </c:pt>
                <c:pt idx="4">
                  <c:v>1.8911791451955138</c:v>
                </c:pt>
                <c:pt idx="5">
                  <c:v>1.7561408700799053</c:v>
                </c:pt>
                <c:pt idx="6">
                  <c:v>2.2698412698412698</c:v>
                </c:pt>
                <c:pt idx="7">
                  <c:v>1.8007702182284981</c:v>
                </c:pt>
                <c:pt idx="8">
                  <c:v>1.6394093013004187</c:v>
                </c:pt>
                <c:pt idx="9">
                  <c:v>3.3033579033579032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47360"/>
        <c:axId val="324446968"/>
      </c:scatterChart>
      <c:catAx>
        <c:axId val="3244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496"/>
        <c:crosses val="autoZero"/>
        <c:auto val="1"/>
        <c:lblAlgn val="ctr"/>
        <c:lblOffset val="100"/>
        <c:noMultiLvlLbl val="0"/>
      </c:catAx>
      <c:valAx>
        <c:axId val="324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104"/>
        <c:crosses val="autoZero"/>
        <c:crossBetween val="between"/>
      </c:valAx>
      <c:valAx>
        <c:axId val="324446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360"/>
        <c:crosses val="max"/>
        <c:crossBetween val="midCat"/>
      </c:valAx>
      <c:valAx>
        <c:axId val="32444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444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48536"/>
        <c:axId val="324448928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Financials!$D$59:$M$59</c:f>
              <c:numCache>
                <c:formatCode>0.00</c:formatCode>
                <c:ptCount val="10"/>
                <c:pt idx="0">
                  <c:v>2.0595469255663432</c:v>
                </c:pt>
                <c:pt idx="1">
                  <c:v>2.0164424514200299</c:v>
                </c:pt>
                <c:pt idx="2">
                  <c:v>1.7980645161290323</c:v>
                </c:pt>
                <c:pt idx="3">
                  <c:v>2.2952646239554317</c:v>
                </c:pt>
                <c:pt idx="4">
                  <c:v>1.790891597177678</c:v>
                </c:pt>
                <c:pt idx="5">
                  <c:v>1.615514333895447</c:v>
                </c:pt>
                <c:pt idx="6">
                  <c:v>1.5763968072976056</c:v>
                </c:pt>
                <c:pt idx="7">
                  <c:v>1.9072478459199189</c:v>
                </c:pt>
                <c:pt idx="8">
                  <c:v>1.5197604790419161</c:v>
                </c:pt>
                <c:pt idx="9">
                  <c:v>1.6251229105211407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12592"/>
        <c:axId val="324917688"/>
      </c:lineChart>
      <c:catAx>
        <c:axId val="32444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928"/>
        <c:crosses val="autoZero"/>
        <c:auto val="1"/>
        <c:lblAlgn val="ctr"/>
        <c:lblOffset val="100"/>
        <c:noMultiLvlLbl val="0"/>
      </c:catAx>
      <c:valAx>
        <c:axId val="324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536"/>
        <c:crosses val="autoZero"/>
        <c:crossBetween val="between"/>
      </c:valAx>
      <c:valAx>
        <c:axId val="32491768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592"/>
        <c:crosses val="max"/>
        <c:crossBetween val="between"/>
      </c:valAx>
      <c:catAx>
        <c:axId val="324912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7688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1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1101</c:v>
                </c:pt>
                <c:pt idx="1">
                  <c:v>624</c:v>
                </c:pt>
                <c:pt idx="2">
                  <c:v>304</c:v>
                </c:pt>
                <c:pt idx="3">
                  <c:v>900</c:v>
                </c:pt>
                <c:pt idx="4">
                  <c:v>843</c:v>
                </c:pt>
                <c:pt idx="5">
                  <c:v>1207</c:v>
                </c:pt>
                <c:pt idx="6">
                  <c:v>852</c:v>
                </c:pt>
                <c:pt idx="7">
                  <c:v>1985</c:v>
                </c:pt>
                <c:pt idx="8">
                  <c:v>1890</c:v>
                </c:pt>
                <c:pt idx="9">
                  <c:v>1894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2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24913768"/>
        <c:axId val="324912984"/>
      </c:barChart>
      <c:valAx>
        <c:axId val="324912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3768"/>
        <c:crosses val="max"/>
        <c:crossBetween val="between"/>
      </c:valAx>
      <c:catAx>
        <c:axId val="32491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Financials!$D$76:$M$76</c:f>
              <c:numCache>
                <c:formatCode>0.00</c:formatCode>
                <c:ptCount val="10"/>
                <c:pt idx="0">
                  <c:v>12.208915502328676</c:v>
                </c:pt>
                <c:pt idx="1">
                  <c:v>7.094133697135061</c:v>
                </c:pt>
                <c:pt idx="2">
                  <c:v>3.5406475658047984</c:v>
                </c:pt>
                <c:pt idx="3">
                  <c:v>10.769414861792509</c:v>
                </c:pt>
                <c:pt idx="4">
                  <c:v>8.8383308869784027</c:v>
                </c:pt>
                <c:pt idx="5">
                  <c:v>12.960377966283689</c:v>
                </c:pt>
                <c:pt idx="6">
                  <c:v>8.99113550021106</c:v>
                </c:pt>
                <c:pt idx="7">
                  <c:v>18.195984966541388</c:v>
                </c:pt>
                <c:pt idx="8">
                  <c:v>15.782881002087683</c:v>
                </c:pt>
                <c:pt idx="9">
                  <c:v>7.2091961023142508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Financials!$D$77:$M$77</c:f>
              <c:numCache>
                <c:formatCode>0.00</c:formatCode>
                <c:ptCount val="10"/>
                <c:pt idx="0">
                  <c:v>40.792886254168209</c:v>
                </c:pt>
                <c:pt idx="1">
                  <c:v>20.2729044834308</c:v>
                </c:pt>
                <c:pt idx="2">
                  <c:v>10.745846588900672</c:v>
                </c:pt>
                <c:pt idx="3">
                  <c:v>29.791459781529294</c:v>
                </c:pt>
                <c:pt idx="4">
                  <c:v>25.553197938769323</c:v>
                </c:pt>
                <c:pt idx="5">
                  <c:v>35.720627404557561</c:v>
                </c:pt>
                <c:pt idx="6">
                  <c:v>29.399585921325052</c:v>
                </c:pt>
                <c:pt idx="7">
                  <c:v>50.96277278562259</c:v>
                </c:pt>
                <c:pt idx="8">
                  <c:v>41.657482918227906</c:v>
                </c:pt>
                <c:pt idx="9">
                  <c:v>31.023751023751025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Financials!$D$78:$M$78</c:f>
              <c:numCache>
                <c:formatCode>0.00</c:formatCode>
                <c:ptCount val="10"/>
                <c:pt idx="0">
                  <c:v>22.989999771118164</c:v>
                </c:pt>
                <c:pt idx="1">
                  <c:v>12.75</c:v>
                </c:pt>
                <c:pt idx="2">
                  <c:v>6.8600001335144043</c:v>
                </c:pt>
                <c:pt idx="3">
                  <c:v>18.329999923706055</c:v>
                </c:pt>
                <c:pt idx="4">
                  <c:v>15.489999771118164</c:v>
                </c:pt>
                <c:pt idx="5">
                  <c:v>19.989999771118164</c:v>
                </c:pt>
                <c:pt idx="6">
                  <c:v>14.409999847412109</c:v>
                </c:pt>
                <c:pt idx="7">
                  <c:v>29.430000305175781</c:v>
                </c:pt>
                <c:pt idx="8">
                  <c:v>24.680000305175781</c:v>
                </c:pt>
                <c:pt idx="9">
                  <c:v>14.380000114440918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912200"/>
        <c:axId val="324911024"/>
      </c:lineChart>
      <c:catAx>
        <c:axId val="324912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024"/>
        <c:crosses val="autoZero"/>
        <c:auto val="1"/>
        <c:lblAlgn val="ctr"/>
        <c:lblOffset val="100"/>
        <c:noMultiLvlLbl val="1"/>
      </c:catAx>
      <c:valAx>
        <c:axId val="32491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159.33399963378906</c:v>
                </c:pt>
                <c:pt idx="1">
                  <c:v>156.16700744628906</c:v>
                </c:pt>
                <c:pt idx="2">
                  <c:v>152.28799438476563</c:v>
                </c:pt>
                <c:pt idx="3">
                  <c:v>145.66799926757813</c:v>
                </c:pt>
                <c:pt idx="4">
                  <c:v>138.31700134277344</c:v>
                </c:pt>
                <c:pt idx="5">
                  <c:v>135.41700744628906</c:v>
                </c:pt>
                <c:pt idx="6">
                  <c:v>124.65200042724609</c:v>
                </c:pt>
                <c:pt idx="7">
                  <c:v>118.48100280761719</c:v>
                </c:pt>
                <c:pt idx="8">
                  <c:v>112.08399963378906</c:v>
                </c:pt>
                <c:pt idx="9">
                  <c:v>109.23500061035156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1416"/>
        <c:axId val="324916120"/>
      </c:barChart>
      <c:catAx>
        <c:axId val="3249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120"/>
        <c:crosses val="autoZero"/>
        <c:auto val="1"/>
        <c:lblAlgn val="ctr"/>
        <c:lblOffset val="100"/>
        <c:noMultiLvlLbl val="0"/>
      </c:catAx>
      <c:valAx>
        <c:axId val="3249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10" Target="../charts/chart10.xml" Type="http://schemas.openxmlformats.org/officeDocument/2006/relationships/chart"/><Relationship Id="rId11" Target="../charts/chart11.xml" Type="http://schemas.openxmlformats.org/officeDocument/2006/relationships/chart"/><Relationship Id="rId12" Target="../charts/chart12.xml" Type="http://schemas.openxmlformats.org/officeDocument/2006/relationships/chart"/><Relationship Id="rId13" Target="../charts/chart13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Relationship Id="rId9" Target="../charts/chart9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4.png" Type="http://schemas.openxmlformats.org/officeDocument/2006/relationships/image"/><Relationship Id="rId2" Target="../media/image5.pn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6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433295</xdr:colOff>
      <xdr:row>83</xdr:row>
      <xdr:rowOff>175558</xdr:rowOff>
    </xdr:from>
    <xdr:to>
      <xdr:col>16</xdr:col>
      <xdr:colOff>351866</xdr:colOff>
      <xdr:row>102</xdr:row>
      <xdr:rowOff>125132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310777</xdr:colOff>
      <xdr:row>64</xdr:row>
      <xdr:rowOff>8141</xdr:rowOff>
    </xdr:from>
    <xdr:to>
      <xdr:col>33</xdr:col>
      <xdr:colOff>431427</xdr:colOff>
      <xdr:row>82</xdr:row>
      <xdr:rowOff>40342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291353</xdr:colOff>
      <xdr:row>84</xdr:row>
      <xdr:rowOff>79245</xdr:rowOff>
    </xdr:from>
    <xdr:to>
      <xdr:col>33</xdr:col>
      <xdr:colOff>430508</xdr:colOff>
      <xdr:row>102</xdr:row>
      <xdr:rowOff>162821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320115</xdr:colOff>
      <xdr:row>45</xdr:row>
      <xdr:rowOff>110192</xdr:rowOff>
    </xdr:from>
    <xdr:to>
      <xdr:col>33</xdr:col>
      <xdr:colOff>313766</xdr:colOff>
      <xdr:row>62</xdr:row>
      <xdr:rowOff>135592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288365</xdr:colOff>
      <xdr:row>45</xdr:row>
      <xdr:rowOff>148291</xdr:rowOff>
    </xdr:from>
    <xdr:to>
      <xdr:col>16</xdr:col>
      <xdr:colOff>212166</xdr:colOff>
      <xdr:row>62</xdr:row>
      <xdr:rowOff>154641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399677</xdr:colOff>
      <xdr:row>1</xdr:row>
      <xdr:rowOff>70221</xdr:rowOff>
    </xdr:from>
    <xdr:to>
      <xdr:col>16</xdr:col>
      <xdr:colOff>273051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294105</xdr:colOff>
      <xdr:row>25</xdr:row>
      <xdr:rowOff>174123</xdr:rowOff>
    </xdr:from>
    <xdr:to>
      <xdr:col>33</xdr:col>
      <xdr:colOff>387349</xdr:colOff>
      <xdr:row>44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413251</xdr:colOff>
      <xdr:row>125</xdr:row>
      <xdr:rowOff>335</xdr:rowOff>
    </xdr:from>
    <xdr:to>
      <xdr:col>16</xdr:col>
      <xdr:colOff>406400</xdr:colOff>
      <xdr:row>143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419100</xdr:colOff>
      <xdr:row>104</xdr:row>
      <xdr:rowOff>161471</xdr:rowOff>
    </xdr:from>
    <xdr:to>
      <xdr:col>16</xdr:col>
      <xdr:colOff>406400</xdr:colOff>
      <xdr:row>123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304799</xdr:colOff>
      <xdr:row>105</xdr:row>
      <xdr:rowOff>33564</xdr:rowOff>
    </xdr:from>
    <xdr:to>
      <xdr:col>33</xdr:col>
      <xdr:colOff>363765</xdr:colOff>
      <xdr:row>123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320674</xdr:colOff>
      <xdr:row>1</xdr:row>
      <xdr:rowOff>82550</xdr:rowOff>
    </xdr:from>
    <xdr:to>
      <xdr:col>33</xdr:col>
      <xdr:colOff>311150</xdr:colOff>
      <xdr:row>24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323281</xdr:colOff>
      <xdr:row>63</xdr:row>
      <xdr:rowOff>138398</xdr:rowOff>
    </xdr:from>
    <xdr:to>
      <xdr:col>16</xdr:col>
      <xdr:colOff>244232</xdr:colOff>
      <xdr:row>82</xdr:row>
      <xdr:rowOff>67571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EF526C-4CEE-D15C-6E9C-073E5DDA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32</xdr:row>
      <xdr:rowOff>19824</xdr:rowOff>
    </xdr:from>
    <xdr:to>
      <xdr:col>27</xdr:col>
      <xdr:colOff>107950</xdr:colOff>
      <xdr:row>47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https://fred.stlouisfed.org/series/BAMLC0A2CAAEY" TargetMode="External" Type="http://schemas.openxmlformats.org/officeDocument/2006/relationships/hyperlink"/><Relationship Id="rId2" Target="../printerSettings/printerSettings4.bin" Type="http://schemas.openxmlformats.org/officeDocument/2006/relationships/printerSettings"/><Relationship Id="rId3" Target="../drawings/drawing4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7"/>
  <sheetViews>
    <sheetView showGridLines="0" topLeftCell="A10" zoomScale="75" workbookViewId="0">
      <selection activeCell="H36" sqref="H36"/>
    </sheetView>
  </sheetViews>
  <sheetFormatPr defaultRowHeight="14.5"/>
  <cols>
    <col min="2" max="2" bestFit="true" customWidth="true" width="16.90625"/>
    <col min="3" max="3" bestFit="true" customWidth="true" width="31.453125"/>
    <col min="4" max="4" customWidth="true" width="7.08984375"/>
    <col min="5" max="5" bestFit="true" customWidth="true" width="22.1796875"/>
    <col min="6" max="6" customWidth="true" width="19.54296875"/>
    <col min="20" max="20" bestFit="true" customWidth="true" width="7.453125"/>
  </cols>
  <sheetData>
    <row r="2" spans="2:22" ht="15" thickBot="1"/>
    <row r="3" spans="2:22">
      <c r="B3" s="139" t="s">
        <v>162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2:22"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</row>
    <row r="5" spans="2:22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</row>
    <row r="6" spans="2:22" ht="15" thickBot="1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8" spans="2:22" ht="13.5" customHeight="1"/>
    <row r="10" spans="2:22" ht="17.5" thickBot="1">
      <c r="B10" s="2" t="s">
        <v>86</v>
      </c>
      <c r="C10" s="2" t="s">
        <v>66</v>
      </c>
      <c r="D10" s="2"/>
      <c r="E10" s="2" t="s">
        <v>67</v>
      </c>
      <c r="F10" s="2" t="s">
        <v>95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8" t="s">
        <v>87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99</v>
      </c>
      <c r="U11" s="55" t="s">
        <v>97</v>
      </c>
      <c r="V11" s="56" t="s">
        <v>98</v>
      </c>
    </row>
    <row r="12" spans="2:22" ht="18.5">
      <c r="B12" s="149"/>
      <c r="C12" s="35" t="s">
        <v>149</v>
      </c>
      <c r="D12" s="55" t="str">
        <f>U11</f>
        <v>K</v>
      </c>
      <c r="E12" s="45" t="s">
        <v>141</v>
      </c>
      <c r="F12" s="123" t="n">
        <f>AVERAGE(L12:P12)</f>
        <v>9.808937680183236</v>
      </c>
      <c r="G12" s="119" t="n">
        <f>Financials!D76</f>
        <v>10.424093516124898</v>
      </c>
      <c r="H12" s="119" t="n">
        <f>Financials!E76</f>
        <v>12.521671090381872</v>
      </c>
      <c r="I12" s="119" t="n">
        <f>Financials!F76</f>
        <v>11.55002211211969</v>
      </c>
      <c r="J12" s="119" t="n">
        <f>Financials!G76</f>
        <v>11.713217381451475</v>
      </c>
      <c r="K12" s="119" t="n">
        <f>Financials!H76</f>
        <v>0.8264305194433672</v>
      </c>
      <c r="L12" s="119" t="n">
        <f>Financials!I76</f>
        <v>10.001046066137532</v>
      </c>
      <c r="M12" s="119" t="n">
        <f>Financials!J76</f>
        <v>9.585488942990464</v>
      </c>
      <c r="N12" s="119" t="n">
        <f>Financials!K76</f>
        <v>8.413095932393336</v>
      </c>
      <c r="O12" s="119" t="n">
        <f>Financials!L76</f>
        <v>11.47029414673274</v>
      </c>
      <c r="P12" s="119" t="n">
        <f>Financials!M76</f>
        <v>9.574763312662105</v>
      </c>
    </row>
    <row r="13" spans="2:22">
      <c r="B13" s="149"/>
      <c r="C13" s="35"/>
      <c r="D13" s="35"/>
      <c r="E13" s="45"/>
      <c r="F13" s="45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22" ht="18.5">
      <c r="B14" s="150"/>
      <c r="C14" s="35" t="s">
        <v>150</v>
      </c>
      <c r="D14" s="54" t="str">
        <f>T11</f>
        <v>J</v>
      </c>
      <c r="E14" s="46">
        <v>0.08</v>
      </c>
      <c r="F14" s="124" t="n">
        <f>AVERAGE(L14:P14)</f>
        <v>25.168089291706096</v>
      </c>
      <c r="G14" s="40" t="n">
        <f>Financials!D77</f>
        <v>18.677163653059296</v>
      </c>
      <c r="H14" s="40" t="n">
        <f>Financials!E77</f>
        <v>23.401479527468748</v>
      </c>
      <c r="I14" s="40" t="n">
        <f>Financials!F77</f>
        <v>21.657062543921292</v>
      </c>
      <c r="J14" s="40" t="n">
        <f>Financials!G77</f>
        <v>23.48831264733449</v>
      </c>
      <c r="K14" s="40" t="n">
        <f>Financials!H77</f>
        <v>2.160904255319149</v>
      </c>
      <c r="L14" s="40" t="n">
        <f>Financials!I77</f>
        <v>25.60081670906413</v>
      </c>
      <c r="M14" s="40" t="n">
        <f>Financials!J77</f>
        <v>25.422474819660003</v>
      </c>
      <c r="N14" s="40" t="n">
        <f>Financials!K77</f>
        <v>23.25294731186194</v>
      </c>
      <c r="O14" s="40" t="n">
        <f>Financials!L77</f>
        <v>28.204747173175903</v>
      </c>
      <c r="P14" s="40" t="n">
        <f>Financials!M77</f>
        <v>23.3594604447685</v>
      </c>
      <c r="R14" s="44"/>
      <c r="S14" s="44"/>
      <c r="T14" s="44"/>
    </row>
    <row r="15" spans="2:22">
      <c r="B15" s="150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50"/>
      <c r="C16" s="35" t="s">
        <v>151</v>
      </c>
      <c r="D16" s="54" t="str">
        <f>T11</f>
        <v>J</v>
      </c>
      <c r="E16" s="47" t="n">
        <f>WACC!$C$25</f>
        <v>0.06557211259432376</v>
      </c>
      <c r="F16" s="124" t="n">
        <f>AVERAGE(L16:P16)</f>
        <v>17.206000137329102</v>
      </c>
      <c r="G16" s="40" t="n">
        <f>Financials!D78</f>
        <v>16.389999389648438</v>
      </c>
      <c r="H16" s="40" t="n">
        <f>Financials!E78</f>
        <v>18.469999313354492</v>
      </c>
      <c r="I16" s="40" t="n">
        <f>Financials!F78</f>
        <v>17.549999237060547</v>
      </c>
      <c r="J16" s="40" t="n">
        <f>Financials!G78</f>
        <v>17.860000610351562</v>
      </c>
      <c r="K16" s="40" t="n">
        <f>Financials!H78</f>
        <v>1.690000057220459</v>
      </c>
      <c r="L16" s="40" t="n">
        <f>Financials!I78</f>
        <v>16.899999618530273</v>
      </c>
      <c r="M16" s="40" t="n">
        <f>Financials!J78</f>
        <v>17.010000228881836</v>
      </c>
      <c r="N16" s="40" t="n">
        <f>Financials!K78</f>
        <v>15.930000305175781</v>
      </c>
      <c r="O16" s="40" t="n">
        <f>Financials!L78</f>
        <v>20.350000381469727</v>
      </c>
      <c r="P16" s="40" t="n">
        <f>Financials!M78</f>
        <v>15.84000015258789</v>
      </c>
      <c r="R16" s="44"/>
      <c r="S16" s="44"/>
      <c r="T16" s="44"/>
    </row>
    <row r="17" spans="2:20">
      <c r="B17" s="151" t="s">
        <v>63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2"/>
      <c r="C18" s="36" t="s">
        <v>152</v>
      </c>
      <c r="D18" s="55" t="str">
        <f>U11</f>
        <v>K</v>
      </c>
      <c r="E18" s="48" t="s">
        <v>68</v>
      </c>
      <c r="F18" s="125" t="n">
        <f>AVERAGE(L18:P18)</f>
        <v>1.2555716265485592</v>
      </c>
      <c r="G18" s="42" t="n">
        <f>Financials!D59</f>
        <v>2.1969620253164557</v>
      </c>
      <c r="H18" s="42" t="n">
        <f>Financials!E59</f>
        <v>2.226998521832927</v>
      </c>
      <c r="I18" s="42" t="n">
        <f>Financials!F59</f>
        <v>2.1699643204670775</v>
      </c>
      <c r="J18" s="42" t="n">
        <f>Financials!G59</f>
        <v>2.473922471183475</v>
      </c>
      <c r="K18" s="42" t="n">
        <f>Financials!H59</f>
        <v>1.4110095949176409</v>
      </c>
      <c r="L18" s="42" t="n">
        <f>Financials!I59</f>
        <v>1.4739993595901377</v>
      </c>
      <c r="M18" s="42" t="n">
        <f>Financials!J59</f>
        <v>1.2588699810922033</v>
      </c>
      <c r="N18" s="42" t="n">
        <f>Financials!K59</f>
        <v>1.205775068834867</v>
      </c>
      <c r="O18" s="42" t="n">
        <f>Financials!L59</f>
        <v>1.3483173395834254</v>
      </c>
      <c r="P18" s="42" t="n">
        <f>Financials!M59</f>
        <v>0.9908963836421634</v>
      </c>
      <c r="Q18" s="44"/>
      <c r="R18" s="44"/>
      <c r="S18" s="44"/>
      <c r="T18" s="44"/>
    </row>
    <row r="19" spans="2:20">
      <c r="B19" s="152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2"/>
      <c r="C20" s="36" t="s">
        <v>159</v>
      </c>
      <c r="D20" s="55" t="str">
        <f>U11</f>
        <v>K</v>
      </c>
      <c r="E20" s="49" t="s">
        <v>137</v>
      </c>
      <c r="F20" s="125" t="n">
        <f>AVERAGE(L20:P20)</f>
        <v>1.5749050758330587</v>
      </c>
      <c r="G20" s="42" t="n">
        <f>Financials!D58</f>
        <v>0.7917302472553441</v>
      </c>
      <c r="H20" s="42" t="n">
        <f>Financials!E58</f>
        <v>0.8688783117329969</v>
      </c>
      <c r="I20" s="42" t="n">
        <f>Financials!F58</f>
        <v>0.8750667603654252</v>
      </c>
      <c r="J20" s="42" t="n">
        <f>Financials!G58</f>
        <v>1.0052827402084694</v>
      </c>
      <c r="K20" s="42" t="n">
        <f>Financials!H58</f>
        <v>1.6147440159574469</v>
      </c>
      <c r="L20" s="42" t="n">
        <f>Financials!I58</f>
        <v>1.5598138974427633</v>
      </c>
      <c r="M20" s="42" t="n">
        <f>Financials!J58</f>
        <v>1.6521834171276757</v>
      </c>
      <c r="N20" s="42" t="n">
        <f>Financials!K58</f>
        <v>1.7638989854293752</v>
      </c>
      <c r="O20" s="42" t="n">
        <f>Financials!L58</f>
        <v>1.4589384380530375</v>
      </c>
      <c r="P20" s="42" t="n">
        <f>Financials!M58</f>
        <v>1.4396906411124422</v>
      </c>
      <c r="Q20" s="44"/>
      <c r="R20" s="44"/>
      <c r="S20" s="44"/>
      <c r="T20" s="44"/>
    </row>
    <row r="21" spans="2:20">
      <c r="B21" s="132"/>
      <c r="C21" s="36"/>
      <c r="D21" s="137"/>
      <c r="E21" s="49"/>
      <c r="F21" s="125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4"/>
      <c r="R21" s="44"/>
      <c r="S21" s="44"/>
      <c r="T21" s="44"/>
    </row>
    <row r="22" spans="2:20" ht="18.5">
      <c r="B22" s="132"/>
      <c r="C22" s="36" t="s">
        <v>160</v>
      </c>
      <c r="D22" s="54" t="str">
        <f>T11</f>
        <v>J</v>
      </c>
      <c r="E22" s="49" t="s">
        <v>161</v>
      </c>
      <c r="F22" s="125" t="n">
        <f>AVERAGE(L22:P22)</f>
        <v>1.0717352466811874</v>
      </c>
      <c r="G22" s="42" t="n">
        <f>Financials!D60</f>
        <v>0.6620634841786299</v>
      </c>
      <c r="H22" s="42" t="n">
        <f>Financials!E60</f>
        <v>0.6034799265703568</v>
      </c>
      <c r="I22" s="42" t="n">
        <f>Financials!F60</f>
        <v>0.5442807552281771</v>
      </c>
      <c r="J22" s="42" t="n">
        <f>Financials!G60</f>
        <v>0.9103890308709586</v>
      </c>
      <c r="K22" s="42" t="n">
        <f>Financials!H60</f>
        <v>1.2452301696841763</v>
      </c>
      <c r="L22" s="42" t="n">
        <f>Financials!I60</f>
        <v>1.0429475587703436</v>
      </c>
      <c r="M22" s="42" t="n">
        <f>Financials!J60</f>
        <v>1.0592515592515592</v>
      </c>
      <c r="N22" s="42" t="n">
        <f>Financials!K60</f>
        <v>1.3575291181364393</v>
      </c>
      <c r="O22" s="42" t="n">
        <f>Financials!L60</f>
        <v>0.9862837971186106</v>
      </c>
      <c r="P22" s="42" t="n">
        <f>Financials!M60</f>
        <v>0.9126642001289841</v>
      </c>
      <c r="Q22" s="44"/>
      <c r="R22" s="44"/>
      <c r="S22" s="44"/>
      <c r="T22" s="44"/>
    </row>
    <row r="23" spans="2:20">
      <c r="B23" s="157" t="s">
        <v>94</v>
      </c>
      <c r="C23" s="35"/>
      <c r="D23" s="35"/>
      <c r="E23" s="50"/>
      <c r="F23" s="5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4"/>
      <c r="R23" s="44"/>
      <c r="S23" s="44"/>
      <c r="T23" s="44"/>
    </row>
    <row r="24" spans="2:20" ht="18.5">
      <c r="B24" s="157"/>
      <c r="C24" s="35" t="s">
        <v>142</v>
      </c>
      <c r="D24" s="54" t="str">
        <f>T11</f>
        <v>J</v>
      </c>
      <c r="E24" s="50" t="s">
        <v>69</v>
      </c>
      <c r="F24" s="50"/>
      <c r="G24" s="40" t="n">
        <f>Financials!D12</f>
        <v>2877.0</v>
      </c>
      <c r="H24" s="40" t="n">
        <f>Financials!E12</f>
        <v>2863.89990234375</v>
      </c>
      <c r="I24" s="40" t="n">
        <f>Financials!F12</f>
        <v>2812.89990234375</v>
      </c>
      <c r="J24" s="40" t="n">
        <f>Financials!G12</f>
        <v>2788.89990234375</v>
      </c>
      <c r="K24" s="40" t="n">
        <f>Financials!H12</f>
        <v>2745.300048828125</v>
      </c>
      <c r="L24" s="40" t="n">
        <f>Financials!I12</f>
        <v>2728.699951171875</v>
      </c>
      <c r="M24" s="40" t="n">
        <f>Financials!J12</f>
        <v>2684.300048828125</v>
      </c>
      <c r="N24" s="40" t="n">
        <f>Financials!K12</f>
        <v>2670.699951171875</v>
      </c>
      <c r="O24" s="40" t="n">
        <f>Financials!L12</f>
        <v>2674.0</v>
      </c>
      <c r="P24" s="40" t="n">
        <f>Financials!M12</f>
        <v>2663.89990234375</v>
      </c>
      <c r="Q24" s="44"/>
      <c r="R24" s="44"/>
      <c r="S24" s="44"/>
      <c r="T24" s="44"/>
    </row>
    <row r="25" spans="2:20">
      <c r="B25" s="155" t="s">
        <v>93</v>
      </c>
      <c r="C25" s="36"/>
      <c r="D25" s="36"/>
      <c r="E25" s="51"/>
      <c r="F25" s="51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44"/>
      <c r="S25" s="44"/>
      <c r="T25" s="44"/>
    </row>
    <row r="26" spans="2:20" ht="18.5">
      <c r="B26" s="156"/>
      <c r="C26" s="36" t="s">
        <v>96</v>
      </c>
      <c r="D26" s="56" t="str">
        <f>V11</f>
        <v>L</v>
      </c>
      <c r="E26" s="51" t="s">
        <v>163</v>
      </c>
      <c r="F26" s="57" t="n">
        <f>AVERAGEIF(L26:P26,"&lt;100")</f>
        <v>25.675000190734863</v>
      </c>
      <c r="G26" s="44" t="n">
        <f>Financials!D81</f>
        <v>20.440000534057617</v>
      </c>
      <c r="H26" s="44" t="n">
        <f>Financials!E81</f>
        <v>17.309999465942383</v>
      </c>
      <c r="I26" s="44" t="n">
        <f>Financials!F81</f>
        <v>19.68000030517578</v>
      </c>
      <c r="J26" s="44" t="n">
        <f>Financials!G81</f>
        <v>20.209999084472656</v>
      </c>
      <c r="K26" s="44" t="n">
        <f>Financials!H81</f>
        <v>24.299999237060547</v>
      </c>
      <c r="L26" s="44" t="n">
        <f>Financials!I81</f>
        <v>218.72999572753906</v>
      </c>
      <c r="M26" s="44" t="n">
        <f>Financials!J81</f>
        <v>27.780000686645508</v>
      </c>
      <c r="N26" s="44" t="n">
        <f>Financials!K81</f>
        <v>24.75</v>
      </c>
      <c r="O26" s="44" t="n">
        <f>Financials!L81</f>
        <v>25.56999969482422</v>
      </c>
      <c r="P26" s="44" t="n">
        <f>Financials!M81</f>
        <v>24.600000381469727</v>
      </c>
      <c r="Q26" s="44"/>
      <c r="R26" s="44"/>
      <c r="S26" s="44"/>
      <c r="T26" s="44"/>
    </row>
    <row r="27" spans="2:20">
      <c r="B27" s="156"/>
      <c r="C27" s="36"/>
      <c r="D27" s="36"/>
      <c r="E27" s="51"/>
      <c r="F27" s="57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 ht="18.5">
      <c r="B28" s="156"/>
      <c r="C28" s="36" t="s">
        <v>104</v>
      </c>
      <c r="D28" s="56" t="str">
        <f>V11</f>
        <v>L</v>
      </c>
      <c r="E28" s="51" t="s">
        <v>164</v>
      </c>
      <c r="F28" s="57" t="n">
        <f>AVERAGEIF(L28:P28, "&lt;100")</f>
        <v>18.35999984741211</v>
      </c>
      <c r="G28" s="44" t="n">
        <f>Financials!D82</f>
        <v>15.779999732971191</v>
      </c>
      <c r="H28" s="44" t="n">
        <f>Financials!E82</f>
        <v>16.459999084472656</v>
      </c>
      <c r="I28" s="44" t="n">
        <f>Financials!F82</f>
        <v>15.619999885559082</v>
      </c>
      <c r="J28" s="44" t="n">
        <f>Financials!G82</f>
        <v>19.059999465942383</v>
      </c>
      <c r="K28" s="44" t="n">
        <f>Financials!H82</f>
        <v>17.790000915527344</v>
      </c>
      <c r="L28" s="44" t="n">
        <f>Financials!I82</f>
        <v>15.979999542236328</v>
      </c>
      <c r="M28" s="44" t="n">
        <f>Financials!J82</f>
        <v>16.920000076293945</v>
      </c>
      <c r="N28" s="44" t="n">
        <f>Financials!K82</f>
        <v>19.469999313354492</v>
      </c>
      <c r="O28" s="44" t="n">
        <f>Financials!L82</f>
        <v>17.579999923706055</v>
      </c>
      <c r="P28" s="44" t="n">
        <f>Financials!M82</f>
        <v>21.850000381469727</v>
      </c>
      <c r="Q28" s="44"/>
      <c r="R28" s="44"/>
      <c r="S28" s="44"/>
      <c r="T28" s="44"/>
    </row>
    <row r="29" spans="2:20">
      <c r="B29" s="156"/>
      <c r="C29" s="36"/>
      <c r="D29" s="36"/>
      <c r="E29" s="51"/>
      <c r="F29" s="51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2:20" ht="18.5">
      <c r="B30" s="156"/>
      <c r="C30" s="36" t="s">
        <v>71</v>
      </c>
      <c r="D30" s="56" t="str">
        <f>V11</f>
        <v>L</v>
      </c>
      <c r="E30" s="51" t="s">
        <v>70</v>
      </c>
      <c r="F30" s="127" t="n">
        <f>Financials!$C$83</f>
        <v>4.300000190734863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2:20">
      <c r="B31" s="153" t="s">
        <v>92</v>
      </c>
      <c r="C31" s="34"/>
      <c r="D31" s="34"/>
      <c r="E31" s="34"/>
      <c r="F31" s="34"/>
    </row>
    <row r="32" spans="2:20" ht="18.5">
      <c r="B32" s="153"/>
      <c r="C32" s="35" t="s">
        <v>76</v>
      </c>
      <c r="D32" s="56" t="str">
        <f>V11</f>
        <v>L</v>
      </c>
      <c r="E32" s="50" t="s">
        <v>77</v>
      </c>
      <c r="F32" s="52" t="n">
        <f>Financials!D63</f>
        <v>-0.03992753098795332</v>
      </c>
    </row>
    <row r="33" spans="2:17" ht="18.5">
      <c r="B33" s="154"/>
      <c r="C33" s="35" t="s">
        <v>80</v>
      </c>
      <c r="D33" s="54" t="str">
        <f>T11</f>
        <v>J</v>
      </c>
      <c r="E33" s="50" t="s">
        <v>77</v>
      </c>
      <c r="F33" s="52" t="n">
        <f>Financials!D64</f>
        <v>0.021885597790083366</v>
      </c>
    </row>
    <row r="34" spans="2:17">
      <c r="B34" s="154"/>
      <c r="C34" s="35"/>
      <c r="D34" s="35"/>
      <c r="E34" s="50"/>
      <c r="F34" s="52"/>
    </row>
    <row r="35" spans="2:17" ht="18.5">
      <c r="B35" s="154"/>
      <c r="C35" s="35" t="s">
        <v>90</v>
      </c>
      <c r="D35" s="54" t="str">
        <f>T11</f>
        <v>J</v>
      </c>
      <c r="E35" s="50" t="s">
        <v>77</v>
      </c>
      <c r="F35" s="52" t="n">
        <f>Financials!D69</f>
        <v>0.021071661487346738</v>
      </c>
    </row>
    <row r="36" spans="2:17" ht="18.5">
      <c r="B36" s="154"/>
      <c r="C36" s="35" t="s">
        <v>91</v>
      </c>
      <c r="D36" s="54" t="str">
        <f>T11</f>
        <v>J</v>
      </c>
      <c r="E36" s="50" t="s">
        <v>77</v>
      </c>
      <c r="F36" s="52" t="n">
        <f>Financials!D70</f>
        <v>0.0791366117507597</v>
      </c>
    </row>
    <row r="37" spans="2:17">
      <c r="B37" s="154"/>
      <c r="C37" s="35"/>
      <c r="D37" s="35"/>
      <c r="E37" s="50"/>
      <c r="F37" s="53"/>
      <c r="Q37" s="37"/>
    </row>
    <row r="38" spans="2:17" ht="18.5">
      <c r="B38" s="154"/>
      <c r="C38" s="35" t="s">
        <v>78</v>
      </c>
      <c r="D38" s="54" t="str">
        <f>T11</f>
        <v>J</v>
      </c>
      <c r="E38" s="50" t="s">
        <v>77</v>
      </c>
      <c r="F38" s="52" t="n">
        <f>Financials!D65</f>
        <v>0.0324001902474913</v>
      </c>
    </row>
    <row r="39" spans="2:17" ht="18.5">
      <c r="B39" s="154"/>
      <c r="C39" s="35" t="s">
        <v>81</v>
      </c>
      <c r="D39" s="54" t="str">
        <f>T11</f>
        <v>J</v>
      </c>
      <c r="E39" s="50" t="s">
        <v>77</v>
      </c>
      <c r="F39" s="52" t="n">
        <f>Financials!D66</f>
        <v>0.026359027299499793</v>
      </c>
    </row>
    <row r="40" spans="2:17">
      <c r="B40" s="154"/>
      <c r="C40" s="35"/>
      <c r="D40" s="35"/>
      <c r="E40" s="50"/>
      <c r="F40" s="53"/>
    </row>
    <row r="41" spans="2:17" ht="18.5">
      <c r="B41" s="154"/>
      <c r="C41" s="35" t="s">
        <v>79</v>
      </c>
      <c r="D41" s="54" t="str">
        <f>T11</f>
        <v>J</v>
      </c>
      <c r="E41" s="50" t="s">
        <v>77</v>
      </c>
      <c r="F41" s="52" t="n">
        <f>Financials!D67</f>
        <v>0.030800890782184176</v>
      </c>
    </row>
    <row r="42" spans="2:17" ht="18.5">
      <c r="B42" s="154"/>
      <c r="C42" s="35" t="s">
        <v>82</v>
      </c>
      <c r="D42" s="54" t="str">
        <f>T11</f>
        <v>J</v>
      </c>
      <c r="E42" s="50" t="s">
        <v>77</v>
      </c>
      <c r="F42" s="52" t="n">
        <f>Financials!D68</f>
        <v>0.02903473209440066</v>
      </c>
    </row>
    <row r="43" spans="2:17">
      <c r="B43" s="138" t="s">
        <v>61</v>
      </c>
    </row>
    <row r="44" spans="2:17" ht="18.5">
      <c r="B44" s="138"/>
      <c r="C44" s="100" t="s">
        <v>128</v>
      </c>
      <c r="D44" s="56" t="str">
        <f>V11</f>
        <v>L</v>
      </c>
      <c r="E44" s="101">
        <v>0.75</v>
      </c>
      <c r="F44" s="103" t="n">
        <f>Financials!$D$73</f>
        <v>0.514786870714742</v>
      </c>
    </row>
    <row r="45" spans="2:17" ht="18.5">
      <c r="B45" s="138"/>
      <c r="C45" s="100" t="s">
        <v>133</v>
      </c>
      <c r="D45" s="54" t="str">
        <f>T11</f>
        <v>J</v>
      </c>
      <c r="E45" s="101" t="s">
        <v>134</v>
      </c>
      <c r="F45" s="103" t="n">
        <f>Financials!D71</f>
        <v>0.04235005800833136</v>
      </c>
    </row>
    <row r="46" spans="2:17" ht="18.5">
      <c r="B46" s="138"/>
      <c r="C46" s="100" t="s">
        <v>130</v>
      </c>
      <c r="D46" s="54" t="str">
        <f>T11</f>
        <v>J</v>
      </c>
      <c r="E46" s="18" t="s">
        <v>77</v>
      </c>
      <c r="F46" s="103" t="n">
        <f>Financials!D72</f>
        <v>0.05490595081720538</v>
      </c>
    </row>
    <row r="47" spans="2:17" ht="18.5">
      <c r="B47" s="138"/>
      <c r="C47" s="100" t="s">
        <v>129</v>
      </c>
      <c r="D47" s="56" t="str">
        <f>V11</f>
        <v>L</v>
      </c>
      <c r="E47" s="101">
        <v>0.12</v>
      </c>
      <c r="F47" s="102" t="n">
        <f>F45+F46</f>
        <v>0.09725600882553674</v>
      </c>
    </row>
  </sheetData>
  <mergeCells count="7">
    <mergeCell ref="B43:B47"/>
    <mergeCell ref="B3:P6"/>
    <mergeCell ref="B11:B16"/>
    <mergeCell ref="B17:B20"/>
    <mergeCell ref="B31:B42"/>
    <mergeCell ref="B25:B30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abSelected="1" topLeftCell="B62" zoomScale="78" zoomScaleNormal="100" workbookViewId="0">
      <selection activeCell="T129" sqref="T129"/>
    </sheetView>
  </sheetViews>
  <sheetFormatPr defaultRowHeight="14.5"/>
  <cols>
    <col min="2" max="2" bestFit="true" customWidth="true" width="10.1796875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7"/>
  <sheetViews>
    <sheetView showGridLines="0" workbookViewId="0">
      <selection activeCell="F16" sqref="F16"/>
    </sheetView>
  </sheetViews>
  <sheetFormatPr defaultRowHeight="14.5"/>
  <cols>
    <col min="2" max="2" bestFit="true" customWidth="true" width="61.453125"/>
    <col min="3" max="3" bestFit="true" customWidth="true" width="32.6328125"/>
    <col min="4" max="4" bestFit="true" customWidth="true" width="9.81640625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 s="0">
        <v>2</v>
      </c>
    </row>
    <row r="5" spans="2:16">
      <c r="B5" s="7" t="s">
        <v>8</v>
      </c>
      <c r="C5" s="58" t="n">
        <v>515.239990234375</v>
      </c>
    </row>
    <row r="6" spans="2:16">
      <c r="B6" s="4" t="s">
        <v>5</v>
      </c>
      <c r="C6" s="59" t="n">
        <v>5.5802E7</v>
      </c>
    </row>
    <row r="7" spans="2:16">
      <c r="B7" s="4" t="s">
        <v>4</v>
      </c>
      <c r="C7" s="59" t="n">
        <v>5.4772E7</v>
      </c>
    </row>
    <row r="8" spans="2:16">
      <c r="B8" s="4" t="s">
        <v>3</v>
      </c>
      <c r="C8" s="59" t="n">
        <v>276000.0</v>
      </c>
    </row>
    <row r="9" spans="2:16">
      <c r="B9" s="10" t="s">
        <v>6</v>
      </c>
      <c r="C9" s="59" t="n">
        <v>2.1725E7</v>
      </c>
    </row>
    <row r="10" spans="2:16">
      <c r="B10" s="10" t="s">
        <v>7</v>
      </c>
      <c r="C10" s="59" t="n">
        <v>3784000.0</v>
      </c>
    </row>
    <row r="11" spans="2:16">
      <c r="B11" s="10" t="s">
        <v>9</v>
      </c>
      <c r="C11" s="60" t="n">
        <v>0.5299999713897705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 s="0">
        <v>10</v>
      </c>
    </row>
    <row r="17" spans="2:15" ht="17.5" thickBot="1">
      <c r="B17" s="2" t="s">
        <v>21</v>
      </c>
      <c r="C17" s="11" t="n">
        <f>SUM(C6:C7)</f>
        <v>1.10574E8</v>
      </c>
    </row>
    <row r="18" spans="2:15" ht="18" thickTop="1" thickBot="1">
      <c r="B18" s="2" t="s">
        <v>20</v>
      </c>
      <c r="C18" s="12" t="n">
        <f>C8/C17</f>
        <v>0.0024960659829616366</v>
      </c>
    </row>
    <row r="19" spans="2:15" ht="18" thickTop="1" thickBot="1">
      <c r="B19" s="2" t="s">
        <v>19</v>
      </c>
      <c r="C19" s="12" t="n">
        <f>C14+C11*(C15-C14)</f>
        <v>0.07910999751091008</v>
      </c>
    </row>
    <row r="20" spans="2:15" ht="18" thickTop="1" thickBot="1">
      <c r="B20" s="2" t="s">
        <v>18</v>
      </c>
      <c r="C20" s="12" t="n">
        <f>C8/C17</f>
        <v>0.0024960659829616366</v>
      </c>
      <c r="K20" t="s" s="0">
        <v>17</v>
      </c>
    </row>
    <row r="21" spans="2:15" ht="18" thickTop="1" thickBot="1">
      <c r="B21" s="16" t="s">
        <v>22</v>
      </c>
      <c r="C21" s="11" t="n">
        <f>C17+C5*1000000</f>
        <v>6.25813990234375E8</v>
      </c>
      <c r="K21" t="s" s="0">
        <v>11</v>
      </c>
    </row>
    <row r="22" spans="2:15" ht="18" thickTop="1" thickBot="1">
      <c r="B22" s="2" t="s">
        <v>23</v>
      </c>
      <c r="C22" s="12" t="n">
        <f>C5*1000000/C21</f>
        <v>0.8233117160602487</v>
      </c>
      <c r="K22" t="s" s="0">
        <v>12</v>
      </c>
    </row>
    <row r="23" spans="2:15" ht="18" thickTop="1" thickBot="1">
      <c r="B23" s="16" t="s">
        <v>24</v>
      </c>
      <c r="C23" s="12" t="n">
        <f>C17/C21</f>
        <v>0.1766882839397513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 t="n">
        <f>C23*C20*(1-C18)+C22*C19</f>
        <v>0.06557211259432376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74"/>
  <sheetViews>
    <sheetView showGridLines="0" zoomScale="82" workbookViewId="0">
      <selection activeCell="G12" sqref="G12"/>
    </sheetView>
  </sheetViews>
  <sheetFormatPr defaultRowHeight="14.5"/>
  <cols>
    <col min="2" max="2" bestFit="true" customWidth="true" width="62.26953125"/>
    <col min="3" max="3" bestFit="true" customWidth="true" width="21.90625"/>
    <col min="4" max="5" bestFit="true" customWidth="true" width="11.81640625"/>
    <col min="6" max="6" bestFit="true" customWidth="true" width="12.1796875"/>
    <col min="7" max="7" bestFit="true" customWidth="true" width="10.81640625"/>
    <col min="8" max="8" bestFit="true" customWidth="true" width="11.453125"/>
    <col min="9" max="12" bestFit="true" customWidth="true" width="10.54296875"/>
    <col min="13" max="13" bestFit="true" customWidth="true" width="15.81640625"/>
  </cols>
  <sheetData>
    <row r="3" spans="2:12" ht="20" thickBot="1">
      <c r="B3" s="19" t="s">
        <v>33</v>
      </c>
      <c r="C3" s="19"/>
    </row>
    <row r="4" spans="2:12" ht="15" thickTop="1">
      <c r="B4" s="18" t="s">
        <v>0</v>
      </c>
      <c r="C4" s="20" t="n">
        <f>WACC!C25</f>
        <v>0.06557211259432376</v>
      </c>
    </row>
    <row r="5" spans="2:12">
      <c r="B5" s="18" t="s">
        <v>25</v>
      </c>
      <c r="C5" s="20">
        <v>2.5000000000000001E-2</v>
      </c>
    </row>
    <row r="6" spans="2:12">
      <c r="B6" s="18" t="s">
        <v>36</v>
      </c>
      <c r="C6" s="65" t="n">
        <v>0.014999999664723873</v>
      </c>
    </row>
    <row r="7" spans="2:12">
      <c r="B7" s="18" t="s">
        <v>31</v>
      </c>
      <c r="C7" s="13" t="n">
        <f>AVERAGE(C28:L28)</f>
        <v>0.18420515503351448</v>
      </c>
    </row>
    <row r="8" spans="2:12">
      <c r="B8" s="18" t="s">
        <v>112</v>
      </c>
      <c r="C8" s="13" t="n">
        <f>AVERAGEIF(C29:L29,"&lt;2")</f>
        <v>1.204047922030176</v>
      </c>
    </row>
    <row r="9" spans="2:12">
      <c r="B9" s="18" t="s">
        <v>136</v>
      </c>
      <c r="C9" s="66" t="n">
        <v>13.0</v>
      </c>
    </row>
    <row r="10" spans="2:12">
      <c r="B10" s="18" t="s">
        <v>100</v>
      </c>
      <c r="C10" s="67" t="n">
        <v>0.004999999888241291</v>
      </c>
    </row>
    <row r="11" spans="2:12">
      <c r="B11" s="18" t="s">
        <v>44</v>
      </c>
      <c r="C11" s="59" t="n">
        <v>2.629268224E9</v>
      </c>
    </row>
    <row r="12" spans="2:12">
      <c r="B12" s="18"/>
    </row>
    <row r="13" spans="2:12" ht="20" thickBot="1">
      <c r="B13" s="3" t="s">
        <v>34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 t="n">
        <f>Financials!D3</f>
        <v>71312.0</v>
      </c>
      <c r="D16" s="21" t="n">
        <f>Financials!E3</f>
        <v>74331.0</v>
      </c>
      <c r="E16" s="21" t="n">
        <f>Financials!F3</f>
        <v>70074.0</v>
      </c>
      <c r="F16" s="21" t="n">
        <f>Financials!G3</f>
        <v>71890.0</v>
      </c>
      <c r="G16" s="21" t="n">
        <f>Financials!H3</f>
        <v>76450.0</v>
      </c>
      <c r="H16" s="21" t="n">
        <f>Financials!I3</f>
        <v>81581.0</v>
      </c>
      <c r="I16" s="21" t="n">
        <f>Financials!J3</f>
        <v>82059.0</v>
      </c>
      <c r="J16" s="21" t="n">
        <f>Financials!K3</f>
        <v>82584.0</v>
      </c>
      <c r="K16" s="21" t="n">
        <f>Financials!L3</f>
        <v>93775.0</v>
      </c>
      <c r="L16" s="21" t="n">
        <f>Financials!M3</f>
        <v>94943.0</v>
      </c>
    </row>
    <row r="17" spans="2:12">
      <c r="B17" s="18" t="s">
        <v>27</v>
      </c>
      <c r="C17" s="22"/>
      <c r="D17" s="20" t="n">
        <f t="shared" ref="D17:L17" si="0">(D16-C16)/C16</f>
        <v>0.04233509086829706</v>
      </c>
      <c r="E17" s="20" t="n">
        <f t="shared" si="0"/>
        <v>-0.05727085603583969</v>
      </c>
      <c r="F17" s="20" t="n">
        <f t="shared" si="0"/>
        <v>0.025915460798584353</v>
      </c>
      <c r="G17" s="20" t="n">
        <f t="shared" si="0"/>
        <v>0.06343024064543051</v>
      </c>
      <c r="H17" s="20" t="n">
        <f t="shared" si="0"/>
        <v>0.06711576193590582</v>
      </c>
      <c r="I17" s="20" t="n">
        <f t="shared" si="0"/>
        <v>0.0058592074134908865</v>
      </c>
      <c r="J17" s="20" t="n">
        <f t="shared" si="0"/>
        <v>0.006397835703579132</v>
      </c>
      <c r="K17" s="20" t="n">
        <f t="shared" si="0"/>
        <v>0.13551051051051052</v>
      </c>
      <c r="L17" s="20" t="n">
        <f t="shared" si="0"/>
        <v>0.012455345241268996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 t="n">
        <f>Financials!D6</f>
        <v>13831.0</v>
      </c>
      <c r="D19" s="21" t="n">
        <f>Financials!E6</f>
        <v>16323.0</v>
      </c>
      <c r="E19" s="21" t="n">
        <f>Financials!F6</f>
        <v>15409.0</v>
      </c>
      <c r="F19" s="21" t="n">
        <f>Financials!G6</f>
        <v>16540.0</v>
      </c>
      <c r="G19" s="21" t="n">
        <f>Financials!H6</f>
        <v>1300.0</v>
      </c>
      <c r="H19" s="21" t="n">
        <f>Financials!I6</f>
        <v>15297.0</v>
      </c>
      <c r="I19" s="21" t="n">
        <f>Financials!J6</f>
        <v>15119.0</v>
      </c>
      <c r="J19" s="21" t="n">
        <f>Financials!K6</f>
        <v>14714.0</v>
      </c>
      <c r="K19" s="21" t="n">
        <f>Financials!L6</f>
        <v>20878.0</v>
      </c>
      <c r="L19" s="21" t="n">
        <f>Financials!M6</f>
        <v>17941.0</v>
      </c>
    </row>
    <row r="20" spans="2:12">
      <c r="B20" s="18" t="s">
        <v>27</v>
      </c>
      <c r="C20" s="22"/>
      <c r="D20" s="20" t="n">
        <f>(D19-C19)/C19</f>
        <v>0.1801749692719254</v>
      </c>
      <c r="E20" s="20" t="n">
        <f t="shared" ref="E20:L20" si="1">(E19-D19)/D19</f>
        <v>-0.05599460883416039</v>
      </c>
      <c r="F20" s="20" t="n">
        <f t="shared" si="1"/>
        <v>0.07339866311895646</v>
      </c>
      <c r="G20" s="20" t="n">
        <f t="shared" si="1"/>
        <v>-0.9214026602176542</v>
      </c>
      <c r="H20" s="20" t="n">
        <f t="shared" si="1"/>
        <v>10.766923076923076</v>
      </c>
      <c r="I20" s="20" t="n">
        <f t="shared" si="1"/>
        <v>-0.011636268549388769</v>
      </c>
      <c r="J20" s="20" t="n">
        <f t="shared" si="1"/>
        <v>-0.02678748594483762</v>
      </c>
      <c r="K20" s="20" t="n">
        <f t="shared" si="1"/>
        <v>0.41892075574282994</v>
      </c>
      <c r="L20" s="20" t="n">
        <f t="shared" si="1"/>
        <v>-0.14067439409905164</v>
      </c>
    </row>
    <row r="22" spans="2:12">
      <c r="B22" s="18" t="s">
        <v>30</v>
      </c>
      <c r="C22" s="25" t="n">
        <f>Financials!D20</f>
        <v>14277.0</v>
      </c>
      <c r="D22" s="25" t="n">
        <f>Financials!E20</f>
        <v>19627.0</v>
      </c>
      <c r="E22" s="25" t="n">
        <f>Financials!F20</f>
        <v>19570.0</v>
      </c>
      <c r="F22" s="25" t="n">
        <f>Financials!G20</f>
        <v>16808.0</v>
      </c>
      <c r="G22" s="25" t="n">
        <f>Financials!H20</f>
        <v>19609.0</v>
      </c>
      <c r="H22" s="25" t="n">
        <f>Financials!I20</f>
        <v>21734.0</v>
      </c>
      <c r="I22" s="25" t="n">
        <f>Financials!J20</f>
        <v>23183.0</v>
      </c>
      <c r="J22" s="25" t="n">
        <f>Financials!K20</f>
        <v>20494.0</v>
      </c>
      <c r="K22" s="25" t="n">
        <f>Financials!L20</f>
        <v>20469.0</v>
      </c>
      <c r="L22" s="25" t="n">
        <f>Financials!M20</f>
        <v>17728.0</v>
      </c>
    </row>
    <row r="23" spans="2:12">
      <c r="B23" s="18" t="s">
        <v>27</v>
      </c>
      <c r="C23" s="26"/>
      <c r="D23" s="26" t="n">
        <f>(D22-C22)/C22</f>
        <v>0.37472858443650625</v>
      </c>
      <c r="E23" s="26" t="n">
        <f t="shared" ref="E23:L23" si="2">(E22-D22)/D22</f>
        <v>-0.002904162633107454</v>
      </c>
      <c r="F23" s="26" t="n">
        <f t="shared" si="2"/>
        <v>-0.14113438937148698</v>
      </c>
      <c r="G23" s="26" t="n">
        <f t="shared" si="2"/>
        <v>0.16664683484055212</v>
      </c>
      <c r="H23" s="26" t="n">
        <f t="shared" si="2"/>
        <v>0.10836860625223112</v>
      </c>
      <c r="I23" s="26" t="n">
        <f t="shared" si="2"/>
        <v>0.06666973405723751</v>
      </c>
      <c r="J23" s="26" t="n">
        <f t="shared" si="2"/>
        <v>-0.11599016520726395</v>
      </c>
      <c r="K23" s="26" t="n">
        <f t="shared" si="2"/>
        <v>-0.001219869230018542</v>
      </c>
      <c r="L23" s="26" t="n">
        <f t="shared" si="2"/>
        <v>-0.13390981484195613</v>
      </c>
    </row>
    <row r="24" spans="2:12">
      <c r="B24" s="18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2:12">
      <c r="B25" s="18" t="s">
        <v>47</v>
      </c>
      <c r="C25" s="62" t="n">
        <f>Financials!D9</f>
        <v>20131.0</v>
      </c>
      <c r="D25" s="62" t="n">
        <f>Financials!E9</f>
        <v>25058.0</v>
      </c>
      <c r="E25" s="62" t="n">
        <f>Financials!F9</f>
        <v>23622.0</v>
      </c>
      <c r="F25" s="62" t="n">
        <f>Financials!G9</f>
        <v>24651.0</v>
      </c>
      <c r="G25" s="62" t="n">
        <f>Financials!H9</f>
        <v>24634.0</v>
      </c>
      <c r="H25" s="62" t="n">
        <f>Financials!I9</f>
        <v>26544.0</v>
      </c>
      <c r="I25" s="62" t="n">
        <f>Financials!J9</f>
        <v>25012.0</v>
      </c>
      <c r="J25" s="62" t="n">
        <f>Financials!K9</f>
        <v>24040.0</v>
      </c>
      <c r="K25" s="62" t="n">
        <f>Financials!L9</f>
        <v>30402.0</v>
      </c>
      <c r="L25" s="62" t="n">
        <f>Financials!M9</f>
        <v>29461.0</v>
      </c>
    </row>
    <row r="26" spans="2:12">
      <c r="B26" s="18" t="s">
        <v>27</v>
      </c>
      <c r="C26" s="63"/>
      <c r="D26" s="63" t="n">
        <f>Financials!E10</f>
        <v>0.24474690775420993</v>
      </c>
      <c r="E26" s="63" t="n">
        <f>Financials!F10</f>
        <v>-0.05730704764945327</v>
      </c>
      <c r="F26" s="63" t="n">
        <f>Financials!G10</f>
        <v>0.04356108712217424</v>
      </c>
      <c r="G26" s="63" t="n">
        <f>Financials!H10</f>
        <v>-6.89627195651292E-4</v>
      </c>
      <c r="H26" s="63" t="n">
        <f>Financials!I10</f>
        <v>0.07753511406998458</v>
      </c>
      <c r="I26" s="63" t="n">
        <f>Financials!J10</f>
        <v>-0.057715491259795054</v>
      </c>
      <c r="J26" s="63" t="n">
        <f>Financials!K10</f>
        <v>-0.038861346553654245</v>
      </c>
      <c r="K26" s="63" t="n">
        <f>Financials!L10</f>
        <v>0.26464226289517473</v>
      </c>
      <c r="L26" s="63" t="n">
        <f>Financials!M10</f>
        <v>-0.030951911058482995</v>
      </c>
    </row>
    <row r="28" spans="2:12" ht="15" thickBot="1">
      <c r="B28" s="1" t="s">
        <v>31</v>
      </c>
      <c r="C28" s="24" t="n">
        <f t="shared" ref="C28:L28" si="3">C19/C16</f>
        <v>0.19395052726048911</v>
      </c>
      <c r="D28" s="24" t="n">
        <f t="shared" si="3"/>
        <v>0.21959882148767002</v>
      </c>
      <c r="E28" s="24" t="n">
        <f t="shared" si="3"/>
        <v>0.21989610982675456</v>
      </c>
      <c r="F28" s="24" t="n">
        <f t="shared" si="3"/>
        <v>0.23007372374460983</v>
      </c>
      <c r="G28" s="24" t="n">
        <f t="shared" si="3"/>
        <v>0.017004578155657292</v>
      </c>
      <c r="H28" s="24" t="n">
        <f t="shared" si="3"/>
        <v>0.18750689498780354</v>
      </c>
      <c r="I28" s="24" t="n">
        <f t="shared" si="3"/>
        <v>0.1842454819093579</v>
      </c>
      <c r="J28" s="24" t="n">
        <f t="shared" si="3"/>
        <v>0.17817010558946042</v>
      </c>
      <c r="K28" s="24" t="n">
        <f t="shared" si="3"/>
        <v>0.22263929618768327</v>
      </c>
      <c r="L28" s="24" t="n">
        <f t="shared" si="3"/>
        <v>0.18896601118565876</v>
      </c>
    </row>
    <row r="29" spans="2:12" ht="15" thickBot="1">
      <c r="B29" s="1" t="s">
        <v>32</v>
      </c>
      <c r="C29" s="24" t="n">
        <f t="shared" ref="C29:L29" si="4">C22/C19</f>
        <v>1.0322464030077363</v>
      </c>
      <c r="D29" s="24" t="n">
        <f t="shared" si="4"/>
        <v>1.2024137719781902</v>
      </c>
      <c r="E29" s="24" t="n">
        <f t="shared" si="4"/>
        <v>1.2700369913686806</v>
      </c>
      <c r="F29" s="24" t="n">
        <f t="shared" si="4"/>
        <v>1.0162031438935912</v>
      </c>
      <c r="G29" s="24" t="n">
        <f t="shared" si="4"/>
        <v>15.083846153846153</v>
      </c>
      <c r="H29" s="24" t="n">
        <f t="shared" si="4"/>
        <v>1.420801464339413</v>
      </c>
      <c r="I29" s="24" t="n">
        <f t="shared" si="4"/>
        <v>1.5333686090349892</v>
      </c>
      <c r="J29" s="24" t="n">
        <f t="shared" si="4"/>
        <v>1.3928231616147886</v>
      </c>
      <c r="K29" s="24" t="n">
        <f t="shared" si="4"/>
        <v>0.9804100009579462</v>
      </c>
      <c r="L29" s="24" t="n">
        <f t="shared" si="4"/>
        <v>0.9881277520762499</v>
      </c>
    </row>
    <row r="32" spans="2:12" ht="20" thickBot="1">
      <c r="B32" s="3" t="s">
        <v>35</v>
      </c>
      <c r="C32" s="3"/>
    </row>
    <row r="33" spans="2:12" ht="15" thickTop="1"/>
    <row r="35" spans="2:12" ht="17.5" thickBot="1">
      <c r="B35" s="2"/>
      <c r="C35" s="2">
        <v>2023</v>
      </c>
      <c r="D35" s="2">
        <v>2024</v>
      </c>
      <c r="E35" s="2">
        <v>2025</v>
      </c>
      <c r="F35" s="2">
        <v>2026</v>
      </c>
      <c r="G35" s="2">
        <v>2027</v>
      </c>
      <c r="H35" s="2">
        <v>2028</v>
      </c>
      <c r="I35" s="2">
        <v>2029</v>
      </c>
      <c r="J35" s="2">
        <v>2030</v>
      </c>
      <c r="K35" s="2">
        <v>2031</v>
      </c>
      <c r="L35" s="2">
        <v>2032</v>
      </c>
    </row>
    <row r="36" spans="2:12" ht="15" thickTop="1">
      <c r="B36" s="18" t="s">
        <v>26</v>
      </c>
      <c r="C36" s="21" t="n">
        <f>L16*(C37+1)</f>
        <v>97620.39247295487</v>
      </c>
      <c r="D36" s="21" t="n">
        <f>C36*(D37+1)</f>
        <v>100236.61909276506</v>
      </c>
      <c r="E36" s="21" t="n">
        <f>D36*(E37+1)</f>
        <v>102892.88965406196</v>
      </c>
      <c r="F36" s="21" t="n">
        <f t="shared" ref="F36:L36" si="5">E36*(F37+1)</f>
        <v>104436.282964375</v>
      </c>
      <c r="G36" s="21" t="n">
        <f t="shared" si="5"/>
        <v>106002.82717382522</v>
      </c>
      <c r="H36" s="21" t="n">
        <f t="shared" si="5"/>
        <v>107592.86954589175</v>
      </c>
      <c r="I36" s="21" t="n">
        <f t="shared" si="5"/>
        <v>109206.76255300664</v>
      </c>
      <c r="J36" s="21" t="n">
        <f t="shared" si="5"/>
        <v>110844.86395468726</v>
      </c>
      <c r="K36" s="21" t="n">
        <f t="shared" si="5"/>
        <v>112507.53687684324</v>
      </c>
      <c r="L36" s="21" t="n">
        <f t="shared" si="5"/>
        <v>114195.14989227412</v>
      </c>
    </row>
    <row r="37" spans="2:12">
      <c r="B37" s="18" t="s">
        <v>27</v>
      </c>
      <c r="C37" s="68" t="n">
        <v>0.028199998661875725</v>
      </c>
      <c r="D37" s="68" t="n">
        <v>0.02680000104010105</v>
      </c>
      <c r="E37" s="68" t="n">
        <v>0.026500001549720764</v>
      </c>
      <c r="F37" s="27" t="n">
        <f>C6</f>
        <v>0.014999999664723873</v>
      </c>
      <c r="G37" s="27" t="n">
        <f>C6</f>
        <v>0.014999999664723873</v>
      </c>
      <c r="H37" s="27" t="n">
        <f>C6</f>
        <v>0.014999999664723873</v>
      </c>
      <c r="I37" s="27" t="n">
        <f>C6</f>
        <v>0.014999999664723873</v>
      </c>
      <c r="J37" s="27" t="n">
        <f>C6</f>
        <v>0.014999999664723873</v>
      </c>
      <c r="K37" s="27" t="n">
        <f>C6</f>
        <v>0.014999999664723873</v>
      </c>
      <c r="L37" s="27" t="n">
        <f>C6</f>
        <v>0.014999999664723873</v>
      </c>
    </row>
    <row r="38" spans="2:12"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2:12">
      <c r="B39" s="18" t="s">
        <v>28</v>
      </c>
      <c r="C39" s="21" t="n">
        <f>C36*C7</f>
        <v>17982.17952991314</v>
      </c>
      <c r="D39" s="21" t="n">
        <f>D36*C7</f>
        <v>18464.101960018066</v>
      </c>
      <c r="E39" s="21" t="n">
        <f>E36*C7</f>
        <v>18953.40069057274</v>
      </c>
      <c r="F39" s="21" t="n">
        <f>F36*C7</f>
        <v>19237.701694576634</v>
      </c>
      <c r="G39" s="21" t="n">
        <f>G36*C7</f>
        <v>19526.267213545223</v>
      </c>
      <c r="H39" s="21" t="n">
        <f>H36*C7</f>
        <v>19819.161215201682</v>
      </c>
      <c r="I39" s="21" t="n">
        <f>I36*C7</f>
        <v>20116.448626784804</v>
      </c>
      <c r="J39" s="21" t="n">
        <f>J36*C7</f>
        <v>20418.195349441885</v>
      </c>
      <c r="K39" s="21" t="n">
        <f>K36*C7</f>
        <v>20724.468272837657</v>
      </c>
      <c r="L39" s="21" t="n">
        <f>L36*C7</f>
        <v>21035.3352899817</v>
      </c>
    </row>
    <row r="40" spans="2:12">
      <c r="B40" s="18"/>
      <c r="C40" s="20" t="n">
        <f>(C39-L19)/L19</f>
        <v>0.0022952750634379856</v>
      </c>
      <c r="D40" s="20" t="n">
        <f>(D39-C39)/C39</f>
        <v>0.02680000104009939</v>
      </c>
      <c r="E40" s="20" t="n">
        <f t="shared" ref="E40:L40" si="6">(E39-D39)/D39</f>
        <v>0.026500001549720337</v>
      </c>
      <c r="F40" s="20" t="n">
        <f t="shared" si="6"/>
        <v>0.01499999966471993</v>
      </c>
      <c r="G40" s="20" t="n">
        <f t="shared" si="6"/>
        <v>0.014999999664717746</v>
      </c>
      <c r="H40" s="20" t="n">
        <f t="shared" si="6"/>
        <v>0.014999999664722452</v>
      </c>
      <c r="I40" s="20" t="n">
        <f t="shared" si="6"/>
        <v>0.014999999664723273</v>
      </c>
      <c r="J40" s="20" t="n">
        <f t="shared" si="6"/>
        <v>0.014999999664717609</v>
      </c>
      <c r="K40" s="20" t="n">
        <f t="shared" si="6"/>
        <v>0.014999999664717895</v>
      </c>
      <c r="L40" s="20" t="n">
        <f t="shared" si="6"/>
        <v>0.014999999664718901</v>
      </c>
    </row>
    <row r="41" spans="2:12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2:12">
      <c r="B42" s="18" t="s">
        <v>30</v>
      </c>
      <c r="C42" s="21" t="n">
        <f>C39*C8</f>
        <v>21651.405896565506</v>
      </c>
      <c r="D42" s="21" t="n">
        <f>D39*C8</f>
        <v>22231.663597113165</v>
      </c>
      <c r="E42" s="21" t="n">
        <f>E39*C8</f>
        <v>22820.802716889437</v>
      </c>
      <c r="F42" s="21" t="n">
        <f>F39*C8</f>
        <v>23163.114749991426</v>
      </c>
      <c r="G42" s="21" t="n">
        <f>G39*C8</f>
        <v>23510.561463475133</v>
      </c>
      <c r="H42" s="21" t="n">
        <f>H39*C8</f>
        <v>23863.219877544743</v>
      </c>
      <c r="I42" s="21" t="n">
        <f>I39*C8</f>
        <v>24221.168167707106</v>
      </c>
      <c r="J42" s="21" t="n">
        <f>J39*C8</f>
        <v>24584.485682101804</v>
      </c>
      <c r="K42" s="21" t="n">
        <f>K39*C8</f>
        <v>24953.252959090627</v>
      </c>
      <c r="L42" s="21" t="n">
        <f>L39*C8</f>
        <v>25327.55174511058</v>
      </c>
    </row>
    <row r="43" spans="2:12">
      <c r="B43" s="18" t="s">
        <v>27</v>
      </c>
      <c r="C43" s="20" t="n">
        <f>(C42-L22)/L22</f>
        <v>0.22131125319074402</v>
      </c>
      <c r="D43" s="20" t="n">
        <f>(D42-C42)/C42</f>
        <v>0.02680000104010357</v>
      </c>
      <c r="E43" s="20" t="n">
        <f t="shared" ref="E43:L43" si="7">(E42-D42)/D42</f>
        <v>0.02650000154971629</v>
      </c>
      <c r="F43" s="20" t="n">
        <f t="shared" si="7"/>
        <v>0.014999999664720294</v>
      </c>
      <c r="G43" s="20" t="n">
        <f t="shared" si="7"/>
        <v>0.014999999664718494</v>
      </c>
      <c r="H43" s="20" t="n">
        <f t="shared" si="7"/>
        <v>0.014999999664724447</v>
      </c>
      <c r="I43" s="20" t="n">
        <f t="shared" si="7"/>
        <v>0.014999999664722215</v>
      </c>
      <c r="J43" s="20" t="n">
        <f t="shared" si="7"/>
        <v>0.014999999664718504</v>
      </c>
      <c r="K43" s="20" t="n">
        <f t="shared" si="7"/>
        <v>0.014999999664719283</v>
      </c>
      <c r="L43" s="20" t="n">
        <f t="shared" si="7"/>
        <v>0.01499999966471686</v>
      </c>
    </row>
    <row r="45" spans="2:12">
      <c r="B45" s="18" t="s">
        <v>47</v>
      </c>
      <c r="C45" s="21" t="n">
        <f>L25*(1+C46)</f>
        <v>29608.30499670744</v>
      </c>
      <c r="D45" s="21" t="n">
        <f>C45*(1+D46)</f>
        <v>29756.346518381913</v>
      </c>
      <c r="E45" s="21" t="n">
        <f t="shared" ref="E45:L45" si="8">D45*(1+E46)</f>
        <v>29905.12824764824</v>
      </c>
      <c r="F45" s="21" t="n">
        <f t="shared" si="8"/>
        <v>30054.653885544245</v>
      </c>
      <c r="G45" s="21" t="n">
        <f t="shared" si="8"/>
        <v>30204.927151613014</v>
      </c>
      <c r="H45" s="21" t="n">
        <f t="shared" si="8"/>
        <v>30355.951783995362</v>
      </c>
      <c r="I45" s="21" t="n">
        <f t="shared" si="8"/>
        <v>30507.731539522796</v>
      </c>
      <c r="J45" s="21" t="n">
        <f t="shared" si="8"/>
        <v>30660.27019381087</v>
      </c>
      <c r="K45" s="21" t="n">
        <f t="shared" si="8"/>
        <v>30813.57154135336</v>
      </c>
      <c r="L45" s="21" t="n">
        <f t="shared" si="8"/>
        <v>30967.639395616443</v>
      </c>
    </row>
    <row r="46" spans="2:12">
      <c r="B46" s="18" t="s">
        <v>27</v>
      </c>
      <c r="C46" s="20" t="n">
        <f>C10</f>
        <v>0.004999999888241291</v>
      </c>
      <c r="D46" s="20" t="n">
        <f>C10</f>
        <v>0.004999999888241291</v>
      </c>
      <c r="E46" s="20" t="n">
        <f>C10</f>
        <v>0.004999999888241291</v>
      </c>
      <c r="F46" s="20" t="n">
        <f>C10</f>
        <v>0.004999999888241291</v>
      </c>
      <c r="G46" s="20" t="n">
        <f>C10</f>
        <v>0.004999999888241291</v>
      </c>
      <c r="H46" s="20" t="n">
        <f>C10</f>
        <v>0.004999999888241291</v>
      </c>
      <c r="I46" s="20" t="n">
        <f>C10</f>
        <v>0.004999999888241291</v>
      </c>
      <c r="J46" s="20" t="n">
        <f>C10</f>
        <v>0.004999999888241291</v>
      </c>
      <c r="K46" s="20" t="n">
        <f>C10</f>
        <v>0.004999999888241291</v>
      </c>
      <c r="L46" s="20" t="n">
        <f>C10</f>
        <v>0.004999999888241291</v>
      </c>
    </row>
    <row r="48" spans="2:12" ht="20" thickBot="1">
      <c r="B48" s="3" t="s">
        <v>103</v>
      </c>
      <c r="C48" s="3"/>
    </row>
    <row r="49" spans="2:12" ht="20" thickTop="1">
      <c r="B49" s="64"/>
      <c r="C49" s="64"/>
    </row>
    <row r="50" spans="2:12" ht="17.5" thickBot="1">
      <c r="B50" s="2"/>
      <c r="C50" s="2">
        <v>2023</v>
      </c>
      <c r="D50" s="2">
        <v>2024</v>
      </c>
      <c r="E50" s="2">
        <v>2025</v>
      </c>
      <c r="F50" s="2">
        <v>2026</v>
      </c>
      <c r="G50" s="2">
        <v>2027</v>
      </c>
      <c r="H50" s="2">
        <v>2028</v>
      </c>
      <c r="I50" s="2">
        <v>2029</v>
      </c>
      <c r="J50" s="2">
        <v>2030</v>
      </c>
      <c r="K50" s="2">
        <v>2031</v>
      </c>
      <c r="L50" s="2">
        <v>2032</v>
      </c>
    </row>
    <row r="51" spans="2:12" ht="15" thickTop="1">
      <c r="B51" s="18" t="s">
        <v>38</v>
      </c>
      <c r="C51" s="61" t="n">
        <f>POWER((1+C4),1)</f>
        <v>1.0655721125943238</v>
      </c>
      <c r="D51" s="61" t="n">
        <f>POWER((1+C4),2)</f>
        <v>1.1354439271387304</v>
      </c>
      <c r="E51" s="61" t="n">
        <f>POWER((1+C4),3)</f>
        <v>1.2098973841736125</v>
      </c>
      <c r="F51" s="61" t="n">
        <f>POWER((1+C4),4)</f>
        <v>1.2892329116762224</v>
      </c>
      <c r="G51" s="61" t="n">
        <f>POWER((1+C4),5)</f>
        <v>1.3737706373209635</v>
      </c>
      <c r="H51" s="61" t="n">
        <f>POWER((1+C4),6)</f>
        <v>1.4638516802301498</v>
      </c>
      <c r="I51" s="61" t="n">
        <f>POWER((1+C4),7)</f>
        <v>1.5598395274275914</v>
      </c>
      <c r="J51" s="61" t="n">
        <f>POWER((1+C4),8)</f>
        <v>1.66212150054915</v>
      </c>
      <c r="K51" s="61" t="n">
        <f>POWER((1+C4),9)</f>
        <v>1.7711103187286055</v>
      </c>
      <c r="L51" s="61" t="n">
        <f>POWER((1+C4),10)</f>
        <v>1.8872457639652465</v>
      </c>
    </row>
    <row r="52" spans="2:12">
      <c r="B52" s="18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2:12">
      <c r="B53" s="18" t="s">
        <v>39</v>
      </c>
      <c r="C53" s="21" t="n">
        <f t="shared" ref="C53:L53" si="9">C42/C51</f>
        <v>20319.043301397407</v>
      </c>
      <c r="D53" s="21" t="n">
        <f t="shared" si="9"/>
        <v>19579.7106891364</v>
      </c>
      <c r="E53" s="21" t="n">
        <f t="shared" si="9"/>
        <v>18861.767134471967</v>
      </c>
      <c r="F53" s="21" t="n">
        <f t="shared" si="9"/>
        <v>17966.58659595918</v>
      </c>
      <c r="G53" s="21" t="n">
        <f t="shared" si="9"/>
        <v>17113.89137660119</v>
      </c>
      <c r="H53" s="21" t="n">
        <f t="shared" si="9"/>
        <v>16301.66512074015</v>
      </c>
      <c r="I53" s="21" t="n">
        <f t="shared" si="9"/>
        <v>15527.987169072096</v>
      </c>
      <c r="J53" s="21" t="n">
        <f t="shared" si="9"/>
        <v>14791.028016892451</v>
      </c>
      <c r="K53" s="21" t="n">
        <f t="shared" si="9"/>
        <v>14089.044987893962</v>
      </c>
      <c r="L53" s="21" t="n">
        <f t="shared" si="9"/>
        <v>13420.378113285811</v>
      </c>
    </row>
    <row r="54" spans="2:12">
      <c r="B54" s="18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" thickBot="1">
      <c r="B55" s="73" t="s">
        <v>40</v>
      </c>
      <c r="C55" s="74" t="n">
        <f>POWER((1+C4),11)</f>
        <v>2.010996455693136</v>
      </c>
      <c r="D55" s="21"/>
      <c r="E55" s="21"/>
      <c r="F55" s="21"/>
      <c r="G55" s="21"/>
      <c r="H55" s="21"/>
      <c r="I55" s="21"/>
      <c r="J55" s="21"/>
      <c r="K55" s="21"/>
      <c r="L55" s="21"/>
    </row>
    <row r="56" spans="2:12">
      <c r="B56" s="18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>
      <c r="B57" s="158" t="s">
        <v>101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</row>
    <row r="58" spans="2:12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</row>
    <row r="59" spans="2:12">
      <c r="B59" s="18" t="s">
        <v>37</v>
      </c>
      <c r="C59" s="25" t="n">
        <f>L53*(1+C5)/(C4-C5)</f>
        <v>339047.85051894</v>
      </c>
    </row>
    <row r="60" spans="2:12" ht="15" thickBot="1">
      <c r="B60" s="5" t="s">
        <v>41</v>
      </c>
      <c r="C60" s="23" t="n">
        <f>C59/C55</f>
        <v>168596.94086436304</v>
      </c>
    </row>
    <row r="61" spans="2:12" ht="15" thickTop="1"/>
    <row r="62" spans="2:12" ht="14.5" customHeight="1" thickBot="1">
      <c r="B62" s="3" t="s">
        <v>43</v>
      </c>
      <c r="C62" s="71" t="n">
        <f>(SUM(C53:L53)+C59)</f>
        <v>507018.9530243906</v>
      </c>
    </row>
    <row r="63" spans="2:12" ht="15" thickTop="1">
      <c r="F63" s="9"/>
    </row>
    <row r="64" spans="2:12" ht="18.5">
      <c r="B64" s="69" t="s">
        <v>42</v>
      </c>
      <c r="C64" s="70" t="n">
        <f>C62/(C11/1000000)</f>
        <v>192.83652705962606</v>
      </c>
      <c r="D64" s="29"/>
      <c r="E64" s="30"/>
    </row>
    <row r="67" spans="2:12">
      <c r="B67" s="158" t="s">
        <v>102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2:12"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  <row r="69" spans="2:12">
      <c r="B69" s="18" t="s">
        <v>37</v>
      </c>
      <c r="C69" s="25" t="n">
        <f>L45*C9</f>
        <v>402579.3121430132</v>
      </c>
    </row>
    <row r="70" spans="2:12" ht="15" thickBot="1">
      <c r="B70" s="5" t="s">
        <v>41</v>
      </c>
      <c r="C70" s="23" t="n">
        <f>C69/C55</f>
        <v>200188.97149386274</v>
      </c>
    </row>
    <row r="71" spans="2:12" ht="15" thickTop="1">
      <c r="B71" s="18"/>
      <c r="C71" s="28"/>
    </row>
    <row r="72" spans="2:12" ht="20" thickBot="1">
      <c r="B72" s="3" t="s">
        <v>43</v>
      </c>
      <c r="C72" s="72" t="n">
        <f>SUM(C53:L53)+C70</f>
        <v>368160.07399931335</v>
      </c>
    </row>
    <row r="73" spans="2:12" ht="15" thickTop="1"/>
    <row r="74" spans="2:12" ht="18.5">
      <c r="B74" s="69" t="s">
        <v>42</v>
      </c>
      <c r="C74" s="70" t="n">
        <f>C72/(C11/1000000)</f>
        <v>140.02377948310573</v>
      </c>
    </row>
  </sheetData>
  <mergeCells count="2">
    <mergeCell ref="B57:L58"/>
    <mergeCell ref="B67:L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:E21"/>
  <sheetViews>
    <sheetView showGridLines="0" workbookViewId="0">
      <selection activeCell="C15" sqref="C15"/>
    </sheetView>
  </sheetViews>
  <sheetFormatPr defaultRowHeight="14.5"/>
  <cols>
    <col min="2" max="2" customWidth="true" width="29.90625"/>
  </cols>
  <sheetData>
    <row r="13" spans="2:3" ht="20" thickBot="1">
      <c r="B13" s="8" t="s">
        <v>105</v>
      </c>
      <c r="C13" s="8"/>
    </row>
    <row r="14" spans="2:3" ht="15" thickTop="1"/>
    <row r="15" spans="2:3">
      <c r="B15" s="18" t="s">
        <v>106</v>
      </c>
      <c r="C15" s="78" t="n">
        <v>6.730000019073486</v>
      </c>
    </row>
    <row r="16" spans="2:3">
      <c r="B16" s="18" t="s">
        <v>111</v>
      </c>
      <c r="C16" s="0">
        <v>7</v>
      </c>
    </row>
    <row r="17" spans="2:5">
      <c r="B17" s="18" t="s">
        <v>154</v>
      </c>
      <c r="C17" s="78" t="n">
        <v>4.5</v>
      </c>
    </row>
    <row r="18" spans="2:5">
      <c r="B18" s="18" t="s">
        <v>108</v>
      </c>
      <c r="C18" s="0">
        <v>4.42</v>
      </c>
      <c r="D18" s="77" t="s">
        <v>110</v>
      </c>
      <c r="E18" s="76" t="s">
        <v>109</v>
      </c>
    </row>
    <row r="20" spans="2:5" ht="15" thickBot="1">
      <c r="B20" s="75" t="s">
        <v>107</v>
      </c>
      <c r="C20" s="79" t="n">
        <f>(C15*(C16+C17)*4.4)/C18</f>
        <v>77.04479659844299</v>
      </c>
    </row>
    <row r="21" spans="2:5" ht="15" thickTop="1"/>
  </sheetData>
  <hyperlinks>
    <hyperlink ref="E18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8"/>
  <sheetViews>
    <sheetView workbookViewId="0">
      <selection activeCell="P7" sqref="P7"/>
    </sheetView>
  </sheetViews>
  <sheetFormatPr defaultRowHeight="14.5"/>
  <cols>
    <col min="2" max="2" bestFit="true" customWidth="true" width="16.1796875"/>
    <col min="3" max="3" bestFit="true" customWidth="true" width="12.6328125"/>
    <col min="15" max="15" bestFit="true" customWidth="true" width="22.54296875"/>
    <col min="16" max="16" bestFit="true" customWidth="true" width="6.81640625"/>
  </cols>
  <sheetData>
    <row r="2" spans="2:16" ht="15" thickBot="1">
      <c r="B2" s="1" t="s">
        <v>120</v>
      </c>
      <c r="C2" s="117" t="n">
        <v>4.449999809265137</v>
      </c>
    </row>
    <row r="3" spans="2:16" ht="15" thickBot="1"/>
    <row r="4" spans="2:16" ht="20" thickBot="1">
      <c r="B4" s="161" t="s">
        <v>113</v>
      </c>
      <c r="C4" s="162"/>
    </row>
    <row r="5" spans="2:16" ht="15" thickBot="1">
      <c r="B5" s="80" t="s">
        <v>114</v>
      </c>
      <c r="C5" s="81" t="s">
        <v>115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84" t="s">
        <v>116</v>
      </c>
      <c r="P5" s="85" t="s">
        <v>117</v>
      </c>
    </row>
    <row r="6" spans="2:16" ht="15" thickBot="1">
      <c r="B6" s="86" t="s">
        <v>118</v>
      </c>
      <c r="C6" s="87">
        <v>1</v>
      </c>
      <c r="D6" s="87">
        <v>2</v>
      </c>
      <c r="E6" s="87">
        <v>3</v>
      </c>
      <c r="F6" s="87">
        <v>4</v>
      </c>
      <c r="G6" s="87">
        <v>5</v>
      </c>
      <c r="H6" s="87">
        <v>6</v>
      </c>
      <c r="I6" s="87">
        <v>7</v>
      </c>
      <c r="J6" s="87">
        <v>8</v>
      </c>
      <c r="K6" s="87">
        <v>9</v>
      </c>
      <c r="L6" s="87">
        <v>10</v>
      </c>
      <c r="M6" s="163" t="s">
        <v>119</v>
      </c>
      <c r="N6" s="164"/>
      <c r="O6" s="88" t="s">
        <v>120</v>
      </c>
      <c r="P6" s="106" t="n">
        <f>C2</f>
        <v>4.449999809265137</v>
      </c>
    </row>
    <row r="7" spans="2:16" ht="15" thickBot="1">
      <c r="B7" s="89" t="s">
        <v>121</v>
      </c>
      <c r="C7" s="90" t="n">
        <f>P6*(1+P7)</f>
        <v>4.538999803461159</v>
      </c>
      <c r="D7" s="90" t="n">
        <f>C7*(1+P7)</f>
        <v>4.629779797501314</v>
      </c>
      <c r="E7" s="90" t="n">
        <f>D7*(1+P7)</f>
        <v>4.722375391381686</v>
      </c>
      <c r="F7" s="90" t="n">
        <f>E7*(1+P7)</f>
        <v>4.81682289709828</v>
      </c>
      <c r="G7" s="90" t="n">
        <f>F7*(1+P7)</f>
        <v>4.913159352886981</v>
      </c>
      <c r="H7" s="90" t="n">
        <f>G7*(1+P7)</f>
        <v>5.01142253774839</v>
      </c>
      <c r="I7" s="90" t="n">
        <f>H7*(1+P7)</f>
        <v>5.111650986263101</v>
      </c>
      <c r="J7" s="90" t="n">
        <f>I7*(1+P7)</f>
        <v>5.213884003703301</v>
      </c>
      <c r="K7" s="90" t="n">
        <f>J7*(1+P7)</f>
        <v>5.318161681446603</v>
      </c>
      <c r="L7" s="90" t="n">
        <f>K7*(1+P7)</f>
        <v>5.424524912698154</v>
      </c>
      <c r="M7" s="159" t="n">
        <f>L7*(1+P7)/(P8-P7)</f>
        <v>121.41230764317966</v>
      </c>
      <c r="N7" s="160"/>
      <c r="O7" s="88" t="s">
        <v>122</v>
      </c>
      <c r="P7" s="104" t="n">
        <v>0.019999999552965164</v>
      </c>
    </row>
    <row r="8" spans="2:16" ht="15" thickBot="1">
      <c r="B8" s="89" t="s">
        <v>123</v>
      </c>
      <c r="C8" s="90" t="n">
        <f>C7/(1+P8)</f>
        <v>4.259683366159216</v>
      </c>
      <c r="D8" s="90" t="n">
        <f>D7/(1+P8)^2</f>
        <v>4.077506327563138</v>
      </c>
      <c r="E8" s="90" t="n">
        <f>E7/(1+P8)^3</f>
        <v>3.90312058952602</v>
      </c>
      <c r="F8" s="90" t="n">
        <f>F7/(1+P8)^4</f>
        <v>3.736192935716789</v>
      </c>
      <c r="G8" s="90" t="n">
        <f>G7/(1+P8)^5</f>
        <v>3.576404400714453</v>
      </c>
      <c r="H8" s="90" t="n">
        <f>H7/(1+P8)^6</f>
        <v>3.423449660528779</v>
      </c>
      <c r="I8" s="90" t="n">
        <f>I7/(1+P8)^7</f>
        <v>3.277036449187168</v>
      </c>
      <c r="J8" s="90" t="n">
        <f>J7/(1+P8)^8</f>
        <v>3.136885000272651</v>
      </c>
      <c r="K8" s="90" t="n">
        <f>K7/(1+P8)^9</f>
        <v>3.002727512346175</v>
      </c>
      <c r="L8" s="90" t="n">
        <f>L7/(1+P8)^10</f>
        <v>2.8743076372315186</v>
      </c>
      <c r="M8" s="159" t="n">
        <f>M7/POWER((1+P8),10)</f>
        <v>64.33306671627298</v>
      </c>
      <c r="N8" s="160"/>
      <c r="O8" s="91" t="s">
        <v>124</v>
      </c>
      <c r="P8" s="105" t="n">
        <f>WACC!$C$25</f>
        <v>0.06557211259432376</v>
      </c>
    </row>
    <row r="9" spans="2:16">
      <c r="B9" s="92"/>
      <c r="N9" s="93"/>
    </row>
    <row r="10" spans="2:16" ht="20" thickBot="1">
      <c r="B10" s="94" t="s">
        <v>125</v>
      </c>
      <c r="C10" s="95" t="n">
        <f>SUM(C8:N8)*(1-P9)</f>
        <v>99.6003805955189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6">
      <c r="B11" s="98"/>
      <c r="C11" s="98"/>
    </row>
    <row r="12" spans="2:16" ht="15" thickBot="1">
      <c r="O12" s="99"/>
    </row>
    <row r="13" spans="2:16" ht="20" thickBot="1">
      <c r="B13" s="161" t="s">
        <v>113</v>
      </c>
      <c r="C13" s="162"/>
    </row>
    <row r="14" spans="2:16" ht="15" thickBot="1">
      <c r="B14" s="80" t="s">
        <v>114</v>
      </c>
      <c r="C14" s="81" t="s">
        <v>126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84" t="s">
        <v>116</v>
      </c>
      <c r="P14" s="85" t="s">
        <v>117</v>
      </c>
    </row>
    <row r="15" spans="2:16" ht="15" thickBot="1">
      <c r="B15" s="86" t="s">
        <v>118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7">
        <v>7</v>
      </c>
      <c r="J15" s="87">
        <v>8</v>
      </c>
      <c r="K15" s="87">
        <v>9</v>
      </c>
      <c r="L15" s="87">
        <v>10</v>
      </c>
      <c r="M15" s="163" t="s">
        <v>119</v>
      </c>
      <c r="N15" s="164"/>
      <c r="O15" s="88" t="s">
        <v>120</v>
      </c>
      <c r="P15" s="106" t="n">
        <f>C2</f>
        <v>4.449999809265137</v>
      </c>
    </row>
    <row r="16" spans="2:16" ht="15" thickBot="1">
      <c r="B16" s="89" t="s">
        <v>121</v>
      </c>
      <c r="C16" s="90" t="n">
        <f>P15*(1+P16)</f>
        <v>4.561249806154527</v>
      </c>
      <c r="D16" s="90" t="n">
        <f>C16*(1+P16)</f>
        <v>4.675281053007596</v>
      </c>
      <c r="E16" s="90" t="n">
        <f>D16*(1+P16)</f>
        <v>4.792163081074473</v>
      </c>
      <c r="F16" s="90" t="n">
        <f>E16*(1+P16)</f>
        <v>4.911967159886556</v>
      </c>
      <c r="G16" s="90" t="n">
        <f>F16*(1+P16)</f>
        <v>5.034766340713579</v>
      </c>
      <c r="H16" s="90" t="n">
        <f>G16*(1+P16)</f>
        <v>5.160635501107021</v>
      </c>
      <c r="I16" s="90" t="n">
        <f>H16*(1+P16)</f>
        <v>5.289651390557187</v>
      </c>
      <c r="J16" s="90" t="n">
        <f>I16*(1+P16)</f>
        <v>5.421892677291674</v>
      </c>
      <c r="K16" s="90" t="n">
        <f>J16*(1+P16)</f>
        <v>5.5574399962437795</v>
      </c>
      <c r="L16" s="90" t="n">
        <f>K16*(1+P16)</f>
        <v>5.696375998220188</v>
      </c>
      <c r="M16" s="159" t="n">
        <f>L16*(1+P16)/(P17-P16)</f>
        <v>143.91129967251905</v>
      </c>
      <c r="N16" s="160"/>
      <c r="O16" s="88" t="s">
        <v>122</v>
      </c>
      <c r="P16" s="104" t="n">
        <v>0.02500000037252903</v>
      </c>
    </row>
    <row r="17" spans="2:16" ht="15" thickBot="1">
      <c r="B17" s="89" t="s">
        <v>123</v>
      </c>
      <c r="C17" s="90" t="n">
        <f>C16/(1+P17)</f>
        <v>4.280564170405489</v>
      </c>
      <c r="D17" s="90" t="n">
        <f>D16/(1+P17)^2</f>
        <v>4.117579865691041</v>
      </c>
      <c r="E17" s="90" t="n">
        <f>E16/(1+P17)^3</f>
        <v>3.960801257825379</v>
      </c>
      <c r="F17" s="90" t="n">
        <f>F16/(1+P17)^4</f>
        <v>3.8099920622567534</v>
      </c>
      <c r="G17" s="90" t="n">
        <f>G16/(1+P17)^5</f>
        <v>3.664924991068422</v>
      </c>
      <c r="H17" s="90" t="n">
        <f>H16/(1+P17)^6</f>
        <v>3.5253814104279018</v>
      </c>
      <c r="I17" s="90" t="n">
        <f>I16/(1+P17)^7</f>
        <v>3.3911510110790823</v>
      </c>
      <c r="J17" s="90" t="n">
        <f>J16/(1+P17)^8</f>
        <v>3.2620314913803385</v>
      </c>
      <c r="K17" s="90" t="n">
        <f>K16/(1+P17)^9</f>
        <v>3.13782825241128</v>
      </c>
      <c r="L17" s="90" t="n">
        <f>L16/(1+P17)^10</f>
        <v>3.0183541046883375</v>
      </c>
      <c r="M17" s="159" t="n">
        <f>M16/POWER((1+P17),10)</f>
        <v>76.25466826861499</v>
      </c>
      <c r="N17" s="160"/>
      <c r="O17" s="91" t="s">
        <v>124</v>
      </c>
      <c r="P17" s="105" t="n">
        <f>WACC!$C$25</f>
        <v>0.06557211259432376</v>
      </c>
    </row>
    <row r="18" spans="2:16">
      <c r="B18" s="92"/>
      <c r="N18" s="93"/>
    </row>
    <row r="19" spans="2:16" ht="20" thickBot="1">
      <c r="B19" s="94" t="s">
        <v>125</v>
      </c>
      <c r="C19" s="95" t="n">
        <f>SUM(C17:N17)*(1-P18)</f>
        <v>112.423276885849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1" spans="2:16" ht="15" thickBot="1"/>
    <row r="22" spans="2:16" ht="20" thickBot="1">
      <c r="B22" s="161" t="s">
        <v>113</v>
      </c>
      <c r="C22" s="162"/>
    </row>
    <row r="23" spans="2:16" ht="15" thickBot="1">
      <c r="B23" s="80" t="s">
        <v>114</v>
      </c>
      <c r="C23" s="81" t="s">
        <v>127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4" t="s">
        <v>116</v>
      </c>
      <c r="P23" s="85" t="s">
        <v>117</v>
      </c>
    </row>
    <row r="24" spans="2:16" ht="15" thickBot="1">
      <c r="B24" s="86" t="s">
        <v>118</v>
      </c>
      <c r="C24" s="87">
        <v>1</v>
      </c>
      <c r="D24" s="87">
        <v>2</v>
      </c>
      <c r="E24" s="87">
        <v>3</v>
      </c>
      <c r="F24" s="87">
        <v>4</v>
      </c>
      <c r="G24" s="87">
        <v>5</v>
      </c>
      <c r="H24" s="87">
        <v>6</v>
      </c>
      <c r="I24" s="87">
        <v>7</v>
      </c>
      <c r="J24" s="87">
        <v>8</v>
      </c>
      <c r="K24" s="87">
        <v>9</v>
      </c>
      <c r="L24" s="87">
        <v>10</v>
      </c>
      <c r="M24" s="163" t="s">
        <v>119</v>
      </c>
      <c r="N24" s="164"/>
      <c r="O24" s="88" t="s">
        <v>120</v>
      </c>
      <c r="P24" s="106" t="n">
        <f>C2</f>
        <v>4.449999809265137</v>
      </c>
    </row>
    <row r="25" spans="2:16" ht="15" thickBot="1">
      <c r="B25" s="89" t="s">
        <v>121</v>
      </c>
      <c r="C25" s="90" t="n">
        <f>P24*(1+P25)</f>
        <v>4.583499800559147</v>
      </c>
      <c r="D25" s="90" t="n">
        <f>C25*(1+P25)</f>
        <v>4.721004791502459</v>
      </c>
      <c r="E25" s="90" t="n">
        <f>D25*(1+P25)</f>
        <v>4.862634932081864</v>
      </c>
      <c r="F25" s="90" t="n">
        <f>E25*(1+P25)</f>
        <v>5.008513976783676</v>
      </c>
      <c r="G25" s="90" t="n">
        <f>F25*(1+P25)</f>
        <v>5.158769392728732</v>
      </c>
      <c r="H25" s="90" t="n">
        <f>G25*(1+P25)</f>
        <v>5.313532471051379</v>
      </c>
      <c r="I25" s="90" t="n">
        <f>H25*(1+P25)</f>
        <v>5.472938441619932</v>
      </c>
      <c r="J25" s="90" t="n">
        <f>I25*(1+P25)</f>
        <v>5.6371265911986495</v>
      </c>
      <c r="K25" s="90" t="n">
        <f>J25*(1+P25)</f>
        <v>5.806240385154634</v>
      </c>
      <c r="L25" s="90" t="n">
        <f>K25*(1+P25)</f>
        <v>5.980427592815895</v>
      </c>
      <c r="M25" s="159" t="n">
        <f>L25*(1+P25)/(P26-P25)</f>
        <v>173.1648713339849</v>
      </c>
      <c r="N25" s="160"/>
      <c r="O25" s="88" t="s">
        <v>122</v>
      </c>
      <c r="P25" s="104" t="n">
        <v>0.029999999329447746</v>
      </c>
    </row>
    <row r="26" spans="2:16" ht="15" thickBot="1">
      <c r="B26" s="89" t="s">
        <v>123</v>
      </c>
      <c r="C26" s="90" t="n">
        <f>C25/(1+P26)</f>
        <v>4.301444966873078</v>
      </c>
      <c r="D26" s="90" t="n">
        <f>D25/(1+P26)^2</f>
        <v>4.1578493474346985</v>
      </c>
      <c r="E26" s="90" t="n">
        <f>E25/(1+P26)^3</f>
        <v>4.019047396654354</v>
      </c>
      <c r="F26" s="90" t="n">
        <f>F25/(1+P26)^4</f>
        <v>3.8848790869539376</v>
      </c>
      <c r="G26" s="90" t="n">
        <f>G25/(1+P26)^5</f>
        <v>3.7551897329739363</v>
      </c>
      <c r="H26" s="90" t="n">
        <f>H25/(1+P26)^6</f>
        <v>3.62982981323352</v>
      </c>
      <c r="I26" s="90" t="n">
        <f>I25/(1+P26)^7</f>
        <v>3.5086547977442453</v>
      </c>
      <c r="J26" s="90" t="n">
        <f>J25/(1+P26)^8</f>
        <v>3.3915249813784336</v>
      </c>
      <c r="K26" s="90" t="n">
        <f>K25/(1+P26)^9</f>
        <v>3.278305322800352</v>
      </c>
      <c r="L26" s="90" t="n">
        <f>L25/(1+P26)^10</f>
        <v>3.168865288774339</v>
      </c>
      <c r="M26" s="159" t="n">
        <f>M25/POWER((1+P26),10)</f>
        <v>91.75533713751841</v>
      </c>
      <c r="N26" s="160"/>
      <c r="O26" s="91" t="s">
        <v>124</v>
      </c>
      <c r="P26" s="105" t="n">
        <f>WACC!$C$25</f>
        <v>0.06557211259432376</v>
      </c>
    </row>
    <row r="27" spans="2:16">
      <c r="B27" s="92"/>
      <c r="N27" s="93"/>
    </row>
    <row r="28" spans="2:16" ht="20" thickBot="1">
      <c r="B28" s="94" t="s">
        <v>125</v>
      </c>
      <c r="C28" s="95" t="n">
        <f>SUM(C26:N26)*(1-P27)</f>
        <v>128.850927872339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J83"/>
  <sheetViews>
    <sheetView zoomScale="85" zoomScaleNormal="85" workbookViewId="0">
      <selection activeCell="D60" sqref="D60:M60"/>
    </sheetView>
  </sheetViews>
  <sheetFormatPr defaultRowHeight="14.5"/>
  <cols>
    <col min="2" max="2" bestFit="true" customWidth="true" width="62.26953125"/>
    <col min="3" max="3" bestFit="true" customWidth="true" style="110" width="10.0"/>
    <col min="4" max="4" bestFit="true" customWidth="true" style="110" width="13.26953125"/>
    <col min="5" max="11" bestFit="true" customWidth="true" style="110" width="11.26953125"/>
    <col min="12" max="13" bestFit="true" customWidth="true" style="110" width="11.6328125"/>
    <col min="19" max="19" customWidth="true" width="11.7265625"/>
  </cols>
  <sheetData>
    <row r="2" spans="2:17" ht="17.5" thickBot="1">
      <c r="B2" s="2" t="s">
        <v>45</v>
      </c>
      <c r="C2" s="109"/>
      <c r="D2" s="109">
        <v>2013</v>
      </c>
      <c r="E2" s="109">
        <v>2014</v>
      </c>
      <c r="F2" s="109">
        <v>2015</v>
      </c>
      <c r="G2" s="109">
        <v>2016</v>
      </c>
      <c r="H2" s="109">
        <v>2017</v>
      </c>
      <c r="I2" s="109">
        <v>2018</v>
      </c>
      <c r="J2" s="109">
        <v>2019</v>
      </c>
      <c r="K2" s="109">
        <v>2020</v>
      </c>
      <c r="L2" s="109">
        <v>2021</v>
      </c>
      <c r="M2" s="109">
        <v>2022</v>
      </c>
    </row>
    <row r="3" spans="2:17" ht="15" thickTop="1">
      <c r="B3" s="18" t="s">
        <v>26</v>
      </c>
      <c r="C3" s="120" t="n">
        <v>67224.0</v>
      </c>
      <c r="D3" s="110" t="n">
        <v>71312.0</v>
      </c>
      <c r="E3" s="110" t="n">
        <v>74331.0</v>
      </c>
      <c r="F3" s="110" t="n">
        <v>70074.0</v>
      </c>
      <c r="G3" s="110" t="n">
        <v>71890.0</v>
      </c>
      <c r="H3" s="110" t="n">
        <v>76450.0</v>
      </c>
      <c r="I3" s="110" t="n">
        <v>81581.0</v>
      </c>
      <c r="J3" s="110" t="n">
        <v>82059.0</v>
      </c>
      <c r="K3" s="110" t="n">
        <v>82584.0</v>
      </c>
      <c r="L3" s="110" t="n">
        <v>93775.0</v>
      </c>
      <c r="M3" s="110" t="n">
        <v>94943.0</v>
      </c>
      <c r="Q3" s="107"/>
    </row>
    <row r="4" spans="2:17">
      <c r="B4" s="18" t="s">
        <v>27</v>
      </c>
      <c r="C4" s="113"/>
      <c r="D4" s="121" t="n">
        <f t="shared" ref="D4:M4" si="0">(D3-C3)/C3</f>
        <v>0.060811614899440675</v>
      </c>
      <c r="E4" s="121" t="n">
        <f t="shared" si="0"/>
        <v>0.04233509086829706</v>
      </c>
      <c r="F4" s="121" t="n">
        <f t="shared" si="0"/>
        <v>-0.05727085603583969</v>
      </c>
      <c r="G4" s="121" t="n">
        <f t="shared" si="0"/>
        <v>0.025915460798584353</v>
      </c>
      <c r="H4" s="121" t="n">
        <f t="shared" si="0"/>
        <v>0.06343024064543051</v>
      </c>
      <c r="I4" s="121" t="n">
        <f t="shared" si="0"/>
        <v>0.06711576193590582</v>
      </c>
      <c r="J4" s="121" t="n">
        <f t="shared" si="0"/>
        <v>0.0058592074134908865</v>
      </c>
      <c r="K4" s="121" t="n">
        <f t="shared" si="0"/>
        <v>0.006397835703579132</v>
      </c>
      <c r="L4" s="121" t="n">
        <f t="shared" si="0"/>
        <v>0.13551051051051052</v>
      </c>
      <c r="M4" s="121" t="n">
        <f t="shared" si="0"/>
        <v>0.012455345241268996</v>
      </c>
      <c r="Q4" s="107"/>
    </row>
    <row r="5" spans="2:17">
      <c r="B5" s="18"/>
      <c r="C5" s="113"/>
      <c r="D5" s="115"/>
      <c r="E5" s="115"/>
      <c r="F5" s="115"/>
      <c r="G5" s="115"/>
      <c r="H5" s="115"/>
      <c r="I5" s="115"/>
      <c r="J5" s="115"/>
      <c r="K5" s="115"/>
      <c r="L5" s="115"/>
      <c r="M5" s="115"/>
      <c r="Q5" s="107"/>
    </row>
    <row r="6" spans="2:17">
      <c r="B6" s="18" t="s">
        <v>29</v>
      </c>
      <c r="C6" s="110" t="n">
        <v>10853.0</v>
      </c>
      <c r="D6" s="110" t="n">
        <v>13831.0</v>
      </c>
      <c r="E6" s="110" t="n">
        <v>16323.0</v>
      </c>
      <c r="F6" s="110" t="n">
        <v>15409.0</v>
      </c>
      <c r="G6" s="110" t="n">
        <v>16540.0</v>
      </c>
      <c r="H6" s="110" t="n">
        <v>1300.0</v>
      </c>
      <c r="I6" s="110" t="n">
        <v>15297.0</v>
      </c>
      <c r="J6" s="110" t="n">
        <v>15119.0</v>
      </c>
      <c r="K6" s="110" t="n">
        <v>14714.0</v>
      </c>
      <c r="L6" s="110" t="n">
        <v>20878.0</v>
      </c>
      <c r="M6" s="110" t="n">
        <v>17941.0</v>
      </c>
      <c r="Q6" s="107"/>
    </row>
    <row r="7" spans="2:17">
      <c r="B7" s="18" t="s">
        <v>27</v>
      </c>
      <c r="C7" s="113"/>
      <c r="D7" s="121" t="n">
        <f t="shared" ref="D7" si="1">(D6-C6)/C6</f>
        <v>0.2743941767253294</v>
      </c>
      <c r="E7" s="121" t="n">
        <f t="shared" ref="E7" si="2">(E6-D6)/D6</f>
        <v>0.1801749692719254</v>
      </c>
      <c r="F7" s="121" t="n">
        <f t="shared" ref="F7" si="3">(F6-E6)/E6</f>
        <v>-0.05599460883416039</v>
      </c>
      <c r="G7" s="121" t="n">
        <f t="shared" ref="G7" si="4">(G6-F6)/F6</f>
        <v>0.07339866311895646</v>
      </c>
      <c r="H7" s="121" t="n">
        <f t="shared" ref="H7" si="5">(H6-G6)/G6</f>
        <v>-0.9214026602176542</v>
      </c>
      <c r="I7" s="121" t="n">
        <f t="shared" ref="I7" si="6">(I6-H6)/H6</f>
        <v>10.766923076923076</v>
      </c>
      <c r="J7" s="121" t="n">
        <f t="shared" ref="J7" si="7">(J6-I6)/I6</f>
        <v>-0.011636268549388769</v>
      </c>
      <c r="K7" s="121" t="n">
        <f t="shared" ref="K7" si="8">(K6-J6)/J6</f>
        <v>-0.02678748594483762</v>
      </c>
      <c r="L7" s="121" t="n">
        <f t="shared" ref="L7" si="9">(L6-K6)/K6</f>
        <v>0.41892075574282994</v>
      </c>
      <c r="M7" s="121" t="n">
        <f t="shared" ref="M7" si="10">(M6-L6)/L6</f>
        <v>-0.14067439409905164</v>
      </c>
      <c r="Q7" s="107"/>
    </row>
    <row r="8" spans="2:17">
      <c r="D8" s="115"/>
      <c r="E8" s="115"/>
      <c r="F8" s="115"/>
      <c r="G8" s="115"/>
      <c r="H8" s="115"/>
      <c r="I8" s="115"/>
      <c r="J8" s="115"/>
      <c r="K8" s="115"/>
      <c r="L8" s="115"/>
      <c r="M8" s="115"/>
      <c r="Q8" s="107"/>
    </row>
    <row r="9" spans="2:17">
      <c r="B9" s="18" t="s">
        <v>47</v>
      </c>
      <c r="C9" s="110" t="n">
        <v>18037.0</v>
      </c>
      <c r="D9" s="110" t="n">
        <v>20131.0</v>
      </c>
      <c r="E9" s="110" t="n">
        <v>25058.0</v>
      </c>
      <c r="F9" s="110" t="n">
        <v>23622.0</v>
      </c>
      <c r="G9" s="110" t="n">
        <v>24651.0</v>
      </c>
      <c r="H9" s="110" t="n">
        <v>24634.0</v>
      </c>
      <c r="I9" s="110" t="n">
        <v>26544.0</v>
      </c>
      <c r="J9" s="110" t="n">
        <v>25012.0</v>
      </c>
      <c r="K9" s="110" t="n">
        <v>24040.0</v>
      </c>
      <c r="L9" s="110" t="n">
        <v>30402.0</v>
      </c>
      <c r="M9" s="110" t="n">
        <v>29461.0</v>
      </c>
      <c r="Q9" s="107"/>
    </row>
    <row r="10" spans="2:17">
      <c r="B10" s="18" t="s">
        <v>27</v>
      </c>
      <c r="C10" s="113"/>
      <c r="D10" s="121" t="n">
        <f t="shared" ref="D10" si="11">(D9-C9)/C9</f>
        <v>0.11609469423961856</v>
      </c>
      <c r="E10" s="121" t="n">
        <f t="shared" ref="E10" si="12">(E9-D9)/D9</f>
        <v>0.24474690775420993</v>
      </c>
      <c r="F10" s="121" t="n">
        <f t="shared" ref="F10" si="13">(F9-E9)/E9</f>
        <v>-0.05730704764945327</v>
      </c>
      <c r="G10" s="121" t="n">
        <f t="shared" ref="G10" si="14">(G9-F9)/F9</f>
        <v>0.04356108712217424</v>
      </c>
      <c r="H10" s="121" t="n">
        <f t="shared" ref="H10" si="15">(H9-G9)/G9</f>
        <v>-6.89627195651292E-4</v>
      </c>
      <c r="I10" s="121" t="n">
        <f t="shared" ref="I10" si="16">(I9-H9)/H9</f>
        <v>0.07753511406998458</v>
      </c>
      <c r="J10" s="121" t="n">
        <f t="shared" ref="J10" si="17">(J9-I9)/I9</f>
        <v>-0.057715491259795054</v>
      </c>
      <c r="K10" s="121" t="n">
        <f t="shared" ref="K10" si="18">(K9-J9)/J9</f>
        <v>-0.038861346553654245</v>
      </c>
      <c r="L10" s="121" t="n">
        <f t="shared" ref="L10" si="19">(L9-K9)/K9</f>
        <v>0.26464226289517473</v>
      </c>
      <c r="M10" s="121" t="n">
        <f t="shared" ref="M10" si="20">(M9-L9)/L9</f>
        <v>-0.030951911058482995</v>
      </c>
      <c r="Q10" s="107"/>
    </row>
    <row r="11" spans="2:17">
      <c r="B11" s="18"/>
      <c r="C11" s="113"/>
      <c r="Q11" s="107"/>
    </row>
    <row r="12" spans="2:17">
      <c r="B12" s="18" t="s">
        <v>143</v>
      </c>
      <c r="C12" s="110" t="n">
        <v>2812.60009765625</v>
      </c>
      <c r="D12" s="110" t="n">
        <v>2877.0</v>
      </c>
      <c r="E12" s="110" t="n">
        <v>2863.89990234375</v>
      </c>
      <c r="F12" s="110" t="n">
        <v>2812.89990234375</v>
      </c>
      <c r="G12" s="110" t="n">
        <v>2788.89990234375</v>
      </c>
      <c r="H12" s="110" t="n">
        <v>2745.300048828125</v>
      </c>
      <c r="I12" s="110" t="n">
        <v>2728.699951171875</v>
      </c>
      <c r="J12" s="110" t="n">
        <v>2684.300048828125</v>
      </c>
      <c r="K12" s="110" t="n">
        <v>2670.699951171875</v>
      </c>
      <c r="L12" s="110" t="n">
        <v>2674.0</v>
      </c>
      <c r="M12" s="110" t="n">
        <v>2663.89990234375</v>
      </c>
      <c r="Q12" s="107"/>
    </row>
    <row r="13" spans="2:17">
      <c r="B13" s="18" t="s">
        <v>27</v>
      </c>
      <c r="C13" s="113"/>
      <c r="D13" s="121" t="n">
        <f t="shared" ref="D13" si="21">(D12-C12)/C12</f>
        <v>0.022896928147522526</v>
      </c>
      <c r="E13" s="121" t="n">
        <f t="shared" ref="E13" si="22">(E12-D12)/D12</f>
        <v>-0.004553388132168926</v>
      </c>
      <c r="F13" s="121" t="n">
        <f t="shared" ref="F13" si="23">(F12-E12)/E12</f>
        <v>-0.017807884960735803</v>
      </c>
      <c r="G13" s="121" t="n">
        <f t="shared" ref="G13" si="24">(G12-F12)/F12</f>
        <v>-0.008532120172496306</v>
      </c>
      <c r="H13" s="121" t="n">
        <f t="shared" ref="H13" si="25">(H12-G12)/G12</f>
        <v>-0.01563335187433021</v>
      </c>
      <c r="I13" s="121" t="n">
        <f t="shared" ref="I13" si="26">(I12-H12)/H12</f>
        <v>-0.006046733457545373</v>
      </c>
      <c r="J13" s="121" t="n">
        <f t="shared" ref="J13" si="27">(J12-I12)/I12</f>
        <v>-0.01627144909233491</v>
      </c>
      <c r="K13" s="121" t="n">
        <f t="shared" ref="K13" si="28">(K12-J12)/J12</f>
        <v>-0.005066534071773131</v>
      </c>
      <c r="L13" s="121" t="n">
        <f t="shared" ref="L13" si="29">(L12-K12)/K12</f>
        <v>0.0012356494134344695</v>
      </c>
      <c r="M13" s="121" t="n">
        <f t="shared" ref="M13" si="30">(M12-L12)/L12</f>
        <v>-0.003777149460078534</v>
      </c>
      <c r="Q13" s="107"/>
    </row>
    <row r="14" spans="2:17">
      <c r="B14" s="18"/>
      <c r="C14" s="113"/>
      <c r="Q14" s="107"/>
    </row>
    <row r="15" spans="2:17">
      <c r="B15" s="18" t="s">
        <v>144</v>
      </c>
      <c r="C15" s="110" t="n">
        <v>3.859999895095825</v>
      </c>
      <c r="D15" s="110" t="n">
        <v>4.809999942779541</v>
      </c>
      <c r="E15" s="110" t="n">
        <v>5.699999809265137</v>
      </c>
      <c r="F15" s="110" t="n">
        <v>5.480000019073486</v>
      </c>
      <c r="G15" s="110" t="n">
        <v>5.929999828338623</v>
      </c>
      <c r="H15" s="110" t="n">
        <v>0.4699999988079071</v>
      </c>
      <c r="I15" s="110" t="n">
        <v>5.610000133514404</v>
      </c>
      <c r="J15" s="110" t="n">
        <v>5.630000114440918</v>
      </c>
      <c r="K15" s="110" t="n">
        <v>5.510000228881836</v>
      </c>
      <c r="L15" s="110" t="n">
        <v>7.809999942779541</v>
      </c>
      <c r="M15" s="110" t="n">
        <v>6.730000019073486</v>
      </c>
      <c r="Q15" s="107"/>
    </row>
    <row r="16" spans="2:17">
      <c r="B16" s="18" t="s">
        <v>27</v>
      </c>
      <c r="D16" s="121" t="n">
        <f t="shared" ref="D16" si="31">(D15-C15)/C15</f>
        <v>0.246114008679301</v>
      </c>
      <c r="E16" s="121" t="n">
        <f t="shared" ref="E16" si="32">(E15-D15)/D15</f>
        <v>0.18503115947467028</v>
      </c>
      <c r="F16" s="121" t="n">
        <f t="shared" ref="F16" si="33">(F15-E15)/E15</f>
        <v>-0.038596455711112206</v>
      </c>
      <c r="G16" s="121" t="n">
        <f t="shared" ref="G16" si="34">(G15-F15)/F15</f>
        <v>0.08211675322972334</v>
      </c>
      <c r="H16" s="121" t="n">
        <f t="shared" ref="H16" si="35">(H15-G15)/G15</f>
        <v>-0.9207419877886274</v>
      </c>
      <c r="I16" s="121" t="n">
        <f t="shared" ref="I16" si="36">(I15-H15)/H15</f>
        <v>10.936170527113687</v>
      </c>
      <c r="J16" s="121" t="n">
        <f t="shared" ref="J16" si="37">(J15-I15)/I15</f>
        <v>0.003565058903837255</v>
      </c>
      <c r="K16" s="121" t="n">
        <f t="shared" ref="K16" si="38">(K15-J15)/J15</f>
        <v>-0.021314366451127227</v>
      </c>
      <c r="L16" s="121" t="n">
        <f t="shared" ref="L16" si="39">(L15-K15)/K15</f>
        <v>0.4174227982499477</v>
      </c>
      <c r="M16" s="121" t="n">
        <f t="shared" ref="M16" si="40">(M15-L15)/L15</f>
        <v>-0.13828424220470395</v>
      </c>
      <c r="Q16" s="107"/>
    </row>
    <row r="17" spans="2:36">
      <c r="B17" s="18"/>
      <c r="Q17" s="107"/>
    </row>
    <row r="19" spans="2:36" ht="17.5" thickBot="1">
      <c r="B19" s="2" t="s">
        <v>46</v>
      </c>
      <c r="C19" s="109"/>
      <c r="D19" s="109">
        <v>2013</v>
      </c>
      <c r="E19" s="109">
        <v>2014</v>
      </c>
      <c r="F19" s="109">
        <v>2015</v>
      </c>
      <c r="G19" s="109">
        <v>2016</v>
      </c>
      <c r="H19" s="109">
        <v>2017</v>
      </c>
      <c r="I19" s="109">
        <v>2018</v>
      </c>
      <c r="J19" s="109">
        <v>2019</v>
      </c>
      <c r="K19" s="109">
        <v>2020</v>
      </c>
      <c r="L19" s="109">
        <v>2021</v>
      </c>
      <c r="M19" s="109">
        <v>2022</v>
      </c>
    </row>
    <row r="20" spans="2:36" ht="15" thickTop="1">
      <c r="B20" s="31" t="s">
        <v>30</v>
      </c>
      <c r="C20" s="110" t="n">
        <v>13971.0</v>
      </c>
      <c r="D20" s="128" t="n">
        <v>14277.0</v>
      </c>
      <c r="E20" s="128" t="n">
        <v>19627.0</v>
      </c>
      <c r="F20" s="128" t="n">
        <v>19570.0</v>
      </c>
      <c r="G20" s="128" t="n">
        <v>16808.0</v>
      </c>
      <c r="H20" s="128" t="n">
        <v>19609.0</v>
      </c>
      <c r="I20" s="128" t="n">
        <v>21734.0</v>
      </c>
      <c r="J20" s="128" t="n">
        <v>23183.0</v>
      </c>
      <c r="K20" s="128" t="n">
        <v>20494.0</v>
      </c>
      <c r="L20" s="128" t="n">
        <v>20469.0</v>
      </c>
      <c r="M20" s="128" t="n">
        <v>17728.0</v>
      </c>
      <c r="O20" s="107"/>
      <c r="P20" s="107"/>
      <c r="Q20" s="107"/>
      <c r="R20" s="107"/>
      <c r="S20" s="107"/>
      <c r="T20" s="108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</row>
    <row r="21" spans="2:36">
      <c r="B21" s="31" t="s">
        <v>27</v>
      </c>
      <c r="C21" s="110"/>
      <c r="D21" s="129"/>
      <c r="E21" s="131" t="n">
        <f t="shared" ref="E21" si="41">(E20-D20)/D20</f>
        <v>0.37472858443650625</v>
      </c>
      <c r="F21" s="131" t="n">
        <f t="shared" ref="F21" si="42">(F20-E20)/E20</f>
        <v>-0.002904162633107454</v>
      </c>
      <c r="G21" s="131" t="n">
        <f t="shared" ref="G21" si="43">(G20-F20)/F20</f>
        <v>-0.14113438937148698</v>
      </c>
      <c r="H21" s="131" t="n">
        <f t="shared" ref="H21" si="44">(H20-G20)/G20</f>
        <v>0.16664683484055212</v>
      </c>
      <c r="I21" s="131" t="n">
        <f t="shared" ref="I21" si="45">(I20-H20)/H20</f>
        <v>0.10836860625223112</v>
      </c>
      <c r="J21" s="131" t="n">
        <f t="shared" ref="J21" si="46">(J20-I20)/I20</f>
        <v>0.06666973405723751</v>
      </c>
      <c r="K21" s="131" t="n">
        <f t="shared" ref="K21" si="47">(K20-J20)/J20</f>
        <v>-0.11599016520726395</v>
      </c>
      <c r="L21" s="131" t="n">
        <f t="shared" ref="L21" si="48">(L20-K20)/K20</f>
        <v>-0.001219869230018542</v>
      </c>
      <c r="M21" s="131" t="n">
        <f t="shared" ref="M21" si="49">(M20-L20)/L20</f>
        <v>-0.13390981484195613</v>
      </c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</row>
    <row r="22" spans="2:36"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</row>
    <row r="23" spans="2:36">
      <c r="B23" s="18" t="s">
        <v>60</v>
      </c>
      <c r="C23" s="113" t="n">
        <v>6614.0</v>
      </c>
      <c r="D23" s="130" t="n">
        <v>7286.0</v>
      </c>
      <c r="E23" s="130" t="n">
        <v>7768.0</v>
      </c>
      <c r="F23" s="130" t="n">
        <v>8173.0</v>
      </c>
      <c r="G23" s="130" t="n">
        <v>8621.0</v>
      </c>
      <c r="H23" s="130" t="n">
        <v>8943.0</v>
      </c>
      <c r="I23" s="130" t="n">
        <v>9494.0</v>
      </c>
      <c r="J23" s="130" t="n">
        <v>9917.0</v>
      </c>
      <c r="K23" s="130" t="n">
        <v>10481.0</v>
      </c>
      <c r="L23" s="130" t="n">
        <v>11032.0</v>
      </c>
      <c r="M23" s="130" t="n">
        <v>11682.0</v>
      </c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</row>
    <row r="24" spans="2:36">
      <c r="D24" s="121" t="n">
        <f t="shared" ref="D24" si="50">(D23-C23)/C23</f>
        <v>0.10160266102207438</v>
      </c>
      <c r="E24" s="121" t="n">
        <f t="shared" ref="E24" si="51">(E23-D23)/D23</f>
        <v>0.0661542684600604</v>
      </c>
      <c r="F24" s="121" t="n">
        <f t="shared" ref="F24" si="52">(F23-E23)/E23</f>
        <v>0.05213697219361483</v>
      </c>
      <c r="G24" s="121" t="n">
        <f t="shared" ref="G24" si="53">(G23-F23)/F23</f>
        <v>0.05481463354949223</v>
      </c>
      <c r="H24" s="121" t="n">
        <f t="shared" ref="H24" si="54">(H23-G23)/G23</f>
        <v>0.03735065537640645</v>
      </c>
      <c r="I24" s="121" t="n">
        <f t="shared" ref="I24" si="55">(I23-H23)/H23</f>
        <v>0.06161243430616124</v>
      </c>
      <c r="J24" s="121" t="n">
        <f t="shared" ref="J24" si="56">(J23-I23)/I23</f>
        <v>0.04455445544554455</v>
      </c>
      <c r="K24" s="121" t="n">
        <f t="shared" ref="K24" si="57">(K23-J23)/J23</f>
        <v>0.05687203791469194</v>
      </c>
      <c r="L24" s="121" t="n">
        <f t="shared" ref="L24" si="58">(L23-K23)/K23</f>
        <v>0.05257131953057914</v>
      </c>
      <c r="M24" s="121" t="n">
        <f t="shared" ref="M24" si="59">(M23-L23)/L23</f>
        <v>0.05891950688905004</v>
      </c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</row>
    <row r="25" spans="2:36"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</row>
    <row r="26" spans="2:36"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</row>
    <row r="27" spans="2:36" ht="17.5" thickBot="1">
      <c r="B27" s="2" t="s">
        <v>48</v>
      </c>
      <c r="C27" s="109">
        <v>2012</v>
      </c>
      <c r="D27" s="109">
        <v>2013</v>
      </c>
      <c r="E27" s="109">
        <v>2014</v>
      </c>
      <c r="F27" s="109">
        <v>2015</v>
      </c>
      <c r="G27" s="109">
        <v>2016</v>
      </c>
      <c r="H27" s="109">
        <v>2017</v>
      </c>
      <c r="I27" s="109">
        <v>2018</v>
      </c>
      <c r="J27" s="109">
        <v>2019</v>
      </c>
      <c r="K27" s="109">
        <v>2020</v>
      </c>
      <c r="L27" s="109">
        <v>2021</v>
      </c>
      <c r="M27" s="109">
        <v>2022</v>
      </c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</row>
    <row r="28" spans="2:36" ht="15" thickTop="1">
      <c r="B28" s="18" t="s">
        <v>49</v>
      </c>
      <c r="C28" s="110" t="n">
        <v>46116.0</v>
      </c>
      <c r="D28" s="110" t="n">
        <v>56407.0</v>
      </c>
      <c r="E28" s="110" t="n">
        <v>55744.0</v>
      </c>
      <c r="F28" s="110" t="n">
        <v>60210.0</v>
      </c>
      <c r="G28" s="110" t="n">
        <v>65032.0</v>
      </c>
      <c r="H28" s="110" t="n">
        <v>43088.0</v>
      </c>
      <c r="I28" s="110" t="n">
        <v>46033.0</v>
      </c>
      <c r="J28" s="110" t="n">
        <v>45274.0</v>
      </c>
      <c r="K28" s="110" t="n">
        <v>51237.0</v>
      </c>
      <c r="L28" s="110" t="n">
        <v>60979.0</v>
      </c>
      <c r="M28" s="110" t="n">
        <v>55294.0</v>
      </c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</row>
    <row r="29" spans="2:36">
      <c r="B29" s="18" t="s">
        <v>27</v>
      </c>
      <c r="C29" s="113"/>
      <c r="D29" s="121" t="n">
        <f t="shared" ref="D29" si="60">(D28-C28)/C28</f>
        <v>0.22315465348252234</v>
      </c>
      <c r="E29" s="121" t="n">
        <f t="shared" ref="E29" si="61">(E28-D28)/D28</f>
        <v>-0.01175386033648306</v>
      </c>
      <c r="F29" s="121" t="n">
        <f t="shared" ref="F29" si="62">(F28-E28)/E28</f>
        <v>0.0801162456946039</v>
      </c>
      <c r="G29" s="121" t="n">
        <f t="shared" ref="G29" si="63">(G28-F28)/F28</f>
        <v>0.08008636439129713</v>
      </c>
      <c r="H29" s="121" t="n">
        <f t="shared" ref="H29" si="64">(H28-G28)/G28</f>
        <v>-0.3374338787058679</v>
      </c>
      <c r="I29" s="121" t="n">
        <f t="shared" ref="I29" si="65">(I28-H28)/H28</f>
        <v>0.0683484961010026</v>
      </c>
      <c r="J29" s="121" t="n">
        <f t="shared" ref="J29" si="66">(J28-I28)/I28</f>
        <v>-0.016488171529120414</v>
      </c>
      <c r="K29" s="121" t="n">
        <f t="shared" ref="K29" si="67">(K28-J28)/J28</f>
        <v>0.13170914873879047</v>
      </c>
      <c r="L29" s="121" t="n">
        <f t="shared" ref="L29" si="68">(L28-K28)/K28</f>
        <v>0.1901360345063138</v>
      </c>
      <c r="M29" s="121" t="n">
        <f t="shared" ref="M29" si="69">(M28-L28)/L28</f>
        <v>-0.09322881647780383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</row>
    <row r="30" spans="2:36"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</row>
    <row r="31" spans="2:36">
      <c r="B31" s="18" t="s">
        <v>53</v>
      </c>
      <c r="C31" s="110" t="n">
        <v>75231.0</v>
      </c>
      <c r="D31" s="110" t="n">
        <v>76276.0</v>
      </c>
      <c r="E31" s="110" t="n">
        <v>74614.0</v>
      </c>
      <c r="F31" s="110" t="n">
        <v>73201.0</v>
      </c>
      <c r="G31" s="110" t="n">
        <v>76176.0</v>
      </c>
      <c r="H31" s="110" t="n">
        <v>114215.0</v>
      </c>
      <c r="I31" s="110" t="n">
        <v>106921.0</v>
      </c>
      <c r="J31" s="110" t="n">
        <v>112454.0</v>
      </c>
      <c r="K31" s="110" t="n">
        <v>123657.0</v>
      </c>
      <c r="L31" s="110" t="n">
        <v>121039.0</v>
      </c>
      <c r="M31" s="110" t="n">
        <v>132084.0</v>
      </c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</row>
    <row r="32" spans="2:36">
      <c r="B32" s="18" t="s">
        <v>27</v>
      </c>
      <c r="C32" s="113"/>
      <c r="D32" s="121" t="n">
        <f t="shared" ref="D32" si="70">(D31-C31)/C31</f>
        <v>0.013890550437984341</v>
      </c>
      <c r="E32" s="121" t="n">
        <f t="shared" ref="E32" si="71">(E31-D31)/D31</f>
        <v>-0.021789291520268497</v>
      </c>
      <c r="F32" s="121" t="n">
        <f t="shared" ref="F32" si="72">(F31-E31)/E31</f>
        <v>-0.018937464818934786</v>
      </c>
      <c r="G32" s="121" t="n">
        <f t="shared" ref="G32" si="73">(G31-F31)/F31</f>
        <v>0.04064152129069275</v>
      </c>
      <c r="H32" s="121" t="n">
        <f t="shared" ref="H32" si="74">(H31-G31)/G31</f>
        <v>0.49935675278302877</v>
      </c>
      <c r="I32" s="121" t="n">
        <f t="shared" ref="I32" si="75">(I31-H31)/H31</f>
        <v>-0.06386201462154709</v>
      </c>
      <c r="J32" s="121" t="n">
        <f t="shared" ref="J32" si="76">(J31-I31)/I31</f>
        <v>0.05174848720083052</v>
      </c>
      <c r="K32" s="121" t="n">
        <f t="shared" ref="K32" si="77">(K31-J31)/J31</f>
        <v>0.09962295694239422</v>
      </c>
      <c r="L32" s="121" t="n">
        <f t="shared" ref="L32" si="78">(L31-K31)/K31</f>
        <v>-0.021171466233209604</v>
      </c>
      <c r="M32" s="121" t="n">
        <f t="shared" ref="M32" si="79">(M31-L31)/L31</f>
        <v>0.09125158006923388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</row>
    <row r="33" spans="2:36"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</row>
    <row r="34" spans="2:36">
      <c r="B34" s="32" t="s">
        <v>50</v>
      </c>
      <c r="C34" s="111"/>
      <c r="D34" s="111" t="n">
        <f>D28+D31</f>
        <v>132683.0</v>
      </c>
      <c r="E34" s="111" t="n">
        <f t="shared" ref="E34:M34" si="80">E28+E31</f>
        <v>130358.0</v>
      </c>
      <c r="F34" s="111" t="n">
        <f t="shared" si="80"/>
        <v>133411.0</v>
      </c>
      <c r="G34" s="111" t="n">
        <f t="shared" si="80"/>
        <v>141208.0</v>
      </c>
      <c r="H34" s="111" t="n">
        <f t="shared" si="80"/>
        <v>157303.0</v>
      </c>
      <c r="I34" s="111" t="n">
        <f t="shared" si="80"/>
        <v>152954.0</v>
      </c>
      <c r="J34" s="111" t="n">
        <f t="shared" si="80"/>
        <v>157728.0</v>
      </c>
      <c r="K34" s="111" t="n">
        <f t="shared" si="80"/>
        <v>174894.0</v>
      </c>
      <c r="L34" s="111" t="n">
        <f t="shared" si="80"/>
        <v>182018.0</v>
      </c>
      <c r="M34" s="111" t="n">
        <f t="shared" si="80"/>
        <v>187378.0</v>
      </c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</row>
    <row r="35" spans="2:36"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</row>
    <row r="36" spans="2:36">
      <c r="B36" s="18" t="s">
        <v>51</v>
      </c>
      <c r="C36" s="113" t="n">
        <v>24262.0</v>
      </c>
      <c r="D36" s="118" t="n">
        <v>25675.0</v>
      </c>
      <c r="E36" s="110" t="n">
        <v>25031.0</v>
      </c>
      <c r="F36" s="110" t="n">
        <v>27747.0</v>
      </c>
      <c r="G36" s="110" t="n">
        <v>26287.0</v>
      </c>
      <c r="H36" s="110" t="n">
        <v>30537.0</v>
      </c>
      <c r="I36" s="110" t="n">
        <v>31230.0</v>
      </c>
      <c r="J36" s="110" t="n">
        <v>35964.0</v>
      </c>
      <c r="K36" s="110" t="n">
        <v>42493.0</v>
      </c>
      <c r="L36" s="110" t="n">
        <v>45226.0</v>
      </c>
      <c r="M36" s="110" t="n">
        <v>55802.0</v>
      </c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</row>
    <row r="37" spans="2:36">
      <c r="B37" s="18" t="s">
        <v>27</v>
      </c>
      <c r="C37" s="113"/>
      <c r="D37" s="121" t="n">
        <f t="shared" ref="D37" si="81">(D36-C36)/C36</f>
        <v>0.058239221828373586</v>
      </c>
      <c r="E37" s="121" t="n">
        <f t="shared" ref="E37" si="82">(E36-D36)/D36</f>
        <v>-0.02508276533592989</v>
      </c>
      <c r="F37" s="121" t="n">
        <f t="shared" ref="F37" si="83">(F36-E36)/E36</f>
        <v>0.1085054532379849</v>
      </c>
      <c r="G37" s="121" t="n">
        <f t="shared" ref="G37" si="84">(G36-F36)/F36</f>
        <v>-0.05261830107759397</v>
      </c>
      <c r="H37" s="121" t="n">
        <f t="shared" ref="H37" si="85">(H36-G36)/G36</f>
        <v>0.16167687450070378</v>
      </c>
      <c r="I37" s="121" t="n">
        <f t="shared" ref="I37" si="86">(I36-H36)/H36</f>
        <v>0.02269378131447097</v>
      </c>
      <c r="J37" s="121" t="n">
        <f t="shared" ref="J37" si="87">(J36-I36)/I36</f>
        <v>0.1515850144092219</v>
      </c>
      <c r="K37" s="121" t="n">
        <f t="shared" ref="K37" si="88">(K36-J36)/J36</f>
        <v>0.181542653764876</v>
      </c>
      <c r="L37" s="121" t="n">
        <f t="shared" ref="L37" si="89">(L36-K36)/K36</f>
        <v>0.06431647565481373</v>
      </c>
      <c r="M37" s="121" t="n">
        <f t="shared" ref="M37" si="90">(M36-L36)/L36</f>
        <v>0.23384778667138373</v>
      </c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</row>
    <row r="38" spans="2:36"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</row>
    <row r="39" spans="2:36">
      <c r="B39" s="18" t="s">
        <v>52</v>
      </c>
      <c r="C39" s="113" t="n">
        <v>32259.0</v>
      </c>
      <c r="D39" s="110" t="n">
        <v>32955.0</v>
      </c>
      <c r="E39" s="110" t="n">
        <v>35575.0</v>
      </c>
      <c r="F39" s="110" t="n">
        <v>34514.0</v>
      </c>
      <c r="G39" s="110" t="n">
        <v>44503.0</v>
      </c>
      <c r="H39" s="110" t="n">
        <v>66606.0</v>
      </c>
      <c r="I39" s="110" t="n">
        <v>61972.0</v>
      </c>
      <c r="J39" s="110" t="n">
        <v>62293.0</v>
      </c>
      <c r="K39" s="110" t="n">
        <v>69123.0</v>
      </c>
      <c r="L39" s="110" t="n">
        <v>62769.0</v>
      </c>
      <c r="M39" s="110" t="n">
        <v>54772.0</v>
      </c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</row>
    <row r="40" spans="2:36">
      <c r="B40" s="18" t="s">
        <v>27</v>
      </c>
      <c r="C40" s="113"/>
      <c r="D40" s="121" t="n">
        <f t="shared" ref="D40" si="91">(D39-C39)/C39</f>
        <v>0.02157537431414489</v>
      </c>
      <c r="E40" s="121" t="n">
        <f t="shared" ref="E40" si="92">(E39-D39)/D39</f>
        <v>0.0795023516917008</v>
      </c>
      <c r="F40" s="121" t="n">
        <f t="shared" ref="F40" si="93">(F39-E39)/E39</f>
        <v>-0.029824314827828532</v>
      </c>
      <c r="G40" s="121" t="n">
        <f t="shared" ref="G40" si="94">(G39-F39)/F39</f>
        <v>0.2894187865793591</v>
      </c>
      <c r="H40" s="121" t="n">
        <f t="shared" ref="H40" si="95">(H39-G39)/G39</f>
        <v>0.4966631463047435</v>
      </c>
      <c r="I40" s="121" t="n">
        <f t="shared" ref="I40" si="96">(I39-H39)/H39</f>
        <v>-0.06957331171365944</v>
      </c>
      <c r="J40" s="121" t="n">
        <f t="shared" ref="J40" si="97">(J39-I39)/I39</f>
        <v>0.005179758600658362</v>
      </c>
      <c r="K40" s="121" t="n">
        <f t="shared" ref="K40" si="98">(K39-J39)/J39</f>
        <v>0.10964313807329877</v>
      </c>
      <c r="L40" s="121" t="n">
        <f t="shared" ref="L40" si="99">(L39-K39)/K39</f>
        <v>-0.09192309361572848</v>
      </c>
      <c r="M40" s="121" t="n">
        <f t="shared" ref="M40" si="100">(M39-L39)/L39</f>
        <v>-0.12740365467029904</v>
      </c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</row>
    <row r="41" spans="2:36"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</row>
    <row r="42" spans="2:36">
      <c r="B42" s="31" t="s">
        <v>54</v>
      </c>
      <c r="C42" s="116">
        <v>1</v>
      </c>
      <c r="D42" s="111" t="n">
        <f>D36+D39</f>
        <v>58630.0</v>
      </c>
      <c r="E42" s="111" t="n">
        <f t="shared" ref="E42:M42" si="101">E36+E39</f>
        <v>60606.0</v>
      </c>
      <c r="F42" s="111" t="n">
        <f t="shared" si="101"/>
        <v>62261.0</v>
      </c>
      <c r="G42" s="111" t="n">
        <f t="shared" si="101"/>
        <v>70790.0</v>
      </c>
      <c r="H42" s="111" t="n">
        <f t="shared" si="101"/>
        <v>97143.0</v>
      </c>
      <c r="I42" s="111" t="n">
        <f t="shared" si="101"/>
        <v>93202.0</v>
      </c>
      <c r="J42" s="111" t="n">
        <f t="shared" si="101"/>
        <v>98257.0</v>
      </c>
      <c r="K42" s="111" t="n">
        <f t="shared" si="101"/>
        <v>111616.0</v>
      </c>
      <c r="L42" s="111" t="n">
        <f t="shared" si="101"/>
        <v>107995.0</v>
      </c>
      <c r="M42" s="111" t="n">
        <f t="shared" si="101"/>
        <v>110574.0</v>
      </c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</row>
    <row r="43" spans="2:36">
      <c r="B43" s="18"/>
      <c r="C43" s="113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</row>
    <row r="44" spans="2:36">
      <c r="B44" s="31" t="s">
        <v>55</v>
      </c>
      <c r="C44" s="134">
        <v>1</v>
      </c>
      <c r="D44" s="134" t="n">
        <f>D34-D42</f>
        <v>74053.0</v>
      </c>
      <c r="E44" s="134" t="n">
        <f t="shared" ref="E44:M44" si="102">E34-E42</f>
        <v>69752.0</v>
      </c>
      <c r="F44" s="134" t="n">
        <f t="shared" si="102"/>
        <v>71150.0</v>
      </c>
      <c r="G44" s="134" t="n">
        <f t="shared" si="102"/>
        <v>70418.0</v>
      </c>
      <c r="H44" s="134" t="n">
        <f t="shared" si="102"/>
        <v>60160.0</v>
      </c>
      <c r="I44" s="134" t="n">
        <f t="shared" si="102"/>
        <v>59752.0</v>
      </c>
      <c r="J44" s="134" t="n">
        <f t="shared" si="102"/>
        <v>59471.0</v>
      </c>
      <c r="K44" s="134" t="n">
        <f t="shared" si="102"/>
        <v>63278.0</v>
      </c>
      <c r="L44" s="134" t="n">
        <f t="shared" si="102"/>
        <v>74023.0</v>
      </c>
      <c r="M44" s="134" t="n">
        <f t="shared" si="102"/>
        <v>76804.0</v>
      </c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</row>
    <row r="45" spans="2:36"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</row>
    <row r="46" spans="2:36">
      <c r="B46" s="122" t="s">
        <v>158</v>
      </c>
      <c r="C46" s="133" t="n">
        <v>11489.0</v>
      </c>
      <c r="D46" s="133" t="n">
        <v>13328.0</v>
      </c>
      <c r="E46" s="133" t="n">
        <v>15122.0</v>
      </c>
      <c r="F46" s="133" t="n">
        <v>12857.0</v>
      </c>
      <c r="G46" s="133" t="n">
        <v>22442.0</v>
      </c>
      <c r="H46" s="133" t="n">
        <v>30675.0</v>
      </c>
      <c r="I46" s="133" t="n">
        <v>27684.0</v>
      </c>
      <c r="J46" s="133" t="n">
        <v>26494.0</v>
      </c>
      <c r="K46" s="136" t="n">
        <v>32635.0</v>
      </c>
      <c r="L46" s="133" t="n">
        <v>29985.0</v>
      </c>
      <c r="M46" s="133" t="n">
        <v>26888.0</v>
      </c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2:36"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</row>
    <row r="48" spans="2:36"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spans="2:36" ht="17.5" thickBot="1">
      <c r="B49" s="2" t="s">
        <v>56</v>
      </c>
      <c r="C49" s="109"/>
      <c r="D49" s="109">
        <v>2013</v>
      </c>
      <c r="E49" s="109">
        <v>2014</v>
      </c>
      <c r="F49" s="109">
        <v>2015</v>
      </c>
      <c r="G49" s="109">
        <v>2016</v>
      </c>
      <c r="H49" s="109">
        <v>2017</v>
      </c>
      <c r="I49" s="109">
        <v>2018</v>
      </c>
      <c r="J49" s="109">
        <v>2019</v>
      </c>
      <c r="K49" s="109">
        <v>2020</v>
      </c>
      <c r="L49" s="109">
        <v>2021</v>
      </c>
      <c r="M49" s="109">
        <v>2022</v>
      </c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</row>
    <row r="50" spans="2:36" ht="15" thickTop="1">
      <c r="B50" s="18" t="s">
        <v>57</v>
      </c>
      <c r="C50" s="113"/>
      <c r="D50" s="126" t="n">
        <f t="shared" ref="D50:M50" si="103">D6/D3</f>
        <v>0.19395052726048911</v>
      </c>
      <c r="E50" s="126" t="n">
        <f t="shared" si="103"/>
        <v>0.21959882148767002</v>
      </c>
      <c r="F50" s="126" t="n">
        <f t="shared" si="103"/>
        <v>0.21989610982675456</v>
      </c>
      <c r="G50" s="126" t="n">
        <f t="shared" si="103"/>
        <v>0.23007372374460983</v>
      </c>
      <c r="H50" s="126" t="n">
        <f t="shared" si="103"/>
        <v>0.017004578155657292</v>
      </c>
      <c r="I50" s="126" t="n">
        <f t="shared" si="103"/>
        <v>0.18750689498780354</v>
      </c>
      <c r="J50" s="126" t="n">
        <f t="shared" si="103"/>
        <v>0.1842454819093579</v>
      </c>
      <c r="K50" s="126" t="n">
        <f t="shared" si="103"/>
        <v>0.17817010558946042</v>
      </c>
      <c r="L50" s="126" t="n">
        <f t="shared" si="103"/>
        <v>0.22263929618768327</v>
      </c>
      <c r="M50" s="126" t="n">
        <f t="shared" si="103"/>
        <v>0.18896601118565876</v>
      </c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</row>
    <row r="51" spans="2:36">
      <c r="B51" s="18" t="s">
        <v>58</v>
      </c>
      <c r="C51" s="113"/>
      <c r="D51" s="126" t="n">
        <f t="shared" ref="D51:M51" si="104">D9/D3</f>
        <v>0.28229470495849224</v>
      </c>
      <c r="E51" s="126" t="n">
        <f t="shared" si="104"/>
        <v>0.33711372105850856</v>
      </c>
      <c r="F51" s="126" t="n">
        <f t="shared" si="104"/>
        <v>0.3371007791762993</v>
      </c>
      <c r="G51" s="126" t="n">
        <f t="shared" si="104"/>
        <v>0.3428988732786201</v>
      </c>
      <c r="H51" s="126" t="n">
        <f t="shared" si="104"/>
        <v>0.32222367560497056</v>
      </c>
      <c r="I51" s="126" t="n">
        <f t="shared" si="104"/>
        <v>0.32536987779017174</v>
      </c>
      <c r="J51" s="126" t="n">
        <f t="shared" si="104"/>
        <v>0.30480507927223094</v>
      </c>
      <c r="K51" s="126" t="n">
        <f t="shared" si="104"/>
        <v>0.2910975491620653</v>
      </c>
      <c r="L51" s="126" t="n">
        <f t="shared" si="104"/>
        <v>0.3242015462543322</v>
      </c>
      <c r="M51" s="126" t="n">
        <f t="shared" si="104"/>
        <v>0.31030197065607784</v>
      </c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</row>
    <row r="52" spans="2:36">
      <c r="B52" s="18" t="s">
        <v>59</v>
      </c>
      <c r="C52" s="113"/>
      <c r="D52" s="126" t="n">
        <f t="shared" ref="D52:M52" si="105">D20/D3</f>
        <v>0.2002047341260938</v>
      </c>
      <c r="E52" s="126" t="n">
        <f t="shared" si="105"/>
        <v>0.2640486472669546</v>
      </c>
      <c r="F52" s="126" t="n">
        <f t="shared" si="105"/>
        <v>0.27927619373804835</v>
      </c>
      <c r="G52" s="126" t="n">
        <f t="shared" si="105"/>
        <v>0.2338016413965781</v>
      </c>
      <c r="H52" s="126" t="n">
        <f t="shared" si="105"/>
        <v>0.2564944408109876</v>
      </c>
      <c r="I52" s="126" t="n">
        <f t="shared" si="105"/>
        <v>0.26641007097240776</v>
      </c>
      <c r="J52" s="126" t="n">
        <f t="shared" si="105"/>
        <v>0.2825162383163334</v>
      </c>
      <c r="K52" s="126" t="n">
        <f t="shared" si="105"/>
        <v>0.248159449772353</v>
      </c>
      <c r="L52" s="126" t="n">
        <f t="shared" si="105"/>
        <v>0.21827779258864302</v>
      </c>
      <c r="M52" s="126" t="n">
        <f t="shared" si="105"/>
        <v>0.1867225598517005</v>
      </c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</row>
    <row r="53" spans="2:36"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</row>
    <row r="54" spans="2:36" ht="17.5" thickBot="1">
      <c r="B54" s="2" t="s">
        <v>61</v>
      </c>
      <c r="C54" s="109"/>
      <c r="D54" s="109">
        <v>2013</v>
      </c>
      <c r="E54" s="109">
        <v>2014</v>
      </c>
      <c r="F54" s="109">
        <v>2015</v>
      </c>
      <c r="G54" s="109">
        <v>2016</v>
      </c>
      <c r="H54" s="109">
        <v>2017</v>
      </c>
      <c r="I54" s="109">
        <v>2018</v>
      </c>
      <c r="J54" s="109">
        <v>2019</v>
      </c>
      <c r="K54" s="109">
        <v>2020</v>
      </c>
      <c r="L54" s="109">
        <v>2021</v>
      </c>
      <c r="M54" s="109">
        <v>2022</v>
      </c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</row>
    <row r="55" spans="2:36" ht="15" thickTop="1">
      <c r="B55" s="10" t="s">
        <v>62</v>
      </c>
      <c r="C55" s="114"/>
      <c r="D55" s="126" t="n">
        <f>D23/D20</f>
        <v>0.5103313020942775</v>
      </c>
      <c r="E55" s="126" t="n">
        <f t="shared" ref="E55:M55" si="106">E23/E20</f>
        <v>0.3957813216487492</v>
      </c>
      <c r="F55" s="126" t="n">
        <f t="shared" si="106"/>
        <v>0.41762902401635155</v>
      </c>
      <c r="G55" s="126" t="n">
        <f t="shared" si="106"/>
        <v>0.5129105188005711</v>
      </c>
      <c r="H55" s="126" t="n">
        <f t="shared" si="106"/>
        <v>0.4560660921005661</v>
      </c>
      <c r="I55" s="126" t="n">
        <f t="shared" si="106"/>
        <v>0.43682709119352164</v>
      </c>
      <c r="J55" s="126" t="n">
        <f t="shared" si="106"/>
        <v>0.4277703489626019</v>
      </c>
      <c r="K55" s="126" t="n">
        <f t="shared" si="106"/>
        <v>0.5114179759929736</v>
      </c>
      <c r="L55" s="126" t="n">
        <f t="shared" si="106"/>
        <v>0.5389613561971762</v>
      </c>
      <c r="M55" s="126" t="n">
        <f t="shared" si="106"/>
        <v>0.6589575812274369</v>
      </c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spans="2:36"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spans="2:36" ht="17.5" thickBot="1">
      <c r="B57" s="2" t="s">
        <v>63</v>
      </c>
      <c r="C57" s="109"/>
      <c r="D57" s="109">
        <v>2013</v>
      </c>
      <c r="E57" s="109">
        <v>2014</v>
      </c>
      <c r="F57" s="109">
        <v>2015</v>
      </c>
      <c r="G57" s="109">
        <v>2016</v>
      </c>
      <c r="H57" s="109">
        <v>2017</v>
      </c>
      <c r="I57" s="109">
        <v>2018</v>
      </c>
      <c r="J57" s="109">
        <v>2019</v>
      </c>
      <c r="K57" s="109">
        <v>2020</v>
      </c>
      <c r="L57" s="109">
        <v>2021</v>
      </c>
      <c r="M57" s="109">
        <v>2022</v>
      </c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</row>
    <row r="58" spans="2:36" ht="15" thickTop="1">
      <c r="B58" s="18" t="s">
        <v>64</v>
      </c>
      <c r="C58" s="113"/>
      <c r="D58" s="112" t="n">
        <f>D42/D44</f>
        <v>0.7917302472553441</v>
      </c>
      <c r="E58" s="112" t="n">
        <f t="shared" ref="E58:M58" si="107">E42/E44</f>
        <v>0.8688783117329969</v>
      </c>
      <c r="F58" s="112" t="n">
        <f t="shared" si="107"/>
        <v>0.8750667603654252</v>
      </c>
      <c r="G58" s="112" t="n">
        <f t="shared" si="107"/>
        <v>1.0052827402084694</v>
      </c>
      <c r="H58" s="112" t="n">
        <f t="shared" si="107"/>
        <v>1.6147440159574469</v>
      </c>
      <c r="I58" s="112" t="n">
        <f t="shared" si="107"/>
        <v>1.5598138974427633</v>
      </c>
      <c r="J58" s="112" t="n">
        <f t="shared" si="107"/>
        <v>1.6521834171276757</v>
      </c>
      <c r="K58" s="112" t="n">
        <f t="shared" si="107"/>
        <v>1.7638989854293752</v>
      </c>
      <c r="L58" s="112" t="n">
        <f t="shared" si="107"/>
        <v>1.4589384380530375</v>
      </c>
      <c r="M58" s="112" t="n">
        <f t="shared" si="107"/>
        <v>1.4396906411124422</v>
      </c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2:36">
      <c r="B59" s="18" t="s">
        <v>65</v>
      </c>
      <c r="C59" s="113"/>
      <c r="D59" s="112" t="n">
        <f>D28/D36</f>
        <v>2.1969620253164557</v>
      </c>
      <c r="E59" s="112" t="n">
        <f t="shared" ref="E59:M59" si="108">E28/E36</f>
        <v>2.226998521832927</v>
      </c>
      <c r="F59" s="112" t="n">
        <f t="shared" si="108"/>
        <v>2.1699643204670775</v>
      </c>
      <c r="G59" s="112" t="n">
        <f t="shared" si="108"/>
        <v>2.473922471183475</v>
      </c>
      <c r="H59" s="112" t="n">
        <f t="shared" si="108"/>
        <v>1.4110095949176409</v>
      </c>
      <c r="I59" s="112" t="n">
        <f t="shared" si="108"/>
        <v>1.4739993595901377</v>
      </c>
      <c r="J59" s="112" t="n">
        <f t="shared" si="108"/>
        <v>1.2588699810922033</v>
      </c>
      <c r="K59" s="112" t="n">
        <f t="shared" si="108"/>
        <v>1.205775068834867</v>
      </c>
      <c r="L59" s="112" t="n">
        <f t="shared" si="108"/>
        <v>1.3483173395834254</v>
      </c>
      <c r="M59" s="112" t="n">
        <f t="shared" si="108"/>
        <v>0.9908963836421634</v>
      </c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</row>
    <row r="60" spans="2:36">
      <c r="B60" s="122" t="s">
        <v>160</v>
      </c>
      <c r="D60" s="112" t="n">
        <f>D46/D9</f>
        <v>0.6620634841786299</v>
      </c>
      <c r="E60" s="112" t="n">
        <f t="shared" ref="E60:M60" si="109">E46/E9</f>
        <v>0.6034799265703568</v>
      </c>
      <c r="F60" s="112" t="n">
        <f t="shared" si="109"/>
        <v>0.5442807552281771</v>
      </c>
      <c r="G60" s="112" t="n">
        <f t="shared" si="109"/>
        <v>0.9103890308709586</v>
      </c>
      <c r="H60" s="112" t="n">
        <f t="shared" si="109"/>
        <v>1.2452301696841763</v>
      </c>
      <c r="I60" s="112" t="n">
        <f t="shared" si="109"/>
        <v>1.0429475587703436</v>
      </c>
      <c r="J60" s="112" t="n">
        <f t="shared" si="109"/>
        <v>1.0592515592515592</v>
      </c>
      <c r="K60" s="112" t="n">
        <f t="shared" si="109"/>
        <v>1.3575291181364393</v>
      </c>
      <c r="L60" s="112" t="n">
        <f t="shared" si="109"/>
        <v>0.9862837971186106</v>
      </c>
      <c r="M60" s="112" t="n">
        <f t="shared" si="109"/>
        <v>0.9126642001289841</v>
      </c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2:36"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spans="2:36" ht="17.5" thickBot="1">
      <c r="B62" s="2" t="s">
        <v>72</v>
      </c>
      <c r="C62" s="109"/>
      <c r="D62" s="109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2:36" ht="15" thickTop="1">
      <c r="B63" s="18" t="s">
        <v>73</v>
      </c>
      <c r="C63" s="113"/>
      <c r="D63" s="121" t="n">
        <f>(M20/I20)^0.2 - 1</f>
        <v>-0.03992753098795332</v>
      </c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</row>
    <row r="64" spans="2:36">
      <c r="B64" s="18" t="s">
        <v>83</v>
      </c>
      <c r="C64" s="113"/>
      <c r="D64" s="121" t="n">
        <f>(M20/D20)^0.1 - 1</f>
        <v>0.021885597790083366</v>
      </c>
    </row>
    <row r="65" spans="2:13">
      <c r="B65" s="10" t="s">
        <v>74</v>
      </c>
      <c r="C65" s="114"/>
      <c r="D65" s="121" t="n">
        <f>(M6/I6)^0.2 - 1</f>
        <v>0.0324001902474913</v>
      </c>
    </row>
    <row r="66" spans="2:13">
      <c r="B66" s="10" t="s">
        <v>84</v>
      </c>
      <c r="C66" s="114"/>
      <c r="D66" s="121" t="n">
        <f>(M6/D6)^0.1 - 1</f>
        <v>0.026359027299499793</v>
      </c>
    </row>
    <row r="67" spans="2:13">
      <c r="B67" s="10" t="s">
        <v>75</v>
      </c>
      <c r="C67" s="114"/>
      <c r="D67" s="121" t="n">
        <f>(M3/I3)^0.2 - 1</f>
        <v>0.030800890782184176</v>
      </c>
    </row>
    <row r="68" spans="2:13">
      <c r="B68" s="10" t="s">
        <v>85</v>
      </c>
      <c r="C68" s="114"/>
      <c r="D68" s="121" t="n">
        <f>(M3/D3)^0.1 - 1</f>
        <v>0.02903473209440066</v>
      </c>
    </row>
    <row r="69" spans="2:13">
      <c r="B69" s="10" t="s">
        <v>88</v>
      </c>
      <c r="C69" s="114"/>
      <c r="D69" s="121" t="n">
        <f>(M9/I9)^0.2 - 1</f>
        <v>0.021071661487346738</v>
      </c>
    </row>
    <row r="70" spans="2:13">
      <c r="B70" s="10" t="s">
        <v>89</v>
      </c>
      <c r="C70" s="114"/>
      <c r="D70" s="121" t="n">
        <f>(M9/D9)^0.2 - 1</f>
        <v>0.0791366117507597</v>
      </c>
    </row>
    <row r="71" spans="2:13">
      <c r="B71" s="10" t="s">
        <v>131</v>
      </c>
      <c r="D71" s="121" t="n">
        <f>(M23/I23)^0.2 - 1</f>
        <v>0.04235005800833136</v>
      </c>
    </row>
    <row r="72" spans="2:13">
      <c r="B72" s="10" t="s">
        <v>132</v>
      </c>
      <c r="D72" s="121" t="n">
        <f>AVERAGE(I24:M24)</f>
        <v>0.05490595081720538</v>
      </c>
    </row>
    <row r="73" spans="2:13">
      <c r="B73" s="10" t="s">
        <v>135</v>
      </c>
      <c r="D73" s="121" t="n">
        <f>AVERAGE(I55:M55)</f>
        <v>0.514786870714742</v>
      </c>
    </row>
    <row r="75" spans="2:13" ht="17.5" thickBot="1">
      <c r="B75" s="2" t="s">
        <v>145</v>
      </c>
      <c r="C75" s="109"/>
      <c r="D75" s="109">
        <v>2013</v>
      </c>
      <c r="E75" s="109">
        <v>2014</v>
      </c>
      <c r="F75" s="109">
        <v>2015</v>
      </c>
      <c r="G75" s="109">
        <v>2016</v>
      </c>
      <c r="H75" s="109">
        <v>2017</v>
      </c>
      <c r="I75" s="109">
        <v>2018</v>
      </c>
      <c r="J75" s="109">
        <v>2019</v>
      </c>
      <c r="K75" s="109">
        <v>2020</v>
      </c>
      <c r="L75" s="109">
        <v>2021</v>
      </c>
      <c r="M75" s="109">
        <v>2022</v>
      </c>
    </row>
    <row r="76" spans="2:13" ht="15" thickTop="1">
      <c r="B76" s="10" t="s">
        <v>138</v>
      </c>
      <c r="C76" s="110">
        <v>0</v>
      </c>
      <c r="D76" s="110" t="n">
        <f t="shared" ref="D76:M76" si="110">100*D6/D34</f>
        <v>10.424093516124898</v>
      </c>
      <c r="E76" s="110" t="n">
        <f t="shared" si="110"/>
        <v>12.521671090381872</v>
      </c>
      <c r="F76" s="110" t="n">
        <f t="shared" si="110"/>
        <v>11.55002211211969</v>
      </c>
      <c r="G76" s="110" t="n">
        <f t="shared" si="110"/>
        <v>11.713217381451475</v>
      </c>
      <c r="H76" s="110" t="n">
        <f t="shared" si="110"/>
        <v>0.8264305194433672</v>
      </c>
      <c r="I76" s="110" t="n">
        <f t="shared" si="110"/>
        <v>10.001046066137532</v>
      </c>
      <c r="J76" s="110" t="n">
        <f t="shared" si="110"/>
        <v>9.585488942990464</v>
      </c>
      <c r="K76" s="110" t="n">
        <f t="shared" si="110"/>
        <v>8.413095932393336</v>
      </c>
      <c r="L76" s="110" t="n">
        <f t="shared" si="110"/>
        <v>11.47029414673274</v>
      </c>
      <c r="M76" s="110" t="n">
        <f t="shared" si="110"/>
        <v>9.574763312662105</v>
      </c>
    </row>
    <row r="77" spans="2:13">
      <c r="B77" s="10" t="s">
        <v>139</v>
      </c>
      <c r="C77" s="110">
        <v>0</v>
      </c>
      <c r="D77" s="110" t="n">
        <f t="shared" ref="D77:M77" si="111">100*D6/D44</f>
        <v>18.677163653059296</v>
      </c>
      <c r="E77" s="110" t="n">
        <f t="shared" si="111"/>
        <v>23.401479527468748</v>
      </c>
      <c r="F77" s="110" t="n">
        <f t="shared" si="111"/>
        <v>21.657062543921292</v>
      </c>
      <c r="G77" s="110" t="n">
        <f t="shared" si="111"/>
        <v>23.48831264733449</v>
      </c>
      <c r="H77" s="110" t="n">
        <f t="shared" si="111"/>
        <v>2.160904255319149</v>
      </c>
      <c r="I77" s="110" t="n">
        <f t="shared" si="111"/>
        <v>25.60081670906413</v>
      </c>
      <c r="J77" s="110" t="n">
        <f t="shared" si="111"/>
        <v>25.422474819660003</v>
      </c>
      <c r="K77" s="110" t="n">
        <f t="shared" si="111"/>
        <v>23.25294731186194</v>
      </c>
      <c r="L77" s="110" t="n">
        <f t="shared" si="111"/>
        <v>28.204747173175903</v>
      </c>
      <c r="M77" s="110" t="n">
        <f t="shared" si="111"/>
        <v>23.3594604447685</v>
      </c>
    </row>
    <row r="78" spans="2:13">
      <c r="B78" s="10" t="s">
        <v>140</v>
      </c>
      <c r="C78" s="110" t="n">
        <v>0.0</v>
      </c>
      <c r="D78" s="40" t="n">
        <v>16.389999389648438</v>
      </c>
      <c r="E78" s="40" t="n">
        <v>18.469999313354492</v>
      </c>
      <c r="F78" s="40" t="n">
        <v>17.549999237060547</v>
      </c>
      <c r="G78" s="40" t="n">
        <v>17.860000610351562</v>
      </c>
      <c r="H78" s="40" t="n">
        <v>1.690000057220459</v>
      </c>
      <c r="I78" s="40" t="n">
        <v>16.899999618530273</v>
      </c>
      <c r="J78" s="40" t="n">
        <v>17.010000228881836</v>
      </c>
      <c r="K78" s="40" t="n">
        <v>15.930000305175781</v>
      </c>
      <c r="L78" s="40" t="n">
        <v>20.350000381469727</v>
      </c>
      <c r="M78" s="40" t="n">
        <v>15.84000015258789</v>
      </c>
    </row>
    <row r="80" spans="2:13" ht="17.5" thickBot="1">
      <c r="B80" s="2" t="s">
        <v>146</v>
      </c>
      <c r="C80" s="109"/>
      <c r="D80" s="109">
        <v>2013</v>
      </c>
      <c r="E80" s="109">
        <v>2014</v>
      </c>
      <c r="F80" s="109">
        <v>2015</v>
      </c>
      <c r="G80" s="109">
        <v>2016</v>
      </c>
      <c r="H80" s="109">
        <v>2017</v>
      </c>
      <c r="I80" s="109">
        <v>2018</v>
      </c>
      <c r="J80" s="109">
        <v>2019</v>
      </c>
      <c r="K80" s="109">
        <v>2020</v>
      </c>
      <c r="L80" s="109">
        <v>2021</v>
      </c>
      <c r="M80" s="109">
        <v>2022</v>
      </c>
    </row>
    <row r="81" spans="2:13" ht="15" thickTop="1">
      <c r="B81" s="122" t="s">
        <v>147</v>
      </c>
      <c r="C81" s="110" t="n">
        <v>0.0</v>
      </c>
      <c r="D81" s="40" t="n">
        <v>20.440000534057617</v>
      </c>
      <c r="E81" s="40" t="n">
        <v>17.309999465942383</v>
      </c>
      <c r="F81" s="40" t="n">
        <v>19.68000030517578</v>
      </c>
      <c r="G81" s="40" t="n">
        <v>20.209999084472656</v>
      </c>
      <c r="H81" s="40" t="n">
        <v>24.299999237060547</v>
      </c>
      <c r="I81" s="40" t="n">
        <v>218.72999572753906</v>
      </c>
      <c r="J81" s="40" t="n">
        <v>27.780000686645508</v>
      </c>
      <c r="K81" s="40" t="n">
        <v>24.75</v>
      </c>
      <c r="L81" s="40" t="n">
        <v>25.56999969482422</v>
      </c>
      <c r="M81" s="40" t="n">
        <v>24.600000381469727</v>
      </c>
    </row>
    <row r="82" spans="2:13">
      <c r="B82" s="122" t="s">
        <v>148</v>
      </c>
      <c r="C82" s="110" t="n">
        <v>0.0</v>
      </c>
      <c r="D82" s="40" t="n">
        <v>15.779999732971191</v>
      </c>
      <c r="E82" s="40" t="n">
        <v>16.459999084472656</v>
      </c>
      <c r="F82" s="40" t="n">
        <v>15.619999885559082</v>
      </c>
      <c r="G82" s="40" t="n">
        <v>19.059999465942383</v>
      </c>
      <c r="H82" s="40" t="n">
        <v>17.790000915527344</v>
      </c>
      <c r="I82" s="40" t="n">
        <v>15.979999542236328</v>
      </c>
      <c r="J82" s="40" t="n">
        <v>16.920000076293945</v>
      </c>
      <c r="K82" s="40" t="n">
        <v>19.469999313354492</v>
      </c>
      <c r="L82" s="40" t="n">
        <v>17.579999923706055</v>
      </c>
      <c r="M82" s="40" t="n">
        <v>21.850000381469727</v>
      </c>
    </row>
    <row r="83" spans="2:13">
      <c r="B83" s="122" t="s">
        <v>153</v>
      </c>
      <c r="C83" s="110" t="n">
        <v>4.300000190734863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2023-04-14T19:05:54Z</dcterms:modified>
</cp:coreProperties>
</file>