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filterPrivacy="1" defaultThemeVersion="124226"/>
  <xr:revisionPtr revIDLastSave="0" documentId="13_ncr:1_{7D99114E-BCE0-43CD-A31C-362704162A31}" xr6:coauthVersionLast="47" xr6:coauthVersionMax="47" xr10:uidLastSave="{00000000-0000-0000-0000-000000000000}"/>
  <bookViews>
    <workbookView xWindow="-110" yWindow="-110" windowWidth="25820" windowHeight="15500" activeTab="3" xr2:uid="{00000000-000D-0000-FFFF-FFFF00000000}"/>
  </bookViews>
  <sheets>
    <sheet name="Valuation Metrics" sheetId="5" r:id="rId1"/>
    <sheet name="Graphics" sheetId="4" r:id="rId2"/>
    <sheet name="WACC" sheetId="1" r:id="rId3"/>
    <sheet name="DCF" sheetId="2" r:id="rId4"/>
    <sheet name="Graham" sheetId="6" r:id="rId5"/>
    <sheet name="DDM" sheetId="7" r:id="rId6"/>
    <sheet name="Financials" sheetId="3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2" l="1"/>
  <c r="L35" i="2"/>
  <c r="F26" i="5"/>
  <c r="F24" i="5"/>
  <c r="F28" i="5"/>
  <c r="G26" i="5" l="1"/>
  <c r="H26" i="5"/>
  <c r="I26" i="5"/>
  <c r="J26" i="5"/>
  <c r="K26" i="5"/>
  <c r="L26" i="5"/>
  <c r="M26" i="5"/>
  <c r="N26" i="5"/>
  <c r="O26" i="5"/>
  <c r="P26" i="5"/>
  <c r="G24" i="5"/>
  <c r="H24" i="5"/>
  <c r="I24" i="5"/>
  <c r="J24" i="5"/>
  <c r="K24" i="5"/>
  <c r="L24" i="5"/>
  <c r="M24" i="5"/>
  <c r="N24" i="5"/>
  <c r="O24" i="5"/>
  <c r="P24" i="5"/>
  <c r="G16" i="5"/>
  <c r="H16" i="5"/>
  <c r="I16" i="5"/>
  <c r="J16" i="5"/>
  <c r="K16" i="5"/>
  <c r="L16" i="5"/>
  <c r="F16" i="5" s="1"/>
  <c r="M16" i="5"/>
  <c r="N16" i="5"/>
  <c r="O16" i="5"/>
  <c r="P16" i="5"/>
  <c r="D60" i="3" l="1"/>
  <c r="E60" i="3"/>
  <c r="F60" i="3"/>
  <c r="G60" i="3"/>
  <c r="H60" i="3"/>
  <c r="I60" i="3"/>
  <c r="J60" i="3"/>
  <c r="K60" i="3"/>
  <c r="L60" i="3"/>
  <c r="M60" i="3"/>
  <c r="D61" i="3"/>
  <c r="E61" i="3"/>
  <c r="F61" i="3"/>
  <c r="G61" i="3"/>
  <c r="H61" i="3"/>
  <c r="I61" i="3"/>
  <c r="J61" i="3"/>
  <c r="K61" i="3"/>
  <c r="L61" i="3"/>
  <c r="M61" i="3"/>
  <c r="M50" i="3" l="1"/>
  <c r="L50" i="3"/>
  <c r="K50" i="3"/>
  <c r="J50" i="3"/>
  <c r="I50" i="3"/>
  <c r="H50" i="3"/>
  <c r="G50" i="3"/>
  <c r="F50" i="3"/>
  <c r="E50" i="3"/>
  <c r="D50" i="3"/>
  <c r="M47" i="3"/>
  <c r="L47" i="3"/>
  <c r="K47" i="3"/>
  <c r="J47" i="3"/>
  <c r="I47" i="3"/>
  <c r="H47" i="3"/>
  <c r="G47" i="3"/>
  <c r="F47" i="3"/>
  <c r="E47" i="3"/>
  <c r="D47" i="3"/>
  <c r="M42" i="3"/>
  <c r="L42" i="3"/>
  <c r="K42" i="3"/>
  <c r="J42" i="3"/>
  <c r="I42" i="3"/>
  <c r="H42" i="3"/>
  <c r="G42" i="3"/>
  <c r="F42" i="3"/>
  <c r="E42" i="3"/>
  <c r="D42" i="3"/>
  <c r="M39" i="3"/>
  <c r="L39" i="3"/>
  <c r="K39" i="3"/>
  <c r="J39" i="3"/>
  <c r="I39" i="3"/>
  <c r="H39" i="3"/>
  <c r="G39" i="3"/>
  <c r="F39" i="3"/>
  <c r="E39" i="3"/>
  <c r="D39" i="3"/>
  <c r="M32" i="3"/>
  <c r="L32" i="3"/>
  <c r="K32" i="3"/>
  <c r="J32" i="3"/>
  <c r="I32" i="3"/>
  <c r="H32" i="3"/>
  <c r="G32" i="3"/>
  <c r="F32" i="3"/>
  <c r="E32" i="3"/>
  <c r="D32" i="3"/>
  <c r="M23" i="3"/>
  <c r="L23" i="3"/>
  <c r="K23" i="3"/>
  <c r="J23" i="3"/>
  <c r="I23" i="3"/>
  <c r="H23" i="3"/>
  <c r="G23" i="3"/>
  <c r="F23" i="3"/>
  <c r="E23" i="3"/>
  <c r="D23" i="3"/>
  <c r="M16" i="3"/>
  <c r="L16" i="3"/>
  <c r="K16" i="3"/>
  <c r="J16" i="3"/>
  <c r="I16" i="3"/>
  <c r="H16" i="3"/>
  <c r="G16" i="3"/>
  <c r="F16" i="3"/>
  <c r="E16" i="3"/>
  <c r="D16" i="3"/>
  <c r="M13" i="3"/>
  <c r="L13" i="3"/>
  <c r="K13" i="3"/>
  <c r="J13" i="3"/>
  <c r="I13" i="3"/>
  <c r="H13" i="3"/>
  <c r="G13" i="3"/>
  <c r="F13" i="3"/>
  <c r="E13" i="3"/>
  <c r="D13" i="3"/>
  <c r="M10" i="3"/>
  <c r="L10" i="3"/>
  <c r="K10" i="3"/>
  <c r="J10" i="3"/>
  <c r="I10" i="3"/>
  <c r="H10" i="3"/>
  <c r="G10" i="3"/>
  <c r="F10" i="3"/>
  <c r="E10" i="3"/>
  <c r="D10" i="3"/>
  <c r="M7" i="3"/>
  <c r="L7" i="3"/>
  <c r="K7" i="3"/>
  <c r="J7" i="3"/>
  <c r="I7" i="3"/>
  <c r="H7" i="3"/>
  <c r="G7" i="3"/>
  <c r="F7" i="3"/>
  <c r="E7" i="3"/>
  <c r="D7" i="3"/>
  <c r="D4" i="3" l="1"/>
  <c r="G22" i="5" l="1"/>
  <c r="H22" i="5"/>
  <c r="I22" i="5"/>
  <c r="J22" i="5"/>
  <c r="K22" i="5"/>
  <c r="L22" i="5"/>
  <c r="M22" i="5"/>
  <c r="N22" i="5"/>
  <c r="O22" i="5"/>
  <c r="P22" i="5"/>
  <c r="P24" i="7" l="1"/>
  <c r="P15" i="7"/>
  <c r="P6" i="7"/>
  <c r="L52" i="2" l="1"/>
  <c r="K52" i="2"/>
  <c r="J52" i="2"/>
  <c r="I52" i="2"/>
  <c r="H52" i="2"/>
  <c r="G52" i="2"/>
  <c r="F52" i="2"/>
  <c r="D52" i="2"/>
  <c r="E52" i="2"/>
  <c r="C52" i="2"/>
  <c r="D80" i="3" l="1"/>
  <c r="F43" i="5" s="1"/>
  <c r="C25" i="7"/>
  <c r="C16" i="7"/>
  <c r="C7" i="7"/>
  <c r="D7" i="7" l="1"/>
  <c r="D16" i="7"/>
  <c r="D25" i="7"/>
  <c r="E25" i="7" l="1"/>
  <c r="E16" i="7"/>
  <c r="E7" i="7"/>
  <c r="F7" i="7" l="1"/>
  <c r="F16" i="7"/>
  <c r="F25" i="7"/>
  <c r="G25" i="7" l="1"/>
  <c r="G16" i="7"/>
  <c r="G7" i="7"/>
  <c r="H7" i="7" l="1"/>
  <c r="H16" i="7"/>
  <c r="H25" i="7"/>
  <c r="I25" i="7" l="1"/>
  <c r="I16" i="7"/>
  <c r="I7" i="7"/>
  <c r="J7" i="7" l="1"/>
  <c r="J16" i="7"/>
  <c r="J25" i="7"/>
  <c r="K25" i="7" l="1"/>
  <c r="K7" i="7"/>
  <c r="K16" i="7"/>
  <c r="L16" i="7" l="1"/>
  <c r="L7" i="7"/>
  <c r="L25" i="7"/>
  <c r="M69" i="3" l="1"/>
  <c r="L69" i="3"/>
  <c r="K69" i="3"/>
  <c r="J69" i="3"/>
  <c r="I69" i="3"/>
  <c r="H69" i="3"/>
  <c r="G69" i="3"/>
  <c r="F69" i="3"/>
  <c r="E69" i="3"/>
  <c r="D69" i="3"/>
  <c r="D54" i="3"/>
  <c r="D86" i="3" s="1"/>
  <c r="G14" i="5" s="1"/>
  <c r="M52" i="3"/>
  <c r="L52" i="3"/>
  <c r="K52" i="3"/>
  <c r="J52" i="3"/>
  <c r="I52" i="3"/>
  <c r="H52" i="3"/>
  <c r="G52" i="3"/>
  <c r="F52" i="3"/>
  <c r="E52" i="3"/>
  <c r="D52" i="3"/>
  <c r="M44" i="3"/>
  <c r="M85" i="3" s="1"/>
  <c r="P12" i="5" s="1"/>
  <c r="L44" i="3"/>
  <c r="L85" i="3" s="1"/>
  <c r="O12" i="5" s="1"/>
  <c r="K44" i="3"/>
  <c r="K85" i="3" s="1"/>
  <c r="N12" i="5" s="1"/>
  <c r="J44" i="3"/>
  <c r="J85" i="3" s="1"/>
  <c r="M12" i="5" s="1"/>
  <c r="I44" i="3"/>
  <c r="I85" i="3" s="1"/>
  <c r="L12" i="5" s="1"/>
  <c r="H44" i="3"/>
  <c r="H85" i="3" s="1"/>
  <c r="K12" i="5" s="1"/>
  <c r="G44" i="3"/>
  <c r="G85" i="3" s="1"/>
  <c r="J12" i="5" s="1"/>
  <c r="F44" i="3"/>
  <c r="F85" i="3" s="1"/>
  <c r="I12" i="5" s="1"/>
  <c r="E44" i="3"/>
  <c r="E85" i="3" s="1"/>
  <c r="H12" i="5" s="1"/>
  <c r="D44" i="3"/>
  <c r="D85" i="3" s="1"/>
  <c r="G12" i="5" s="1"/>
  <c r="M25" i="3"/>
  <c r="L25" i="3"/>
  <c r="K25" i="3"/>
  <c r="J25" i="3"/>
  <c r="I25" i="3"/>
  <c r="I26" i="3" s="1"/>
  <c r="H25" i="3"/>
  <c r="G25" i="3"/>
  <c r="F25" i="3"/>
  <c r="E25" i="3"/>
  <c r="D25" i="3"/>
  <c r="M26" i="3" l="1"/>
  <c r="J26" i="3"/>
  <c r="K26" i="3"/>
  <c r="F12" i="5"/>
  <c r="L26" i="3"/>
  <c r="E26" i="3"/>
  <c r="F26" i="3"/>
  <c r="G26" i="3"/>
  <c r="H26" i="3"/>
  <c r="C20" i="6"/>
  <c r="C31" i="2" l="1"/>
  <c r="D31" i="2"/>
  <c r="E31" i="2"/>
  <c r="F31" i="2"/>
  <c r="G31" i="2"/>
  <c r="H31" i="2"/>
  <c r="I31" i="2"/>
  <c r="J31" i="2"/>
  <c r="K31" i="2"/>
  <c r="L31" i="2"/>
  <c r="C51" i="2" s="1"/>
  <c r="D51" i="2" s="1"/>
  <c r="E51" i="2" s="1"/>
  <c r="F51" i="2" s="1"/>
  <c r="G51" i="2" s="1"/>
  <c r="H51" i="2" s="1"/>
  <c r="I51" i="2" s="1"/>
  <c r="J51" i="2" s="1"/>
  <c r="K51" i="2" s="1"/>
  <c r="L51" i="2" s="1"/>
  <c r="C75" i="2" s="1"/>
  <c r="D32" i="2"/>
  <c r="E32" i="2"/>
  <c r="F32" i="2"/>
  <c r="G32" i="2"/>
  <c r="H32" i="2"/>
  <c r="I32" i="2"/>
  <c r="J32" i="2"/>
  <c r="K32" i="2"/>
  <c r="L32" i="2"/>
  <c r="D77" i="3"/>
  <c r="F40" i="5" s="1"/>
  <c r="D75" i="3"/>
  <c r="F37" i="5" s="1"/>
  <c r="D76" i="3"/>
  <c r="F39" i="5" s="1"/>
  <c r="D74" i="3"/>
  <c r="F36" i="5" s="1"/>
  <c r="P18" i="5" l="1"/>
  <c r="O18" i="5"/>
  <c r="N18" i="5"/>
  <c r="M18" i="5"/>
  <c r="L18" i="5"/>
  <c r="F18" i="5" s="1"/>
  <c r="K18" i="5"/>
  <c r="J18" i="5"/>
  <c r="I18" i="5"/>
  <c r="H18" i="5"/>
  <c r="G18" i="5"/>
  <c r="M65" i="3"/>
  <c r="L65" i="3"/>
  <c r="K65" i="3"/>
  <c r="J65" i="3"/>
  <c r="I65" i="3"/>
  <c r="H65" i="3"/>
  <c r="G65" i="3"/>
  <c r="F65" i="3"/>
  <c r="E65" i="3"/>
  <c r="D65" i="3"/>
  <c r="D81" i="3"/>
  <c r="F44" i="5" s="1"/>
  <c r="F45" i="5" s="1"/>
  <c r="C25" i="2"/>
  <c r="D25" i="2"/>
  <c r="E25" i="2"/>
  <c r="F25" i="2"/>
  <c r="G25" i="2"/>
  <c r="H25" i="2"/>
  <c r="I25" i="2"/>
  <c r="J25" i="2"/>
  <c r="K25" i="2"/>
  <c r="L25" i="2"/>
  <c r="C22" i="2"/>
  <c r="D22" i="2"/>
  <c r="E22" i="2"/>
  <c r="F22" i="2"/>
  <c r="G22" i="2"/>
  <c r="H22" i="2"/>
  <c r="I22" i="2"/>
  <c r="J22" i="2"/>
  <c r="K22" i="2"/>
  <c r="L22" i="2"/>
  <c r="C19" i="2"/>
  <c r="D19" i="2"/>
  <c r="E19" i="2"/>
  <c r="F19" i="2"/>
  <c r="G19" i="2"/>
  <c r="H19" i="2"/>
  <c r="I19" i="2"/>
  <c r="J19" i="2"/>
  <c r="K19" i="2"/>
  <c r="L19" i="2"/>
  <c r="C16" i="2"/>
  <c r="D16" i="2"/>
  <c r="E16" i="2"/>
  <c r="F16" i="2"/>
  <c r="G16" i="2"/>
  <c r="H16" i="2"/>
  <c r="I16" i="2"/>
  <c r="J16" i="2"/>
  <c r="K16" i="2"/>
  <c r="L16" i="2"/>
  <c r="F54" i="3"/>
  <c r="E54" i="3"/>
  <c r="D68" i="3"/>
  <c r="G20" i="5" s="1"/>
  <c r="M28" i="3"/>
  <c r="L28" i="3"/>
  <c r="K28" i="3"/>
  <c r="J28" i="3"/>
  <c r="I28" i="3"/>
  <c r="H28" i="3"/>
  <c r="G28" i="3"/>
  <c r="F28" i="3"/>
  <c r="E28" i="3"/>
  <c r="D28" i="3"/>
  <c r="D62" i="3" s="1"/>
  <c r="M4" i="3"/>
  <c r="L4" i="3"/>
  <c r="K4" i="3"/>
  <c r="J4" i="3"/>
  <c r="I4" i="3"/>
  <c r="H4" i="3"/>
  <c r="G4" i="3"/>
  <c r="F4" i="3"/>
  <c r="E4" i="3"/>
  <c r="F62" i="3" l="1"/>
  <c r="F29" i="3"/>
  <c r="M62" i="3"/>
  <c r="M29" i="3"/>
  <c r="J62" i="3"/>
  <c r="J29" i="3"/>
  <c r="K62" i="3"/>
  <c r="K29" i="3"/>
  <c r="E68" i="3"/>
  <c r="H20" i="5" s="1"/>
  <c r="E86" i="3"/>
  <c r="H14" i="5" s="1"/>
  <c r="G62" i="3"/>
  <c r="G29" i="3"/>
  <c r="F68" i="3"/>
  <c r="I20" i="5" s="1"/>
  <c r="F86" i="3"/>
  <c r="I14" i="5" s="1"/>
  <c r="H62" i="3"/>
  <c r="H29" i="3"/>
  <c r="I62" i="3"/>
  <c r="I29" i="3"/>
  <c r="L62" i="3"/>
  <c r="L29" i="3"/>
  <c r="E62" i="3"/>
  <c r="E29" i="3"/>
  <c r="D82" i="3"/>
  <c r="F42" i="5" s="1"/>
  <c r="G54" i="3"/>
  <c r="H54" i="3"/>
  <c r="D73" i="3"/>
  <c r="F31" i="5" s="1"/>
  <c r="I54" i="3"/>
  <c r="M54" i="3"/>
  <c r="K17" i="2"/>
  <c r="J17" i="2"/>
  <c r="D17" i="2"/>
  <c r="E17" i="2"/>
  <c r="F17" i="2"/>
  <c r="J54" i="3"/>
  <c r="K54" i="3"/>
  <c r="L54" i="3"/>
  <c r="D72" i="3"/>
  <c r="F30" i="5" s="1"/>
  <c r="L17" i="2"/>
  <c r="I17" i="2"/>
  <c r="H17" i="2"/>
  <c r="G17" i="2"/>
  <c r="G68" i="3" l="1"/>
  <c r="J20" i="5" s="1"/>
  <c r="G86" i="3"/>
  <c r="J14" i="5" s="1"/>
  <c r="K68" i="3"/>
  <c r="N20" i="5" s="1"/>
  <c r="K86" i="3"/>
  <c r="N14" i="5" s="1"/>
  <c r="J68" i="3"/>
  <c r="M20" i="5" s="1"/>
  <c r="J86" i="3"/>
  <c r="M14" i="5" s="1"/>
  <c r="L68" i="3"/>
  <c r="O20" i="5" s="1"/>
  <c r="L86" i="3"/>
  <c r="O14" i="5" s="1"/>
  <c r="M68" i="3"/>
  <c r="P20" i="5" s="1"/>
  <c r="M86" i="3"/>
  <c r="P14" i="5" s="1"/>
  <c r="I68" i="3"/>
  <c r="L20" i="5" s="1"/>
  <c r="I86" i="3"/>
  <c r="L14" i="5" s="1"/>
  <c r="F14" i="5" s="1"/>
  <c r="H68" i="3"/>
  <c r="K20" i="5" s="1"/>
  <c r="H86" i="3"/>
  <c r="K14" i="5" s="1"/>
  <c r="L43" i="2"/>
  <c r="K43" i="2"/>
  <c r="J43" i="2"/>
  <c r="I43" i="2"/>
  <c r="H43" i="2"/>
  <c r="G43" i="2"/>
  <c r="F43" i="2"/>
  <c r="C42" i="2"/>
  <c r="L34" i="2"/>
  <c r="K34" i="2"/>
  <c r="J34" i="2"/>
  <c r="I34" i="2"/>
  <c r="H34" i="2"/>
  <c r="G34" i="2"/>
  <c r="F34" i="2"/>
  <c r="E34" i="2"/>
  <c r="D34" i="2"/>
  <c r="C34" i="2"/>
  <c r="L28" i="2"/>
  <c r="K28" i="2"/>
  <c r="K35" i="2" s="1"/>
  <c r="J28" i="2"/>
  <c r="I28" i="2"/>
  <c r="I35" i="2" s="1"/>
  <c r="H28" i="2"/>
  <c r="H35" i="2" s="1"/>
  <c r="G28" i="2"/>
  <c r="G35" i="2" s="1"/>
  <c r="F28" i="2"/>
  <c r="F35" i="2" s="1"/>
  <c r="E28" i="2"/>
  <c r="D28" i="2"/>
  <c r="C28" i="2"/>
  <c r="C35" i="2" s="1"/>
  <c r="L23" i="2"/>
  <c r="K23" i="2"/>
  <c r="J23" i="2"/>
  <c r="I23" i="2"/>
  <c r="H23" i="2"/>
  <c r="G23" i="2"/>
  <c r="F23" i="2"/>
  <c r="E23" i="2"/>
  <c r="D23" i="2"/>
  <c r="L26" i="2"/>
  <c r="K26" i="2"/>
  <c r="J26" i="2"/>
  <c r="I26" i="2"/>
  <c r="H26" i="2"/>
  <c r="G26" i="2"/>
  <c r="F26" i="2"/>
  <c r="E26" i="2"/>
  <c r="D26" i="2"/>
  <c r="L20" i="2"/>
  <c r="K20" i="2"/>
  <c r="J20" i="2"/>
  <c r="I20" i="2"/>
  <c r="H20" i="2"/>
  <c r="G20" i="2"/>
  <c r="F20" i="2"/>
  <c r="E20" i="2"/>
  <c r="D20" i="2"/>
  <c r="C19" i="1"/>
  <c r="C17" i="1"/>
  <c r="C18" i="1" s="1"/>
  <c r="F20" i="5" l="1"/>
  <c r="C7" i="2"/>
  <c r="C45" i="2"/>
  <c r="C46" i="2" s="1"/>
  <c r="H29" i="2"/>
  <c r="J29" i="2"/>
  <c r="D29" i="2"/>
  <c r="F29" i="2"/>
  <c r="E29" i="2"/>
  <c r="D35" i="2"/>
  <c r="G29" i="2"/>
  <c r="E35" i="2"/>
  <c r="L29" i="2"/>
  <c r="K29" i="2"/>
  <c r="J35" i="2"/>
  <c r="D42" i="2"/>
  <c r="I29" i="2"/>
  <c r="C20" i="1"/>
  <c r="C21" i="1"/>
  <c r="C22" i="1" s="1"/>
  <c r="C48" i="2" l="1"/>
  <c r="C23" i="1"/>
  <c r="C25" i="1" s="1"/>
  <c r="E42" i="2"/>
  <c r="D45" i="2"/>
  <c r="P26" i="7" l="1"/>
  <c r="P8" i="7"/>
  <c r="P17" i="7"/>
  <c r="C4" i="2"/>
  <c r="E16" i="5"/>
  <c r="C49" i="2"/>
  <c r="E45" i="2"/>
  <c r="F42" i="2"/>
  <c r="D48" i="2"/>
  <c r="D46" i="2"/>
  <c r="C61" i="2" l="1"/>
  <c r="C76" i="2" s="1"/>
  <c r="I57" i="2"/>
  <c r="H57" i="2"/>
  <c r="F57" i="2"/>
  <c r="D57" i="2"/>
  <c r="L57" i="2"/>
  <c r="J57" i="2"/>
  <c r="G57" i="2"/>
  <c r="C57" i="2"/>
  <c r="C59" i="2" s="1"/>
  <c r="K57" i="2"/>
  <c r="E57" i="2"/>
  <c r="C17" i="7"/>
  <c r="D17" i="7"/>
  <c r="E17" i="7"/>
  <c r="F17" i="7"/>
  <c r="G17" i="7"/>
  <c r="H17" i="7"/>
  <c r="I17" i="7"/>
  <c r="J17" i="7"/>
  <c r="K17" i="7"/>
  <c r="M16" i="7"/>
  <c r="M17" i="7" s="1"/>
  <c r="L17" i="7"/>
  <c r="C8" i="7"/>
  <c r="D8" i="7"/>
  <c r="E8" i="7"/>
  <c r="F8" i="7"/>
  <c r="G8" i="7"/>
  <c r="H8" i="7"/>
  <c r="I8" i="7"/>
  <c r="J8" i="7"/>
  <c r="K8" i="7"/>
  <c r="M7" i="7"/>
  <c r="M8" i="7" s="1"/>
  <c r="L8" i="7"/>
  <c r="C26" i="7"/>
  <c r="D26" i="7"/>
  <c r="E26" i="7"/>
  <c r="F26" i="7"/>
  <c r="G26" i="7"/>
  <c r="H26" i="7"/>
  <c r="I26" i="7"/>
  <c r="J26" i="7"/>
  <c r="K26" i="7"/>
  <c r="M25" i="7"/>
  <c r="M26" i="7" s="1"/>
  <c r="L26" i="7"/>
  <c r="D49" i="2"/>
  <c r="D59" i="2"/>
  <c r="G42" i="2"/>
  <c r="F45" i="2"/>
  <c r="E46" i="2"/>
  <c r="E48" i="2"/>
  <c r="C10" i="7" l="1"/>
  <c r="C28" i="7"/>
  <c r="C19" i="7"/>
  <c r="E49" i="2"/>
  <c r="E59" i="2"/>
  <c r="F48" i="2"/>
  <c r="F46" i="2"/>
  <c r="H42" i="2"/>
  <c r="G45" i="2"/>
  <c r="F49" i="2" l="1"/>
  <c r="F59" i="2"/>
  <c r="G46" i="2"/>
  <c r="G48" i="2"/>
  <c r="I42" i="2"/>
  <c r="H45" i="2"/>
  <c r="G49" i="2" l="1"/>
  <c r="G59" i="2"/>
  <c r="H46" i="2"/>
  <c r="H48" i="2"/>
  <c r="J42" i="2"/>
  <c r="I45" i="2"/>
  <c r="H49" i="2" l="1"/>
  <c r="H59" i="2"/>
  <c r="I46" i="2"/>
  <c r="I48" i="2"/>
  <c r="K42" i="2"/>
  <c r="J45" i="2"/>
  <c r="I49" i="2" l="1"/>
  <c r="I59" i="2"/>
  <c r="J46" i="2"/>
  <c r="J48" i="2"/>
  <c r="L42" i="2"/>
  <c r="L45" i="2" s="1"/>
  <c r="K45" i="2"/>
  <c r="J49" i="2" l="1"/>
  <c r="J59" i="2"/>
  <c r="K48" i="2"/>
  <c r="K46" i="2"/>
  <c r="L48" i="2"/>
  <c r="L59" i="2" s="1"/>
  <c r="L46" i="2"/>
  <c r="C65" i="2" l="1"/>
  <c r="C66" i="2" s="1"/>
  <c r="K49" i="2"/>
  <c r="K59" i="2"/>
  <c r="L49" i="2"/>
  <c r="D78" i="3"/>
  <c r="F33" i="5" s="1"/>
  <c r="D79" i="3"/>
  <c r="F34" i="5" s="1"/>
  <c r="C68" i="2" l="1"/>
  <c r="C70" i="2" s="1"/>
  <c r="C78" i="2"/>
  <c r="C80" i="2" s="1"/>
</calcChain>
</file>

<file path=xl/sharedStrings.xml><?xml version="1.0" encoding="utf-8"?>
<sst xmlns="http://schemas.openxmlformats.org/spreadsheetml/2006/main" count="254" uniqueCount="163">
  <si>
    <t>WACC</t>
  </si>
  <si>
    <t>WACC (Weight Average Cost of Capital) computation</t>
  </si>
  <si>
    <t>&lt;=&gt;</t>
  </si>
  <si>
    <t>Interest Expense Non Operating (Income statement)</t>
  </si>
  <si>
    <t>Total Non Current Liabilities         (Balance sheet)</t>
  </si>
  <si>
    <t>Current Liabilities                            (Balance sheet)</t>
  </si>
  <si>
    <t>Pretax Income                                 (Income statement)</t>
  </si>
  <si>
    <t>Tax Provision                                   (Income statement)</t>
  </si>
  <si>
    <t>Market cap (billions)</t>
  </si>
  <si>
    <t>Beta (5Y Monthly)</t>
  </si>
  <si>
    <t>Cost of equity</t>
  </si>
  <si>
    <t>B = Beta</t>
  </si>
  <si>
    <t>Rm = Return of the market (on ETF would be 12%)</t>
  </si>
  <si>
    <t>Rm ( Return of the market )</t>
  </si>
  <si>
    <t>Balancesheet data</t>
  </si>
  <si>
    <t>Assumed macro constants</t>
  </si>
  <si>
    <t>Rf ( Treasury yeld 10 years )</t>
  </si>
  <si>
    <t>Rf = Risk free rate ( Treasury Yield )</t>
  </si>
  <si>
    <t>Cost of debt ( Rd )</t>
  </si>
  <si>
    <t>Cost of equity ( Re )</t>
  </si>
  <si>
    <t>Corporate tax rate ( Tc )</t>
  </si>
  <si>
    <t>Total deb ( D )</t>
  </si>
  <si>
    <t>E = Market cap + Total debt</t>
  </si>
  <si>
    <t xml:space="preserve">Weight of equity (We) =  V/E </t>
  </si>
  <si>
    <t xml:space="preserve">Weight of debt (Wd) =  D/E </t>
  </si>
  <si>
    <t>Growth rate</t>
  </si>
  <si>
    <t>Revenue</t>
  </si>
  <si>
    <t>(%)</t>
  </si>
  <si>
    <t>Net Income</t>
  </si>
  <si>
    <t>Net Income Available to Common Stockholders</t>
  </si>
  <si>
    <t>Total Cash Flow from Operating Activities</t>
  </si>
  <si>
    <t>Total Purchase/Sale and Disposal of Property, Plant and Equipment, Net</t>
  </si>
  <si>
    <t>Free Cash Flow</t>
  </si>
  <si>
    <t>Net Income Margin</t>
  </si>
  <si>
    <t>Free Cash Flow Ratio (FCF / Net Income)</t>
  </si>
  <si>
    <t>1. Assumptions</t>
  </si>
  <si>
    <t>2. Historichal data</t>
  </si>
  <si>
    <t>3. Estimations</t>
  </si>
  <si>
    <t>Revenue growth YoY</t>
  </si>
  <si>
    <t>Terminal Value (TV)</t>
  </si>
  <si>
    <t>Discout factor</t>
  </si>
  <si>
    <t>PV to FCF</t>
  </si>
  <si>
    <t>Discout factor for TV</t>
  </si>
  <si>
    <t>PV to Terminal Value</t>
  </si>
  <si>
    <t>Fair Value</t>
  </si>
  <si>
    <t>Enterprise Value (USD millions)</t>
  </si>
  <si>
    <t>Number of shares</t>
  </si>
  <si>
    <t>Income Statement</t>
  </si>
  <si>
    <t>Cash Flow</t>
  </si>
  <si>
    <t>EBIDTA</t>
  </si>
  <si>
    <t>Balance Sheet</t>
  </si>
  <si>
    <t>Total Current Assets</t>
  </si>
  <si>
    <t>Total Assets</t>
  </si>
  <si>
    <t>Total Current Liabilities</t>
  </si>
  <si>
    <t>Total Non-Current Liabilities</t>
  </si>
  <si>
    <t>Total Non-Current Assets</t>
  </si>
  <si>
    <t>Total Liabilities</t>
  </si>
  <si>
    <t>Total Equity</t>
  </si>
  <si>
    <t>Margins</t>
  </si>
  <si>
    <t>Net margin</t>
  </si>
  <si>
    <t>EBITDA margin</t>
  </si>
  <si>
    <t>FCF maring</t>
  </si>
  <si>
    <t>Cash Dividends Paid</t>
  </si>
  <si>
    <t>Dividends</t>
  </si>
  <si>
    <t>Payout Ratio</t>
  </si>
  <si>
    <t>Debt</t>
  </si>
  <si>
    <t>Debt / Equity</t>
  </si>
  <si>
    <t>Current ratio (Current Assets / Current liabilites)</t>
  </si>
  <si>
    <t>Metric Indicator</t>
  </si>
  <si>
    <t>Condition</t>
  </si>
  <si>
    <t>1.0 - 1.5</t>
  </si>
  <si>
    <t>yes</t>
  </si>
  <si>
    <t>1 - 1.5</t>
  </si>
  <si>
    <t>PEG Ratio (5 yr expected) &lt;=</t>
  </si>
  <si>
    <t>Metrics</t>
  </si>
  <si>
    <t>FCF CAGR 5Y</t>
  </si>
  <si>
    <t>Net Income CAGR 5Y</t>
  </si>
  <si>
    <t>Revenue CAGR 5Y</t>
  </si>
  <si>
    <t xml:space="preserve">FCF (CARG 5y) </t>
  </si>
  <si>
    <t>increase</t>
  </si>
  <si>
    <t xml:space="preserve">Net income (CARG 5y) </t>
  </si>
  <si>
    <t xml:space="preserve">Revenue (CARG 5y) </t>
  </si>
  <si>
    <t xml:space="preserve">FCF (CARG 10y) </t>
  </si>
  <si>
    <t xml:space="preserve">Net income (CARG 10y) </t>
  </si>
  <si>
    <t xml:space="preserve">Revenue (CARG 10y) </t>
  </si>
  <si>
    <t>FCF CAGR 10Y</t>
  </si>
  <si>
    <t>Net Income CAGR 10Y</t>
  </si>
  <si>
    <t>Revenue CAGR 10Y</t>
  </si>
  <si>
    <t>Group</t>
  </si>
  <si>
    <t>Eficiency</t>
  </si>
  <si>
    <t>EBIDTA CAGR 5Y</t>
  </si>
  <si>
    <t>EBIDTA CAGR 10Y</t>
  </si>
  <si>
    <t xml:space="preserve">EBIDTA (CARG 5y) </t>
  </si>
  <si>
    <t xml:space="preserve">EBIDTA (CARG 10y) </t>
  </si>
  <si>
    <t>Profitability</t>
  </si>
  <si>
    <t>Evaluation</t>
  </si>
  <si>
    <t>Shares</t>
  </si>
  <si>
    <t>Value</t>
  </si>
  <si>
    <t>PE (last 5 Y) &lt;=</t>
  </si>
  <si>
    <t>K</t>
  </si>
  <si>
    <t>L</t>
  </si>
  <si>
    <t>J</t>
  </si>
  <si>
    <t>EBITDA estiamted growth rate</t>
  </si>
  <si>
    <t>DCF Perpetual Growth</t>
  </si>
  <si>
    <t>DCF Multiples</t>
  </si>
  <si>
    <t>4. Discounted FCF</t>
  </si>
  <si>
    <t>P/FCF (last 5Y) &lt;=</t>
  </si>
  <si>
    <t>Graham Revised Formula</t>
  </si>
  <si>
    <t>EPS (Diluted)</t>
  </si>
  <si>
    <t>Intrinsic value</t>
  </si>
  <si>
    <t>Y ( 20yr AA corp bond rate)</t>
  </si>
  <si>
    <t>https://fred.stlouisfed.org/series/BAMLC0A2CAAEY</t>
  </si>
  <si>
    <t>---&gt;</t>
  </si>
  <si>
    <t>P/E of company no growth [7, 8.5]</t>
  </si>
  <si>
    <t>Free Cash Flow Ratio</t>
  </si>
  <si>
    <t>Property, Plant &amp; Equipment (PPE)</t>
  </si>
  <si>
    <t>Total Depreciation and Amortazation</t>
  </si>
  <si>
    <t>CAPEX</t>
  </si>
  <si>
    <t>Dividend Discout Model</t>
  </si>
  <si>
    <t>Scenariu</t>
  </si>
  <si>
    <t>CONSERVATIV</t>
  </si>
  <si>
    <t>Ratele de crestere</t>
  </si>
  <si>
    <t>Inputs</t>
  </si>
  <si>
    <t>Year</t>
  </si>
  <si>
    <t>Terminal Value</t>
  </si>
  <si>
    <t>Dividend / share</t>
  </si>
  <si>
    <t>Dividend Value [$]</t>
  </si>
  <si>
    <t>Estimated growth YOY[%]</t>
  </si>
  <si>
    <t>PV</t>
  </si>
  <si>
    <t xml:space="preserve">WACC [%] </t>
  </si>
  <si>
    <t>Fair value</t>
  </si>
  <si>
    <t>NORMAL</t>
  </si>
  <si>
    <t>HIGH</t>
  </si>
  <si>
    <t>Net Payout Ratio (last 5y) &lt;=</t>
  </si>
  <si>
    <t xml:space="preserve">CHOWDER (5y) &gt; </t>
  </si>
  <si>
    <t>CAGR 5y</t>
  </si>
  <si>
    <t>Dividend CAGR 5y</t>
  </si>
  <si>
    <t>Dividend Increase Average 5y</t>
  </si>
  <si>
    <t xml:space="preserve">Average Increasing 5 y &gt; </t>
  </si>
  <si>
    <t>positive</t>
  </si>
  <si>
    <t>Net Payout Ratio Average 5y</t>
  </si>
  <si>
    <t>EV/EBIDTA Multiple (stock median)</t>
  </si>
  <si>
    <t>&lt;1 Excelent, [1,2] Good</t>
  </si>
  <si>
    <t>ROA</t>
  </si>
  <si>
    <t>ROE</t>
  </si>
  <si>
    <t>ROIC</t>
  </si>
  <si>
    <t>5% good, 20% excelent</t>
  </si>
  <si>
    <t>Number of shares decrease</t>
  </si>
  <si>
    <t>Shares outstanding</t>
  </si>
  <si>
    <t>EPS</t>
  </si>
  <si>
    <t>Efficiency</t>
  </si>
  <si>
    <t>Other metrics</t>
  </si>
  <si>
    <t>Price to Earnings</t>
  </si>
  <si>
    <t>Price to FCF</t>
  </si>
  <si>
    <t>ROA (last 5 Y) &gt;=</t>
  </si>
  <si>
    <t>ROE (last 5 Y) &gt;=</t>
  </si>
  <si>
    <t>ROIC (last 5 Y) =&gt;</t>
  </si>
  <si>
    <t>Current Ratio (last 5 Y) &gt;=</t>
  </si>
  <si>
    <t>Debt / Equity (last 5 Y) &lt;=</t>
  </si>
  <si>
    <t>Title</t>
  </si>
  <si>
    <t>sector median (0)</t>
  </si>
  <si>
    <t>PEG</t>
  </si>
  <si>
    <t>EPS Growth esitmation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</si>
</sst>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0"/>
    <numFmt numFmtId="165" formatCode="0.0000"/>
    <numFmt numFmtId="166" formatCode="&quot;$&quot;#,##0.00"/>
  </numFmts>
  <fonts count="25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5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rgb="FF3F3F3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000000"/>
      <name val="Arial"/>
      <family val="2"/>
    </font>
    <font>
      <b/>
      <sz val="15"/>
      <color theme="0"/>
      <name val="Wingdings"/>
      <charset val="2"/>
    </font>
    <font>
      <b/>
      <sz val="11"/>
      <color rgb="FF3F3F76"/>
      <name val="Calibri"/>
      <family val="2"/>
      <scheme val="minor"/>
    </font>
    <font>
      <i/>
      <sz val="11"/>
      <name val="Calibri"/>
      <family val="2"/>
      <scheme val="minor"/>
    </font>
    <font>
      <b/>
      <i/>
      <sz val="11"/>
      <color rgb="FF3F3F76"/>
      <name val="Calibri"/>
      <family val="2"/>
      <scheme val="minor"/>
    </font>
    <font>
      <b/>
      <sz val="14"/>
      <color rgb="FF3F3F3F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25"/>
      <color theme="1"/>
      <name val="Calibri"/>
      <family val="2"/>
      <scheme val="minor"/>
    </font>
    <font>
      <b/>
      <sz val="11"/>
      <color theme="1"/>
      <name val="Arial"/>
      <family val="2"/>
    </font>
    <font>
      <sz val="7"/>
      <color rgb="FFD4D4D4"/>
      <name val="Consolas"/>
      <family val="3"/>
    </font>
    <font>
      <sz val="9.8000000000000007"/>
      <color rgb="FFA9B7C6"/>
      <name val="JetBrains Mono"/>
      <family val="3"/>
    </font>
  </fonts>
  <fills count="13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ck">
        <color theme="4" tint="0.499984740745262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theme="4" tint="0.39997558519241921"/>
      </bottom>
      <diagonal/>
    </border>
    <border>
      <left/>
      <right style="medium">
        <color indexed="64"/>
      </right>
      <top style="medium">
        <color indexed="64"/>
      </top>
      <bottom style="medium">
        <color theme="4" tint="0.39997558519241921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theme="4" tint="0.3999755851924192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</borders>
  <cellStyleXfs count="12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3" fillId="0" borderId="3" applyNumberFormat="0" applyFill="0" applyAlignment="0" applyProtection="0"/>
    <xf numFmtId="0" fontId="3" fillId="0" borderId="0" applyNumberFormat="0" applyFill="0" applyBorder="0" applyAlignment="0" applyProtection="0"/>
    <xf numFmtId="0" fontId="4" fillId="2" borderId="4" applyNumberFormat="0" applyAlignment="0" applyProtection="0"/>
    <xf numFmtId="0" fontId="5" fillId="3" borderId="5" applyNumberFormat="0" applyAlignment="0" applyProtection="0"/>
    <xf numFmtId="0" fontId="6" fillId="0" borderId="6" applyNumberFormat="0" applyFill="0" applyAlignment="0" applyProtection="0"/>
    <xf numFmtId="0" fontId="7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4" borderId="0" applyNumberFormat="0" applyBorder="0" applyAlignment="0" applyProtection="0"/>
    <xf numFmtId="0" fontId="20" fillId="0" borderId="0" applyNumberFormat="0" applyFill="0" applyBorder="0" applyAlignment="0" applyProtection="0"/>
  </cellStyleXfs>
  <cellXfs count="161">
    <xf numFmtId="2" fontId="0" fillId="0" borderId="0" xfId="0" applyNumberFormat="1"/>
    <xf numFmtId="0" fontId="3" fillId="0" borderId="3" xfId="3"/>
    <xf numFmtId="0" fontId="2" fillId="0" borderId="2" xfId="2"/>
    <xf numFmtId="0" fontId="1" fillId="0" borderId="1" xfId="1"/>
    <xf numFmtId="0" fontId="3" fillId="0" borderId="0" xfId="4" applyBorder="1"/>
    <xf numFmtId="0" fontId="6" fillId="0" borderId="6" xfId="7"/>
    <xf numFmtId="0" fontId="0" fillId="0" borderId="0" xfId="0" applyAlignment="1">
      <alignment vertical="center"/>
    </xf>
    <xf numFmtId="0" fontId="3" fillId="0" borderId="0" xfId="4" applyBorder="1" applyAlignment="1">
      <alignment vertical="center"/>
    </xf>
    <xf numFmtId="0" fontId="1" fillId="0" borderId="1" xfId="1" applyAlignment="1"/>
    <xf numFmtId="3" fontId="0" fillId="0" borderId="0" xfId="0" applyNumberFormat="1"/>
    <xf numFmtId="0" fontId="3" fillId="0" borderId="0" xfId="4" applyFill="1" applyBorder="1"/>
    <xf numFmtId="3" fontId="2" fillId="0" borderId="2" xfId="2" applyNumberFormat="1"/>
    <xf numFmtId="10" fontId="2" fillId="0" borderId="2" xfId="2" applyNumberFormat="1"/>
    <xf numFmtId="10" fontId="0" fillId="0" borderId="0" xfId="0" applyNumberFormat="1"/>
    <xf numFmtId="9" fontId="0" fillId="0" borderId="0" xfId="0" applyNumberFormat="1"/>
    <xf numFmtId="0" fontId="8" fillId="0" borderId="0" xfId="0" applyFont="1" applyAlignment="1">
      <alignment vertical="top"/>
    </xf>
    <xf numFmtId="0" fontId="2" fillId="0" borderId="2" xfId="2" applyFill="1"/>
    <xf numFmtId="10" fontId="1" fillId="0" borderId="1" xfId="1" applyNumberFormat="1"/>
    <xf numFmtId="0" fontId="3" fillId="0" borderId="0" xfId="4"/>
    <xf numFmtId="0" fontId="1" fillId="0" borderId="1" xfId="1" applyAlignment="1">
      <alignment horizontal="left"/>
    </xf>
    <xf numFmtId="10" fontId="10" fillId="0" borderId="0" xfId="0" applyNumberFormat="1" applyFont="1"/>
    <xf numFmtId="4" fontId="10" fillId="0" borderId="0" xfId="0" applyNumberFormat="1" applyFont="1"/>
    <xf numFmtId="0" fontId="10" fillId="0" borderId="0" xfId="0" applyFont="1"/>
    <xf numFmtId="4" fontId="6" fillId="0" borderId="6" xfId="7" applyNumberFormat="1"/>
    <xf numFmtId="10" fontId="3" fillId="0" borderId="3" xfId="3" applyNumberFormat="1"/>
    <xf numFmtId="4" fontId="3" fillId="0" borderId="0" xfId="4" applyNumberFormat="1"/>
    <xf numFmtId="10" fontId="3" fillId="0" borderId="0" xfId="4" applyNumberFormat="1"/>
    <xf numFmtId="9" fontId="10" fillId="0" borderId="0" xfId="0" applyNumberFormat="1" applyFont="1"/>
    <xf numFmtId="164" fontId="3" fillId="0" borderId="0" xfId="4" applyNumberFormat="1"/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left"/>
    </xf>
    <xf numFmtId="0" fontId="5" fillId="3" borderId="0" xfId="6" applyBorder="1"/>
    <xf numFmtId="0" fontId="12" fillId="3" borderId="0" xfId="7" applyFont="1" applyFill="1" applyBorder="1"/>
    <xf numFmtId="0" fontId="6" fillId="0" borderId="0" xfId="0" applyFont="1"/>
    <xf numFmtId="0" fontId="0" fillId="8" borderId="0" xfId="0" applyFill="1"/>
    <xf numFmtId="0" fontId="3" fillId="8" borderId="0" xfId="4" applyFill="1"/>
    <xf numFmtId="0" fontId="3" fillId="7" borderId="0" xfId="4" applyFill="1"/>
    <xf numFmtId="4" fontId="14" fillId="9" borderId="0" xfId="0" applyNumberFormat="1" applyFont="1" applyFill="1" applyAlignment="1">
      <alignment horizontal="right" vertical="center" wrapText="1"/>
    </xf>
    <xf numFmtId="0" fontId="0" fillId="7" borderId="0" xfId="0" applyFill="1"/>
    <xf numFmtId="0" fontId="12" fillId="8" borderId="0" xfId="9" applyFont="1" applyFill="1"/>
    <xf numFmtId="2" fontId="12" fillId="8" borderId="0" xfId="0" applyNumberFormat="1" applyFont="1" applyFill="1"/>
    <xf numFmtId="0" fontId="12" fillId="7" borderId="0" xfId="10" applyFont="1" applyFill="1"/>
    <xf numFmtId="2" fontId="12" fillId="7" borderId="0" xfId="10" applyNumberFormat="1" applyFont="1" applyFill="1"/>
    <xf numFmtId="0" fontId="12" fillId="7" borderId="0" xfId="0" applyFont="1" applyFill="1"/>
    <xf numFmtId="0" fontId="12" fillId="0" borderId="0" xfId="0" applyFont="1"/>
    <xf numFmtId="0" fontId="6" fillId="8" borderId="0" xfId="9" applyFont="1" applyFill="1"/>
    <xf numFmtId="9" fontId="6" fillId="8" borderId="0" xfId="9" applyNumberFormat="1" applyFont="1" applyFill="1" applyAlignment="1">
      <alignment horizontal="left"/>
    </xf>
    <xf numFmtId="10" fontId="6" fillId="8" borderId="0" xfId="9" applyNumberFormat="1" applyFont="1" applyFill="1" applyAlignment="1">
      <alignment horizontal="left"/>
    </xf>
    <xf numFmtId="0" fontId="6" fillId="7" borderId="0" xfId="10" applyFont="1" applyFill="1"/>
    <xf numFmtId="9" fontId="6" fillId="7" borderId="0" xfId="10" applyNumberFormat="1" applyFont="1" applyFill="1" applyAlignment="1">
      <alignment horizontal="left"/>
    </xf>
    <xf numFmtId="0" fontId="6" fillId="8" borderId="0" xfId="0" applyFont="1" applyFill="1" applyAlignment="1">
      <alignment horizontal="left"/>
    </xf>
    <xf numFmtId="0" fontId="6" fillId="7" borderId="0" xfId="0" applyFont="1" applyFill="1" applyAlignment="1">
      <alignment horizontal="left"/>
    </xf>
    <xf numFmtId="10" fontId="12" fillId="8" borderId="0" xfId="0" applyNumberFormat="1" applyFont="1" applyFill="1" applyAlignment="1">
      <alignment horizontal="left"/>
    </xf>
    <xf numFmtId="0" fontId="12" fillId="8" borderId="0" xfId="0" applyFont="1" applyFill="1" applyAlignment="1">
      <alignment horizontal="left"/>
    </xf>
    <xf numFmtId="0" fontId="15" fillId="12" borderId="0" xfId="0" applyFont="1" applyFill="1" applyAlignment="1">
      <alignment horizontal="center" vertical="center"/>
    </xf>
    <xf numFmtId="0" fontId="15" fillId="10" borderId="0" xfId="0" applyFont="1" applyFill="1" applyAlignment="1">
      <alignment horizontal="center" vertical="center"/>
    </xf>
    <xf numFmtId="0" fontId="15" fillId="11" borderId="0" xfId="0" applyFont="1" applyFill="1" applyAlignment="1">
      <alignment horizontal="center" vertical="center"/>
    </xf>
    <xf numFmtId="2" fontId="6" fillId="7" borderId="0" xfId="0" applyNumberFormat="1" applyFont="1" applyFill="1" applyAlignment="1">
      <alignment horizontal="left"/>
    </xf>
    <xf numFmtId="4" fontId="16" fillId="2" borderId="4" xfId="5" applyNumberFormat="1" applyFont="1" applyAlignment="1">
      <alignment vertical="center"/>
    </xf>
    <xf numFmtId="3" fontId="16" fillId="2" borderId="4" xfId="5" applyNumberFormat="1" applyFont="1"/>
    <xf numFmtId="4" fontId="16" fillId="2" borderId="4" xfId="5" applyNumberFormat="1" applyFont="1"/>
    <xf numFmtId="165" fontId="10" fillId="0" borderId="0" xfId="0" applyNumberFormat="1" applyFont="1"/>
    <xf numFmtId="4" fontId="17" fillId="0" borderId="0" xfId="4" applyNumberFormat="1" applyFont="1"/>
    <xf numFmtId="10" fontId="17" fillId="0" borderId="0" xfId="4" applyNumberFormat="1" applyFont="1"/>
    <xf numFmtId="0" fontId="1" fillId="0" borderId="0" xfId="1" applyBorder="1"/>
    <xf numFmtId="10" fontId="18" fillId="2" borderId="4" xfId="5" applyNumberFormat="1" applyFont="1"/>
    <xf numFmtId="2" fontId="16" fillId="2" borderId="4" xfId="5" applyNumberFormat="1" applyFont="1"/>
    <xf numFmtId="10" fontId="16" fillId="2" borderId="4" xfId="5" applyNumberFormat="1" applyFont="1"/>
    <xf numFmtId="10" fontId="18" fillId="2" borderId="0" xfId="5" applyNumberFormat="1" applyFont="1" applyBorder="1"/>
    <xf numFmtId="0" fontId="19" fillId="3" borderId="5" xfId="6" applyFont="1"/>
    <xf numFmtId="166" fontId="19" fillId="3" borderId="5" xfId="6" applyNumberFormat="1" applyFont="1"/>
    <xf numFmtId="4" fontId="1" fillId="7" borderId="1" xfId="1" applyNumberFormat="1" applyFill="1"/>
    <xf numFmtId="4" fontId="1" fillId="0" borderId="1" xfId="1" applyNumberFormat="1"/>
    <xf numFmtId="0" fontId="3" fillId="0" borderId="8" xfId="4" applyBorder="1"/>
    <xf numFmtId="4" fontId="12" fillId="0" borderId="8" xfId="0" applyNumberFormat="1" applyFont="1" applyBorder="1"/>
    <xf numFmtId="0" fontId="6" fillId="8" borderId="6" xfId="7" applyFill="1"/>
    <xf numFmtId="0" fontId="20" fillId="0" borderId="0" xfId="11"/>
    <xf numFmtId="49" fontId="0" fillId="0" borderId="0" xfId="0" applyNumberFormat="1" applyAlignment="1">
      <alignment horizontal="center"/>
    </xf>
    <xf numFmtId="2" fontId="4" fillId="2" borderId="4" xfId="5" applyNumberFormat="1"/>
    <xf numFmtId="2" fontId="6" fillId="8" borderId="6" xfId="7" applyNumberFormat="1" applyFill="1"/>
    <xf numFmtId="0" fontId="3" fillId="0" borderId="18" xfId="3" applyBorder="1"/>
    <xf numFmtId="0" fontId="3" fillId="0" borderId="19" xfId="3" applyBorder="1"/>
    <xf numFmtId="0" fontId="0" fillId="0" borderId="19" xfId="0" applyBorder="1"/>
    <xf numFmtId="0" fontId="0" fillId="0" borderId="17" xfId="0" applyBorder="1"/>
    <xf numFmtId="0" fontId="3" fillId="0" borderId="20" xfId="3" applyBorder="1"/>
    <xf numFmtId="0" fontId="3" fillId="0" borderId="21" xfId="3" applyBorder="1"/>
    <xf numFmtId="0" fontId="3" fillId="0" borderId="22" xfId="4" applyBorder="1"/>
    <xf numFmtId="0" fontId="3" fillId="0" borderId="23" xfId="4" applyBorder="1"/>
    <xf numFmtId="0" fontId="3" fillId="0" borderId="25" xfId="3" applyBorder="1"/>
    <xf numFmtId="0" fontId="3" fillId="0" borderId="26" xfId="4" applyBorder="1"/>
    <xf numFmtId="2" fontId="5" fillId="3" borderId="27" xfId="6" applyNumberFormat="1" applyBorder="1"/>
    <xf numFmtId="0" fontId="3" fillId="0" borderId="14" xfId="3" applyBorder="1"/>
    <xf numFmtId="0" fontId="0" fillId="0" borderId="12" xfId="0" applyBorder="1"/>
    <xf numFmtId="0" fontId="0" fillId="0" borderId="13" xfId="0" applyBorder="1"/>
    <xf numFmtId="0" fontId="1" fillId="3" borderId="14" xfId="1" applyFill="1" applyBorder="1" applyAlignment="1"/>
    <xf numFmtId="166" fontId="1" fillId="3" borderId="8" xfId="1" applyNumberFormat="1" applyFill="1" applyBorder="1" applyAlignment="1"/>
    <xf numFmtId="0" fontId="0" fillId="0" borderId="8" xfId="0" applyBorder="1"/>
    <xf numFmtId="0" fontId="0" fillId="0" borderId="15" xfId="0" applyBorder="1"/>
    <xf numFmtId="0" fontId="22" fillId="0" borderId="0" xfId="0" applyFont="1"/>
    <xf numFmtId="166" fontId="0" fillId="0" borderId="0" xfId="0" applyNumberFormat="1"/>
    <xf numFmtId="0" fontId="3" fillId="0" borderId="0" xfId="4" applyFill="1"/>
    <xf numFmtId="9" fontId="3" fillId="0" borderId="0" xfId="4" applyNumberFormat="1" applyAlignment="1">
      <alignment horizontal="left"/>
    </xf>
    <xf numFmtId="9" fontId="3" fillId="0" borderId="0" xfId="4" applyNumberFormat="1" applyBorder="1" applyAlignment="1">
      <alignment horizontal="left"/>
    </xf>
    <xf numFmtId="10" fontId="3" fillId="0" borderId="0" xfId="4" applyNumberFormat="1" applyAlignment="1">
      <alignment horizontal="left"/>
    </xf>
    <xf numFmtId="10" fontId="16" fillId="2" borderId="29" xfId="5" applyNumberFormat="1" applyFont="1" applyBorder="1" applyAlignment="1">
      <alignment horizontal="right"/>
    </xf>
    <xf numFmtId="10" fontId="16" fillId="0" borderId="30" xfId="5" applyNumberFormat="1" applyFont="1" applyFill="1" applyBorder="1" applyAlignment="1">
      <alignment horizontal="right"/>
    </xf>
    <xf numFmtId="166" fontId="6" fillId="0" borderId="0" xfId="0" applyNumberFormat="1" applyFont="1"/>
    <xf numFmtId="49" fontId="24" fillId="0" borderId="0" xfId="0" applyNumberFormat="1" applyFont="1" applyAlignment="1">
      <alignment vertical="center"/>
    </xf>
    <xf numFmtId="49" fontId="0" fillId="0" borderId="0" xfId="0" applyNumberFormat="1"/>
    <xf numFmtId="49" fontId="23" fillId="0" borderId="0" xfId="0" applyNumberFormat="1" applyFont="1" applyAlignment="1">
      <alignment vertical="center"/>
    </xf>
    <xf numFmtId="49" fontId="0" fillId="0" borderId="0" xfId="0" applyNumberFormat="1" applyAlignment="1">
      <alignment vertical="center"/>
    </xf>
    <xf numFmtId="0" fontId="2" fillId="0" borderId="2" xfId="2" applyAlignment="1">
      <alignment horizontal="right"/>
    </xf>
    <xf numFmtId="2" fontId="0" fillId="0" borderId="0" xfId="0" applyNumberFormat="1" applyAlignment="1">
      <alignment horizontal="right"/>
    </xf>
    <xf numFmtId="4" fontId="12" fillId="8" borderId="0" xfId="0" applyNumberFormat="1" applyFont="1" applyFill="1" applyAlignment="1">
      <alignment horizontal="right"/>
    </xf>
    <xf numFmtId="4" fontId="11" fillId="3" borderId="0" xfId="6" applyNumberFormat="1" applyFont="1" applyBorder="1" applyAlignment="1">
      <alignment horizontal="right"/>
    </xf>
    <xf numFmtId="4" fontId="12" fillId="3" borderId="0" xfId="7" applyNumberFormat="1" applyFont="1" applyFill="1" applyBorder="1" applyAlignment="1">
      <alignment horizontal="right"/>
    </xf>
    <xf numFmtId="2" fontId="5" fillId="3" borderId="5" xfId="6" applyNumberFormat="1" applyAlignment="1">
      <alignment horizontal="right"/>
    </xf>
    <xf numFmtId="2" fontId="3" fillId="0" borderId="0" xfId="4" applyNumberFormat="1" applyAlignment="1">
      <alignment horizontal="right"/>
    </xf>
    <xf numFmtId="0" fontId="5" fillId="3" borderId="0" xfId="6" applyBorder="1" applyAlignment="1">
      <alignment horizontal="right"/>
    </xf>
    <xf numFmtId="0" fontId="3" fillId="0" borderId="0" xfId="4" applyFill="1" applyBorder="1" applyAlignment="1">
      <alignment horizontal="right"/>
    </xf>
    <xf numFmtId="4" fontId="10" fillId="0" borderId="0" xfId="0" applyNumberFormat="1" applyFont="1" applyAlignment="1">
      <alignment horizontal="right"/>
    </xf>
    <xf numFmtId="4" fontId="5" fillId="3" borderId="0" xfId="6" applyNumberFormat="1" applyBorder="1" applyAlignment="1">
      <alignment horizontal="right"/>
    </xf>
    <xf numFmtId="166" fontId="16" fillId="2" borderId="4" xfId="5" applyNumberFormat="1" applyFont="1" applyAlignment="1">
      <alignment wrapText="1"/>
    </xf>
    <xf numFmtId="2" fontId="0" fillId="0" borderId="0" xfId="0" applyNumberFormat="1" applyAlignment="1">
      <alignment horizontal="right" vertical="center"/>
    </xf>
    <xf numFmtId="2" fontId="12" fillId="8" borderId="0" xfId="9" applyNumberFormat="1" applyFont="1" applyFill="1"/>
    <xf numFmtId="2" fontId="13" fillId="0" borderId="0" xfId="4" applyNumberFormat="1" applyFont="1" applyAlignment="1">
      <alignment horizontal="right"/>
    </xf>
    <xf numFmtId="10" fontId="12" fillId="8" borderId="0" xfId="0" applyNumberFormat="1" applyFont="1" applyFill="1" applyAlignment="1">
      <alignment horizontal="right"/>
    </xf>
    <xf numFmtId="2" fontId="3" fillId="0" borderId="0" xfId="4" applyNumberFormat="1"/>
    <xf numFmtId="2" fontId="6" fillId="8" borderId="0" xfId="9" applyNumberFormat="1" applyFont="1" applyFill="1" applyAlignment="1">
      <alignment horizontal="left"/>
    </xf>
    <xf numFmtId="2" fontId="6" fillId="8" borderId="0" xfId="0" applyNumberFormat="1" applyFont="1" applyFill="1" applyAlignment="1">
      <alignment horizontal="left"/>
    </xf>
    <xf numFmtId="2" fontId="6" fillId="0" borderId="0" xfId="0" applyNumberFormat="1" applyFont="1" applyAlignment="1">
      <alignment horizontal="left"/>
    </xf>
    <xf numFmtId="10" fontId="11" fillId="3" borderId="5" xfId="6" applyNumberFormat="1" applyFont="1" applyAlignment="1">
      <alignment horizontal="right"/>
    </xf>
    <xf numFmtId="2" fontId="12" fillId="7" borderId="0" xfId="0" applyNumberFormat="1" applyFont="1" applyFill="1" applyAlignment="1">
      <alignment horizontal="left"/>
    </xf>
    <xf numFmtId="0" fontId="0" fillId="0" borderId="0" xfId="0"/>
    <xf numFmtId="0" fontId="3" fillId="0" borderId="0" xfId="4" applyAlignment="1">
      <alignment horizontal="left" vertical="center"/>
    </xf>
    <xf numFmtId="0" fontId="21" fillId="0" borderId="9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6" fillId="8" borderId="7" xfId="9" applyFont="1" applyFill="1" applyBorder="1" applyAlignment="1">
      <alignment horizontal="left" vertical="center"/>
    </xf>
    <xf numFmtId="0" fontId="6" fillId="8" borderId="0" xfId="9" applyFont="1" applyFill="1" applyBorder="1" applyAlignment="1">
      <alignment horizontal="left" vertical="center"/>
    </xf>
    <xf numFmtId="0" fontId="6" fillId="8" borderId="0" xfId="9" applyFont="1" applyFill="1" applyAlignment="1">
      <alignment horizontal="left" vertical="center"/>
    </xf>
    <xf numFmtId="0" fontId="6" fillId="7" borderId="0" xfId="10" applyFont="1" applyFill="1" applyAlignment="1">
      <alignment horizontal="left" vertical="center"/>
    </xf>
    <xf numFmtId="0" fontId="13" fillId="7" borderId="0" xfId="10" applyFill="1" applyAlignment="1">
      <alignment horizontal="left" vertical="center"/>
    </xf>
    <xf numFmtId="0" fontId="6" fillId="8" borderId="0" xfId="0" applyFont="1" applyFill="1" applyAlignment="1">
      <alignment horizontal="left" vertical="center"/>
    </xf>
    <xf numFmtId="0" fontId="0" fillId="8" borderId="0" xfId="0" applyFill="1" applyAlignment="1">
      <alignment horizontal="left" vertical="center"/>
    </xf>
    <xf numFmtId="0" fontId="6" fillId="7" borderId="0" xfId="0" applyFont="1" applyFill="1" applyAlignment="1">
      <alignment horizontal="left" vertical="center"/>
    </xf>
    <xf numFmtId="0" fontId="0" fillId="7" borderId="0" xfId="0" applyFill="1" applyAlignment="1">
      <alignment horizontal="left" vertical="center"/>
    </xf>
    <xf numFmtId="0" fontId="3" fillId="8" borderId="0" xfId="4" applyFill="1" applyAlignment="1">
      <alignment horizontal="left"/>
    </xf>
    <xf numFmtId="0" fontId="9" fillId="5" borderId="0" xfId="8" applyFont="1" applyBorder="1" applyAlignment="1">
      <alignment horizontal="center" vertical="center"/>
    </xf>
    <xf numFmtId="2" fontId="5" fillId="3" borderId="27" xfId="6" applyNumberFormat="1" applyBorder="1" applyAlignment="1">
      <alignment horizontal="center"/>
    </xf>
    <xf numFmtId="2" fontId="5" fillId="3" borderId="28" xfId="6" applyNumberFormat="1" applyBorder="1" applyAlignment="1">
      <alignment horizontal="center"/>
    </xf>
    <xf numFmtId="0" fontId="1" fillId="0" borderId="16" xfId="1" applyFill="1" applyBorder="1" applyAlignment="1">
      <alignment horizontal="left"/>
    </xf>
    <xf numFmtId="0" fontId="1" fillId="0" borderId="17" xfId="1" applyFill="1" applyBorder="1" applyAlignment="1">
      <alignment horizontal="left"/>
    </xf>
    <xf numFmtId="0" fontId="3" fillId="0" borderId="23" xfId="4" applyBorder="1"/>
    <xf numFmtId="0" fontId="3" fillId="0" borderId="24" xfId="4" applyBorder="1"/>
  </cellXfs>
  <cellStyles count="12">
    <cellStyle name="20% - Accent1" xfId="9" builtinId="30"/>
    <cellStyle name="40% - Accent1" xfId="10" builtinId="31"/>
    <cellStyle name="60% - Accent1" xfId="8" builtinId="32"/>
    <cellStyle name="Heading 1" xfId="1" builtinId="16"/>
    <cellStyle name="Heading 2" xfId="2" builtinId="17"/>
    <cellStyle name="Heading 3" xfId="3" builtinId="18"/>
    <cellStyle name="Heading 4" xfId="4" builtinId="19"/>
    <cellStyle name="Hyperlink" xfId="11" builtinId="8"/>
    <cellStyle name="Input" xfId="5" builtinId="20"/>
    <cellStyle name="Normal" xfId="0" builtinId="0"/>
    <cellStyle name="Output" xfId="6" builtinId="21"/>
    <cellStyle name="Total" xfId="7" builtinId="2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Margins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Net margin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Financials!$D$59:$M$59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Financials!$D$60:$M$60</c:f>
              <c:numCache>
                <c:formatCode>0.00%</c:formatCode>
                <c:ptCount val="10"/>
                <c:pt idx="0">
                  <c:v>0.10541782018961597</c:v>
                </c:pt>
                <c:pt idx="1">
                  <c:v>0.12184660123591422</c:v>
                </c:pt>
                <c:pt idx="2">
                  <c:v>0.10955576432693598</c:v>
                </c:pt>
                <c:pt idx="3">
                  <c:v>0.10748612762584225</c:v>
                </c:pt>
                <c:pt idx="4">
                  <c:v>0.26737936468734197</c:v>
                </c:pt>
                <c:pt idx="5">
                  <c:v>0.12412837144338515</c:v>
                </c:pt>
                <c:pt idx="6">
                  <c:v>0.11985276569183602</c:v>
                </c:pt>
                <c:pt idx="7">
                  <c:v>0.10171488161909543</c:v>
                </c:pt>
                <c:pt idx="8">
                  <c:v>0.12165657086394295</c:v>
                </c:pt>
                <c:pt idx="9">
                  <c:v>4.4224101723669362E-2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5FE3-402B-88B1-A32EEE73278E}"/>
            </c:ext>
          </c:extLst>
        </c:ser>
        <c:ser>
          <c:idx val="1"/>
          <c:order val="1"/>
          <c:tx>
            <c:v>EBITDA margin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Financials!$D$59:$M$59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Financials!$D$61:$M$61</c:f>
              <c:numCache>
                <c:formatCode>0.00%</c:formatCode>
                <c:ptCount val="10"/>
                <c:pt idx="0">
                  <c:v>0.33150316284393028</c:v>
                </c:pt>
                <c:pt idx="1">
                  <c:v>0.33330425299890948</c:v>
                </c:pt>
                <c:pt idx="2">
                  <c:v>0.33120386525298617</c:v>
                </c:pt>
                <c:pt idx="3">
                  <c:v>0.32522047166072138</c:v>
                </c:pt>
                <c:pt idx="4">
                  <c:v>0.32584177163085537</c:v>
                </c:pt>
                <c:pt idx="5">
                  <c:v>0.31410371718497043</c:v>
                </c:pt>
                <c:pt idx="6">
                  <c:v>0.31280865047456446</c:v>
                </c:pt>
                <c:pt idx="7">
                  <c:v>0.29540187710015064</c:v>
                </c:pt>
                <c:pt idx="8">
                  <c:v>0.29746960518967219</c:v>
                </c:pt>
                <c:pt idx="9">
                  <c:v>0.2294547341200886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5FE3-402B-88B1-A32EEE73278E}"/>
            </c:ext>
          </c:extLst>
        </c:ser>
        <c:ser>
          <c:idx val="2"/>
          <c:order val="2"/>
          <c:tx>
            <c:v>FCF Margin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Financials!$D$59:$M$59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Financials!$D$62:$M$62</c:f>
              <c:numCache>
                <c:formatCode>0.00%</c:formatCode>
                <c:ptCount val="10"/>
                <c:pt idx="0">
                  <c:v>5.6931190745008277E-2</c:v>
                </c:pt>
                <c:pt idx="1">
                  <c:v>0.11360232642675391</c:v>
                </c:pt>
                <c:pt idx="2">
                  <c:v>0.10861629311501812</c:v>
                </c:pt>
                <c:pt idx="3">
                  <c:v>9.5087693222354344E-2</c:v>
                </c:pt>
                <c:pt idx="4">
                  <c:v>0.11003304754848346</c:v>
                </c:pt>
                <c:pt idx="5">
                  <c:v>8.0988709831017802E-2</c:v>
                </c:pt>
                <c:pt idx="6">
                  <c:v>8.1318499752161696E-2</c:v>
                </c:pt>
                <c:pt idx="7">
                  <c:v>7.689930864006797E-2</c:v>
                </c:pt>
                <c:pt idx="8">
                  <c:v>0.11418997293465653</c:v>
                </c:pt>
                <c:pt idx="9">
                  <c:v>9.1857659334414921E-2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5FE3-402B-88B1-A32EEE73278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33839888"/>
        <c:axId val="133837536"/>
      </c:lineChart>
      <c:catAx>
        <c:axId val="133839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37536"/>
        <c:crosses val="autoZero"/>
        <c:auto val="1"/>
        <c:lblAlgn val="ctr"/>
        <c:lblOffset val="100"/>
        <c:noMultiLvlLbl val="0"/>
      </c:catAx>
      <c:valAx>
        <c:axId val="13383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Margin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39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 and P/FCF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PER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Financials!$D$90:$M$90</c:f>
              <c:numCache>
                <c:formatCode>0.00</c:formatCode>
                <c:ptCount val="10"/>
                <c:pt idx="0">
                  <c:v>21.649999618530273</c:v>
                </c:pt>
                <c:pt idx="1">
                  <c:v>18.239999771118164</c:v>
                </c:pt>
                <c:pt idx="2">
                  <c:v>17.690000534057617</c:v>
                </c:pt>
                <c:pt idx="3">
                  <c:v>20.25</c:v>
                </c:pt>
                <c:pt idx="4">
                  <c:v>19.209999084472656</c:v>
                </c:pt>
                <c:pt idx="5">
                  <c:v>6.6500000953674316</c:v>
                </c:pt>
                <c:pt idx="6">
                  <c:v>16.659999847412109</c:v>
                </c:pt>
                <c:pt idx="7">
                  <c:v>23.5</c:v>
                </c:pt>
                <c:pt idx="8">
                  <c:v>16.180000305175781</c:v>
                </c:pt>
                <c:pt idx="9">
                  <c:v>29.639999389648438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2E99-43A2-91C6-E54CD548E410}"/>
            </c:ext>
          </c:extLst>
        </c:ser>
        <c:ser>
          <c:idx val="1"/>
          <c:order val="1"/>
          <c:tx>
            <c:v>P/FCF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Financials!$D$91:$M$91</c:f>
              <c:numCache>
                <c:formatCode>0.00</c:formatCode>
                <c:ptCount val="10"/>
                <c:pt idx="0">
                  <c:v>9.0900001525878906</c:v>
                </c:pt>
                <c:pt idx="1">
                  <c:v>10.340000152587891</c:v>
                </c:pt>
                <c:pt idx="2">
                  <c:v>7.7800002098083496</c:v>
                </c:pt>
                <c:pt idx="3">
                  <c:v>9.1800003051757813</c:v>
                </c:pt>
                <c:pt idx="4">
                  <c:v>9.0799999237060547</c:v>
                </c:pt>
                <c:pt idx="5">
                  <c:v>6.6100001335144043</c:v>
                </c:pt>
                <c:pt idx="6">
                  <c:v>8.1999998092651367</c:v>
                </c:pt>
                <c:pt idx="7">
                  <c:v>9.3299999237060547</c:v>
                </c:pt>
                <c:pt idx="8">
                  <c:v>8.8599996566772461</c:v>
                </c:pt>
                <c:pt idx="9">
                  <c:v>5.5900001525878906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2E99-43A2-91C6-E54CD548E41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57086440"/>
        <c:axId val="357084088"/>
      </c:lineChart>
      <c:catAx>
        <c:axId val="357086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084088"/>
        <c:crosses val="autoZero"/>
        <c:auto val="1"/>
        <c:lblAlgn val="ctr"/>
        <c:lblOffset val="100"/>
        <c:noMultiLvlLbl val="0"/>
      </c:catAx>
      <c:valAx>
        <c:axId val="357084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086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EPS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Financials!$D$15:$M$15</c:f>
              <c:numCache>
                <c:formatCode>0.00</c:formatCode>
                <c:ptCount val="10"/>
                <c:pt idx="0">
                  <c:v>1.2799999713897705</c:v>
                </c:pt>
                <c:pt idx="1">
                  <c:v>1.6000000238418579</c:v>
                </c:pt>
                <c:pt idx="2">
                  <c:v>1.6200000047683716</c:v>
                </c:pt>
                <c:pt idx="3">
                  <c:v>1.7799999713897705</c:v>
                </c:pt>
                <c:pt idx="4">
                  <c:v>4.75</c:v>
                </c:pt>
                <c:pt idx="5">
                  <c:v>2.5299999713897705</c:v>
                </c:pt>
                <c:pt idx="6">
                  <c:v>2.8299999237060547</c:v>
                </c:pt>
                <c:pt idx="7">
                  <c:v>2.2799999713897705</c:v>
                </c:pt>
                <c:pt idx="8">
                  <c:v>3.0399999618530273</c:v>
                </c:pt>
                <c:pt idx="9">
                  <c:v>1.2100000381469727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4E-4D0E-B961-FAF8C19FC55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57088400"/>
        <c:axId val="357089968"/>
      </c:barChart>
      <c:catAx>
        <c:axId val="35708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089968"/>
        <c:crosses val="autoZero"/>
        <c:auto val="1"/>
        <c:lblAlgn val="ctr"/>
        <c:lblOffset val="100"/>
        <c:noMultiLvlLbl val="0"/>
      </c:catAx>
      <c:valAx>
        <c:axId val="35708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088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Dividend sustainability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Net income (Earnings)</c:v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Financials!$D$6:$M$6</c:f>
              <c:numCache>
                <c:formatCode>0.00</c:formatCode>
                <c:ptCount val="10"/>
                <c:pt idx="0">
                  <c:v>6816</c:v>
                </c:pt>
                <c:pt idx="1">
                  <c:v>8380</c:v>
                </c:pt>
                <c:pt idx="2">
                  <c:v>8163</c:v>
                </c:pt>
                <c:pt idx="3">
                  <c:v>8678</c:v>
                </c:pt>
                <c:pt idx="4">
                  <c:v>22735</c:v>
                </c:pt>
                <c:pt idx="5">
                  <c:v>11731</c:v>
                </c:pt>
                <c:pt idx="6">
                  <c:v>13057</c:v>
                </c:pt>
                <c:pt idx="7">
                  <c:v>10534</c:v>
                </c:pt>
                <c:pt idx="8">
                  <c:v>14159</c:v>
                </c:pt>
                <c:pt idx="9">
                  <c:v>5370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ED-4E4A-AA11-E50E447108A8}"/>
            </c:ext>
          </c:extLst>
        </c:ser>
        <c:ser>
          <c:idx val="0"/>
          <c:order val="1"/>
          <c:tx>
            <c:v>Dividend paid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Financials!$D$31:$M$31</c:f>
              <c:numCache>
                <c:formatCode>0.00</c:formatCode>
                <c:ptCount val="10"/>
                <c:pt idx="0">
                  <c:v>1964</c:v>
                </c:pt>
                <c:pt idx="1">
                  <c:v>2254</c:v>
                </c:pt>
                <c:pt idx="2">
                  <c:v>2437</c:v>
                </c:pt>
                <c:pt idx="3">
                  <c:v>2601</c:v>
                </c:pt>
                <c:pt idx="4">
                  <c:v>2883</c:v>
                </c:pt>
                <c:pt idx="5">
                  <c:v>3352</c:v>
                </c:pt>
                <c:pt idx="6">
                  <c:v>3735</c:v>
                </c:pt>
                <c:pt idx="7">
                  <c:v>4140</c:v>
                </c:pt>
                <c:pt idx="8">
                  <c:v>4532</c:v>
                </c:pt>
                <c:pt idx="9">
                  <c:v>4741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ED-4E4A-AA11-E50E447108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33839104"/>
        <c:axId val="133838320"/>
      </c:barChart>
      <c:scatterChart>
        <c:scatterStyle val="smoothMarker"/>
        <c:varyColors val="0"/>
        <c:ser>
          <c:idx val="2"/>
          <c:order val="2"/>
          <c:tx>
            <c:v>Payout Ratio</c:v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yVal>
            <c:numRef>
              <c:f>Financials!$D$65:$M$65</c:f>
              <c:numCache>
                <c:formatCode>0.00%</c:formatCode>
                <c:ptCount val="10"/>
                <c:pt idx="0">
                  <c:v>0.28814553990610331</c:v>
                </c:pt>
                <c:pt idx="1">
                  <c:v>0.26897374701670645</c:v>
                </c:pt>
                <c:pt idx="2">
                  <c:v>0.29854220262158521</c:v>
                </c:pt>
                <c:pt idx="3">
                  <c:v>0.29972343858031802</c:v>
                </c:pt>
                <c:pt idx="4">
                  <c:v>0.12680888497910711</c:v>
                </c:pt>
                <c:pt idx="5">
                  <c:v>0.28573864120705822</c:v>
                </c:pt>
                <c:pt idx="6">
                  <c:v>0.28605345791529446</c:v>
                </c:pt>
                <c:pt idx="7">
                  <c:v>0.3930131004366812</c:v>
                </c:pt>
                <c:pt idx="8">
                  <c:v>0.32007910163147113</c:v>
                </c:pt>
                <c:pt idx="9">
                  <c:v>0.88286778398510246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DED-4E4A-AA11-E50E447108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6441048"/>
        <c:axId val="133840280"/>
      </c:scatterChart>
      <c:catAx>
        <c:axId val="133839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38320"/>
        <c:crosses val="autoZero"/>
        <c:auto val="1"/>
        <c:lblAlgn val="ctr"/>
        <c:lblOffset val="100"/>
        <c:noMultiLvlLbl val="0"/>
      </c:catAx>
      <c:valAx>
        <c:axId val="13383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39104"/>
        <c:crosses val="autoZero"/>
        <c:crossBetween val="between"/>
      </c:valAx>
      <c:valAx>
        <c:axId val="133840280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441048"/>
        <c:crosses val="max"/>
        <c:crossBetween val="midCat"/>
      </c:valAx>
      <c:valAx>
        <c:axId val="356441048"/>
        <c:scaling>
          <c:orientation val="minMax"/>
        </c:scaling>
        <c:delete val="1"/>
        <c:axPos val="b"/>
        <c:majorTickMark val="out"/>
        <c:minorTickMark val="none"/>
        <c:tickLblPos val="nextTo"/>
        <c:crossAx val="133840280"/>
        <c:crosses val="autoZero"/>
        <c:crossBetween val="midCat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Assets evolution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v>Not-Current Assets</c:v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Financials!$D$41:$M$41</c:f>
              <c:numCache>
                <c:formatCode>0.00</c:formatCode>
                <c:ptCount val="10"/>
                <c:pt idx="0">
                  <c:v>144738</c:v>
                </c:pt>
                <c:pt idx="1">
                  <c:v>145655</c:v>
                </c:pt>
                <c:pt idx="2">
                  <c:v>154271</c:v>
                </c:pt>
                <c:pt idx="3">
                  <c:v>164139</c:v>
                </c:pt>
                <c:pt idx="4">
                  <c:v>171119</c:v>
                </c:pt>
                <c:pt idx="5">
                  <c:v>229836</c:v>
                </c:pt>
                <c:pt idx="6">
                  <c:v>238022</c:v>
                </c:pt>
                <c:pt idx="7">
                  <c:v>247128</c:v>
                </c:pt>
                <c:pt idx="8">
                  <c:v>251098</c:v>
                </c:pt>
                <c:pt idx="9">
                  <c:v>235449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1F-4C09-80D9-ADBB573BF7C8}"/>
            </c:ext>
          </c:extLst>
        </c:ser>
        <c:ser>
          <c:idx val="0"/>
          <c:order val="1"/>
          <c:tx>
            <c:v>Current Assets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Financials!$D$38:$M$38</c:f>
              <c:numCache>
                <c:formatCode>0.00</c:formatCode>
                <c:ptCount val="10"/>
                <c:pt idx="0">
                  <c:v>14075</c:v>
                </c:pt>
                <c:pt idx="1">
                  <c:v>13531</c:v>
                </c:pt>
                <c:pt idx="2">
                  <c:v>12303</c:v>
                </c:pt>
                <c:pt idx="3">
                  <c:v>16361</c:v>
                </c:pt>
                <c:pt idx="4">
                  <c:v>16343</c:v>
                </c:pt>
                <c:pt idx="5">
                  <c:v>21848</c:v>
                </c:pt>
                <c:pt idx="6">
                  <c:v>25392</c:v>
                </c:pt>
                <c:pt idx="7">
                  <c:v>26741</c:v>
                </c:pt>
                <c:pt idx="8">
                  <c:v>24807</c:v>
                </c:pt>
                <c:pt idx="9">
                  <c:v>21826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1F-4C09-80D9-ADBB573BF7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356439480"/>
        <c:axId val="356443792"/>
      </c:barChart>
      <c:catAx>
        <c:axId val="356439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443792"/>
        <c:crosses val="autoZero"/>
        <c:auto val="1"/>
        <c:lblAlgn val="ctr"/>
        <c:lblOffset val="100"/>
        <c:noMultiLvlLbl val="0"/>
      </c:catAx>
      <c:valAx>
        <c:axId val="35644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439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Liabilities evolution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Current Liabilities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Financials!$D$46:$M$46</c:f>
              <c:numCache>
                <c:formatCode>0.00</c:formatCode>
                <c:ptCount val="10"/>
                <c:pt idx="0">
                  <c:v>18912</c:v>
                </c:pt>
                <c:pt idx="1">
                  <c:v>17410</c:v>
                </c:pt>
                <c:pt idx="2">
                  <c:v>18178</c:v>
                </c:pt>
                <c:pt idx="3">
                  <c:v>21535</c:v>
                </c:pt>
                <c:pt idx="4">
                  <c:v>21993</c:v>
                </c:pt>
                <c:pt idx="5">
                  <c:v>27603</c:v>
                </c:pt>
                <c:pt idx="6">
                  <c:v>30292</c:v>
                </c:pt>
                <c:pt idx="7">
                  <c:v>28796</c:v>
                </c:pt>
                <c:pt idx="8">
                  <c:v>29348</c:v>
                </c:pt>
                <c:pt idx="9">
                  <c:v>27887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68-4E8A-8CFA-F7ADD20FD77D}"/>
            </c:ext>
          </c:extLst>
        </c:ser>
        <c:ser>
          <c:idx val="1"/>
          <c:order val="1"/>
          <c:tx>
            <c:v>Non-Current liabilities</c:v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Financials!$D$49:$M$49</c:f>
              <c:numCache>
                <c:formatCode>0.00</c:formatCode>
                <c:ptCount val="10"/>
                <c:pt idx="0">
                  <c:v>88843</c:v>
                </c:pt>
                <c:pt idx="1">
                  <c:v>88708</c:v>
                </c:pt>
                <c:pt idx="2">
                  <c:v>94418</c:v>
                </c:pt>
                <c:pt idx="3">
                  <c:v>102791</c:v>
                </c:pt>
                <c:pt idx="4">
                  <c:v>96010</c:v>
                </c:pt>
                <c:pt idx="5">
                  <c:v>151579</c:v>
                </c:pt>
                <c:pt idx="6">
                  <c:v>149248</c:v>
                </c:pt>
                <c:pt idx="7">
                  <c:v>153335</c:v>
                </c:pt>
                <c:pt idx="8">
                  <c:v>149068</c:v>
                </c:pt>
                <c:pt idx="9">
                  <c:v>147760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68-4E8A-8CFA-F7ADD20FD7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56438304"/>
        <c:axId val="356445360"/>
      </c:barChart>
      <c:catAx>
        <c:axId val="356438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445360"/>
        <c:crosses val="autoZero"/>
        <c:auto val="1"/>
        <c:lblAlgn val="ctr"/>
        <c:lblOffset val="100"/>
        <c:noMultiLvlLbl val="0"/>
      </c:catAx>
      <c:valAx>
        <c:axId val="35644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438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Debt to equity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Total equity</c:v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Financials!$D$54:$M$54</c:f>
              <c:numCache>
                <c:formatCode>#,##0.00</c:formatCode>
                <c:ptCount val="10"/>
                <c:pt idx="0">
                  <c:v>51058</c:v>
                </c:pt>
                <c:pt idx="1">
                  <c:v>53068</c:v>
                </c:pt>
                <c:pt idx="2">
                  <c:v>53978</c:v>
                </c:pt>
                <c:pt idx="3">
                  <c:v>56174</c:v>
                </c:pt>
                <c:pt idx="4">
                  <c:v>69459</c:v>
                </c:pt>
                <c:pt idx="5">
                  <c:v>72502</c:v>
                </c:pt>
                <c:pt idx="6">
                  <c:v>83874</c:v>
                </c:pt>
                <c:pt idx="7">
                  <c:v>91738</c:v>
                </c:pt>
                <c:pt idx="8">
                  <c:v>97489</c:v>
                </c:pt>
                <c:pt idx="9">
                  <c:v>81628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91-4451-902B-E5C55349FE88}"/>
            </c:ext>
          </c:extLst>
        </c:ser>
        <c:ser>
          <c:idx val="0"/>
          <c:order val="1"/>
          <c:tx>
            <c:v>Total liabilities</c:v>
          </c:tx>
          <c:spPr>
            <a:solidFill>
              <a:schemeClr val="accent2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Financials!$D$52:$M$52</c:f>
              <c:numCache>
                <c:formatCode>#,##0.00</c:formatCode>
                <c:ptCount val="10"/>
                <c:pt idx="0">
                  <c:v>107755</c:v>
                </c:pt>
                <c:pt idx="1">
                  <c:v>106118</c:v>
                </c:pt>
                <c:pt idx="2">
                  <c:v>112596</c:v>
                </c:pt>
                <c:pt idx="3">
                  <c:v>124326</c:v>
                </c:pt>
                <c:pt idx="4">
                  <c:v>118003</c:v>
                </c:pt>
                <c:pt idx="5">
                  <c:v>179182</c:v>
                </c:pt>
                <c:pt idx="6">
                  <c:v>179540</c:v>
                </c:pt>
                <c:pt idx="7">
                  <c:v>182131</c:v>
                </c:pt>
                <c:pt idx="8">
                  <c:v>178416</c:v>
                </c:pt>
                <c:pt idx="9">
                  <c:v>175647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91-4451-902B-E5C55349F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56439088"/>
        <c:axId val="356439872"/>
      </c:barChart>
      <c:scatterChart>
        <c:scatterStyle val="smoothMarker"/>
        <c:varyColors val="0"/>
        <c:ser>
          <c:idx val="2"/>
          <c:order val="2"/>
          <c:tx>
            <c:v>Debt / Equity</c:v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yVal>
            <c:numRef>
              <c:f>Financials!$D$68:$M$68</c:f>
              <c:numCache>
                <c:formatCode>0.00</c:formatCode>
                <c:ptCount val="10"/>
                <c:pt idx="0">
                  <c:v>2.1104430255787534</c:v>
                </c:pt>
                <c:pt idx="1">
                  <c:v>1.9996608125423985</c:v>
                </c:pt>
                <c:pt idx="2">
                  <c:v>2.0859609470525027</c:v>
                </c:pt>
                <c:pt idx="3">
                  <c:v>2.2132303200769039</c:v>
                </c:pt>
                <c:pt idx="4">
                  <c:v>1.6988871132610606</c:v>
                </c:pt>
                <c:pt idx="5">
                  <c:v>2.4714076853052331</c:v>
                </c:pt>
                <c:pt idx="6">
                  <c:v>2.1405918401411643</c:v>
                </c:pt>
                <c:pt idx="7">
                  <c:v>1.98533868189845</c:v>
                </c:pt>
                <c:pt idx="8">
                  <c:v>1.8301141667265024</c:v>
                </c:pt>
                <c:pt idx="9">
                  <c:v>2.1517984025089429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D91-4451-902B-E5C55349F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6443008"/>
        <c:axId val="356440264"/>
      </c:scatterChart>
      <c:catAx>
        <c:axId val="356439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439872"/>
        <c:crosses val="autoZero"/>
        <c:auto val="1"/>
        <c:lblAlgn val="ctr"/>
        <c:lblOffset val="100"/>
        <c:noMultiLvlLbl val="0"/>
      </c:catAx>
      <c:valAx>
        <c:axId val="35643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439088"/>
        <c:crosses val="autoZero"/>
        <c:crossBetween val="between"/>
      </c:valAx>
      <c:valAx>
        <c:axId val="356440264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443008"/>
        <c:crosses val="max"/>
        <c:crossBetween val="midCat"/>
      </c:valAx>
      <c:valAx>
        <c:axId val="356443008"/>
        <c:scaling>
          <c:orientation val="minMax"/>
        </c:scaling>
        <c:delete val="1"/>
        <c:axPos val="b"/>
        <c:majorTickMark val="out"/>
        <c:minorTickMark val="none"/>
        <c:tickLblPos val="nextTo"/>
        <c:crossAx val="356440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Current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Current assets</c:v>
          </c:tx>
          <c:spPr>
            <a:solidFill>
              <a:srgbClr val="92D050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Financials!$D$38:$M$38</c:f>
              <c:numCache>
                <c:formatCode>0.00</c:formatCode>
                <c:ptCount val="10"/>
                <c:pt idx="0">
                  <c:v>14075</c:v>
                </c:pt>
                <c:pt idx="1">
                  <c:v>13531</c:v>
                </c:pt>
                <c:pt idx="2">
                  <c:v>12303</c:v>
                </c:pt>
                <c:pt idx="3">
                  <c:v>16361</c:v>
                </c:pt>
                <c:pt idx="4">
                  <c:v>16343</c:v>
                </c:pt>
                <c:pt idx="5">
                  <c:v>21848</c:v>
                </c:pt>
                <c:pt idx="6">
                  <c:v>25392</c:v>
                </c:pt>
                <c:pt idx="7">
                  <c:v>26741</c:v>
                </c:pt>
                <c:pt idx="8">
                  <c:v>24807</c:v>
                </c:pt>
                <c:pt idx="9">
                  <c:v>21826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A7-4D67-B636-EDCF6282012C}"/>
            </c:ext>
          </c:extLst>
        </c:ser>
        <c:ser>
          <c:idx val="1"/>
          <c:order val="1"/>
          <c:tx>
            <c:v>Current liabilities</c:v>
          </c:tx>
          <c:spPr>
            <a:solidFill>
              <a:schemeClr val="accent2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Financials!$D$46:$M$46</c:f>
              <c:numCache>
                <c:formatCode>0.00</c:formatCode>
                <c:ptCount val="10"/>
                <c:pt idx="0">
                  <c:v>18912</c:v>
                </c:pt>
                <c:pt idx="1">
                  <c:v>17410</c:v>
                </c:pt>
                <c:pt idx="2">
                  <c:v>18178</c:v>
                </c:pt>
                <c:pt idx="3">
                  <c:v>21535</c:v>
                </c:pt>
                <c:pt idx="4">
                  <c:v>21993</c:v>
                </c:pt>
                <c:pt idx="5">
                  <c:v>27603</c:v>
                </c:pt>
                <c:pt idx="6">
                  <c:v>30292</c:v>
                </c:pt>
                <c:pt idx="7">
                  <c:v>28796</c:v>
                </c:pt>
                <c:pt idx="8">
                  <c:v>29348</c:v>
                </c:pt>
                <c:pt idx="9">
                  <c:v>27887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A7-4D67-B636-EDCF628201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56440656"/>
        <c:axId val="356441440"/>
      </c:barChart>
      <c:lineChart>
        <c:grouping val="stacked"/>
        <c:varyColors val="0"/>
        <c:ser>
          <c:idx val="2"/>
          <c:order val="2"/>
          <c:tx>
            <c:v>Current ratio</c:v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Financials!$D$69:$M$69</c:f>
              <c:numCache>
                <c:formatCode>0.00</c:formatCode>
                <c:ptCount val="10"/>
                <c:pt idx="0">
                  <c:v>0.74423646362098139</c:v>
                </c:pt>
                <c:pt idx="1">
                  <c:v>0.77719701321079837</c:v>
                </c:pt>
                <c:pt idx="2">
                  <c:v>0.67680712949719446</c:v>
                </c:pt>
                <c:pt idx="3">
                  <c:v>0.75973995820756912</c:v>
                </c:pt>
                <c:pt idx="4">
                  <c:v>0.74310007729732186</c:v>
                </c:pt>
                <c:pt idx="5">
                  <c:v>0.79150816940187663</c:v>
                </c:pt>
                <c:pt idx="6">
                  <c:v>0.83824111976759541</c:v>
                </c:pt>
                <c:pt idx="7">
                  <c:v>0.92863592165578557</c:v>
                </c:pt>
                <c:pt idx="8">
                  <c:v>0.84527054654490941</c:v>
                </c:pt>
                <c:pt idx="9">
                  <c:v>0.78265858643812525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A7-4D67-B636-EDCF628201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6444184"/>
        <c:axId val="356441832"/>
      </c:lineChart>
      <c:catAx>
        <c:axId val="356440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441440"/>
        <c:crosses val="autoZero"/>
        <c:auto val="1"/>
        <c:lblAlgn val="ctr"/>
        <c:lblOffset val="100"/>
        <c:noMultiLvlLbl val="0"/>
      </c:catAx>
      <c:valAx>
        <c:axId val="35644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440656"/>
        <c:crosses val="autoZero"/>
        <c:crossBetween val="between"/>
      </c:valAx>
      <c:valAx>
        <c:axId val="356441832"/>
        <c:scaling>
          <c:orientation val="minMax"/>
        </c:scaling>
        <c:delete val="0"/>
        <c:axPos val="r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444184"/>
        <c:crosses val="max"/>
        <c:crossBetween val="between"/>
      </c:valAx>
      <c:catAx>
        <c:axId val="356444184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441832"/>
        <c:crosses val="max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Profitability</a:t>
            </a:r>
            <a:r>
              <a:rPr lang="en-US" baseline="0"/>
              <a:t> </a:t>
            </a:r>
            <a:r>
              <a:rPr lang="en-US"/>
              <a:t>evolution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Revenue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Financials!$D$3:$M$3</c:f>
              <c:numCache>
                <c:formatCode>0.00</c:formatCode>
                <c:ptCount val="10"/>
                <c:pt idx="0">
                  <c:v>64657</c:v>
                </c:pt>
                <c:pt idx="1">
                  <c:v>68775</c:v>
                </c:pt>
                <c:pt idx="2">
                  <c:v>74510</c:v>
                </c:pt>
                <c:pt idx="3">
                  <c:v>80736</c:v>
                </c:pt>
                <c:pt idx="4">
                  <c:v>85029</c:v>
                </c:pt>
                <c:pt idx="5">
                  <c:v>94507</c:v>
                </c:pt>
                <c:pt idx="6">
                  <c:v>108942</c:v>
                </c:pt>
                <c:pt idx="7">
                  <c:v>103564</c:v>
                </c:pt>
                <c:pt idx="8">
                  <c:v>116385</c:v>
                </c:pt>
                <c:pt idx="9">
                  <c:v>121427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5D-49BE-8C18-62B89DC40B3C}"/>
            </c:ext>
          </c:extLst>
        </c:ser>
        <c:ser>
          <c:idx val="1"/>
          <c:order val="1"/>
          <c:tx>
            <c:v>EBIDTA</c:v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Financials!$D$9:$M$9</c:f>
              <c:numCache>
                <c:formatCode>0.00</c:formatCode>
                <c:ptCount val="10"/>
                <c:pt idx="0">
                  <c:v>21434</c:v>
                </c:pt>
                <c:pt idx="1">
                  <c:v>22923</c:v>
                </c:pt>
                <c:pt idx="2">
                  <c:v>24678</c:v>
                </c:pt>
                <c:pt idx="3">
                  <c:v>26257</c:v>
                </c:pt>
                <c:pt idx="4">
                  <c:v>27706</c:v>
                </c:pt>
                <c:pt idx="5">
                  <c:v>29685</c:v>
                </c:pt>
                <c:pt idx="6">
                  <c:v>34078</c:v>
                </c:pt>
                <c:pt idx="7">
                  <c:v>30593</c:v>
                </c:pt>
                <c:pt idx="8">
                  <c:v>34621</c:v>
                </c:pt>
                <c:pt idx="9">
                  <c:v>27862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5D-49BE-8C18-62B89DC40B3C}"/>
            </c:ext>
          </c:extLst>
        </c:ser>
        <c:ser>
          <c:idx val="2"/>
          <c:order val="2"/>
          <c:tx>
            <c:v>Net Income</c:v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Financials!$D$6:$M$6</c:f>
              <c:numCache>
                <c:formatCode>0.00</c:formatCode>
                <c:ptCount val="10"/>
                <c:pt idx="0">
                  <c:v>6816</c:v>
                </c:pt>
                <c:pt idx="1">
                  <c:v>8380</c:v>
                </c:pt>
                <c:pt idx="2">
                  <c:v>8163</c:v>
                </c:pt>
                <c:pt idx="3">
                  <c:v>8678</c:v>
                </c:pt>
                <c:pt idx="4">
                  <c:v>22735</c:v>
                </c:pt>
                <c:pt idx="5">
                  <c:v>11731</c:v>
                </c:pt>
                <c:pt idx="6">
                  <c:v>13057</c:v>
                </c:pt>
                <c:pt idx="7">
                  <c:v>10534</c:v>
                </c:pt>
                <c:pt idx="8">
                  <c:v>14159</c:v>
                </c:pt>
                <c:pt idx="9">
                  <c:v>5370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5D-49BE-8C18-62B89DC40B3C}"/>
            </c:ext>
          </c:extLst>
        </c:ser>
        <c:ser>
          <c:idx val="3"/>
          <c:order val="3"/>
          <c:tx>
            <c:v>Free Cash Flow</c:v>
          </c:tx>
          <c:spPr>
            <a:gradFill rotWithShape="1">
              <a:gsLst>
                <a:gs pos="0">
                  <a:schemeClr val="accent1">
                    <a:lumMod val="60000"/>
                    <a:shade val="51000"/>
                    <a:satMod val="130000"/>
                  </a:schemeClr>
                </a:gs>
                <a:gs pos="80000">
                  <a:schemeClr val="accent1">
                    <a:lumMod val="60000"/>
                    <a:shade val="93000"/>
                    <a:satMod val="130000"/>
                  </a:schemeClr>
                </a:gs>
                <a:gs pos="100000">
                  <a:schemeClr val="accent1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Financials!$D$28:$M$28</c:f>
              <c:numCache>
                <c:formatCode>#,##0.00</c:formatCode>
                <c:ptCount val="10"/>
                <c:pt idx="0">
                  <c:v>3681</c:v>
                </c:pt>
                <c:pt idx="1">
                  <c:v>7813</c:v>
                </c:pt>
                <c:pt idx="2">
                  <c:v>8093</c:v>
                </c:pt>
                <c:pt idx="3">
                  <c:v>7677</c:v>
                </c:pt>
                <c:pt idx="4">
                  <c:v>9356</c:v>
                </c:pt>
                <c:pt idx="5">
                  <c:v>7654</c:v>
                </c:pt>
                <c:pt idx="6">
                  <c:v>8859</c:v>
                </c:pt>
                <c:pt idx="7">
                  <c:v>7964</c:v>
                </c:pt>
                <c:pt idx="8">
                  <c:v>13290</c:v>
                </c:pt>
                <c:pt idx="9">
                  <c:v>11154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B5D-49BE-8C18-62B89DC40B3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357084480"/>
        <c:axId val="356442616"/>
      </c:barChart>
      <c:valAx>
        <c:axId val="356442616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084480"/>
        <c:crosses val="max"/>
        <c:crossBetween val="between"/>
      </c:valAx>
      <c:catAx>
        <c:axId val="357084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4426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ROA ROE ROIC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ROA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Financials!$D$85:$M$85</c:f>
              <c:numCache>
                <c:formatCode>0.00</c:formatCode>
                <c:ptCount val="10"/>
                <c:pt idx="0">
                  <c:v>4.2918400886577297</c:v>
                </c:pt>
                <c:pt idx="1">
                  <c:v>5.2642820348523109</c:v>
                </c:pt>
                <c:pt idx="2">
                  <c:v>4.9005246917286014</c:v>
                </c:pt>
                <c:pt idx="3">
                  <c:v>4.8077562326869803</c:v>
                </c:pt>
                <c:pt idx="4">
                  <c:v>12.127791232356424</c:v>
                </c:pt>
                <c:pt idx="5">
                  <c:v>4.6610034805549816</c:v>
                </c:pt>
                <c:pt idx="6">
                  <c:v>4.9568360071977953</c:v>
                </c:pt>
                <c:pt idx="7">
                  <c:v>3.8463645027367099</c:v>
                </c:pt>
                <c:pt idx="8">
                  <c:v>5.1318388575777893</c:v>
                </c:pt>
                <c:pt idx="9">
                  <c:v>2.0872607132445826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6F-45DB-907A-A59C0CB47A38}"/>
            </c:ext>
          </c:extLst>
        </c:ser>
        <c:ser>
          <c:idx val="1"/>
          <c:order val="1"/>
          <c:tx>
            <c:v>ROE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Financials!$D$86:$M$86</c:f>
              <c:numCache>
                <c:formatCode>0.00</c:formatCode>
                <c:ptCount val="10"/>
                <c:pt idx="0">
                  <c:v>13.349524070664733</c:v>
                </c:pt>
                <c:pt idx="1">
                  <c:v>15.791060526117434</c:v>
                </c:pt>
                <c:pt idx="2">
                  <c:v>15.122827818740969</c:v>
                </c:pt>
                <c:pt idx="3">
                  <c:v>15.448428098408517</c:v>
                </c:pt>
                <c:pt idx="4">
                  <c:v>32.731539469327231</c:v>
                </c:pt>
                <c:pt idx="5">
                  <c:v>16.180243303633002</c:v>
                </c:pt>
                <c:pt idx="6">
                  <c:v>15.567398717123304</c:v>
                </c:pt>
                <c:pt idx="7">
                  <c:v>11.482700734700996</c:v>
                </c:pt>
                <c:pt idx="8">
                  <c:v>14.523689852188452</c:v>
                </c:pt>
                <c:pt idx="9">
                  <c:v>6.5786249816239524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6F-45DB-907A-A59C0CB47A38}"/>
            </c:ext>
          </c:extLst>
        </c:ser>
        <c:ser>
          <c:idx val="2"/>
          <c:order val="2"/>
          <c:tx>
            <c:v>ROIC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Financials!$D$87:$M$87</c:f>
              <c:numCache>
                <c:formatCode>0.00</c:formatCode>
                <c:ptCount val="10"/>
                <c:pt idx="0">
                  <c:v>8.9899997711181641</c:v>
                </c:pt>
                <c:pt idx="1">
                  <c:v>10.210000038146973</c:v>
                </c:pt>
                <c:pt idx="2">
                  <c:v>9.5799999237060547</c:v>
                </c:pt>
                <c:pt idx="3">
                  <c:v>9.5900001525878906</c:v>
                </c:pt>
                <c:pt idx="4">
                  <c:v>19.969999313354492</c:v>
                </c:pt>
                <c:pt idx="5">
                  <c:v>9.1499996185302734</c:v>
                </c:pt>
                <c:pt idx="6">
                  <c:v>9.0299997329711914</c:v>
                </c:pt>
                <c:pt idx="7">
                  <c:v>7.4000000953674316</c:v>
                </c:pt>
                <c:pt idx="8">
                  <c:v>8.9700002670288086</c:v>
                </c:pt>
                <c:pt idx="9">
                  <c:v>4.1999998092651367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6F-45DB-907A-A59C0CB47A3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57087224"/>
        <c:axId val="357083304"/>
      </c:lineChart>
      <c:catAx>
        <c:axId val="35708722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083304"/>
        <c:crosses val="autoZero"/>
        <c:auto val="1"/>
        <c:lblAlgn val="ctr"/>
        <c:lblOffset val="100"/>
        <c:noMultiLvlLbl val="1"/>
      </c:catAx>
      <c:valAx>
        <c:axId val="3570833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087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Shares outstanding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Financials!$D$12:$M$12</c:f>
              <c:numCache>
                <c:formatCode>0.00</c:formatCode>
                <c:ptCount val="10"/>
                <c:pt idx="0">
                  <c:v>5330</c:v>
                </c:pt>
                <c:pt idx="1">
                  <c:v>5240</c:v>
                </c:pt>
                <c:pt idx="2">
                  <c:v>5035</c:v>
                </c:pt>
                <c:pt idx="3">
                  <c:v>4875</c:v>
                </c:pt>
                <c:pt idx="4">
                  <c:v>4786</c:v>
                </c:pt>
                <c:pt idx="5">
                  <c:v>4640</c:v>
                </c:pt>
                <c:pt idx="6">
                  <c:v>4610</c:v>
                </c:pt>
                <c:pt idx="7">
                  <c:v>4624</c:v>
                </c:pt>
                <c:pt idx="8">
                  <c:v>4654</c:v>
                </c:pt>
                <c:pt idx="9">
                  <c:v>4430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55-4179-91AC-A4368A515C1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57089576"/>
        <c:axId val="357086048"/>
      </c:barChart>
      <c:catAx>
        <c:axId val="357089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086048"/>
        <c:crosses val="autoZero"/>
        <c:auto val="1"/>
        <c:lblAlgn val="ctr"/>
        <c:lblOffset val="100"/>
        <c:noMultiLvlLbl val="0"/>
      </c:catAx>
      <c:valAx>
        <c:axId val="35708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089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291727</xdr:colOff>
      <xdr:row>25</xdr:row>
      <xdr:rowOff>184524</xdr:rowOff>
    </xdr:from>
    <xdr:to>
      <xdr:col>16</xdr:col>
      <xdr:colOff>261472</xdr:colOff>
      <xdr:row>44</xdr:row>
      <xdr:rowOff>134471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306295</xdr:colOff>
      <xdr:row>26</xdr:row>
      <xdr:rowOff>23158</xdr:rowOff>
    </xdr:from>
    <xdr:to>
      <xdr:col>33</xdr:col>
      <xdr:colOff>326466</xdr:colOff>
      <xdr:row>44</xdr:row>
      <xdr:rowOff>156882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266327</xdr:colOff>
      <xdr:row>46</xdr:row>
      <xdr:rowOff>33992</xdr:rowOff>
    </xdr:from>
    <xdr:to>
      <xdr:col>16</xdr:col>
      <xdr:colOff>285377</xdr:colOff>
      <xdr:row>63</xdr:row>
      <xdr:rowOff>65742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291353</xdr:colOff>
      <xdr:row>65</xdr:row>
      <xdr:rowOff>5976</xdr:rowOff>
    </xdr:from>
    <xdr:to>
      <xdr:col>16</xdr:col>
      <xdr:colOff>332816</xdr:colOff>
      <xdr:row>82</xdr:row>
      <xdr:rowOff>21291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332815</xdr:colOff>
      <xdr:row>46</xdr:row>
      <xdr:rowOff>65742</xdr:rowOff>
    </xdr:from>
    <xdr:to>
      <xdr:col>33</xdr:col>
      <xdr:colOff>326466</xdr:colOff>
      <xdr:row>63</xdr:row>
      <xdr:rowOff>91142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332815</xdr:colOff>
      <xdr:row>65</xdr:row>
      <xdr:rowOff>46691</xdr:rowOff>
    </xdr:from>
    <xdr:to>
      <xdr:col>33</xdr:col>
      <xdr:colOff>358216</xdr:colOff>
      <xdr:row>82</xdr:row>
      <xdr:rowOff>53041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399676</xdr:colOff>
      <xdr:row>1</xdr:row>
      <xdr:rowOff>70221</xdr:rowOff>
    </xdr:from>
    <xdr:to>
      <xdr:col>33</xdr:col>
      <xdr:colOff>343647</xdr:colOff>
      <xdr:row>24</xdr:row>
      <xdr:rowOff>37352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325855</xdr:colOff>
      <xdr:row>83</xdr:row>
      <xdr:rowOff>174123</xdr:rowOff>
    </xdr:from>
    <xdr:to>
      <xdr:col>16</xdr:col>
      <xdr:colOff>317499</xdr:colOff>
      <xdr:row>106</xdr:row>
      <xdr:rowOff>116974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375151</xdr:colOff>
      <xdr:row>84</xdr:row>
      <xdr:rowOff>32085</xdr:rowOff>
    </xdr:from>
    <xdr:to>
      <xdr:col>33</xdr:col>
      <xdr:colOff>367632</xdr:colOff>
      <xdr:row>106</xdr:row>
      <xdr:rowOff>142039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349250</xdr:colOff>
      <xdr:row>108</xdr:row>
      <xdr:rowOff>34471</xdr:rowOff>
    </xdr:from>
    <xdr:to>
      <xdr:col>16</xdr:col>
      <xdr:colOff>336550</xdr:colOff>
      <xdr:row>133</xdr:row>
      <xdr:rowOff>18142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17</xdr:col>
      <xdr:colOff>349249</xdr:colOff>
      <xdr:row>108</xdr:row>
      <xdr:rowOff>27214</xdr:rowOff>
    </xdr:from>
    <xdr:to>
      <xdr:col>33</xdr:col>
      <xdr:colOff>408215</xdr:colOff>
      <xdr:row>133</xdr:row>
      <xdr:rowOff>27214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19051</xdr:colOff>
      <xdr:row>1</xdr:row>
      <xdr:rowOff>101600</xdr:rowOff>
    </xdr:from>
    <xdr:to>
      <xdr:col>14</xdr:col>
      <xdr:colOff>355601</xdr:colOff>
      <xdr:row>11</xdr:row>
      <xdr:rowOff>184149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83801" y="469900"/>
          <a:ext cx="2774950" cy="2006599"/>
        </a:xfrm>
        <a:prstGeom prst="rect">
          <a:avLst/>
        </a:prstGeom>
      </xdr:spPr>
    </xdr:pic>
    <xdr:clientData/>
  </xdr:twoCellAnchor>
  <xdr:twoCellAnchor editAs="oneCell">
    <xdr:from>
      <xdr:col>15</xdr:col>
      <xdr:colOff>533400</xdr:colOff>
      <xdr:row>2</xdr:row>
      <xdr:rowOff>171450</xdr:rowOff>
    </xdr:from>
    <xdr:to>
      <xdr:col>19</xdr:col>
      <xdr:colOff>464485</xdr:colOff>
      <xdr:row>4</xdr:row>
      <xdr:rowOff>25399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646150" y="793750"/>
          <a:ext cx="2369485" cy="234949"/>
        </a:xfrm>
        <a:prstGeom prst="rect">
          <a:avLst/>
        </a:prstGeom>
      </xdr:spPr>
    </xdr:pic>
    <xdr:clientData/>
  </xdr:twoCellAnchor>
  <xdr:twoCellAnchor editAs="oneCell">
    <xdr:from>
      <xdr:col>9</xdr:col>
      <xdr:colOff>590551</xdr:colOff>
      <xdr:row>15</xdr:row>
      <xdr:rowOff>25400</xdr:rowOff>
    </xdr:from>
    <xdr:to>
      <xdr:col>15</xdr:col>
      <xdr:colOff>304801</xdr:colOff>
      <xdr:row>17</xdr:row>
      <xdr:rowOff>213669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045701" y="3175000"/>
          <a:ext cx="3371850" cy="594669"/>
        </a:xfrm>
        <a:prstGeom prst="rect">
          <a:avLst/>
        </a:prstGeom>
      </xdr:spPr>
    </xdr:pic>
    <xdr:clientData/>
  </xdr:twoCellAnchor>
  <xdr:oneCellAnchor>
    <xdr:from>
      <xdr:col>9</xdr:col>
      <xdr:colOff>600075</xdr:colOff>
      <xdr:row>24</xdr:row>
      <xdr:rowOff>50800</xdr:rowOff>
    </xdr:from>
    <xdr:ext cx="4526945" cy="63831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00000000-0008-0000-0200-000005000000}"/>
                </a:ext>
              </a:extLst>
            </xdr:cNvPr>
            <xdr:cNvSpPr txBox="1"/>
          </xdr:nvSpPr>
          <xdr:spPr>
            <a:xfrm>
              <a:off x="10055225" y="4965700"/>
              <a:ext cx="4526945" cy="6383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2000" b="0" i="1">
                        <a:latin typeface="Cambria Math" panose="02040503050406030204" pitchFamily="18" charset="0"/>
                      </a:rPr>
                      <m:t>𝑅𝑑</m:t>
                    </m:r>
                    <m:r>
                      <a:rPr lang="en-US" sz="2000" b="0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en-US" sz="20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𝑇𝑜𝑡𝑎𝑙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𝑑𝑒𝑏𝑡</m:t>
                        </m:r>
                      </m:num>
                      <m:den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𝐼𝑛𝑡𝑒𝑟𝑒𝑠𝑡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𝐸𝑥𝑝𝑒𝑛𝑠𝑒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𝑁𝑜𝑛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𝑂𝑝𝑒𝑟𝑎𝑡𝑖𝑛𝑔</m:t>
                        </m:r>
                      </m:den>
                    </m:f>
                  </m:oMath>
                </m:oMathPara>
              </a14:m>
              <a:endParaRPr lang="en-US" sz="2000"/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10055225" y="4965700"/>
              <a:ext cx="4526945" cy="6383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2000" b="0" i="0">
                  <a:latin typeface="Cambria Math" panose="02040503050406030204" pitchFamily="18" charset="0"/>
                </a:rPr>
                <a:t>𝑅𝑑=  (𝑇𝑜𝑡𝑎𝑙 𝑑𝑒𝑏𝑡)/(𝐼𝑛𝑡𝑒𝑟𝑒𝑠𝑡 𝐸𝑥𝑝𝑒𝑛𝑠𝑒 𝑁𝑜𝑛 𝑂𝑝𝑒𝑟𝑎𝑡𝑖𝑛𝑔)</a:t>
              </a:r>
              <a:endParaRPr lang="en-US" sz="20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882650</xdr:colOff>
      <xdr:row>38</xdr:row>
      <xdr:rowOff>19824</xdr:rowOff>
    </xdr:from>
    <xdr:to>
      <xdr:col>27</xdr:col>
      <xdr:colOff>107950</xdr:colOff>
      <xdr:row>53</xdr:row>
      <xdr:rowOff>243839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376400" y="7849374"/>
          <a:ext cx="8864600" cy="3037065"/>
        </a:xfrm>
        <a:prstGeom prst="rect">
          <a:avLst/>
        </a:prstGeom>
      </xdr:spPr>
    </xdr:pic>
    <xdr:clientData/>
  </xdr:twoCellAnchor>
  <xdr:twoCellAnchor editAs="oneCell">
    <xdr:from>
      <xdr:col>12</xdr:col>
      <xdr:colOff>900945</xdr:colOff>
      <xdr:row>14</xdr:row>
      <xdr:rowOff>82550</xdr:rowOff>
    </xdr:from>
    <xdr:to>
      <xdr:col>27</xdr:col>
      <xdr:colOff>100558</xdr:colOff>
      <xdr:row>37</xdr:row>
      <xdr:rowOff>138209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394695" y="3365500"/>
          <a:ext cx="8838913" cy="434825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6350</xdr:colOff>
      <xdr:row>1</xdr:row>
      <xdr:rowOff>158750</xdr:rowOff>
    </xdr:from>
    <xdr:to>
      <xdr:col>7</xdr:col>
      <xdr:colOff>361949</xdr:colOff>
      <xdr:row>9</xdr:row>
      <xdr:rowOff>181709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5950" y="342900"/>
          <a:ext cx="5492749" cy="1496159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fred.stlouisfed.org/series/BAMLC0A2CAAEY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V45"/>
  <sheetViews>
    <sheetView showGridLines="0" zoomScale="75" workbookViewId="0">
      <selection activeCell="F27" sqref="F27"/>
    </sheetView>
  </sheetViews>
  <sheetFormatPr defaultRowHeight="14.5"/>
  <cols>
    <col min="2" max="2" width="16.90625" bestFit="1" customWidth="1"/>
    <col min="3" max="3" width="31.453125" bestFit="1" customWidth="1"/>
    <col min="4" max="4" width="7.08984375" customWidth="1"/>
    <col min="5" max="5" width="21.26953125" bestFit="1" customWidth="1"/>
    <col min="6" max="6" width="19.54296875" customWidth="1"/>
    <col min="20" max="20" width="7.453125" bestFit="1" customWidth="1"/>
  </cols>
  <sheetData>
    <row r="2" spans="2:22" ht="15" thickBot="1"/>
    <row r="3" spans="2:22">
      <c r="B3" s="135" t="s">
        <v>159</v>
      </c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6"/>
      <c r="P3" s="137"/>
    </row>
    <row r="4" spans="2:22">
      <c r="B4" s="138"/>
      <c r="C4" s="139"/>
      <c r="D4" s="139"/>
      <c r="E4" s="139"/>
      <c r="F4" s="139"/>
      <c r="G4" s="139"/>
      <c r="H4" s="139"/>
      <c r="I4" s="139"/>
      <c r="J4" s="139"/>
      <c r="K4" s="139"/>
      <c r="L4" s="139"/>
      <c r="M4" s="139"/>
      <c r="N4" s="139"/>
      <c r="O4" s="139"/>
      <c r="P4" s="140"/>
    </row>
    <row r="5" spans="2:22">
      <c r="B5" s="138"/>
      <c r="C5" s="139"/>
      <c r="D5" s="139"/>
      <c r="E5" s="139"/>
      <c r="F5" s="139"/>
      <c r="G5" s="139"/>
      <c r="H5" s="139"/>
      <c r="I5" s="139"/>
      <c r="J5" s="139"/>
      <c r="K5" s="139"/>
      <c r="L5" s="139"/>
      <c r="M5" s="139"/>
      <c r="N5" s="139"/>
      <c r="O5" s="139"/>
      <c r="P5" s="140"/>
    </row>
    <row r="6" spans="2:22" ht="15" thickBot="1">
      <c r="B6" s="141"/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3"/>
    </row>
    <row r="8" spans="2:22" ht="13.5" customHeight="1"/>
    <row r="10" spans="2:22" ht="17.5" thickBot="1">
      <c r="B10" s="2" t="s">
        <v>88</v>
      </c>
      <c r="C10" s="2" t="s">
        <v>68</v>
      </c>
      <c r="D10" s="2"/>
      <c r="E10" s="2" t="s">
        <v>69</v>
      </c>
      <c r="F10" s="2" t="s">
        <v>97</v>
      </c>
      <c r="G10" s="2">
        <v>2013</v>
      </c>
      <c r="H10" s="2">
        <v>2014</v>
      </c>
      <c r="I10" s="2">
        <v>2015</v>
      </c>
      <c r="J10" s="2">
        <v>2016</v>
      </c>
      <c r="K10" s="2">
        <v>2017</v>
      </c>
      <c r="L10" s="2">
        <v>2018</v>
      </c>
      <c r="M10" s="2">
        <v>2019</v>
      </c>
      <c r="N10" s="2">
        <v>2020</v>
      </c>
      <c r="O10" s="2">
        <v>2021</v>
      </c>
      <c r="P10" s="2">
        <v>2022</v>
      </c>
    </row>
    <row r="11" spans="2:22" ht="19" thickTop="1">
      <c r="B11" s="144" t="s">
        <v>89</v>
      </c>
      <c r="C11" s="35"/>
      <c r="D11" s="35"/>
      <c r="E11" s="45"/>
      <c r="F11" s="45"/>
      <c r="G11" s="39"/>
      <c r="H11" s="39"/>
      <c r="I11" s="39"/>
      <c r="J11" s="39"/>
      <c r="K11" s="39"/>
      <c r="L11" s="39"/>
      <c r="M11" s="39"/>
      <c r="N11" s="39"/>
      <c r="O11" s="39"/>
      <c r="P11" s="39"/>
      <c r="T11" s="54" t="s">
        <v>101</v>
      </c>
      <c r="U11" s="55" t="s">
        <v>99</v>
      </c>
      <c r="V11" s="56" t="s">
        <v>100</v>
      </c>
    </row>
    <row r="12" spans="2:22" ht="18.5">
      <c r="B12" s="145"/>
      <c r="C12" s="35" t="s">
        <v>154</v>
      </c>
      <c r="D12" s="56" t="s">
        <v>100</v>
      </c>
      <c r="E12" s="45" t="s">
        <v>146</v>
      </c>
      <c r="F12" s="128">
        <f>AVERAGE(L12:P12)</f>
        <v>4.1366607122623718</v>
      </c>
      <c r="G12" s="124">
        <f>Financials!D85</f>
        <v>4.2918400886577297</v>
      </c>
      <c r="H12" s="124">
        <f>Financials!E85</f>
        <v>5.2642820348523109</v>
      </c>
      <c r="I12" s="124">
        <f>Financials!F85</f>
        <v>4.9005246917286014</v>
      </c>
      <c r="J12" s="124">
        <f>Financials!G85</f>
        <v>4.8077562326869803</v>
      </c>
      <c r="K12" s="124">
        <f>Financials!H85</f>
        <v>12.127791232356424</v>
      </c>
      <c r="L12" s="124">
        <f>Financials!I85</f>
        <v>4.6610034805549816</v>
      </c>
      <c r="M12" s="124">
        <f>Financials!J85</f>
        <v>4.9568360071977953</v>
      </c>
      <c r="N12" s="124">
        <f>Financials!K85</f>
        <v>3.8463645027367099</v>
      </c>
      <c r="O12" s="124">
        <f>Financials!L85</f>
        <v>5.1318388575777893</v>
      </c>
      <c r="P12" s="124">
        <f>Financials!M85</f>
        <v>2.0872607132445826</v>
      </c>
    </row>
    <row r="13" spans="2:22">
      <c r="B13" s="145"/>
      <c r="C13" s="35"/>
      <c r="D13" s="35"/>
      <c r="E13" s="45"/>
      <c r="F13" s="45"/>
      <c r="G13" s="124"/>
      <c r="H13" s="124"/>
      <c r="I13" s="124"/>
      <c r="J13" s="124"/>
      <c r="K13" s="124"/>
      <c r="L13" s="124"/>
      <c r="M13" s="124"/>
      <c r="N13" s="124"/>
      <c r="O13" s="124"/>
      <c r="P13" s="124"/>
    </row>
    <row r="14" spans="2:22" ht="18.5">
      <c r="B14" s="146"/>
      <c r="C14" s="35" t="s">
        <v>155</v>
      </c>
      <c r="D14" s="56" t="s">
        <v>100</v>
      </c>
      <c r="E14" s="46">
        <v>0.08</v>
      </c>
      <c r="F14" s="129">
        <f>AVERAGE(L14:P14)</f>
        <v>12.866531517853939</v>
      </c>
      <c r="G14" s="40">
        <f>Financials!D86</f>
        <v>13.349524070664733</v>
      </c>
      <c r="H14" s="40">
        <f>Financials!E86</f>
        <v>15.791060526117434</v>
      </c>
      <c r="I14" s="40">
        <f>Financials!F86</f>
        <v>15.122827818740969</v>
      </c>
      <c r="J14" s="40">
        <f>Financials!G86</f>
        <v>15.448428098408517</v>
      </c>
      <c r="K14" s="40">
        <f>Financials!H86</f>
        <v>32.731539469327231</v>
      </c>
      <c r="L14" s="40">
        <f>Financials!I86</f>
        <v>16.180243303633002</v>
      </c>
      <c r="M14" s="40">
        <f>Financials!J86</f>
        <v>15.567398717123304</v>
      </c>
      <c r="N14" s="40">
        <f>Financials!K86</f>
        <v>11.482700734700996</v>
      </c>
      <c r="O14" s="40">
        <f>Financials!L86</f>
        <v>14.523689852188452</v>
      </c>
      <c r="P14" s="40">
        <f>Financials!M86</f>
        <v>6.5786249816239524</v>
      </c>
      <c r="R14" s="44"/>
      <c r="S14" s="44"/>
      <c r="T14" s="44"/>
    </row>
    <row r="15" spans="2:22">
      <c r="B15" s="146"/>
      <c r="C15" s="35"/>
      <c r="D15" s="35"/>
      <c r="E15" s="45"/>
      <c r="F15" s="45"/>
      <c r="G15" s="40"/>
      <c r="H15" s="40"/>
      <c r="I15" s="40"/>
      <c r="J15" s="40"/>
      <c r="K15" s="40"/>
      <c r="L15" s="40"/>
      <c r="M15" s="40"/>
      <c r="N15" s="40"/>
      <c r="O15" s="40"/>
      <c r="P15" s="40"/>
      <c r="R15" s="44"/>
      <c r="S15" s="44"/>
      <c r="T15" s="44"/>
    </row>
    <row r="16" spans="2:22" ht="18.5">
      <c r="B16" s="146"/>
      <c r="C16" s="35" t="s">
        <v>156</v>
      </c>
      <c r="D16" s="56" t="s">
        <v>100</v>
      </c>
      <c r="E16" s="47">
        <f>WACC!$C$25</f>
        <v>6.861010250234828E-2</v>
      </c>
      <c r="F16" s="129">
        <f>AVERAGE(L16:P16)</f>
        <v>7.7499999046325687</v>
      </c>
      <c r="G16" s="40">
        <f>Financials!D87</f>
        <v>8.9899997711181641</v>
      </c>
      <c r="H16" s="40">
        <f>Financials!E87</f>
        <v>10.210000038146973</v>
      </c>
      <c r="I16" s="40">
        <f>Financials!F87</f>
        <v>9.5799999237060547</v>
      </c>
      <c r="J16" s="40">
        <f>Financials!G87</f>
        <v>9.5900001525878906</v>
      </c>
      <c r="K16" s="40">
        <f>Financials!H87</f>
        <v>19.969999313354492</v>
      </c>
      <c r="L16" s="40">
        <f>Financials!I87</f>
        <v>9.1499996185302734</v>
      </c>
      <c r="M16" s="40">
        <f>Financials!J87</f>
        <v>9.0299997329711914</v>
      </c>
      <c r="N16" s="40">
        <f>Financials!K87</f>
        <v>7.4000000953674316</v>
      </c>
      <c r="O16" s="40">
        <f>Financials!L87</f>
        <v>8.9700002670288086</v>
      </c>
      <c r="P16" s="40">
        <f>Financials!M87</f>
        <v>4.1999998092651367</v>
      </c>
      <c r="R16" s="44"/>
      <c r="S16" s="44"/>
      <c r="T16" s="44"/>
    </row>
    <row r="17" spans="2:20">
      <c r="B17" s="147" t="s">
        <v>65</v>
      </c>
      <c r="C17" s="36"/>
      <c r="D17" s="36"/>
      <c r="E17" s="48"/>
      <c r="F17" s="48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4"/>
      <c r="R17" s="44"/>
      <c r="S17" s="44"/>
      <c r="T17" s="44"/>
    </row>
    <row r="18" spans="2:20" ht="18.5">
      <c r="B18" s="148"/>
      <c r="C18" s="36" t="s">
        <v>157</v>
      </c>
      <c r="D18" s="56" t="s">
        <v>100</v>
      </c>
      <c r="E18" s="48" t="s">
        <v>70</v>
      </c>
      <c r="F18" s="130">
        <f>AVERAGE(L18:P18)</f>
        <v>0.83726286876165845</v>
      </c>
      <c r="G18" s="42">
        <f>Financials!D69</f>
        <v>0.74423646362098139</v>
      </c>
      <c r="H18" s="42">
        <f>Financials!E69</f>
        <v>0.77719701321079837</v>
      </c>
      <c r="I18" s="42">
        <f>Financials!F69</f>
        <v>0.67680712949719446</v>
      </c>
      <c r="J18" s="42">
        <f>Financials!G69</f>
        <v>0.75973995820756912</v>
      </c>
      <c r="K18" s="42">
        <f>Financials!H69</f>
        <v>0.74310007729732186</v>
      </c>
      <c r="L18" s="42">
        <f>Financials!I69</f>
        <v>0.79150816940187663</v>
      </c>
      <c r="M18" s="42">
        <f>Financials!J69</f>
        <v>0.83824111976759541</v>
      </c>
      <c r="N18" s="42">
        <f>Financials!K69</f>
        <v>0.92863592165578557</v>
      </c>
      <c r="O18" s="42">
        <f>Financials!L69</f>
        <v>0.84527054654490941</v>
      </c>
      <c r="P18" s="42">
        <f>Financials!M69</f>
        <v>0.78265858643812525</v>
      </c>
      <c r="Q18" s="44"/>
      <c r="R18" s="44"/>
      <c r="S18" s="44"/>
      <c r="T18" s="44"/>
    </row>
    <row r="19" spans="2:20">
      <c r="B19" s="148"/>
      <c r="C19" s="36"/>
      <c r="D19" s="36"/>
      <c r="E19" s="48"/>
      <c r="F19" s="48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4"/>
      <c r="R19" s="44"/>
      <c r="S19" s="44"/>
      <c r="T19" s="44"/>
    </row>
    <row r="20" spans="2:20" ht="18.5">
      <c r="B20" s="148"/>
      <c r="C20" s="36" t="s">
        <v>158</v>
      </c>
      <c r="D20" s="56" t="s">
        <v>100</v>
      </c>
      <c r="E20" s="49" t="s">
        <v>142</v>
      </c>
      <c r="F20" s="130">
        <f>AVERAGE(L20:P20)</f>
        <v>2.1158501553160587</v>
      </c>
      <c r="G20" s="42">
        <f>Financials!D68</f>
        <v>2.1104430255787534</v>
      </c>
      <c r="H20" s="42">
        <f>Financials!E68</f>
        <v>1.9996608125423985</v>
      </c>
      <c r="I20" s="42">
        <f>Financials!F68</f>
        <v>2.0859609470525027</v>
      </c>
      <c r="J20" s="42">
        <f>Financials!G68</f>
        <v>2.2132303200769039</v>
      </c>
      <c r="K20" s="42">
        <f>Financials!H68</f>
        <v>1.6988871132610606</v>
      </c>
      <c r="L20" s="42">
        <f>Financials!I68</f>
        <v>2.4714076853052331</v>
      </c>
      <c r="M20" s="42">
        <f>Financials!J68</f>
        <v>2.1405918401411643</v>
      </c>
      <c r="N20" s="42">
        <f>Financials!K68</f>
        <v>1.98533868189845</v>
      </c>
      <c r="O20" s="42">
        <f>Financials!L68</f>
        <v>1.8301141667265024</v>
      </c>
      <c r="P20" s="42">
        <f>Financials!M68</f>
        <v>2.1517984025089429</v>
      </c>
      <c r="Q20" s="44"/>
      <c r="R20" s="44"/>
      <c r="S20" s="44"/>
      <c r="T20" s="44"/>
    </row>
    <row r="21" spans="2:20">
      <c r="B21" s="153" t="s">
        <v>96</v>
      </c>
      <c r="C21" s="35"/>
      <c r="D21" s="35"/>
      <c r="E21" s="50"/>
      <c r="F21" s="5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4"/>
      <c r="R21" s="44"/>
      <c r="S21" s="44"/>
      <c r="T21" s="44"/>
    </row>
    <row r="22" spans="2:20" ht="18.5">
      <c r="B22" s="153"/>
      <c r="C22" s="35" t="s">
        <v>147</v>
      </c>
      <c r="D22" s="56" t="s">
        <v>100</v>
      </c>
      <c r="E22" s="50" t="s">
        <v>71</v>
      </c>
      <c r="F22" s="50"/>
      <c r="G22" s="40">
        <f>Financials!D12</f>
        <v>5330</v>
      </c>
      <c r="H22" s="40">
        <f>Financials!E12</f>
        <v>5240</v>
      </c>
      <c r="I22" s="40">
        <f>Financials!F12</f>
        <v>5035</v>
      </c>
      <c r="J22" s="40">
        <f>Financials!G12</f>
        <v>4875</v>
      </c>
      <c r="K22" s="40">
        <f>Financials!H12</f>
        <v>4786</v>
      </c>
      <c r="L22" s="40">
        <f>Financials!I12</f>
        <v>4640</v>
      </c>
      <c r="M22" s="40">
        <f>Financials!J12</f>
        <v>4610</v>
      </c>
      <c r="N22" s="40">
        <f>Financials!K12</f>
        <v>4624</v>
      </c>
      <c r="O22" s="40">
        <f>Financials!L12</f>
        <v>4654</v>
      </c>
      <c r="P22" s="40">
        <f>Financials!M12</f>
        <v>4430</v>
      </c>
      <c r="Q22" s="44"/>
      <c r="R22" s="44"/>
      <c r="S22" s="44"/>
      <c r="T22" s="44"/>
    </row>
    <row r="23" spans="2:20">
      <c r="B23" s="151" t="s">
        <v>95</v>
      </c>
      <c r="C23" s="36"/>
      <c r="D23" s="36"/>
      <c r="E23" s="51"/>
      <c r="F23" s="51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4"/>
      <c r="R23" s="44"/>
      <c r="S23" s="44"/>
      <c r="T23" s="44"/>
    </row>
    <row r="24" spans="2:20" ht="18.5">
      <c r="B24" s="152"/>
      <c r="C24" s="36" t="s">
        <v>98</v>
      </c>
      <c r="D24" s="56" t="s">
        <v>100</v>
      </c>
      <c r="E24" s="51" t="s">
        <v>160</v>
      </c>
      <c r="F24" s="57">
        <f>AVERAGEIF(L24:P24,"&lt;100")</f>
        <v>18.525999927520751</v>
      </c>
      <c r="G24" s="44">
        <f>Financials!D90</f>
        <v>21.649999618530273</v>
      </c>
      <c r="H24" s="44">
        <f>Financials!E90</f>
        <v>18.239999771118164</v>
      </c>
      <c r="I24" s="44">
        <f>Financials!F90</f>
        <v>17.690000534057617</v>
      </c>
      <c r="J24" s="44">
        <f>Financials!G90</f>
        <v>20.25</v>
      </c>
      <c r="K24" s="44">
        <f>Financials!H90</f>
        <v>19.209999084472656</v>
      </c>
      <c r="L24" s="44">
        <f>Financials!I90</f>
        <v>6.6500000953674316</v>
      </c>
      <c r="M24" s="44">
        <f>Financials!J90</f>
        <v>16.659999847412109</v>
      </c>
      <c r="N24" s="44">
        <f>Financials!K90</f>
        <v>23.5</v>
      </c>
      <c r="O24" s="44">
        <f>Financials!L90</f>
        <v>16.180000305175781</v>
      </c>
      <c r="P24" s="44">
        <f>Financials!M90</f>
        <v>29.639999389648438</v>
      </c>
      <c r="Q24" s="44"/>
      <c r="R24" s="44"/>
      <c r="S24" s="44"/>
      <c r="T24" s="44"/>
    </row>
    <row r="25" spans="2:20">
      <c r="B25" s="152"/>
      <c r="C25" s="36"/>
      <c r="D25" s="36"/>
      <c r="E25" s="51"/>
      <c r="F25" s="57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</row>
    <row r="26" spans="2:20" ht="18.5">
      <c r="B26" s="152"/>
      <c r="C26" s="36" t="s">
        <v>106</v>
      </c>
      <c r="D26" s="56" t="s">
        <v>100</v>
      </c>
      <c r="E26" s="51" t="s">
        <v>160</v>
      </c>
      <c r="F26" s="57">
        <f>AVERAGEIF(L26:P26, "&lt;100")</f>
        <v>7.7179999351501465</v>
      </c>
      <c r="G26" s="44">
        <f>Financials!D91</f>
        <v>9.0900001525878906</v>
      </c>
      <c r="H26" s="44">
        <f>Financials!E91</f>
        <v>10.340000152587891</v>
      </c>
      <c r="I26" s="44">
        <f>Financials!F91</f>
        <v>7.7800002098083496</v>
      </c>
      <c r="J26" s="44">
        <f>Financials!G91</f>
        <v>9.1800003051757813</v>
      </c>
      <c r="K26" s="44">
        <f>Financials!H91</f>
        <v>9.0799999237060547</v>
      </c>
      <c r="L26" s="44">
        <f>Financials!I91</f>
        <v>6.6100001335144043</v>
      </c>
      <c r="M26" s="44">
        <f>Financials!J91</f>
        <v>8.1999998092651367</v>
      </c>
      <c r="N26" s="44">
        <f>Financials!K91</f>
        <v>9.3299999237060547</v>
      </c>
      <c r="O26" s="44">
        <f>Financials!L91</f>
        <v>8.8599996566772461</v>
      </c>
      <c r="P26" s="44">
        <f>Financials!M91</f>
        <v>5.5900001525878906</v>
      </c>
      <c r="Q26" s="44"/>
      <c r="R26" s="44"/>
      <c r="S26" s="44"/>
      <c r="T26" s="44"/>
    </row>
    <row r="27" spans="2:20">
      <c r="B27" s="152"/>
      <c r="C27" s="36"/>
      <c r="D27" s="36"/>
      <c r="E27" s="51"/>
      <c r="F27" s="51"/>
      <c r="G27" s="38"/>
      <c r="H27" s="38"/>
      <c r="I27" s="38"/>
      <c r="J27" s="38"/>
      <c r="K27" s="38"/>
      <c r="L27" s="38"/>
      <c r="M27" s="38"/>
      <c r="N27" s="38"/>
      <c r="O27" s="38"/>
      <c r="P27" s="38"/>
    </row>
    <row r="28" spans="2:20" ht="18.5">
      <c r="B28" s="152"/>
      <c r="C28" s="36" t="s">
        <v>73</v>
      </c>
      <c r="D28" s="56" t="s">
        <v>100</v>
      </c>
      <c r="E28" s="51" t="s">
        <v>72</v>
      </c>
      <c r="F28" s="132">
        <f>Financials!$C$92</f>
        <v>0</v>
      </c>
      <c r="G28" s="38"/>
      <c r="H28" s="38"/>
      <c r="I28" s="38"/>
      <c r="J28" s="38"/>
      <c r="K28" s="38"/>
      <c r="L28" s="38"/>
      <c r="M28" s="38"/>
      <c r="N28" s="38"/>
      <c r="O28" s="38"/>
      <c r="P28" s="38"/>
    </row>
    <row r="29" spans="2:20">
      <c r="B29" s="149" t="s">
        <v>94</v>
      </c>
      <c r="C29" s="34"/>
      <c r="D29" s="34"/>
      <c r="E29" s="34"/>
      <c r="F29" s="34"/>
    </row>
    <row r="30" spans="2:20" ht="18.5">
      <c r="B30" s="149"/>
      <c r="C30" s="35" t="s">
        <v>78</v>
      </c>
      <c r="D30" s="56" t="s">
        <v>100</v>
      </c>
      <c r="E30" s="50" t="s">
        <v>79</v>
      </c>
      <c r="F30" s="52">
        <f>Financials!D72</f>
        <v>7.8222614573602911E-2</v>
      </c>
    </row>
    <row r="31" spans="2:20" ht="18.5">
      <c r="B31" s="150"/>
      <c r="C31" s="35" t="s">
        <v>82</v>
      </c>
      <c r="D31" s="56" t="s">
        <v>100</v>
      </c>
      <c r="E31" s="50" t="s">
        <v>79</v>
      </c>
      <c r="F31" s="52">
        <f>Financials!D73</f>
        <v>0.11724001576861531</v>
      </c>
    </row>
    <row r="32" spans="2:20">
      <c r="B32" s="150"/>
      <c r="C32" s="35"/>
      <c r="D32" s="35"/>
      <c r="E32" s="50"/>
      <c r="F32" s="52"/>
    </row>
    <row r="33" spans="2:17" ht="18.5">
      <c r="B33" s="150"/>
      <c r="C33" s="35" t="s">
        <v>92</v>
      </c>
      <c r="D33" s="56" t="s">
        <v>100</v>
      </c>
      <c r="E33" s="50" t="s">
        <v>79</v>
      </c>
      <c r="F33" s="52">
        <f>Financials!D78</f>
        <v>-1.2595625542054179E-2</v>
      </c>
    </row>
    <row r="34" spans="2:17" ht="18.5">
      <c r="B34" s="150"/>
      <c r="C34" s="35" t="s">
        <v>93</v>
      </c>
      <c r="D34" s="56" t="s">
        <v>100</v>
      </c>
      <c r="E34" s="50" t="s">
        <v>79</v>
      </c>
      <c r="F34" s="52">
        <f>Financials!D79</f>
        <v>5.3857309948096344E-2</v>
      </c>
    </row>
    <row r="35" spans="2:17">
      <c r="B35" s="150"/>
      <c r="C35" s="35"/>
      <c r="D35" s="35"/>
      <c r="E35" s="50"/>
      <c r="F35" s="53"/>
      <c r="Q35" s="37"/>
    </row>
    <row r="36" spans="2:17" ht="18.5">
      <c r="B36" s="150"/>
      <c r="C36" s="35" t="s">
        <v>80</v>
      </c>
      <c r="D36" s="56" t="s">
        <v>100</v>
      </c>
      <c r="E36" s="50" t="s">
        <v>79</v>
      </c>
      <c r="F36" s="52">
        <f>Financials!D74</f>
        <v>-0.14468153045679921</v>
      </c>
    </row>
    <row r="37" spans="2:17" ht="18.5">
      <c r="B37" s="150"/>
      <c r="C37" s="35" t="s">
        <v>83</v>
      </c>
      <c r="D37" s="56" t="s">
        <v>100</v>
      </c>
      <c r="E37" s="50" t="s">
        <v>79</v>
      </c>
      <c r="F37" s="52">
        <f>Financials!D75</f>
        <v>-2.3562454391197973E-2</v>
      </c>
    </row>
    <row r="38" spans="2:17">
      <c r="B38" s="150"/>
      <c r="C38" s="35"/>
      <c r="D38" s="35"/>
      <c r="E38" s="50"/>
      <c r="F38" s="53"/>
    </row>
    <row r="39" spans="2:17" ht="18.5">
      <c r="B39" s="150"/>
      <c r="C39" s="35" t="s">
        <v>81</v>
      </c>
      <c r="D39" s="56" t="s">
        <v>100</v>
      </c>
      <c r="E39" s="50" t="s">
        <v>79</v>
      </c>
      <c r="F39" s="52">
        <f>Financials!D76</f>
        <v>5.140553170801887E-2</v>
      </c>
    </row>
    <row r="40" spans="2:17" ht="18.5">
      <c r="B40" s="150"/>
      <c r="C40" s="35" t="s">
        <v>84</v>
      </c>
      <c r="D40" s="56" t="s">
        <v>100</v>
      </c>
      <c r="E40" s="50" t="s">
        <v>79</v>
      </c>
      <c r="F40" s="52">
        <f>Financials!D77</f>
        <v>6.5049938261403595E-2</v>
      </c>
    </row>
    <row r="41" spans="2:17">
      <c r="B41" s="134" t="s">
        <v>63</v>
      </c>
    </row>
    <row r="42" spans="2:17" ht="18.5">
      <c r="B42" s="134"/>
      <c r="C42" s="100" t="s">
        <v>133</v>
      </c>
      <c r="D42" s="56" t="s">
        <v>100</v>
      </c>
      <c r="E42" s="101">
        <v>0.75</v>
      </c>
      <c r="F42" s="103">
        <f>Financials!$D$82</f>
        <v>0.43355041703512143</v>
      </c>
    </row>
    <row r="43" spans="2:17" ht="18.5">
      <c r="B43" s="134"/>
      <c r="C43" s="100" t="s">
        <v>138</v>
      </c>
      <c r="D43" s="56" t="s">
        <v>100</v>
      </c>
      <c r="E43" s="101" t="s">
        <v>139</v>
      </c>
      <c r="F43" s="103">
        <f>Financials!D80</f>
        <v>7.1798608998944413E-2</v>
      </c>
    </row>
    <row r="44" spans="2:17" ht="18.5">
      <c r="B44" s="134"/>
      <c r="C44" s="100" t="s">
        <v>135</v>
      </c>
      <c r="D44" s="56" t="s">
        <v>100</v>
      </c>
      <c r="E44" s="18" t="s">
        <v>79</v>
      </c>
      <c r="F44" s="103">
        <f>Financials!D81</f>
        <v>0.10523482790922609</v>
      </c>
    </row>
    <row r="45" spans="2:17" ht="18.5">
      <c r="B45" s="134"/>
      <c r="C45" s="100" t="s">
        <v>134</v>
      </c>
      <c r="D45" s="56" t="s">
        <v>100</v>
      </c>
      <c r="E45" s="101">
        <v>0.12</v>
      </c>
      <c r="F45" s="102">
        <f>F43+F44</f>
        <v>0.1770334369081705</v>
      </c>
    </row>
  </sheetData>
  <mergeCells count="7">
    <mergeCell ref="B41:B45"/>
    <mergeCell ref="B3:P6"/>
    <mergeCell ref="B11:B16"/>
    <mergeCell ref="B17:B20"/>
    <mergeCell ref="B29:B40"/>
    <mergeCell ref="B23:B28"/>
    <mergeCell ref="B21:B2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showGridLines="0" topLeftCell="A4" zoomScaleNormal="100" workbookViewId="0">
      <selection activeCell="R40" sqref="R40"/>
    </sheetView>
  </sheetViews>
  <sheetFormatPr defaultRowHeight="14.5"/>
  <cols>
    <col min="2" max="2" width="10.1796875" bestFit="1" customWidth="1"/>
  </cols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P27"/>
  <sheetViews>
    <sheetView showGridLines="0" workbookViewId="0">
      <selection activeCell="F16" sqref="F16"/>
    </sheetView>
  </sheetViews>
  <sheetFormatPr defaultRowHeight="14.5"/>
  <cols>
    <col min="2" max="2" width="61.453125" bestFit="1" customWidth="1"/>
    <col min="3" max="3" width="32.6328125" bestFit="1" customWidth="1"/>
    <col min="4" max="4" width="9.81640625" bestFit="1" customWidth="1"/>
  </cols>
  <sheetData>
    <row r="2" spans="2:16" ht="20" thickBot="1">
      <c r="B2" s="8" t="s">
        <v>1</v>
      </c>
      <c r="C2" s="8"/>
    </row>
    <row r="3" spans="2:16" ht="15" thickTop="1">
      <c r="B3" s="6"/>
      <c r="C3" s="6"/>
      <c r="D3" s="6"/>
      <c r="E3" s="6"/>
      <c r="F3" s="6"/>
      <c r="G3" s="6"/>
      <c r="H3" s="6"/>
    </row>
    <row r="4" spans="2:16" ht="15" thickBot="1">
      <c r="B4" s="1" t="s">
        <v>14</v>
      </c>
      <c r="C4" s="1"/>
      <c r="D4" s="6"/>
      <c r="E4" s="6"/>
      <c r="F4" s="6"/>
      <c r="G4" s="6"/>
      <c r="H4" s="6"/>
      <c r="P4" t="s">
        <v>2</v>
      </c>
    </row>
    <row r="5" spans="2:16">
      <c r="B5" s="7" t="s">
        <v>8</v>
      </c>
      <c r="C5" s="58">
        <v>159.83000000000001</v>
      </c>
    </row>
    <row r="6" spans="2:16">
      <c r="B6" s="4" t="s">
        <v>5</v>
      </c>
      <c r="C6" s="59">
        <v>27887000</v>
      </c>
    </row>
    <row r="7" spans="2:16">
      <c r="B7" s="4" t="s">
        <v>4</v>
      </c>
      <c r="C7" s="59">
        <v>147350000</v>
      </c>
    </row>
    <row r="8" spans="2:16">
      <c r="B8" s="4" t="s">
        <v>3</v>
      </c>
      <c r="C8" s="59">
        <v>3896000</v>
      </c>
    </row>
    <row r="9" spans="2:16">
      <c r="B9" s="10" t="s">
        <v>6</v>
      </c>
      <c r="C9" s="59">
        <v>9284000</v>
      </c>
    </row>
    <row r="10" spans="2:16">
      <c r="B10" s="10" t="s">
        <v>7</v>
      </c>
      <c r="C10" s="59">
        <v>4359000</v>
      </c>
    </row>
    <row r="11" spans="2:16">
      <c r="B11" s="10" t="s">
        <v>9</v>
      </c>
      <c r="C11" s="60">
        <v>1</v>
      </c>
      <c r="G11" s="33"/>
    </row>
    <row r="13" spans="2:16" ht="15" thickBot="1">
      <c r="B13" s="1" t="s">
        <v>15</v>
      </c>
      <c r="C13" s="1"/>
    </row>
    <row r="14" spans="2:16">
      <c r="B14" s="10" t="s">
        <v>16</v>
      </c>
      <c r="C14" s="13">
        <v>3.3000000000000002E-2</v>
      </c>
    </row>
    <row r="15" spans="2:16">
      <c r="B15" s="10" t="s">
        <v>13</v>
      </c>
      <c r="C15" s="14">
        <v>0.12</v>
      </c>
      <c r="K15" t="s">
        <v>10</v>
      </c>
    </row>
    <row r="17" spans="2:15" ht="17.5" thickBot="1">
      <c r="B17" s="2" t="s">
        <v>21</v>
      </c>
      <c r="C17" s="11">
        <f>SUM(C6:C7)</f>
        <v>175237000</v>
      </c>
    </row>
    <row r="18" spans="2:15" ht="18" thickTop="1" thickBot="1">
      <c r="B18" s="2" t="s">
        <v>20</v>
      </c>
      <c r="C18" s="12">
        <f>C8/C17</f>
        <v>2.2232747650324989E-2</v>
      </c>
    </row>
    <row r="19" spans="2:15" ht="18" thickTop="1" thickBot="1">
      <c r="B19" s="2" t="s">
        <v>19</v>
      </c>
      <c r="C19" s="12">
        <f>C14+C11*(C15-C14)</f>
        <v>0.12</v>
      </c>
    </row>
    <row r="20" spans="2:15" ht="18" thickTop="1" thickBot="1">
      <c r="B20" s="2" t="s">
        <v>18</v>
      </c>
      <c r="C20" s="12">
        <f>C8/C17</f>
        <v>2.2232747650324989E-2</v>
      </c>
      <c r="K20" t="s">
        <v>17</v>
      </c>
    </row>
    <row r="21" spans="2:15" ht="18" thickTop="1" thickBot="1">
      <c r="B21" s="16" t="s">
        <v>22</v>
      </c>
      <c r="C21" s="11">
        <f>C17+C5*1000000</f>
        <v>335067000</v>
      </c>
      <c r="K21" t="s">
        <v>11</v>
      </c>
    </row>
    <row r="22" spans="2:15" ht="18" thickTop="1" thickBot="1">
      <c r="B22" s="2" t="s">
        <v>23</v>
      </c>
      <c r="C22" s="12">
        <f>C5*1000000/C21</f>
        <v>0.47700907579678092</v>
      </c>
      <c r="K22" t="s">
        <v>12</v>
      </c>
    </row>
    <row r="23" spans="2:15" ht="18" thickTop="1" thickBot="1">
      <c r="B23" s="16" t="s">
        <v>24</v>
      </c>
      <c r="C23" s="12">
        <f>C17/C21</f>
        <v>0.52299092420321902</v>
      </c>
    </row>
    <row r="24" spans="2:15" ht="14.5" customHeight="1" thickTop="1">
      <c r="K24" s="15"/>
      <c r="L24" s="15"/>
      <c r="M24" s="15"/>
      <c r="N24" s="15"/>
      <c r="O24" s="15"/>
    </row>
    <row r="25" spans="2:15" ht="18" customHeight="1" thickBot="1">
      <c r="B25" s="3" t="s">
        <v>0</v>
      </c>
      <c r="C25" s="17">
        <f>C23*C20*(1-C18)+C22*C19</f>
        <v>6.861010250234828E-2</v>
      </c>
      <c r="K25" s="15"/>
      <c r="L25" s="15"/>
      <c r="M25" s="15"/>
      <c r="N25" s="15"/>
      <c r="O25" s="15"/>
    </row>
    <row r="26" spans="2:15" ht="14.5" customHeight="1" thickTop="1">
      <c r="K26" s="15"/>
      <c r="L26" s="15"/>
      <c r="M26" s="15"/>
      <c r="N26" s="15"/>
      <c r="O26" s="15"/>
    </row>
    <row r="27" spans="2:15" ht="14.5" customHeight="1">
      <c r="K27" s="15"/>
      <c r="L27" s="15"/>
      <c r="M27" s="15"/>
      <c r="N27" s="15"/>
      <c r="O27" s="15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L80"/>
  <sheetViews>
    <sheetView showGridLines="0" tabSelected="1" zoomScale="82" workbookViewId="0">
      <selection activeCell="E8" sqref="E8"/>
    </sheetView>
  </sheetViews>
  <sheetFormatPr defaultRowHeight="14.5"/>
  <cols>
    <col min="2" max="2" width="62.26953125" bestFit="1" customWidth="1"/>
    <col min="3" max="3" width="21.90625" bestFit="1" customWidth="1"/>
    <col min="4" max="5" width="11.81640625" bestFit="1" customWidth="1"/>
    <col min="6" max="6" width="12.1796875" bestFit="1" customWidth="1"/>
    <col min="7" max="7" width="10.81640625" bestFit="1" customWidth="1"/>
    <col min="8" max="8" width="11.453125" bestFit="1" customWidth="1"/>
    <col min="9" max="12" width="10.54296875" bestFit="1" customWidth="1"/>
    <col min="13" max="13" width="15.81640625" bestFit="1" customWidth="1"/>
  </cols>
  <sheetData>
    <row r="3" spans="2:12" ht="20" thickBot="1">
      <c r="B3" s="19" t="s">
        <v>35</v>
      </c>
      <c r="C3" s="19"/>
    </row>
    <row r="4" spans="2:12" ht="15" thickTop="1">
      <c r="B4" s="18" t="s">
        <v>0</v>
      </c>
      <c r="C4" s="20">
        <f>WACC!C25</f>
        <v>6.861010250234828E-2</v>
      </c>
    </row>
    <row r="5" spans="2:12">
      <c r="B5" s="18" t="s">
        <v>25</v>
      </c>
      <c r="C5" s="20">
        <v>2.5000000000000001E-2</v>
      </c>
    </row>
    <row r="6" spans="2:12">
      <c r="B6" s="18" t="s">
        <v>38</v>
      </c>
      <c r="C6" s="65">
        <v>0.01</v>
      </c>
    </row>
    <row r="7" spans="2:12">
      <c r="B7" s="18" t="s">
        <v>33</v>
      </c>
      <c r="C7" s="65">
        <f>AVERAGE(C34:L34)</f>
        <v>0.12232623694075792</v>
      </c>
    </row>
    <row r="8" spans="2:12">
      <c r="B8" s="18" t="s">
        <v>114</v>
      </c>
      <c r="C8" s="65">
        <f>AVERAGEIF(C35:L35,"&lt;2")</f>
        <v>0.75395455593523353</v>
      </c>
    </row>
    <row r="9" spans="2:12">
      <c r="B9" s="18" t="s">
        <v>141</v>
      </c>
      <c r="C9" s="66">
        <v>8.9700000000000006</v>
      </c>
    </row>
    <row r="10" spans="2:12">
      <c r="B10" s="18" t="s">
        <v>102</v>
      </c>
      <c r="C10" s="67">
        <v>5.0000000000000001E-3</v>
      </c>
    </row>
    <row r="11" spans="2:12">
      <c r="B11" s="18" t="s">
        <v>46</v>
      </c>
      <c r="C11" s="59">
        <v>4206611953</v>
      </c>
    </row>
    <row r="12" spans="2:12">
      <c r="B12" s="18"/>
    </row>
    <row r="13" spans="2:12" ht="20" thickBot="1">
      <c r="B13" s="3" t="s">
        <v>36</v>
      </c>
      <c r="C13" s="3"/>
    </row>
    <row r="14" spans="2:12" ht="15" thickTop="1"/>
    <row r="15" spans="2:12" ht="17.5" thickBot="1">
      <c r="B15" s="2"/>
      <c r="C15" s="2">
        <v>2013</v>
      </c>
      <c r="D15" s="2">
        <v>2014</v>
      </c>
      <c r="E15" s="2">
        <v>2015</v>
      </c>
      <c r="F15" s="2">
        <v>2016</v>
      </c>
      <c r="G15" s="2">
        <v>2017</v>
      </c>
      <c r="H15" s="2">
        <v>2018</v>
      </c>
      <c r="I15" s="2">
        <v>2019</v>
      </c>
      <c r="J15" s="2">
        <v>2020</v>
      </c>
      <c r="K15" s="2">
        <v>2021</v>
      </c>
      <c r="L15" s="2">
        <v>2022</v>
      </c>
    </row>
    <row r="16" spans="2:12" ht="15" thickTop="1">
      <c r="B16" s="18" t="s">
        <v>26</v>
      </c>
      <c r="C16" s="21">
        <f>Financials!D3</f>
        <v>64657</v>
      </c>
      <c r="D16" s="21">
        <f>Financials!E3</f>
        <v>68775</v>
      </c>
      <c r="E16" s="21">
        <f>Financials!F3</f>
        <v>74510</v>
      </c>
      <c r="F16" s="21">
        <f>Financials!G3</f>
        <v>80736</v>
      </c>
      <c r="G16" s="21">
        <f>Financials!H3</f>
        <v>85029</v>
      </c>
      <c r="H16" s="21">
        <f>Financials!I3</f>
        <v>94507</v>
      </c>
      <c r="I16" s="21">
        <f>Financials!J3</f>
        <v>108942</v>
      </c>
      <c r="J16" s="21">
        <f>Financials!K3</f>
        <v>103564</v>
      </c>
      <c r="K16" s="21">
        <f>Financials!L3</f>
        <v>116385</v>
      </c>
      <c r="L16" s="21">
        <f>Financials!M3</f>
        <v>121427</v>
      </c>
    </row>
    <row r="17" spans="2:12">
      <c r="B17" s="18" t="s">
        <v>27</v>
      </c>
      <c r="C17" s="22"/>
      <c r="D17" s="20">
        <f t="shared" ref="D17:L17" si="0">(D16-C16)/C16</f>
        <v>6.3689933031226317E-2</v>
      </c>
      <c r="E17" s="20">
        <f t="shared" si="0"/>
        <v>8.338785896037805E-2</v>
      </c>
      <c r="F17" s="20">
        <f t="shared" si="0"/>
        <v>8.3559253791437388E-2</v>
      </c>
      <c r="G17" s="20">
        <f t="shared" si="0"/>
        <v>5.3173305588585018E-2</v>
      </c>
      <c r="H17" s="20">
        <f t="shared" si="0"/>
        <v>0.11146785214456244</v>
      </c>
      <c r="I17" s="20">
        <f t="shared" si="0"/>
        <v>0.15274000867660598</v>
      </c>
      <c r="J17" s="20">
        <f t="shared" si="0"/>
        <v>-4.9365717537772393E-2</v>
      </c>
      <c r="K17" s="20">
        <f t="shared" si="0"/>
        <v>0.12379784481093817</v>
      </c>
      <c r="L17" s="20">
        <f t="shared" si="0"/>
        <v>4.3321733900416722E-2</v>
      </c>
    </row>
    <row r="18" spans="2:12">
      <c r="B18" s="18"/>
      <c r="C18" s="22"/>
      <c r="D18" s="20"/>
      <c r="E18" s="20"/>
      <c r="F18" s="20"/>
      <c r="G18" s="20"/>
      <c r="H18" s="20"/>
      <c r="I18" s="20"/>
      <c r="J18" s="20"/>
      <c r="K18" s="20"/>
      <c r="L18" s="20"/>
    </row>
    <row r="19" spans="2:12">
      <c r="B19" s="18" t="s">
        <v>29</v>
      </c>
      <c r="C19" s="21">
        <f>Financials!D6</f>
        <v>6816</v>
      </c>
      <c r="D19" s="21">
        <f>Financials!E6</f>
        <v>8380</v>
      </c>
      <c r="E19" s="21">
        <f>Financials!F6</f>
        <v>8163</v>
      </c>
      <c r="F19" s="21">
        <f>Financials!G6</f>
        <v>8678</v>
      </c>
      <c r="G19" s="21">
        <f>Financials!H6</f>
        <v>22735</v>
      </c>
      <c r="H19" s="21">
        <f>Financials!I6</f>
        <v>11731</v>
      </c>
      <c r="I19" s="21">
        <f>Financials!J6</f>
        <v>13057</v>
      </c>
      <c r="J19" s="21">
        <f>Financials!K6</f>
        <v>10534</v>
      </c>
      <c r="K19" s="21">
        <f>Financials!L6</f>
        <v>14159</v>
      </c>
      <c r="L19" s="21">
        <f>Financials!M6</f>
        <v>5370</v>
      </c>
    </row>
    <row r="20" spans="2:12">
      <c r="B20" s="18" t="s">
        <v>27</v>
      </c>
      <c r="C20" s="22"/>
      <c r="D20" s="20">
        <f>(D19-C19)/C19</f>
        <v>0.22946009389671362</v>
      </c>
      <c r="E20" s="20">
        <f t="shared" ref="E20:L20" si="1">(E19-D19)/D19</f>
        <v>-2.5894988066825775E-2</v>
      </c>
      <c r="F20" s="20">
        <f t="shared" si="1"/>
        <v>6.3089550410388343E-2</v>
      </c>
      <c r="G20" s="20">
        <f t="shared" si="1"/>
        <v>1.6198432818621802</v>
      </c>
      <c r="H20" s="20">
        <f t="shared" si="1"/>
        <v>-0.48401143611172204</v>
      </c>
      <c r="I20" s="20">
        <f t="shared" si="1"/>
        <v>0.11303384195720739</v>
      </c>
      <c r="J20" s="20">
        <f t="shared" si="1"/>
        <v>-0.1932296852263154</v>
      </c>
      <c r="K20" s="20">
        <f t="shared" si="1"/>
        <v>0.34412378963356749</v>
      </c>
      <c r="L20" s="20">
        <f t="shared" si="1"/>
        <v>-0.62073592767850838</v>
      </c>
    </row>
    <row r="21" spans="2:12">
      <c r="C21" s="22"/>
      <c r="D21" s="22"/>
      <c r="E21" s="22"/>
      <c r="F21" s="22"/>
      <c r="G21" s="22"/>
      <c r="H21" s="22"/>
      <c r="I21" s="22"/>
      <c r="J21" s="22"/>
      <c r="K21" s="22"/>
      <c r="L21" s="22"/>
    </row>
    <row r="22" spans="2:12">
      <c r="B22" s="18" t="s">
        <v>30</v>
      </c>
      <c r="C22" s="21">
        <f>Financials!D22</f>
        <v>14160</v>
      </c>
      <c r="D22" s="21">
        <f>Financials!E22</f>
        <v>16945</v>
      </c>
      <c r="E22" s="21">
        <f>Financials!F22</f>
        <v>19485</v>
      </c>
      <c r="F22" s="21">
        <f>Financials!G22</f>
        <v>19691</v>
      </c>
      <c r="G22" s="21">
        <f>Financials!H22</f>
        <v>21261</v>
      </c>
      <c r="H22" s="21">
        <f>Financials!I22</f>
        <v>24297</v>
      </c>
      <c r="I22" s="21">
        <f>Financials!J22</f>
        <v>25697</v>
      </c>
      <c r="J22" s="21">
        <f>Financials!K22</f>
        <v>24737</v>
      </c>
      <c r="K22" s="21">
        <f>Financials!L22</f>
        <v>29146</v>
      </c>
      <c r="L22" s="21">
        <f>Financials!M22</f>
        <v>26413</v>
      </c>
    </row>
    <row r="23" spans="2:12">
      <c r="B23" s="18" t="s">
        <v>27</v>
      </c>
      <c r="C23" s="22"/>
      <c r="D23" s="20">
        <f>(D22-C22)/C22</f>
        <v>0.19668079096045199</v>
      </c>
      <c r="E23" s="20">
        <f t="shared" ref="E23:L23" si="2">(E22-D22)/D22</f>
        <v>0.14989672469755089</v>
      </c>
      <c r="F23" s="20">
        <f t="shared" si="2"/>
        <v>1.0572235052604568E-2</v>
      </c>
      <c r="G23" s="20">
        <f t="shared" si="2"/>
        <v>7.9731857193641759E-2</v>
      </c>
      <c r="H23" s="20">
        <f t="shared" si="2"/>
        <v>0.14279666995908</v>
      </c>
      <c r="I23" s="20">
        <f t="shared" si="2"/>
        <v>5.7620282339383461E-2</v>
      </c>
      <c r="J23" s="20">
        <f t="shared" si="2"/>
        <v>-3.7358446511265908E-2</v>
      </c>
      <c r="K23" s="20">
        <f t="shared" si="2"/>
        <v>0.17823503254234546</v>
      </c>
      <c r="L23" s="20">
        <f t="shared" si="2"/>
        <v>-9.3769299389281552E-2</v>
      </c>
    </row>
    <row r="24" spans="2:12">
      <c r="C24" s="22"/>
      <c r="D24" s="22"/>
      <c r="E24" s="22"/>
      <c r="F24" s="22"/>
      <c r="G24" s="22"/>
      <c r="H24" s="22"/>
      <c r="I24" s="22"/>
      <c r="J24" s="22"/>
      <c r="K24" s="22"/>
      <c r="L24" s="22"/>
    </row>
    <row r="25" spans="2:12">
      <c r="B25" s="18" t="s">
        <v>31</v>
      </c>
      <c r="C25" s="21">
        <f>Financials!D25</f>
        <v>10479</v>
      </c>
      <c r="D25" s="21">
        <f>Financials!E25</f>
        <v>9132</v>
      </c>
      <c r="E25" s="21">
        <f>Financials!F25</f>
        <v>11392</v>
      </c>
      <c r="F25" s="21">
        <f>Financials!G25</f>
        <v>12014</v>
      </c>
      <c r="G25" s="21">
        <f>Financials!H25</f>
        <v>11905</v>
      </c>
      <c r="H25" s="21">
        <f>Financials!I25</f>
        <v>16643</v>
      </c>
      <c r="I25" s="21">
        <f>Financials!J25</f>
        <v>16838</v>
      </c>
      <c r="J25" s="21">
        <f>Financials!K25</f>
        <v>16773</v>
      </c>
      <c r="K25" s="21">
        <f>Financials!L25</f>
        <v>15856</v>
      </c>
      <c r="L25" s="21">
        <f>Financials!M25</f>
        <v>15259</v>
      </c>
    </row>
    <row r="26" spans="2:12">
      <c r="B26" s="18" t="s">
        <v>27</v>
      </c>
      <c r="C26" s="22"/>
      <c r="D26" s="20">
        <f>(D25-C25)/C25</f>
        <v>-0.12854279988548525</v>
      </c>
      <c r="E26" s="20">
        <f t="shared" ref="E26:L26" si="3">(E25-D25)/D25</f>
        <v>0.2474813841436706</v>
      </c>
      <c r="F26" s="20">
        <f t="shared" si="3"/>
        <v>5.4599719101123594E-2</v>
      </c>
      <c r="G26" s="20">
        <f t="shared" si="3"/>
        <v>-9.0727484601298477E-3</v>
      </c>
      <c r="H26" s="20">
        <f t="shared" si="3"/>
        <v>0.3979840403191936</v>
      </c>
      <c r="I26" s="20">
        <f t="shared" si="3"/>
        <v>1.1716637625428107E-2</v>
      </c>
      <c r="J26" s="20">
        <f t="shared" si="3"/>
        <v>-3.8603159520133033E-3</v>
      </c>
      <c r="K26" s="20">
        <f t="shared" si="3"/>
        <v>-5.467119775830203E-2</v>
      </c>
      <c r="L26" s="20">
        <f t="shared" si="3"/>
        <v>-3.7651362260343088E-2</v>
      </c>
    </row>
    <row r="28" spans="2:12">
      <c r="B28" s="18" t="s">
        <v>32</v>
      </c>
      <c r="C28" s="25">
        <f t="shared" ref="C28:L28" si="4">C22-C25</f>
        <v>3681</v>
      </c>
      <c r="D28" s="25">
        <f t="shared" si="4"/>
        <v>7813</v>
      </c>
      <c r="E28" s="25">
        <f t="shared" si="4"/>
        <v>8093</v>
      </c>
      <c r="F28" s="25">
        <f t="shared" si="4"/>
        <v>7677</v>
      </c>
      <c r="G28" s="25">
        <f t="shared" si="4"/>
        <v>9356</v>
      </c>
      <c r="H28" s="25">
        <f t="shared" si="4"/>
        <v>7654</v>
      </c>
      <c r="I28" s="25">
        <f t="shared" si="4"/>
        <v>8859</v>
      </c>
      <c r="J28" s="25">
        <f t="shared" si="4"/>
        <v>7964</v>
      </c>
      <c r="K28" s="25">
        <f t="shared" si="4"/>
        <v>13290</v>
      </c>
      <c r="L28" s="25">
        <f t="shared" si="4"/>
        <v>11154</v>
      </c>
    </row>
    <row r="29" spans="2:12">
      <c r="B29" s="18" t="s">
        <v>27</v>
      </c>
      <c r="C29" s="26"/>
      <c r="D29" s="26">
        <f>(D28-C28)/C28</f>
        <v>1.1225210540613964</v>
      </c>
      <c r="E29" s="26">
        <f t="shared" ref="E29:L29" si="5">(E28-D28)/D28</f>
        <v>3.5837706386791249E-2</v>
      </c>
      <c r="F29" s="26">
        <f t="shared" si="5"/>
        <v>-5.1402446558754478E-2</v>
      </c>
      <c r="G29" s="26">
        <f t="shared" si="5"/>
        <v>0.21870522339455517</v>
      </c>
      <c r="H29" s="26">
        <f t="shared" si="5"/>
        <v>-0.18191534843950405</v>
      </c>
      <c r="I29" s="26">
        <f t="shared" si="5"/>
        <v>0.15743402142670498</v>
      </c>
      <c r="J29" s="26">
        <f t="shared" si="5"/>
        <v>-0.10102720397336043</v>
      </c>
      <c r="K29" s="26">
        <f t="shared" si="5"/>
        <v>0.66875941737820188</v>
      </c>
      <c r="L29" s="26">
        <f t="shared" si="5"/>
        <v>-0.16072234762979684</v>
      </c>
    </row>
    <row r="30" spans="2:12">
      <c r="B30" s="18"/>
      <c r="C30" s="26"/>
      <c r="D30" s="26"/>
      <c r="E30" s="26"/>
      <c r="F30" s="26"/>
      <c r="G30" s="26"/>
      <c r="H30" s="26"/>
      <c r="I30" s="26"/>
      <c r="J30" s="26"/>
      <c r="K30" s="26"/>
      <c r="L30" s="26"/>
    </row>
    <row r="31" spans="2:12">
      <c r="B31" s="18" t="s">
        <v>49</v>
      </c>
      <c r="C31" s="62">
        <f>Financials!D9</f>
        <v>21434</v>
      </c>
      <c r="D31" s="62">
        <f>Financials!E9</f>
        <v>22923</v>
      </c>
      <c r="E31" s="62">
        <f>Financials!F9</f>
        <v>24678</v>
      </c>
      <c r="F31" s="62">
        <f>Financials!G9</f>
        <v>26257</v>
      </c>
      <c r="G31" s="62">
        <f>Financials!H9</f>
        <v>27706</v>
      </c>
      <c r="H31" s="62">
        <f>Financials!I9</f>
        <v>29685</v>
      </c>
      <c r="I31" s="62">
        <f>Financials!J9</f>
        <v>34078</v>
      </c>
      <c r="J31" s="62">
        <f>Financials!K9</f>
        <v>30593</v>
      </c>
      <c r="K31" s="62">
        <f>Financials!L9</f>
        <v>34621</v>
      </c>
      <c r="L31" s="62">
        <f>Financials!M9</f>
        <v>27862</v>
      </c>
    </row>
    <row r="32" spans="2:12">
      <c r="B32" s="18" t="s">
        <v>27</v>
      </c>
      <c r="C32" s="63"/>
      <c r="D32" s="63">
        <f>Financials!E10</f>
        <v>6.9469067836148174E-2</v>
      </c>
      <c r="E32" s="63">
        <f>Financials!F10</f>
        <v>7.656065959952886E-2</v>
      </c>
      <c r="F32" s="63">
        <f>Financials!G10</f>
        <v>6.398411540643488E-2</v>
      </c>
      <c r="G32" s="63">
        <f>Financials!H10</f>
        <v>5.5185283924286857E-2</v>
      </c>
      <c r="H32" s="63">
        <f>Financials!I10</f>
        <v>7.1428571428571425E-2</v>
      </c>
      <c r="I32" s="63">
        <f>Financials!J10</f>
        <v>0.14798719892201448</v>
      </c>
      <c r="J32" s="63">
        <f>Financials!K10</f>
        <v>-0.10226539116145314</v>
      </c>
      <c r="K32" s="63">
        <f>Financials!L10</f>
        <v>0.13166410616807767</v>
      </c>
      <c r="L32" s="63">
        <f>Financials!M10</f>
        <v>-0.19522832962652725</v>
      </c>
    </row>
    <row r="34" spans="2:12" ht="15" thickBot="1">
      <c r="B34" s="1" t="s">
        <v>33</v>
      </c>
      <c r="C34" s="24">
        <f t="shared" ref="C34:L34" si="6">C19/C16</f>
        <v>0.10541782018961597</v>
      </c>
      <c r="D34" s="24">
        <f t="shared" si="6"/>
        <v>0.12184660123591422</v>
      </c>
      <c r="E34" s="24">
        <f t="shared" si="6"/>
        <v>0.10955576432693598</v>
      </c>
      <c r="F34" s="24">
        <f t="shared" si="6"/>
        <v>0.10748612762584225</v>
      </c>
      <c r="G34" s="24">
        <f t="shared" si="6"/>
        <v>0.26737936468734197</v>
      </c>
      <c r="H34" s="24">
        <f t="shared" si="6"/>
        <v>0.12412837144338515</v>
      </c>
      <c r="I34" s="24">
        <f t="shared" si="6"/>
        <v>0.11985276569183602</v>
      </c>
      <c r="J34" s="24">
        <f t="shared" si="6"/>
        <v>0.10171488161909543</v>
      </c>
      <c r="K34" s="24">
        <f t="shared" si="6"/>
        <v>0.12165657086394295</v>
      </c>
      <c r="L34" s="24">
        <f t="shared" si="6"/>
        <v>4.4224101723669362E-2</v>
      </c>
    </row>
    <row r="35" spans="2:12" ht="15" thickBot="1">
      <c r="B35" s="1" t="s">
        <v>34</v>
      </c>
      <c r="C35" s="24">
        <f t="shared" ref="C35:L35" si="7">C28/C19</f>
        <v>0.54005281690140849</v>
      </c>
      <c r="D35" s="24">
        <f t="shared" si="7"/>
        <v>0.93233890214797133</v>
      </c>
      <c r="E35" s="24">
        <f t="shared" si="7"/>
        <v>0.99142472130344239</v>
      </c>
      <c r="F35" s="24">
        <f t="shared" si="7"/>
        <v>0.88465084120765158</v>
      </c>
      <c r="G35" s="24">
        <f t="shared" si="7"/>
        <v>0.41152408181218386</v>
      </c>
      <c r="H35" s="24">
        <f t="shared" si="7"/>
        <v>0.6524592958827039</v>
      </c>
      <c r="I35" s="24">
        <f t="shared" si="7"/>
        <v>0.67848663552117638</v>
      </c>
      <c r="J35" s="24">
        <f t="shared" si="7"/>
        <v>0.75602809948737426</v>
      </c>
      <c r="K35" s="24">
        <f t="shared" si="7"/>
        <v>0.93862560915318882</v>
      </c>
      <c r="L35" s="24">
        <f t="shared" si="7"/>
        <v>2.0770949720670391</v>
      </c>
    </row>
    <row r="38" spans="2:12" ht="20" thickBot="1">
      <c r="B38" s="3" t="s">
        <v>37</v>
      </c>
      <c r="C38" s="3"/>
    </row>
    <row r="39" spans="2:12" ht="15" thickTop="1"/>
    <row r="41" spans="2:12" ht="17.5" thickBot="1">
      <c r="B41" s="2"/>
      <c r="C41" s="2">
        <v>2023</v>
      </c>
      <c r="D41" s="2">
        <v>2024</v>
      </c>
      <c r="E41" s="2">
        <v>2025</v>
      </c>
      <c r="F41" s="2">
        <v>2026</v>
      </c>
      <c r="G41" s="2">
        <v>2027</v>
      </c>
      <c r="H41" s="2">
        <v>2028</v>
      </c>
      <c r="I41" s="2">
        <v>2029</v>
      </c>
      <c r="J41" s="2">
        <v>2030</v>
      </c>
      <c r="K41" s="2">
        <v>2031</v>
      </c>
      <c r="L41" s="2">
        <v>2032</v>
      </c>
    </row>
    <row r="42" spans="2:12" ht="15" thickTop="1">
      <c r="B42" s="18" t="s">
        <v>26</v>
      </c>
      <c r="C42" s="21">
        <f>L16*(C43+1)</f>
        <v>120188.4446</v>
      </c>
      <c r="D42" s="21">
        <f>C42*(D43+1)</f>
        <v>123541.70220434001</v>
      </c>
      <c r="E42" s="21">
        <f>D42*(E43+1)</f>
        <v>123492.28552345828</v>
      </c>
      <c r="F42" s="21">
        <f t="shared" ref="F42:L42" si="8">E42*(F43+1)</f>
        <v>124727.20837869287</v>
      </c>
      <c r="G42" s="21">
        <f t="shared" si="8"/>
        <v>125974.4804624798</v>
      </c>
      <c r="H42" s="21">
        <f t="shared" si="8"/>
        <v>127234.2252671046</v>
      </c>
      <c r="I42" s="21">
        <f t="shared" si="8"/>
        <v>128506.56751977565</v>
      </c>
      <c r="J42" s="21">
        <f t="shared" si="8"/>
        <v>129791.6331949734</v>
      </c>
      <c r="K42" s="21">
        <f t="shared" si="8"/>
        <v>131089.54952692313</v>
      </c>
      <c r="L42" s="21">
        <f t="shared" si="8"/>
        <v>132400.44502219238</v>
      </c>
    </row>
    <row r="43" spans="2:12">
      <c r="B43" s="18" t="s">
        <v>27</v>
      </c>
      <c r="C43" s="68">
        <v>-1.0200000000000001E-2</v>
      </c>
      <c r="D43" s="68">
        <v>2.7900000000000001E-2</v>
      </c>
      <c r="E43" s="68">
        <v>-4.0000000000000002E-4</v>
      </c>
      <c r="F43" s="27">
        <f>C6</f>
        <v>0.01</v>
      </c>
      <c r="G43" s="27">
        <f>C6</f>
        <v>0.01</v>
      </c>
      <c r="H43" s="27">
        <f>C6</f>
        <v>0.01</v>
      </c>
      <c r="I43" s="27">
        <f>C6</f>
        <v>0.01</v>
      </c>
      <c r="J43" s="27">
        <f>C6</f>
        <v>0.01</v>
      </c>
      <c r="K43" s="27">
        <f>C6</f>
        <v>0.01</v>
      </c>
      <c r="L43" s="27">
        <f>C6</f>
        <v>0.01</v>
      </c>
    </row>
    <row r="44" spans="2:12">
      <c r="B44" s="18"/>
      <c r="C44" s="22"/>
      <c r="D44" s="22"/>
      <c r="E44" s="22"/>
      <c r="F44" s="22"/>
      <c r="G44" s="22"/>
      <c r="H44" s="22"/>
      <c r="I44" s="22"/>
      <c r="J44" s="22"/>
      <c r="K44" s="22"/>
      <c r="L44" s="22"/>
    </row>
    <row r="45" spans="2:12">
      <c r="B45" s="18" t="s">
        <v>28</v>
      </c>
      <c r="C45" s="21">
        <f>C42*C7</f>
        <v>14702.200151680758</v>
      </c>
      <c r="D45" s="21">
        <f>D42*C7</f>
        <v>15112.391535912651</v>
      </c>
      <c r="E45" s="21">
        <f>E42*C7</f>
        <v>15106.346579298288</v>
      </c>
      <c r="F45" s="21">
        <f>F42*C7</f>
        <v>15257.41004509127</v>
      </c>
      <c r="G45" s="21">
        <f>G42*C7</f>
        <v>15409.984145542183</v>
      </c>
      <c r="H45" s="21">
        <f>H42*C7</f>
        <v>15564.083986997606</v>
      </c>
      <c r="I45" s="21">
        <f>I42*C7</f>
        <v>15719.724826867581</v>
      </c>
      <c r="J45" s="21">
        <f>J42*C7</f>
        <v>15876.922075136257</v>
      </c>
      <c r="K45" s="21">
        <f>K42*C7</f>
        <v>16035.69129588762</v>
      </c>
      <c r="L45" s="21">
        <f>L42*C7</f>
        <v>16196.048208846498</v>
      </c>
    </row>
    <row r="46" spans="2:12">
      <c r="B46" s="18"/>
      <c r="C46" s="20">
        <f>(C45-L19)/L19</f>
        <v>1.7378398792701597</v>
      </c>
      <c r="D46" s="20">
        <f>(D45-C45)/C45</f>
        <v>2.7900000000000032E-2</v>
      </c>
      <c r="E46" s="20">
        <f t="shared" ref="E46:L46" si="9">(E45-D45)/D45</f>
        <v>-3.9999999999989014E-4</v>
      </c>
      <c r="F46" s="20">
        <f t="shared" si="9"/>
        <v>9.9999999999999586E-3</v>
      </c>
      <c r="G46" s="20">
        <f t="shared" si="9"/>
        <v>1.0000000000000002E-2</v>
      </c>
      <c r="H46" s="20">
        <f t="shared" si="9"/>
        <v>1.0000000000000096E-2</v>
      </c>
      <c r="I46" s="20">
        <f t="shared" si="9"/>
        <v>9.9999999999999326E-3</v>
      </c>
      <c r="J46" s="20">
        <f t="shared" si="9"/>
        <v>1.0000000000000016E-2</v>
      </c>
      <c r="K46" s="20">
        <f t="shared" si="9"/>
        <v>1.0000000000000014E-2</v>
      </c>
      <c r="L46" s="20">
        <f t="shared" si="9"/>
        <v>1.0000000000000096E-2</v>
      </c>
    </row>
    <row r="47" spans="2:12">
      <c r="B47" s="18"/>
      <c r="C47" s="22"/>
      <c r="D47" s="22"/>
      <c r="E47" s="22"/>
      <c r="F47" s="22"/>
      <c r="G47" s="22"/>
      <c r="H47" s="22"/>
      <c r="I47" s="22"/>
      <c r="J47" s="22"/>
      <c r="K47" s="22"/>
      <c r="L47" s="22"/>
    </row>
    <row r="48" spans="2:12">
      <c r="B48" s="18" t="s">
        <v>32</v>
      </c>
      <c r="C48" s="21">
        <f>C45*C8</f>
        <v>11084.790786631389</v>
      </c>
      <c r="D48" s="21">
        <f>D45*C8</f>
        <v>11394.056449578406</v>
      </c>
      <c r="E48" s="21">
        <f>E45*C8</f>
        <v>11389.498826998575</v>
      </c>
      <c r="F48" s="21">
        <f>F45*C8</f>
        <v>11503.393815268561</v>
      </c>
      <c r="G48" s="21">
        <f>G45*C8</f>
        <v>11618.427753421245</v>
      </c>
      <c r="H48" s="21">
        <f>H45*C8</f>
        <v>11734.612030955459</v>
      </c>
      <c r="I48" s="21">
        <f>I45*C8</f>
        <v>11851.958151265013</v>
      </c>
      <c r="J48" s="21">
        <f>J45*C8</f>
        <v>11970.477732777663</v>
      </c>
      <c r="K48" s="21">
        <f>K45*C8</f>
        <v>12090.18251010544</v>
      </c>
      <c r="L48" s="21">
        <f>L45*C8</f>
        <v>12211.084335206495</v>
      </c>
    </row>
    <row r="49" spans="2:12">
      <c r="B49" s="18" t="s">
        <v>27</v>
      </c>
      <c r="C49" s="20">
        <f>(C48-L28)/L28</f>
        <v>-6.2048783726565372E-3</v>
      </c>
      <c r="D49" s="20">
        <f>(D48-C48)/C48</f>
        <v>2.7900000000000078E-2</v>
      </c>
      <c r="E49" s="20">
        <f t="shared" ref="E49:L49" si="10">(E48-D48)/D48</f>
        <v>-3.9999999999991751E-4</v>
      </c>
      <c r="F49" s="20">
        <f t="shared" si="10"/>
        <v>9.9999999999999638E-3</v>
      </c>
      <c r="G49" s="20">
        <f t="shared" si="10"/>
        <v>9.9999999999999169E-3</v>
      </c>
      <c r="H49" s="20">
        <f t="shared" si="10"/>
        <v>1.0000000000000118E-2</v>
      </c>
      <c r="I49" s="20">
        <f t="shared" si="10"/>
        <v>9.9999999999999464E-3</v>
      </c>
      <c r="J49" s="20">
        <f t="shared" si="10"/>
        <v>9.9999999999999794E-3</v>
      </c>
      <c r="K49" s="20">
        <f t="shared" si="10"/>
        <v>1.0000000000000054E-2</v>
      </c>
      <c r="L49" s="20">
        <f t="shared" si="10"/>
        <v>1.0000000000000031E-2</v>
      </c>
    </row>
    <row r="51" spans="2:12">
      <c r="B51" s="18" t="s">
        <v>49</v>
      </c>
      <c r="C51" s="21">
        <f>L31*(1+C52)</f>
        <v>28001.309999999998</v>
      </c>
      <c r="D51" s="21">
        <f>C51*(1+D52)</f>
        <v>28141.316549999996</v>
      </c>
      <c r="E51" s="21">
        <f t="shared" ref="E51:L51" si="11">D51*(1+E52)</f>
        <v>28282.023132749993</v>
      </c>
      <c r="F51" s="21">
        <f t="shared" si="11"/>
        <v>28423.433248413741</v>
      </c>
      <c r="G51" s="21">
        <f t="shared" si="11"/>
        <v>28565.550414655809</v>
      </c>
      <c r="H51" s="21">
        <f t="shared" si="11"/>
        <v>28708.378166729086</v>
      </c>
      <c r="I51" s="21">
        <f t="shared" si="11"/>
        <v>28851.920057562729</v>
      </c>
      <c r="J51" s="21">
        <f t="shared" si="11"/>
        <v>28996.179657850538</v>
      </c>
      <c r="K51" s="21">
        <f t="shared" si="11"/>
        <v>29141.160556139788</v>
      </c>
      <c r="L51" s="21">
        <f t="shared" si="11"/>
        <v>29286.866358920484</v>
      </c>
    </row>
    <row r="52" spans="2:12">
      <c r="B52" s="18" t="s">
        <v>27</v>
      </c>
      <c r="C52" s="20">
        <f>C10</f>
        <v>5.0000000000000001E-3</v>
      </c>
      <c r="D52" s="20">
        <f>C10</f>
        <v>5.0000000000000001E-3</v>
      </c>
      <c r="E52" s="20">
        <f>C10</f>
        <v>5.0000000000000001E-3</v>
      </c>
      <c r="F52" s="20">
        <f>C10</f>
        <v>5.0000000000000001E-3</v>
      </c>
      <c r="G52" s="20">
        <f>C10</f>
        <v>5.0000000000000001E-3</v>
      </c>
      <c r="H52" s="20">
        <f>C10</f>
        <v>5.0000000000000001E-3</v>
      </c>
      <c r="I52" s="20">
        <f>C10</f>
        <v>5.0000000000000001E-3</v>
      </c>
      <c r="J52" s="20">
        <f>C10</f>
        <v>5.0000000000000001E-3</v>
      </c>
      <c r="K52" s="20">
        <f>C10</f>
        <v>5.0000000000000001E-3</v>
      </c>
      <c r="L52" s="20">
        <f>C10</f>
        <v>5.0000000000000001E-3</v>
      </c>
    </row>
    <row r="54" spans="2:12" ht="20" thickBot="1">
      <c r="B54" s="3" t="s">
        <v>105</v>
      </c>
      <c r="C54" s="3"/>
    </row>
    <row r="55" spans="2:12" ht="20" thickTop="1">
      <c r="B55" s="64"/>
      <c r="C55" s="64"/>
    </row>
    <row r="56" spans="2:12" ht="17.5" thickBot="1">
      <c r="B56" s="2"/>
      <c r="C56" s="2">
        <v>2023</v>
      </c>
      <c r="D56" s="2">
        <v>2024</v>
      </c>
      <c r="E56" s="2">
        <v>2025</v>
      </c>
      <c r="F56" s="2">
        <v>2026</v>
      </c>
      <c r="G56" s="2">
        <v>2027</v>
      </c>
      <c r="H56" s="2">
        <v>2028</v>
      </c>
      <c r="I56" s="2">
        <v>2029</v>
      </c>
      <c r="J56" s="2">
        <v>2030</v>
      </c>
      <c r="K56" s="2">
        <v>2031</v>
      </c>
      <c r="L56" s="2">
        <v>2032</v>
      </c>
    </row>
    <row r="57" spans="2:12" ht="15" thickTop="1">
      <c r="B57" s="18" t="s">
        <v>40</v>
      </c>
      <c r="C57" s="61">
        <f>POWER((1+C4),1)</f>
        <v>1.0686101025023482</v>
      </c>
      <c r="D57" s="61">
        <f>POWER((1+C4),2)</f>
        <v>1.1419275511700793</v>
      </c>
      <c r="E57" s="61">
        <f>POWER((1+C4),3)</f>
        <v>1.2202753175061138</v>
      </c>
      <c r="F57" s="61">
        <f>POWER((1+C4),4)</f>
        <v>1.3039985321212939</v>
      </c>
      <c r="G57" s="61">
        <f>POWER((1+C4),5)</f>
        <v>1.3934660050730474</v>
      </c>
      <c r="H57" s="61">
        <f>POWER((1+C4),6)</f>
        <v>1.4890718505146472</v>
      </c>
      <c r="I57" s="61">
        <f>POWER((1+C4),7)</f>
        <v>1.5912372228118183</v>
      </c>
      <c r="J57" s="61">
        <f>POWER((1+C4),8)</f>
        <v>1.7004121717744891</v>
      </c>
      <c r="K57" s="61">
        <f>POWER((1+C4),9)</f>
        <v>1.8170776251761773</v>
      </c>
      <c r="L57" s="61">
        <f>POWER((1+C4),10)</f>
        <v>1.9417475072942385</v>
      </c>
    </row>
    <row r="58" spans="2:12">
      <c r="B58" s="18"/>
      <c r="C58" s="22"/>
      <c r="D58" s="22"/>
      <c r="E58" s="22"/>
      <c r="F58" s="22"/>
      <c r="G58" s="22"/>
      <c r="H58" s="22"/>
      <c r="I58" s="22"/>
      <c r="J58" s="22"/>
      <c r="K58" s="22"/>
      <c r="L58" s="22"/>
    </row>
    <row r="59" spans="2:12">
      <c r="B59" s="18" t="s">
        <v>41</v>
      </c>
      <c r="C59" s="21">
        <f t="shared" ref="C59:L59" si="12">C48/C57</f>
        <v>10373.091888869758</v>
      </c>
      <c r="D59" s="21">
        <f t="shared" si="12"/>
        <v>9977.9153571550614</v>
      </c>
      <c r="E59" s="21">
        <f t="shared" si="12"/>
        <v>9333.548473532499</v>
      </c>
      <c r="F59" s="21">
        <f t="shared" si="12"/>
        <v>8821.6309542582749</v>
      </c>
      <c r="G59" s="21">
        <f t="shared" si="12"/>
        <v>8337.7905963426729</v>
      </c>
      <c r="H59" s="21">
        <f t="shared" si="12"/>
        <v>7880.4874505550479</v>
      </c>
      <c r="I59" s="21">
        <f t="shared" si="12"/>
        <v>7448.266029323926</v>
      </c>
      <c r="J59" s="21">
        <f t="shared" si="12"/>
        <v>7039.7506742648766</v>
      </c>
      <c r="K59" s="21">
        <f t="shared" si="12"/>
        <v>6653.6411777857975</v>
      </c>
      <c r="L59" s="21">
        <f t="shared" si="12"/>
        <v>6288.7086448341788</v>
      </c>
    </row>
    <row r="60" spans="2:12">
      <c r="B60" s="18"/>
      <c r="C60" s="21"/>
      <c r="D60" s="21"/>
      <c r="E60" s="21"/>
      <c r="F60" s="21"/>
      <c r="G60" s="21"/>
      <c r="H60" s="21"/>
      <c r="I60" s="21"/>
      <c r="J60" s="21"/>
      <c r="K60" s="21"/>
      <c r="L60" s="21"/>
    </row>
    <row r="61" spans="2:12" ht="15" thickBot="1">
      <c r="B61" s="73" t="s">
        <v>42</v>
      </c>
      <c r="C61" s="74">
        <f>POWER((1+C4),11)</f>
        <v>2.0749710028033754</v>
      </c>
      <c r="D61" s="21"/>
      <c r="E61" s="21"/>
      <c r="F61" s="21"/>
      <c r="G61" s="21"/>
      <c r="H61" s="21"/>
      <c r="I61" s="21"/>
      <c r="J61" s="21"/>
      <c r="K61" s="21"/>
      <c r="L61" s="21"/>
    </row>
    <row r="62" spans="2:12">
      <c r="B62" s="18"/>
      <c r="C62" s="21"/>
      <c r="D62" s="21"/>
      <c r="E62" s="21"/>
      <c r="F62" s="21"/>
      <c r="G62" s="21"/>
      <c r="H62" s="21"/>
      <c r="I62" s="21"/>
      <c r="J62" s="21"/>
      <c r="K62" s="21"/>
      <c r="L62" s="21"/>
    </row>
    <row r="63" spans="2:12">
      <c r="B63" s="154" t="s">
        <v>103</v>
      </c>
      <c r="C63" s="154"/>
      <c r="D63" s="154"/>
      <c r="E63" s="154"/>
      <c r="F63" s="154"/>
      <c r="G63" s="154"/>
      <c r="H63" s="154"/>
      <c r="I63" s="154"/>
      <c r="J63" s="154"/>
      <c r="K63" s="154"/>
      <c r="L63" s="154"/>
    </row>
    <row r="64" spans="2:12">
      <c r="B64" s="154"/>
      <c r="C64" s="154"/>
      <c r="D64" s="154"/>
      <c r="E64" s="154"/>
      <c r="F64" s="154"/>
      <c r="G64" s="154"/>
      <c r="H64" s="154"/>
      <c r="I64" s="154"/>
      <c r="J64" s="154"/>
      <c r="K64" s="154"/>
      <c r="L64" s="154"/>
    </row>
    <row r="65" spans="2:12">
      <c r="B65" s="18" t="s">
        <v>39</v>
      </c>
      <c r="C65" s="25">
        <f>L59*(1+C5)/(C4-C5)</f>
        <v>147808.09929552305</v>
      </c>
    </row>
    <row r="66" spans="2:12" ht="15" thickBot="1">
      <c r="B66" s="5" t="s">
        <v>43</v>
      </c>
      <c r="C66" s="23">
        <f>C65/C61</f>
        <v>71233.814398286981</v>
      </c>
    </row>
    <row r="67" spans="2:12" ht="15" thickTop="1"/>
    <row r="68" spans="2:12" ht="14.5" customHeight="1" thickBot="1">
      <c r="B68" s="3" t="s">
        <v>45</v>
      </c>
      <c r="C68" s="71">
        <f>(SUM(C59:L59)+C65)</f>
        <v>229962.93054244516</v>
      </c>
    </row>
    <row r="69" spans="2:12" ht="15" thickTop="1">
      <c r="F69" s="9"/>
    </row>
    <row r="70" spans="2:12" ht="18.5">
      <c r="B70" s="69" t="s">
        <v>44</v>
      </c>
      <c r="C70" s="70">
        <f>C68/(C11/1000000)</f>
        <v>54.667017807155737</v>
      </c>
      <c r="D70" s="29"/>
      <c r="E70" s="30"/>
    </row>
    <row r="73" spans="2:12">
      <c r="B73" s="154" t="s">
        <v>104</v>
      </c>
      <c r="C73" s="154"/>
      <c r="D73" s="154"/>
      <c r="E73" s="154"/>
      <c r="F73" s="154"/>
      <c r="G73" s="154"/>
      <c r="H73" s="154"/>
      <c r="I73" s="154"/>
      <c r="J73" s="154"/>
      <c r="K73" s="154"/>
      <c r="L73" s="154"/>
    </row>
    <row r="74" spans="2:12">
      <c r="B74" s="154"/>
      <c r="C74" s="154"/>
      <c r="D74" s="154"/>
      <c r="E74" s="154"/>
      <c r="F74" s="154"/>
      <c r="G74" s="154"/>
      <c r="H74" s="154"/>
      <c r="I74" s="154"/>
      <c r="J74" s="154"/>
      <c r="K74" s="154"/>
      <c r="L74" s="154"/>
    </row>
    <row r="75" spans="2:12">
      <c r="B75" s="18" t="s">
        <v>39</v>
      </c>
      <c r="C75" s="25">
        <f>L51*C9</f>
        <v>262703.19123951677</v>
      </c>
    </row>
    <row r="76" spans="2:12" ht="15" thickBot="1">
      <c r="B76" s="5" t="s">
        <v>43</v>
      </c>
      <c r="C76" s="23">
        <f>C75/C61</f>
        <v>126605.71684355753</v>
      </c>
    </row>
    <row r="77" spans="2:12" ht="15" thickTop="1">
      <c r="B77" s="18"/>
      <c r="C77" s="28"/>
    </row>
    <row r="78" spans="2:12" ht="20" thickBot="1">
      <c r="B78" s="3" t="s">
        <v>45</v>
      </c>
      <c r="C78" s="72">
        <f>SUM(C59:L59)+C76</f>
        <v>208760.54809047963</v>
      </c>
    </row>
    <row r="79" spans="2:12" ht="15" thickTop="1"/>
    <row r="80" spans="2:12" ht="18.5">
      <c r="B80" s="69" t="s">
        <v>44</v>
      </c>
      <c r="C80" s="70">
        <f>C78/(C11/1000000)</f>
        <v>49.626766248690792</v>
      </c>
    </row>
  </sheetData>
  <mergeCells count="2">
    <mergeCell ref="B63:L64"/>
    <mergeCell ref="B73:L74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3:E21"/>
  <sheetViews>
    <sheetView showGridLines="0" workbookViewId="0">
      <selection activeCell="C15" sqref="C15"/>
    </sheetView>
  </sheetViews>
  <sheetFormatPr defaultRowHeight="14.5"/>
  <cols>
    <col min="2" max="2" width="29.90625" customWidth="1"/>
  </cols>
  <sheetData>
    <row r="13" spans="2:3" ht="20" thickBot="1">
      <c r="B13" s="8" t="s">
        <v>107</v>
      </c>
      <c r="C13" s="8"/>
    </row>
    <row r="14" spans="2:3" ht="15" thickTop="1"/>
    <row r="15" spans="2:3">
      <c r="B15" s="18" t="s">
        <v>108</v>
      </c>
      <c r="C15" s="78">
        <v>2.67</v>
      </c>
    </row>
    <row r="16" spans="2:3">
      <c r="B16" s="18" t="s">
        <v>113</v>
      </c>
      <c r="C16" s="133">
        <v>7</v>
      </c>
    </row>
    <row r="17" spans="2:5">
      <c r="B17" s="18" t="s">
        <v>162</v>
      </c>
      <c r="C17" s="78">
        <v>9</v>
      </c>
    </row>
    <row r="18" spans="2:5">
      <c r="B18" s="18" t="s">
        <v>110</v>
      </c>
      <c r="C18">
        <v>4.42</v>
      </c>
      <c r="D18" s="77" t="s">
        <v>112</v>
      </c>
      <c r="E18" s="76" t="s">
        <v>111</v>
      </c>
    </row>
    <row r="20" spans="2:5" ht="15" thickBot="1">
      <c r="B20" s="75" t="s">
        <v>109</v>
      </c>
      <c r="C20" s="79">
        <f>(C15*(C16+C17)*4.4)/C18</f>
        <v>42.526696832579191</v>
      </c>
    </row>
    <row r="21" spans="2:5" ht="15" thickTop="1"/>
  </sheetData>
  <hyperlinks>
    <hyperlink ref="E18" r:id="rId1" xr:uid="{00000000-0004-0000-0400-000000000000}"/>
  </hyperlinks>
  <pageMargins left="0.7" right="0.7" top="0.75" bottom="0.75" header="0.3" footer="0.3"/>
  <pageSetup orientation="portrait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P28"/>
  <sheetViews>
    <sheetView workbookViewId="0">
      <selection activeCell="P7" sqref="P7"/>
    </sheetView>
  </sheetViews>
  <sheetFormatPr defaultRowHeight="14.5"/>
  <cols>
    <col min="2" max="2" width="16.1796875" bestFit="1" customWidth="1"/>
    <col min="3" max="3" width="12.6328125" bestFit="1" customWidth="1"/>
    <col min="15" max="15" width="22.54296875" bestFit="1" customWidth="1"/>
    <col min="16" max="16" width="6.81640625" bestFit="1" customWidth="1"/>
  </cols>
  <sheetData>
    <row r="2" spans="2:16" ht="15" thickBot="1">
      <c r="B2" s="1" t="s">
        <v>125</v>
      </c>
      <c r="C2" s="122">
        <v>1.08</v>
      </c>
    </row>
    <row r="3" spans="2:16" ht="15" thickBot="1"/>
    <row r="4" spans="2:16" ht="20" thickBot="1">
      <c r="B4" s="157" t="s">
        <v>118</v>
      </c>
      <c r="C4" s="158"/>
    </row>
    <row r="5" spans="2:16" ht="15" thickBot="1">
      <c r="B5" s="80" t="s">
        <v>119</v>
      </c>
      <c r="C5" s="81" t="s">
        <v>120</v>
      </c>
      <c r="D5" s="82"/>
      <c r="E5" s="82"/>
      <c r="F5" s="82"/>
      <c r="G5" s="82"/>
      <c r="H5" s="82"/>
      <c r="I5" s="82"/>
      <c r="J5" s="82"/>
      <c r="K5" s="82"/>
      <c r="L5" s="82"/>
      <c r="M5" s="82"/>
      <c r="N5" s="83"/>
      <c r="O5" s="84" t="s">
        <v>121</v>
      </c>
      <c r="P5" s="85" t="s">
        <v>122</v>
      </c>
    </row>
    <row r="6" spans="2:16" ht="15" thickBot="1">
      <c r="B6" s="86" t="s">
        <v>123</v>
      </c>
      <c r="C6" s="87">
        <v>1</v>
      </c>
      <c r="D6" s="87">
        <v>2</v>
      </c>
      <c r="E6" s="87">
        <v>3</v>
      </c>
      <c r="F6" s="87">
        <v>4</v>
      </c>
      <c r="G6" s="87">
        <v>5</v>
      </c>
      <c r="H6" s="87">
        <v>6</v>
      </c>
      <c r="I6" s="87">
        <v>7</v>
      </c>
      <c r="J6" s="87">
        <v>8</v>
      </c>
      <c r="K6" s="87">
        <v>9</v>
      </c>
      <c r="L6" s="87">
        <v>10</v>
      </c>
      <c r="M6" s="159" t="s">
        <v>124</v>
      </c>
      <c r="N6" s="160"/>
      <c r="O6" s="88" t="s">
        <v>125</v>
      </c>
      <c r="P6" s="106">
        <f>C2</f>
        <v>1.08</v>
      </c>
    </row>
    <row r="7" spans="2:16" ht="15" thickBot="1">
      <c r="B7" s="89" t="s">
        <v>126</v>
      </c>
      <c r="C7" s="90">
        <f>P6*(1+P7)</f>
        <v>1.107</v>
      </c>
      <c r="D7" s="90">
        <f>C7*(1+P7)</f>
        <v>1.1346749999999999</v>
      </c>
      <c r="E7" s="90">
        <f>D7*(1+P7)</f>
        <v>1.1630418749999998</v>
      </c>
      <c r="F7" s="90">
        <f>E7*(1+P7)</f>
        <v>1.1921179218749998</v>
      </c>
      <c r="G7" s="90">
        <f>F7*(1+P7)</f>
        <v>1.2219208699218747</v>
      </c>
      <c r="H7" s="90">
        <f>G7*(1+P7)</f>
        <v>1.2524688916699214</v>
      </c>
      <c r="I7" s="90">
        <f>H7*(1+P7)</f>
        <v>1.2837806139616692</v>
      </c>
      <c r="J7" s="90">
        <f>I7*(1+P7)</f>
        <v>1.3158751293107107</v>
      </c>
      <c r="K7" s="90">
        <f>J7*(1+P7)</f>
        <v>1.3487720075434784</v>
      </c>
      <c r="L7" s="90">
        <f>K7*(1+P7)</f>
        <v>1.3824913077320653</v>
      </c>
      <c r="M7" s="155">
        <f>L7*(1+P7)/(P8-P7)</f>
        <v>32.49370006293983</v>
      </c>
      <c r="N7" s="156"/>
      <c r="O7" s="88" t="s">
        <v>127</v>
      </c>
      <c r="P7" s="104">
        <v>2.5000000000000001E-2</v>
      </c>
    </row>
    <row r="8" spans="2:16" ht="15" thickBot="1">
      <c r="B8" s="89" t="s">
        <v>128</v>
      </c>
      <c r="C8" s="90">
        <f>C7/(1+P8)</f>
        <v>1.0359250744567683</v>
      </c>
      <c r="D8" s="90">
        <f>D7/(1+P8)^2</f>
        <v>0.99364885174838979</v>
      </c>
      <c r="E8" s="90">
        <f>E7/(1+P8)^3</f>
        <v>0.95309792660308623</v>
      </c>
      <c r="F8" s="90">
        <f>F7/(1+P8)^4</f>
        <v>0.91420188942675329</v>
      </c>
      <c r="G8" s="90">
        <f>G7/(1+P8)^5</f>
        <v>0.87689320404900717</v>
      </c>
      <c r="H8" s="90">
        <f>H7/(1+P8)^6</f>
        <v>0.84110709045842746</v>
      </c>
      <c r="I8" s="90">
        <f>I7/(1+P8)^7</f>
        <v>0.80678141232339096</v>
      </c>
      <c r="J8" s="90">
        <f>J7/(1+P8)^8</f>
        <v>0.77385656910319023</v>
      </c>
      <c r="K8" s="90">
        <f>K7/(1+P8)^9</f>
        <v>0.74227539256211261</v>
      </c>
      <c r="L8" s="90">
        <f>L7/(1+P8)^10</f>
        <v>0.7119830475067902</v>
      </c>
      <c r="M8" s="155">
        <f>M7/POWER((1+P8),10)</f>
        <v>16.734256097085833</v>
      </c>
      <c r="N8" s="156"/>
      <c r="O8" s="91" t="s">
        <v>129</v>
      </c>
      <c r="P8" s="105">
        <f>WACC!$C$25</f>
        <v>6.861010250234828E-2</v>
      </c>
    </row>
    <row r="9" spans="2:16">
      <c r="B9" s="92"/>
      <c r="N9" s="93"/>
    </row>
    <row r="10" spans="2:16" ht="20" thickBot="1">
      <c r="B10" s="94" t="s">
        <v>130</v>
      </c>
      <c r="C10" s="95">
        <f>SUM(C8:N8)*(1-P9)</f>
        <v>25.38402655532375</v>
      </c>
      <c r="D10" s="96"/>
      <c r="E10" s="96"/>
      <c r="F10" s="96"/>
      <c r="G10" s="96"/>
      <c r="H10" s="96"/>
      <c r="I10" s="96"/>
      <c r="J10" s="96"/>
      <c r="K10" s="96"/>
      <c r="L10" s="96"/>
      <c r="M10" s="96"/>
      <c r="N10" s="97"/>
    </row>
    <row r="11" spans="2:16">
      <c r="B11" s="98"/>
      <c r="C11" s="98"/>
    </row>
    <row r="12" spans="2:16" ht="15" thickBot="1">
      <c r="O12" s="99"/>
    </row>
    <row r="13" spans="2:16" ht="20" thickBot="1">
      <c r="B13" s="157" t="s">
        <v>118</v>
      </c>
      <c r="C13" s="158"/>
    </row>
    <row r="14" spans="2:16" ht="15" thickBot="1">
      <c r="B14" s="80" t="s">
        <v>119</v>
      </c>
      <c r="C14" s="81" t="s">
        <v>131</v>
      </c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3"/>
      <c r="O14" s="84" t="s">
        <v>121</v>
      </c>
      <c r="P14" s="85" t="s">
        <v>122</v>
      </c>
    </row>
    <row r="15" spans="2:16" ht="15" thickBot="1">
      <c r="B15" s="86" t="s">
        <v>123</v>
      </c>
      <c r="C15" s="87">
        <v>1</v>
      </c>
      <c r="D15" s="87">
        <v>2</v>
      </c>
      <c r="E15" s="87">
        <v>3</v>
      </c>
      <c r="F15" s="87">
        <v>4</v>
      </c>
      <c r="G15" s="87">
        <v>5</v>
      </c>
      <c r="H15" s="87">
        <v>6</v>
      </c>
      <c r="I15" s="87">
        <v>7</v>
      </c>
      <c r="J15" s="87">
        <v>8</v>
      </c>
      <c r="K15" s="87">
        <v>9</v>
      </c>
      <c r="L15" s="87">
        <v>10</v>
      </c>
      <c r="M15" s="159" t="s">
        <v>124</v>
      </c>
      <c r="N15" s="160"/>
      <c r="O15" s="88" t="s">
        <v>125</v>
      </c>
      <c r="P15" s="106">
        <f>C2</f>
        <v>1.08</v>
      </c>
    </row>
    <row r="16" spans="2:16" ht="15" thickBot="1">
      <c r="B16" s="89" t="s">
        <v>126</v>
      </c>
      <c r="C16" s="90">
        <f>P15*(1+P16)</f>
        <v>1.1124000000000001</v>
      </c>
      <c r="D16" s="90">
        <f>C16*(1+P16)</f>
        <v>1.145772</v>
      </c>
      <c r="E16" s="90">
        <f>D16*(1+P16)</f>
        <v>1.1801451600000001</v>
      </c>
      <c r="F16" s="90">
        <f>E16*(1+P16)</f>
        <v>1.2155495148000002</v>
      </c>
      <c r="G16" s="90">
        <f>F16*(1+P16)</f>
        <v>1.2520160002440002</v>
      </c>
      <c r="H16" s="90">
        <f>G16*(1+P16)</f>
        <v>1.2895764802513201</v>
      </c>
      <c r="I16" s="90">
        <f>H16*(1+P16)</f>
        <v>1.3282637746588597</v>
      </c>
      <c r="J16" s="90">
        <f>I16*(1+P16)</f>
        <v>1.3681116878986255</v>
      </c>
      <c r="K16" s="90">
        <f>J16*(1+P16)</f>
        <v>1.4091550385355842</v>
      </c>
      <c r="L16" s="90">
        <f>K16*(1+P16)</f>
        <v>1.4514296896916519</v>
      </c>
      <c r="M16" s="155">
        <f>L16*(1+P16)/(P17-P16)</f>
        <v>38.719725758083044</v>
      </c>
      <c r="N16" s="156"/>
      <c r="O16" s="88" t="s">
        <v>127</v>
      </c>
      <c r="P16" s="104">
        <v>0.03</v>
      </c>
    </row>
    <row r="17" spans="2:16" ht="15" thickBot="1">
      <c r="B17" s="89" t="s">
        <v>128</v>
      </c>
      <c r="C17" s="90">
        <f>C16/(1+P17)</f>
        <v>1.040978367502899</v>
      </c>
      <c r="D17" s="90">
        <f>D16/(1+P17)^2</f>
        <v>1.0033666311194449</v>
      </c>
      <c r="E17" s="90">
        <f>E16/(1+P17)^3</f>
        <v>0.96711384969407721</v>
      </c>
      <c r="F17" s="90">
        <f>F16/(1+P17)^4</f>
        <v>0.93217092263331902</v>
      </c>
      <c r="G17" s="90">
        <f>G16/(1+P17)^5</f>
        <v>0.89849052340417002</v>
      </c>
      <c r="H17" s="90">
        <f>H16/(1+P17)^6</f>
        <v>0.86602703543527582</v>
      </c>
      <c r="I17" s="90">
        <f>I16/(1+P17)^7</f>
        <v>0.83473649033406361</v>
      </c>
      <c r="J17" s="90">
        <f>J16/(1+P17)^8</f>
        <v>0.80457650833616012</v>
      </c>
      <c r="K17" s="90">
        <f>K16/(1+P17)^9</f>
        <v>0.77550624090644316</v>
      </c>
      <c r="L17" s="90">
        <f>L16/(1+P17)^10</f>
        <v>0.7474863154139807</v>
      </c>
      <c r="M17" s="155">
        <f>M16/POWER((1+P17),10)</f>
        <v>19.940659438279756</v>
      </c>
      <c r="N17" s="156"/>
      <c r="O17" s="91" t="s">
        <v>129</v>
      </c>
      <c r="P17" s="105">
        <f>WACC!$C$25</f>
        <v>6.861010250234828E-2</v>
      </c>
    </row>
    <row r="18" spans="2:16">
      <c r="B18" s="92"/>
      <c r="N18" s="93"/>
    </row>
    <row r="19" spans="2:16" ht="20" thickBot="1">
      <c r="B19" s="94" t="s">
        <v>130</v>
      </c>
      <c r="C19" s="95">
        <f>SUM(C17:N17)*(1-P18)</f>
        <v>28.811112323059589</v>
      </c>
      <c r="D19" s="96"/>
      <c r="E19" s="96"/>
      <c r="F19" s="96"/>
      <c r="G19" s="96"/>
      <c r="H19" s="96"/>
      <c r="I19" s="96"/>
      <c r="J19" s="96"/>
      <c r="K19" s="96"/>
      <c r="L19" s="96"/>
      <c r="M19" s="96"/>
      <c r="N19" s="97"/>
    </row>
    <row r="21" spans="2:16" ht="15" thickBot="1"/>
    <row r="22" spans="2:16" ht="20" thickBot="1">
      <c r="B22" s="157" t="s">
        <v>118</v>
      </c>
      <c r="C22" s="158"/>
    </row>
    <row r="23" spans="2:16" ht="15" thickBot="1">
      <c r="B23" s="80" t="s">
        <v>119</v>
      </c>
      <c r="C23" s="81" t="s">
        <v>132</v>
      </c>
      <c r="D23" s="82"/>
      <c r="E23" s="82"/>
      <c r="F23" s="82"/>
      <c r="G23" s="82"/>
      <c r="H23" s="82"/>
      <c r="I23" s="82"/>
      <c r="J23" s="82"/>
      <c r="K23" s="82"/>
      <c r="L23" s="82"/>
      <c r="M23" s="82"/>
      <c r="N23" s="83"/>
      <c r="O23" s="84" t="s">
        <v>121</v>
      </c>
      <c r="P23" s="85" t="s">
        <v>122</v>
      </c>
    </row>
    <row r="24" spans="2:16" ht="15" thickBot="1">
      <c r="B24" s="86" t="s">
        <v>123</v>
      </c>
      <c r="C24" s="87">
        <v>1</v>
      </c>
      <c r="D24" s="87">
        <v>2</v>
      </c>
      <c r="E24" s="87">
        <v>3</v>
      </c>
      <c r="F24" s="87">
        <v>4</v>
      </c>
      <c r="G24" s="87">
        <v>5</v>
      </c>
      <c r="H24" s="87">
        <v>6</v>
      </c>
      <c r="I24" s="87">
        <v>7</v>
      </c>
      <c r="J24" s="87">
        <v>8</v>
      </c>
      <c r="K24" s="87">
        <v>9</v>
      </c>
      <c r="L24" s="87">
        <v>10</v>
      </c>
      <c r="M24" s="159" t="s">
        <v>124</v>
      </c>
      <c r="N24" s="160"/>
      <c r="O24" s="88" t="s">
        <v>125</v>
      </c>
      <c r="P24" s="106">
        <f>C2</f>
        <v>1.08</v>
      </c>
    </row>
    <row r="25" spans="2:16" ht="15" thickBot="1">
      <c r="B25" s="89" t="s">
        <v>126</v>
      </c>
      <c r="C25" s="90">
        <f>P24*(1+P25)</f>
        <v>1.1177999999999999</v>
      </c>
      <c r="D25" s="90">
        <f>C25*(1+P25)</f>
        <v>1.1569229999999997</v>
      </c>
      <c r="E25" s="90">
        <f>D25*(1+P25)</f>
        <v>1.1974153049999996</v>
      </c>
      <c r="F25" s="90">
        <f>E25*(1+P25)</f>
        <v>1.2393248406749995</v>
      </c>
      <c r="G25" s="90">
        <f>F25*(1+P25)</f>
        <v>1.2827012100986244</v>
      </c>
      <c r="H25" s="90">
        <f>G25*(1+P25)</f>
        <v>1.3275957524520761</v>
      </c>
      <c r="I25" s="90">
        <f>H25*(1+P25)</f>
        <v>1.3740616037878985</v>
      </c>
      <c r="J25" s="90">
        <f>I25*(1+P25)</f>
        <v>1.422153759920475</v>
      </c>
      <c r="K25" s="90">
        <f>J25*(1+P25)</f>
        <v>1.4719291415176916</v>
      </c>
      <c r="L25" s="90">
        <f>K25*(1+P25)</f>
        <v>1.5234466614708106</v>
      </c>
      <c r="M25" s="155">
        <f>L25*(1+P25)/(P26-P25)</f>
        <v>46.91349258789446</v>
      </c>
      <c r="N25" s="156"/>
      <c r="O25" s="88" t="s">
        <v>127</v>
      </c>
      <c r="P25" s="104">
        <v>3.5000000000000003E-2</v>
      </c>
    </row>
    <row r="26" spans="2:16" ht="15" thickBot="1">
      <c r="B26" s="89" t="s">
        <v>128</v>
      </c>
      <c r="C26" s="90">
        <f>C25/(1+P26)</f>
        <v>1.0460316605490294</v>
      </c>
      <c r="D26" s="90">
        <f>D25/(1+P26)^2</f>
        <v>1.0131316989545924</v>
      </c>
      <c r="E26" s="90">
        <f>E25/(1+P26)^3</f>
        <v>0.98126651241882579</v>
      </c>
      <c r="F26" s="90">
        <f>F25/(1+P26)^4</f>
        <v>0.95040355502464735</v>
      </c>
      <c r="G26" s="90">
        <f>G25/(1+P26)^5</f>
        <v>0.92051130449456742</v>
      </c>
      <c r="H26" s="90">
        <f>H25/(1+P26)^6</f>
        <v>0.89155922999500503</v>
      </c>
      <c r="I26" s="90">
        <f>I25/(1+P26)^7</f>
        <v>0.86351776095323074</v>
      </c>
      <c r="J26" s="90">
        <f>J25/(1+P26)^8</f>
        <v>0.83635825685508147</v>
      </c>
      <c r="K26" s="90">
        <f>K25/(1+P26)^9</f>
        <v>0.81005297799260423</v>
      </c>
      <c r="L26" s="90">
        <f>L25/(1+P26)^10</f>
        <v>0.78457505713175013</v>
      </c>
      <c r="M26" s="155">
        <f>M25/POWER((1+P26),10)</f>
        <v>24.160449498022981</v>
      </c>
      <c r="N26" s="156"/>
      <c r="O26" s="91" t="s">
        <v>129</v>
      </c>
      <c r="P26" s="105">
        <f>WACC!$C$25</f>
        <v>6.861010250234828E-2</v>
      </c>
    </row>
    <row r="27" spans="2:16">
      <c r="B27" s="92"/>
      <c r="N27" s="93"/>
    </row>
    <row r="28" spans="2:16" ht="20" thickBot="1">
      <c r="B28" s="94" t="s">
        <v>130</v>
      </c>
      <c r="C28" s="95">
        <f>SUM(C26:N26)*(1-P27)</f>
        <v>33.25785751239232</v>
      </c>
      <c r="D28" s="96"/>
      <c r="E28" s="96"/>
      <c r="F28" s="96"/>
      <c r="G28" s="96"/>
      <c r="H28" s="96"/>
      <c r="I28" s="96"/>
      <c r="J28" s="96"/>
      <c r="K28" s="96"/>
      <c r="L28" s="96"/>
      <c r="M28" s="96"/>
      <c r="N28" s="97"/>
    </row>
  </sheetData>
  <mergeCells count="12">
    <mergeCell ref="M26:N26"/>
    <mergeCell ref="B4:C4"/>
    <mergeCell ref="M6:N6"/>
    <mergeCell ref="M7:N7"/>
    <mergeCell ref="M8:N8"/>
    <mergeCell ref="B13:C13"/>
    <mergeCell ref="M15:N15"/>
    <mergeCell ref="M16:N16"/>
    <mergeCell ref="M17:N17"/>
    <mergeCell ref="B22:C22"/>
    <mergeCell ref="M24:N24"/>
    <mergeCell ref="M25:N2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AJ92"/>
  <sheetViews>
    <sheetView topLeftCell="A34" zoomScale="85" zoomScaleNormal="85" workbookViewId="0">
      <selection activeCell="C92" sqref="C92"/>
    </sheetView>
  </sheetViews>
  <sheetFormatPr defaultRowHeight="14.5"/>
  <cols>
    <col min="2" max="2" width="62.26953125" bestFit="1" customWidth="1"/>
    <col min="3" max="3" width="10" style="112" bestFit="1" customWidth="1"/>
    <col min="4" max="4" width="13.26953125" style="112" bestFit="1" customWidth="1"/>
    <col min="5" max="11" width="11.26953125" style="112" bestFit="1" customWidth="1"/>
    <col min="12" max="13" width="11.6328125" style="112" bestFit="1" customWidth="1"/>
    <col min="19" max="19" width="11.7265625" customWidth="1"/>
  </cols>
  <sheetData>
    <row r="2" spans="2:17" ht="17.5" thickBot="1">
      <c r="B2" s="2" t="s">
        <v>47</v>
      </c>
      <c r="C2" s="111"/>
      <c r="D2" s="111">
        <v>2013</v>
      </c>
      <c r="E2" s="111">
        <v>2014</v>
      </c>
      <c r="F2" s="111">
        <v>2015</v>
      </c>
      <c r="G2" s="111">
        <v>2016</v>
      </c>
      <c r="H2" s="111">
        <v>2017</v>
      </c>
      <c r="I2" s="111">
        <v>2018</v>
      </c>
      <c r="J2" s="111">
        <v>2019</v>
      </c>
      <c r="K2" s="111">
        <v>2020</v>
      </c>
      <c r="L2" s="111">
        <v>2021</v>
      </c>
      <c r="M2" s="111">
        <v>2022</v>
      </c>
    </row>
    <row r="3" spans="2:17" ht="15" thickTop="1">
      <c r="B3" s="18" t="s">
        <v>26</v>
      </c>
      <c r="C3" s="125">
        <v>62570</v>
      </c>
      <c r="D3" s="112">
        <v>64657</v>
      </c>
      <c r="E3" s="112">
        <v>68775</v>
      </c>
      <c r="F3" s="112">
        <v>74510</v>
      </c>
      <c r="G3" s="112">
        <v>80736</v>
      </c>
      <c r="H3" s="112">
        <v>85029</v>
      </c>
      <c r="I3" s="112">
        <v>94507</v>
      </c>
      <c r="J3" s="112">
        <v>108942</v>
      </c>
      <c r="K3" s="112">
        <v>103564</v>
      </c>
      <c r="L3" s="112">
        <v>116385</v>
      </c>
      <c r="M3" s="112">
        <v>121427</v>
      </c>
      <c r="Q3" s="108"/>
    </row>
    <row r="4" spans="2:17">
      <c r="B4" s="18" t="s">
        <v>27</v>
      </c>
      <c r="C4" s="117"/>
      <c r="D4" s="126">
        <f t="shared" ref="D4:M4" si="0">(D3-C3)/C3</f>
        <v>3.3354642800063929E-2</v>
      </c>
      <c r="E4" s="126">
        <f t="shared" si="0"/>
        <v>6.3689933031226317E-2</v>
      </c>
      <c r="F4" s="126">
        <f t="shared" si="0"/>
        <v>8.338785896037805E-2</v>
      </c>
      <c r="G4" s="126">
        <f t="shared" si="0"/>
        <v>8.3559253791437388E-2</v>
      </c>
      <c r="H4" s="126">
        <f t="shared" si="0"/>
        <v>5.3173305588585018E-2</v>
      </c>
      <c r="I4" s="126">
        <f t="shared" si="0"/>
        <v>0.11146785214456244</v>
      </c>
      <c r="J4" s="126">
        <f t="shared" si="0"/>
        <v>0.15274000867660598</v>
      </c>
      <c r="K4" s="126">
        <f t="shared" si="0"/>
        <v>-4.9365717537772393E-2</v>
      </c>
      <c r="L4" s="126">
        <f t="shared" si="0"/>
        <v>0.12379784481093817</v>
      </c>
      <c r="M4" s="126">
        <f t="shared" si="0"/>
        <v>4.3321733900416722E-2</v>
      </c>
      <c r="Q4" s="108"/>
    </row>
    <row r="5" spans="2:17">
      <c r="B5" s="18"/>
      <c r="C5" s="117"/>
      <c r="D5" s="120"/>
      <c r="E5" s="120"/>
      <c r="F5" s="120"/>
      <c r="G5" s="120"/>
      <c r="H5" s="120"/>
      <c r="I5" s="120"/>
      <c r="J5" s="120"/>
      <c r="K5" s="120"/>
      <c r="L5" s="120"/>
      <c r="M5" s="120"/>
      <c r="Q5" s="108"/>
    </row>
    <row r="6" spans="2:17">
      <c r="B6" s="18" t="s">
        <v>29</v>
      </c>
      <c r="C6" s="112">
        <v>6203</v>
      </c>
      <c r="D6" s="112">
        <v>6816</v>
      </c>
      <c r="E6" s="112">
        <v>8380</v>
      </c>
      <c r="F6" s="112">
        <v>8163</v>
      </c>
      <c r="G6" s="112">
        <v>8678</v>
      </c>
      <c r="H6" s="112">
        <v>22735</v>
      </c>
      <c r="I6" s="112">
        <v>11731</v>
      </c>
      <c r="J6" s="112">
        <v>13057</v>
      </c>
      <c r="K6" s="112">
        <v>10534</v>
      </c>
      <c r="L6" s="112">
        <v>14159</v>
      </c>
      <c r="M6" s="112">
        <v>5370</v>
      </c>
      <c r="Q6" s="108"/>
    </row>
    <row r="7" spans="2:17">
      <c r="B7" s="18" t="s">
        <v>27</v>
      </c>
      <c r="C7" s="117"/>
      <c r="D7" s="126">
        <f t="shared" ref="D7" si="1">(D6-C6)/C6</f>
        <v>9.8823150088666781E-2</v>
      </c>
      <c r="E7" s="126">
        <f t="shared" ref="E7" si="2">(E6-D6)/D6</f>
        <v>0.22946009389671362</v>
      </c>
      <c r="F7" s="126">
        <f t="shared" ref="F7" si="3">(F6-E6)/E6</f>
        <v>-2.5894988066825775E-2</v>
      </c>
      <c r="G7" s="126">
        <f t="shared" ref="G7" si="4">(G6-F6)/F6</f>
        <v>6.3089550410388343E-2</v>
      </c>
      <c r="H7" s="126">
        <f t="shared" ref="H7" si="5">(H6-G6)/G6</f>
        <v>1.6198432818621802</v>
      </c>
      <c r="I7" s="126">
        <f t="shared" ref="I7" si="6">(I6-H6)/H6</f>
        <v>-0.48401143611172204</v>
      </c>
      <c r="J7" s="126">
        <f t="shared" ref="J7" si="7">(J6-I6)/I6</f>
        <v>0.11303384195720739</v>
      </c>
      <c r="K7" s="126">
        <f t="shared" ref="K7" si="8">(K6-J6)/J6</f>
        <v>-0.1932296852263154</v>
      </c>
      <c r="L7" s="126">
        <f t="shared" ref="L7" si="9">(L6-K6)/K6</f>
        <v>0.34412378963356749</v>
      </c>
      <c r="M7" s="126">
        <f t="shared" ref="M7" si="10">(M6-L6)/L6</f>
        <v>-0.62073592767850838</v>
      </c>
      <c r="Q7" s="108"/>
    </row>
    <row r="8" spans="2:17">
      <c r="D8" s="120"/>
      <c r="E8" s="120"/>
      <c r="F8" s="120"/>
      <c r="G8" s="120"/>
      <c r="H8" s="120"/>
      <c r="I8" s="120"/>
      <c r="J8" s="120"/>
      <c r="K8" s="120"/>
      <c r="L8" s="120"/>
      <c r="M8" s="120"/>
      <c r="Q8" s="108"/>
    </row>
    <row r="9" spans="2:17">
      <c r="B9" s="18" t="s">
        <v>49</v>
      </c>
      <c r="C9" s="112">
        <v>19977</v>
      </c>
      <c r="D9" s="112">
        <v>21434</v>
      </c>
      <c r="E9" s="112">
        <v>22923</v>
      </c>
      <c r="F9" s="112">
        <v>24678</v>
      </c>
      <c r="G9" s="112">
        <v>26257</v>
      </c>
      <c r="H9" s="112">
        <v>27706</v>
      </c>
      <c r="I9" s="112">
        <v>29685</v>
      </c>
      <c r="J9" s="112">
        <v>34078</v>
      </c>
      <c r="K9" s="112">
        <v>30593</v>
      </c>
      <c r="L9" s="112">
        <v>34621</v>
      </c>
      <c r="M9" s="112">
        <v>27862</v>
      </c>
      <c r="Q9" s="108"/>
    </row>
    <row r="10" spans="2:17">
      <c r="B10" s="18" t="s">
        <v>27</v>
      </c>
      <c r="C10" s="117"/>
      <c r="D10" s="126">
        <f t="shared" ref="D10" si="11">(D9-C9)/C9</f>
        <v>7.2933873955048301E-2</v>
      </c>
      <c r="E10" s="126">
        <f t="shared" ref="E10" si="12">(E9-D9)/D9</f>
        <v>6.9469067836148174E-2</v>
      </c>
      <c r="F10" s="126">
        <f t="shared" ref="F10" si="13">(F9-E9)/E9</f>
        <v>7.656065959952886E-2</v>
      </c>
      <c r="G10" s="126">
        <f t="shared" ref="G10" si="14">(G9-F9)/F9</f>
        <v>6.398411540643488E-2</v>
      </c>
      <c r="H10" s="126">
        <f t="shared" ref="H10" si="15">(H9-G9)/G9</f>
        <v>5.5185283924286857E-2</v>
      </c>
      <c r="I10" s="126">
        <f t="shared" ref="I10" si="16">(I9-H9)/H9</f>
        <v>7.1428571428571425E-2</v>
      </c>
      <c r="J10" s="126">
        <f t="shared" ref="J10" si="17">(J9-I9)/I9</f>
        <v>0.14798719892201448</v>
      </c>
      <c r="K10" s="126">
        <f t="shared" ref="K10" si="18">(K9-J9)/J9</f>
        <v>-0.10226539116145314</v>
      </c>
      <c r="L10" s="126">
        <f t="shared" ref="L10" si="19">(L9-K9)/K9</f>
        <v>0.13166410616807767</v>
      </c>
      <c r="M10" s="126">
        <f t="shared" ref="M10" si="20">(M9-L9)/L9</f>
        <v>-0.19522832962652725</v>
      </c>
      <c r="Q10" s="108"/>
    </row>
    <row r="11" spans="2:17">
      <c r="B11" s="18"/>
      <c r="C11" s="117"/>
      <c r="E11"/>
      <c r="F11"/>
      <c r="G11"/>
      <c r="H11"/>
      <c r="I11"/>
      <c r="J11"/>
      <c r="K11"/>
      <c r="L11"/>
      <c r="M11"/>
      <c r="Q11" s="108"/>
    </row>
    <row r="12" spans="2:17">
      <c r="B12" s="18" t="s">
        <v>148</v>
      </c>
      <c r="C12" s="112">
        <v>5434</v>
      </c>
      <c r="D12">
        <v>5330</v>
      </c>
      <c r="E12">
        <v>5240</v>
      </c>
      <c r="F12">
        <v>5035</v>
      </c>
      <c r="G12">
        <v>4875</v>
      </c>
      <c r="H12">
        <v>4786</v>
      </c>
      <c r="I12">
        <v>4640</v>
      </c>
      <c r="J12">
        <v>4610</v>
      </c>
      <c r="K12">
        <v>4624</v>
      </c>
      <c r="L12">
        <v>4654</v>
      </c>
      <c r="M12">
        <v>4430</v>
      </c>
      <c r="Q12" s="108"/>
    </row>
    <row r="13" spans="2:17">
      <c r="B13" s="18" t="s">
        <v>27</v>
      </c>
      <c r="C13" s="117"/>
      <c r="D13" s="126">
        <f t="shared" ref="D13" si="21">(D12-C12)/C12</f>
        <v>-1.9138755980861243E-2</v>
      </c>
      <c r="E13" s="126">
        <f t="shared" ref="E13" si="22">(E12-D12)/D12</f>
        <v>-1.6885553470919325E-2</v>
      </c>
      <c r="F13" s="126">
        <f t="shared" ref="F13" si="23">(F12-E12)/E12</f>
        <v>-3.9122137404580155E-2</v>
      </c>
      <c r="G13" s="126">
        <f t="shared" ref="G13" si="24">(G12-F12)/F12</f>
        <v>-3.1777557100297914E-2</v>
      </c>
      <c r="H13" s="126">
        <f t="shared" ref="H13" si="25">(H12-G12)/G12</f>
        <v>-1.8256410256410255E-2</v>
      </c>
      <c r="I13" s="126">
        <f t="shared" ref="I13" si="26">(I12-H12)/H12</f>
        <v>-3.0505641454241537E-2</v>
      </c>
      <c r="J13" s="126">
        <f t="shared" ref="J13" si="27">(J12-I12)/I12</f>
        <v>-6.4655172413793103E-3</v>
      </c>
      <c r="K13" s="126">
        <f t="shared" ref="K13" si="28">(K12-J12)/J12</f>
        <v>3.036876355748373E-3</v>
      </c>
      <c r="L13" s="126">
        <f t="shared" ref="L13" si="29">(L12-K12)/K12</f>
        <v>6.487889273356401E-3</v>
      </c>
      <c r="M13" s="126">
        <f t="shared" ref="M13" si="30">(M12-L12)/L12</f>
        <v>-4.8130640309411256E-2</v>
      </c>
      <c r="Q13" s="108"/>
    </row>
    <row r="14" spans="2:17">
      <c r="B14" s="18"/>
      <c r="C14" s="117"/>
      <c r="D14"/>
      <c r="E14"/>
      <c r="F14"/>
      <c r="G14"/>
      <c r="H14"/>
      <c r="I14"/>
      <c r="J14"/>
      <c r="K14"/>
      <c r="L14"/>
      <c r="M14"/>
      <c r="Q14" s="108"/>
    </row>
    <row r="15" spans="2:17">
      <c r="B15" s="18" t="s">
        <v>149</v>
      </c>
      <c r="C15" s="112">
        <v>1.1399999856948853</v>
      </c>
      <c r="D15" s="112">
        <v>1.2799999713897705</v>
      </c>
      <c r="E15" s="112">
        <v>1.6000000238418579</v>
      </c>
      <c r="F15" s="112">
        <v>1.6200000047683716</v>
      </c>
      <c r="G15" s="112">
        <v>1.7799999713897705</v>
      </c>
      <c r="H15" s="112">
        <v>4.75</v>
      </c>
      <c r="I15" s="112">
        <v>2.5299999713897705</v>
      </c>
      <c r="J15" s="112">
        <v>2.8299999237060547</v>
      </c>
      <c r="K15" s="112">
        <v>2.2799999713897705</v>
      </c>
      <c r="L15" s="112">
        <v>3.0399999618530273</v>
      </c>
      <c r="M15" s="112">
        <v>1.2100000381469727</v>
      </c>
      <c r="Q15" s="108"/>
    </row>
    <row r="16" spans="2:17">
      <c r="B16" s="18" t="s">
        <v>27</v>
      </c>
      <c r="D16" s="126">
        <f t="shared" ref="D16" si="31">(D15-C15)/C15</f>
        <v>0.12280700653653823</v>
      </c>
      <c r="E16" s="126">
        <f t="shared" ref="E16" si="32">(E15-D15)/D15</f>
        <v>0.25000004656612979</v>
      </c>
      <c r="F16" s="126">
        <f t="shared" ref="F16" si="33">(F15-E15)/E15</f>
        <v>1.2499987892806711E-2</v>
      </c>
      <c r="G16" s="126">
        <f t="shared" ref="G16" si="34">(G15-F15)/F15</f>
        <v>9.8765411203980705E-2</v>
      </c>
      <c r="H16" s="126">
        <f t="shared" ref="H16" si="35">(H15-G15)/G15</f>
        <v>1.668539368734564</v>
      </c>
      <c r="I16" s="126">
        <f t="shared" ref="I16" si="36">(I15-H15)/H15</f>
        <v>-0.46736842707583781</v>
      </c>
      <c r="J16" s="126">
        <f t="shared" ref="J16" si="37">(J15-I15)/I15</f>
        <v>0.11857705759241147</v>
      </c>
      <c r="K16" s="126">
        <f t="shared" ref="K16" si="38">(K15-J15)/J15</f>
        <v>-0.19434627814266026</v>
      </c>
      <c r="L16" s="126">
        <f t="shared" ref="L16" si="39">(L15-K15)/K15</f>
        <v>0.33333333333333331</v>
      </c>
      <c r="M16" s="126">
        <f t="shared" ref="M16" si="40">(M15-L15)/L15</f>
        <v>-0.60197366666760777</v>
      </c>
      <c r="Q16" s="108"/>
    </row>
    <row r="17" spans="2:36">
      <c r="B17" s="18"/>
      <c r="D17"/>
      <c r="E17"/>
      <c r="F17"/>
      <c r="G17"/>
      <c r="H17"/>
      <c r="I17"/>
      <c r="J17"/>
      <c r="K17"/>
      <c r="L17"/>
      <c r="M17"/>
      <c r="Q17" s="108"/>
    </row>
    <row r="19" spans="2:36" ht="17.5" thickBot="1">
      <c r="B19" s="2" t="s">
        <v>48</v>
      </c>
      <c r="C19" s="111"/>
      <c r="D19" s="111">
        <v>2013</v>
      </c>
      <c r="E19" s="111">
        <v>2014</v>
      </c>
      <c r="F19" s="111">
        <v>2015</v>
      </c>
      <c r="G19" s="111">
        <v>2016</v>
      </c>
      <c r="H19" s="111">
        <v>2017</v>
      </c>
      <c r="I19" s="111">
        <v>2018</v>
      </c>
      <c r="J19" s="111">
        <v>2019</v>
      </c>
      <c r="K19" s="111">
        <v>2020</v>
      </c>
      <c r="L19" s="111">
        <v>2021</v>
      </c>
      <c r="M19" s="111">
        <v>2022</v>
      </c>
    </row>
    <row r="20" spans="2:36" ht="15" thickTop="1">
      <c r="B20" s="18" t="s">
        <v>116</v>
      </c>
      <c r="C20" s="112">
        <v>7798</v>
      </c>
      <c r="D20" s="112">
        <v>7871</v>
      </c>
      <c r="E20" s="112">
        <v>8019</v>
      </c>
      <c r="F20" s="112">
        <v>8680</v>
      </c>
      <c r="G20" s="112">
        <v>9426</v>
      </c>
      <c r="H20" s="112">
        <v>9688</v>
      </c>
      <c r="I20" s="112">
        <v>10676</v>
      </c>
      <c r="J20" s="112">
        <v>12953</v>
      </c>
      <c r="K20" s="112">
        <v>13100</v>
      </c>
      <c r="L20" s="112">
        <v>13804</v>
      </c>
      <c r="M20" s="112">
        <v>13821</v>
      </c>
      <c r="O20" s="108"/>
      <c r="P20" s="108"/>
      <c r="Q20" s="108"/>
      <c r="R20" s="108"/>
      <c r="S20" s="108"/>
      <c r="T20" s="108"/>
      <c r="U20" s="108"/>
      <c r="V20" s="108"/>
      <c r="W20" s="108"/>
      <c r="X20" s="108"/>
      <c r="Y20" s="108"/>
      <c r="Z20" s="108"/>
      <c r="AA20" s="108"/>
      <c r="AB20" s="108"/>
      <c r="AC20" s="108"/>
      <c r="AD20" s="108"/>
      <c r="AE20" s="108"/>
      <c r="AF20" s="108"/>
      <c r="AG20" s="108"/>
      <c r="AH20" s="108"/>
      <c r="AI20" s="108"/>
      <c r="AJ20" s="108"/>
    </row>
    <row r="21" spans="2:36">
      <c r="O21" s="108"/>
      <c r="P21" s="108"/>
      <c r="Q21" s="108"/>
      <c r="R21" s="108"/>
      <c r="S21" s="108"/>
      <c r="T21" s="108"/>
      <c r="U21" s="108"/>
      <c r="V21" s="108"/>
      <c r="W21" s="108"/>
      <c r="X21" s="108"/>
      <c r="Y21" s="108"/>
      <c r="Z21" s="108"/>
      <c r="AA21" s="108"/>
      <c r="AB21" s="108"/>
      <c r="AC21" s="108"/>
      <c r="AD21" s="108"/>
      <c r="AE21" s="108"/>
      <c r="AF21" s="108"/>
      <c r="AG21" s="108"/>
      <c r="AH21" s="108"/>
      <c r="AI21" s="108"/>
      <c r="AJ21" s="108"/>
    </row>
    <row r="22" spans="2:36">
      <c r="B22" s="18" t="s">
        <v>30</v>
      </c>
      <c r="C22" s="117">
        <v>14854</v>
      </c>
      <c r="D22" s="112">
        <v>14160</v>
      </c>
      <c r="E22" s="112">
        <v>16945</v>
      </c>
      <c r="F22" s="112">
        <v>19485</v>
      </c>
      <c r="G22" s="112">
        <v>19691</v>
      </c>
      <c r="H22" s="112">
        <v>21261</v>
      </c>
      <c r="I22" s="112">
        <v>24297</v>
      </c>
      <c r="J22" s="112">
        <v>25697</v>
      </c>
      <c r="K22" s="112">
        <v>24737</v>
      </c>
      <c r="L22" s="112">
        <v>29146</v>
      </c>
      <c r="M22" s="112">
        <v>26413</v>
      </c>
      <c r="O22" s="108"/>
      <c r="P22" s="108"/>
      <c r="Q22" s="108"/>
      <c r="R22" s="108"/>
      <c r="S22" s="107"/>
      <c r="T22" s="107"/>
      <c r="U22" s="109"/>
      <c r="V22" s="108"/>
      <c r="W22" s="108"/>
      <c r="X22" s="108"/>
      <c r="Y22" s="108"/>
      <c r="Z22" s="108"/>
      <c r="AA22" s="108"/>
      <c r="AB22" s="108"/>
      <c r="AC22" s="108"/>
      <c r="AD22" s="108"/>
      <c r="AE22" s="108"/>
      <c r="AF22" s="108"/>
      <c r="AG22" s="108"/>
      <c r="AH22" s="108"/>
      <c r="AI22" s="108"/>
      <c r="AJ22" s="108"/>
    </row>
    <row r="23" spans="2:36">
      <c r="B23" s="18" t="s">
        <v>27</v>
      </c>
      <c r="C23" s="117"/>
      <c r="D23" s="126">
        <f t="shared" ref="D23" si="41">(D22-C22)/C22</f>
        <v>-4.6721421839235222E-2</v>
      </c>
      <c r="E23" s="126">
        <f t="shared" ref="E23" si="42">(E22-D22)/D22</f>
        <v>0.19668079096045199</v>
      </c>
      <c r="F23" s="126">
        <f t="shared" ref="F23" si="43">(F22-E22)/E22</f>
        <v>0.14989672469755089</v>
      </c>
      <c r="G23" s="126">
        <f t="shared" ref="G23" si="44">(G22-F22)/F22</f>
        <v>1.0572235052604568E-2</v>
      </c>
      <c r="H23" s="126">
        <f t="shared" ref="H23" si="45">(H22-G22)/G22</f>
        <v>7.9731857193641759E-2</v>
      </c>
      <c r="I23" s="126">
        <f t="shared" ref="I23" si="46">(I22-H22)/H22</f>
        <v>0.14279666995908</v>
      </c>
      <c r="J23" s="126">
        <f t="shared" ref="J23" si="47">(J22-I22)/I22</f>
        <v>5.7620282339383461E-2</v>
      </c>
      <c r="K23" s="126">
        <f t="shared" ref="K23" si="48">(K22-J22)/J22</f>
        <v>-3.7358446511265908E-2</v>
      </c>
      <c r="L23" s="126">
        <f t="shared" ref="L23" si="49">(L22-K22)/K22</f>
        <v>0.17823503254234546</v>
      </c>
      <c r="M23" s="126">
        <f t="shared" ref="M23" si="50">(M22-L22)/L22</f>
        <v>-9.3769299389281552E-2</v>
      </c>
      <c r="O23" s="108"/>
      <c r="P23" s="108"/>
      <c r="Q23" s="108"/>
      <c r="R23" s="108"/>
      <c r="S23" s="107"/>
      <c r="T23" s="108"/>
      <c r="U23" s="108"/>
      <c r="V23" s="108"/>
      <c r="W23" s="108"/>
      <c r="X23" s="108"/>
      <c r="Y23" s="108"/>
      <c r="Z23" s="108"/>
      <c r="AA23" s="108"/>
      <c r="AB23" s="108"/>
      <c r="AC23" s="108"/>
      <c r="AD23" s="108"/>
      <c r="AE23" s="108"/>
      <c r="AF23" s="108"/>
      <c r="AG23" s="108"/>
      <c r="AH23" s="108"/>
      <c r="AI23" s="108"/>
      <c r="AJ23" s="108"/>
    </row>
    <row r="24" spans="2:36">
      <c r="D24" s="120"/>
      <c r="E24" s="120"/>
      <c r="F24" s="120"/>
      <c r="G24" s="120"/>
      <c r="H24" s="120"/>
      <c r="I24" s="120"/>
      <c r="J24" s="120"/>
      <c r="K24" s="120"/>
      <c r="L24" s="120"/>
      <c r="M24" s="120"/>
      <c r="O24" s="108"/>
      <c r="P24" s="108"/>
      <c r="Q24" s="108"/>
      <c r="R24" s="108"/>
      <c r="S24" s="107"/>
      <c r="T24" s="109"/>
      <c r="U24" s="108"/>
      <c r="V24" s="108"/>
      <c r="W24" s="108"/>
      <c r="X24" s="108"/>
      <c r="Y24" s="108"/>
      <c r="Z24" s="108"/>
      <c r="AA24" s="108"/>
      <c r="AB24" s="108"/>
      <c r="AC24" s="108"/>
      <c r="AD24" s="108"/>
      <c r="AE24" s="108"/>
      <c r="AF24" s="108"/>
      <c r="AG24" s="108"/>
      <c r="AH24" s="108"/>
      <c r="AI24" s="108"/>
      <c r="AJ24" s="108"/>
    </row>
    <row r="25" spans="2:36">
      <c r="B25" s="18" t="s">
        <v>117</v>
      </c>
      <c r="C25" s="113"/>
      <c r="D25" s="113">
        <f t="shared" ref="D25:M25" si="51">D36-C36+D20</f>
        <v>10479</v>
      </c>
      <c r="E25" s="113">
        <f t="shared" si="51"/>
        <v>9132</v>
      </c>
      <c r="F25" s="113">
        <f t="shared" si="51"/>
        <v>11392</v>
      </c>
      <c r="G25" s="113">
        <f t="shared" si="51"/>
        <v>12014</v>
      </c>
      <c r="H25" s="113">
        <f t="shared" si="51"/>
        <v>11905</v>
      </c>
      <c r="I25" s="113">
        <f t="shared" si="51"/>
        <v>16643</v>
      </c>
      <c r="J25" s="113">
        <f t="shared" si="51"/>
        <v>16838</v>
      </c>
      <c r="K25" s="113">
        <f t="shared" si="51"/>
        <v>16773</v>
      </c>
      <c r="L25" s="113">
        <f t="shared" si="51"/>
        <v>15856</v>
      </c>
      <c r="M25" s="113">
        <f t="shared" si="51"/>
        <v>15259</v>
      </c>
      <c r="O25" s="108"/>
      <c r="P25" s="108"/>
      <c r="Q25" s="108"/>
      <c r="R25" s="108"/>
      <c r="S25" s="107"/>
      <c r="T25" s="110"/>
      <c r="U25" s="108"/>
      <c r="V25" s="108"/>
      <c r="W25" s="108"/>
      <c r="X25" s="108"/>
      <c r="Y25" s="108"/>
      <c r="Z25" s="108"/>
      <c r="AA25" s="108"/>
      <c r="AB25" s="108"/>
      <c r="AC25" s="108"/>
      <c r="AD25" s="108"/>
      <c r="AE25" s="108"/>
      <c r="AF25" s="108"/>
      <c r="AG25" s="108"/>
      <c r="AH25" s="108"/>
      <c r="AI25" s="108"/>
      <c r="AJ25" s="108"/>
    </row>
    <row r="26" spans="2:36">
      <c r="B26" s="18" t="s">
        <v>27</v>
      </c>
      <c r="C26" s="117"/>
      <c r="D26" s="126"/>
      <c r="E26" s="126">
        <f t="shared" ref="E26" si="52">(E25-D25)/D25</f>
        <v>-0.12854279988548525</v>
      </c>
      <c r="F26" s="126">
        <f t="shared" ref="F26" si="53">(F25-E25)/E25</f>
        <v>0.2474813841436706</v>
      </c>
      <c r="G26" s="126">
        <f t="shared" ref="G26" si="54">(G25-F25)/F25</f>
        <v>5.4599719101123594E-2</v>
      </c>
      <c r="H26" s="126">
        <f t="shared" ref="H26" si="55">(H25-G25)/G25</f>
        <v>-9.0727484601298477E-3</v>
      </c>
      <c r="I26" s="126">
        <f t="shared" ref="I26" si="56">(I25-H25)/H25</f>
        <v>0.3979840403191936</v>
      </c>
      <c r="J26" s="126">
        <f t="shared" ref="J26" si="57">(J25-I25)/I25</f>
        <v>1.1716637625428107E-2</v>
      </c>
      <c r="K26" s="126">
        <f t="shared" ref="K26" si="58">(K25-J25)/J25</f>
        <v>-3.8603159520133033E-3</v>
      </c>
      <c r="L26" s="126">
        <f t="shared" ref="L26" si="59">(L25-K25)/K25</f>
        <v>-5.467119775830203E-2</v>
      </c>
      <c r="M26" s="126">
        <f t="shared" ref="M26" si="60">(M25-L25)/L25</f>
        <v>-3.7651362260343088E-2</v>
      </c>
      <c r="O26" s="108"/>
      <c r="P26" s="108"/>
      <c r="Q26" s="108"/>
      <c r="R26" s="108"/>
      <c r="S26" s="107"/>
      <c r="T26" s="109"/>
      <c r="U26" s="109"/>
      <c r="V26" s="108"/>
      <c r="W26" s="108"/>
      <c r="X26" s="108"/>
      <c r="Y26" s="108"/>
      <c r="Z26" s="108"/>
      <c r="AA26" s="108"/>
      <c r="AB26" s="108"/>
      <c r="AC26" s="108"/>
      <c r="AD26" s="108"/>
      <c r="AE26" s="108"/>
      <c r="AF26" s="108"/>
      <c r="AG26" s="108"/>
      <c r="AH26" s="108"/>
      <c r="AI26" s="108"/>
      <c r="AJ26" s="108"/>
    </row>
    <row r="27" spans="2:36">
      <c r="O27" s="108"/>
      <c r="P27" s="108"/>
      <c r="Q27" s="108"/>
      <c r="R27" s="108"/>
      <c r="S27" s="108"/>
      <c r="T27" s="110"/>
      <c r="U27" s="108"/>
      <c r="V27" s="108"/>
      <c r="W27" s="108"/>
      <c r="X27" s="108"/>
      <c r="Y27" s="108"/>
      <c r="Z27" s="108"/>
      <c r="AA27" s="108"/>
      <c r="AB27" s="108"/>
      <c r="AC27" s="108"/>
      <c r="AD27" s="108"/>
      <c r="AE27" s="108"/>
      <c r="AF27" s="108"/>
      <c r="AG27" s="108"/>
      <c r="AH27" s="108"/>
      <c r="AI27" s="108"/>
      <c r="AJ27" s="108"/>
    </row>
    <row r="28" spans="2:36">
      <c r="B28" s="31" t="s">
        <v>32</v>
      </c>
      <c r="C28" s="118">
        <v>1</v>
      </c>
      <c r="D28" s="114">
        <f t="shared" ref="D28:M28" si="61">D22-D25</f>
        <v>3681</v>
      </c>
      <c r="E28" s="114">
        <f t="shared" si="61"/>
        <v>7813</v>
      </c>
      <c r="F28" s="114">
        <f t="shared" si="61"/>
        <v>8093</v>
      </c>
      <c r="G28" s="114">
        <f t="shared" si="61"/>
        <v>7677</v>
      </c>
      <c r="H28" s="114">
        <f t="shared" si="61"/>
        <v>9356</v>
      </c>
      <c r="I28" s="114">
        <f t="shared" si="61"/>
        <v>7654</v>
      </c>
      <c r="J28" s="114">
        <f t="shared" si="61"/>
        <v>8859</v>
      </c>
      <c r="K28" s="114">
        <f t="shared" si="61"/>
        <v>7964</v>
      </c>
      <c r="L28" s="114">
        <f t="shared" si="61"/>
        <v>13290</v>
      </c>
      <c r="M28" s="114">
        <f t="shared" si="61"/>
        <v>11154</v>
      </c>
      <c r="O28" s="108"/>
      <c r="P28" s="108"/>
      <c r="Q28" s="108"/>
      <c r="R28" s="108"/>
      <c r="S28" s="108"/>
      <c r="T28" s="109"/>
      <c r="U28" s="108"/>
      <c r="V28" s="108"/>
      <c r="W28" s="108"/>
      <c r="X28" s="108"/>
      <c r="Y28" s="108"/>
      <c r="Z28" s="108"/>
      <c r="AA28" s="108"/>
      <c r="AB28" s="108"/>
      <c r="AC28" s="108"/>
      <c r="AD28" s="108"/>
      <c r="AE28" s="108"/>
      <c r="AF28" s="108"/>
      <c r="AG28" s="108"/>
      <c r="AH28" s="108"/>
      <c r="AI28" s="108"/>
      <c r="AJ28" s="108"/>
    </row>
    <row r="29" spans="2:36">
      <c r="B29" s="31" t="s">
        <v>27</v>
      </c>
      <c r="C29" s="118"/>
      <c r="D29" s="126"/>
      <c r="E29" s="126">
        <f t="shared" ref="E29" si="62">(E28-D28)/D28</f>
        <v>1.1225210540613964</v>
      </c>
      <c r="F29" s="126">
        <f t="shared" ref="F29" si="63">(F28-E28)/E28</f>
        <v>3.5837706386791249E-2</v>
      </c>
      <c r="G29" s="126">
        <f t="shared" ref="G29" si="64">(G28-F28)/F28</f>
        <v>-5.1402446558754478E-2</v>
      </c>
      <c r="H29" s="126">
        <f t="shared" ref="H29" si="65">(H28-G28)/G28</f>
        <v>0.21870522339455517</v>
      </c>
      <c r="I29" s="126">
        <f t="shared" ref="I29" si="66">(I28-H28)/H28</f>
        <v>-0.18191534843950405</v>
      </c>
      <c r="J29" s="126">
        <f t="shared" ref="J29" si="67">(J28-I28)/I28</f>
        <v>0.15743402142670498</v>
      </c>
      <c r="K29" s="126">
        <f t="shared" ref="K29" si="68">(K28-J28)/J28</f>
        <v>-0.10102720397336043</v>
      </c>
      <c r="L29" s="126">
        <f t="shared" ref="L29" si="69">(L28-K28)/K28</f>
        <v>0.66875941737820188</v>
      </c>
      <c r="M29" s="126">
        <f t="shared" ref="M29" si="70">(M28-L28)/L28</f>
        <v>-0.16072234762979684</v>
      </c>
      <c r="O29" s="108"/>
      <c r="P29" s="108"/>
      <c r="Q29" s="108"/>
      <c r="R29" s="108"/>
      <c r="S29" s="108"/>
      <c r="T29" s="108"/>
      <c r="U29" s="108"/>
      <c r="V29" s="108"/>
      <c r="W29" s="108"/>
      <c r="X29" s="108"/>
      <c r="Y29" s="108"/>
      <c r="Z29" s="108"/>
      <c r="AA29" s="108"/>
      <c r="AB29" s="108"/>
      <c r="AC29" s="108"/>
      <c r="AD29" s="108"/>
      <c r="AE29" s="108"/>
      <c r="AF29" s="108"/>
      <c r="AG29" s="108"/>
      <c r="AH29" s="108"/>
      <c r="AI29" s="108"/>
      <c r="AJ29" s="108"/>
    </row>
    <row r="30" spans="2:36">
      <c r="O30" s="108"/>
      <c r="P30" s="108"/>
      <c r="Q30" s="108"/>
      <c r="R30" s="108"/>
      <c r="S30" s="108"/>
      <c r="T30" s="108"/>
      <c r="U30" s="108"/>
      <c r="V30" s="108"/>
      <c r="W30" s="108"/>
      <c r="X30" s="108"/>
      <c r="Y30" s="108"/>
      <c r="Z30" s="108"/>
      <c r="AA30" s="108"/>
      <c r="AB30" s="108"/>
      <c r="AC30" s="108"/>
      <c r="AD30" s="108"/>
      <c r="AE30" s="108"/>
      <c r="AF30" s="108"/>
      <c r="AG30" s="108"/>
      <c r="AH30" s="108"/>
      <c r="AI30" s="108"/>
      <c r="AJ30" s="108"/>
    </row>
    <row r="31" spans="2:36">
      <c r="B31" s="18" t="s">
        <v>62</v>
      </c>
      <c r="C31" s="117">
        <v>1608</v>
      </c>
      <c r="D31" s="112">
        <v>1964</v>
      </c>
      <c r="E31" s="112">
        <v>2254</v>
      </c>
      <c r="F31" s="112">
        <v>2437</v>
      </c>
      <c r="G31" s="112">
        <v>2601</v>
      </c>
      <c r="H31" s="112">
        <v>2883</v>
      </c>
      <c r="I31" s="112">
        <v>3352</v>
      </c>
      <c r="J31" s="112">
        <v>3735</v>
      </c>
      <c r="K31" s="112">
        <v>4140</v>
      </c>
      <c r="L31" s="112">
        <v>4532</v>
      </c>
      <c r="M31" s="112">
        <v>4741</v>
      </c>
      <c r="O31" s="108"/>
      <c r="P31" s="108"/>
      <c r="Q31" s="108"/>
      <c r="R31" s="108"/>
      <c r="S31" s="108"/>
      <c r="T31" s="108"/>
      <c r="U31" s="108"/>
      <c r="V31" s="108"/>
      <c r="W31" s="108"/>
      <c r="X31" s="108"/>
      <c r="Y31" s="108"/>
      <c r="Z31" s="108"/>
      <c r="AA31" s="108"/>
      <c r="AB31" s="108"/>
      <c r="AC31" s="108"/>
      <c r="AD31" s="108"/>
      <c r="AE31" s="108"/>
      <c r="AF31" s="108"/>
      <c r="AG31" s="108"/>
      <c r="AH31" s="108"/>
      <c r="AI31" s="108"/>
      <c r="AJ31" s="108"/>
    </row>
    <row r="32" spans="2:36">
      <c r="D32" s="126">
        <f t="shared" ref="D32" si="71">(D31-C31)/C31</f>
        <v>0.22139303482587064</v>
      </c>
      <c r="E32" s="126">
        <f t="shared" ref="E32" si="72">(E31-D31)/D31</f>
        <v>0.14765784114052954</v>
      </c>
      <c r="F32" s="126">
        <f t="shared" ref="F32" si="73">(F31-E31)/E31</f>
        <v>8.1188997338065658E-2</v>
      </c>
      <c r="G32" s="126">
        <f t="shared" ref="G32" si="74">(G31-F31)/F31</f>
        <v>6.7295855560114901E-2</v>
      </c>
      <c r="H32" s="126">
        <f t="shared" ref="H32" si="75">(H31-G31)/G31</f>
        <v>0.10841983852364476</v>
      </c>
      <c r="I32" s="126">
        <f t="shared" ref="I32" si="76">(I31-H31)/H31</f>
        <v>0.16267776621574748</v>
      </c>
      <c r="J32" s="126">
        <f t="shared" ref="J32" si="77">(J31-I31)/I31</f>
        <v>0.11426014319809069</v>
      </c>
      <c r="K32" s="126">
        <f t="shared" ref="K32" si="78">(K31-J31)/J31</f>
        <v>0.10843373493975904</v>
      </c>
      <c r="L32" s="126">
        <f t="shared" ref="L32" si="79">(L31-K31)/K31</f>
        <v>9.4685990338164258E-2</v>
      </c>
      <c r="M32" s="126">
        <f t="shared" ref="M32" si="80">(M31-L31)/L31</f>
        <v>4.6116504854368932E-2</v>
      </c>
      <c r="O32" s="108"/>
      <c r="P32" s="108"/>
      <c r="Q32" s="108"/>
      <c r="R32" s="108"/>
      <c r="S32" s="108"/>
      <c r="T32" s="108"/>
      <c r="U32" s="108"/>
      <c r="V32" s="108"/>
      <c r="W32" s="108"/>
      <c r="X32" s="108"/>
      <c r="Y32" s="108"/>
      <c r="Z32" s="108"/>
      <c r="AA32" s="108"/>
      <c r="AB32" s="108"/>
      <c r="AC32" s="108"/>
      <c r="AD32" s="108"/>
      <c r="AE32" s="108"/>
      <c r="AF32" s="108"/>
      <c r="AG32" s="108"/>
      <c r="AH32" s="108"/>
      <c r="AI32" s="108"/>
      <c r="AJ32" s="108"/>
    </row>
    <row r="33" spans="2:36">
      <c r="O33" s="108"/>
      <c r="P33" s="108"/>
      <c r="Q33" s="108"/>
      <c r="R33" s="108"/>
      <c r="S33" s="108"/>
      <c r="T33" s="108"/>
      <c r="U33" s="108"/>
      <c r="V33" s="108"/>
      <c r="W33" s="108"/>
      <c r="X33" s="108"/>
      <c r="Y33" s="108"/>
      <c r="Z33" s="108"/>
      <c r="AA33" s="108"/>
      <c r="AB33" s="108"/>
      <c r="AC33" s="108"/>
      <c r="AD33" s="108"/>
      <c r="AE33" s="108"/>
      <c r="AF33" s="108"/>
      <c r="AG33" s="108"/>
      <c r="AH33" s="108"/>
      <c r="AI33" s="108"/>
      <c r="AJ33" s="108"/>
    </row>
    <row r="34" spans="2:36">
      <c r="O34" s="108"/>
      <c r="P34" s="108"/>
      <c r="Q34" s="108"/>
      <c r="R34" s="108"/>
      <c r="S34" s="108"/>
      <c r="T34" s="108"/>
      <c r="U34" s="108"/>
      <c r="V34" s="108"/>
      <c r="W34" s="108"/>
      <c r="X34" s="108"/>
      <c r="Y34" s="108"/>
      <c r="Z34" s="108"/>
      <c r="AA34" s="108"/>
      <c r="AB34" s="108"/>
      <c r="AC34" s="108"/>
      <c r="AD34" s="108"/>
      <c r="AE34" s="108"/>
      <c r="AF34" s="108"/>
      <c r="AG34" s="108"/>
      <c r="AH34" s="108"/>
      <c r="AI34" s="108"/>
      <c r="AJ34" s="108"/>
    </row>
    <row r="35" spans="2:36" ht="17.5" thickBot="1">
      <c r="B35" s="2" t="s">
        <v>50</v>
      </c>
      <c r="C35" s="111">
        <v>2012</v>
      </c>
      <c r="D35" s="111">
        <v>2013</v>
      </c>
      <c r="E35" s="111">
        <v>2014</v>
      </c>
      <c r="F35" s="111">
        <v>2015</v>
      </c>
      <c r="G35" s="111">
        <v>2016</v>
      </c>
      <c r="H35" s="111">
        <v>2017</v>
      </c>
      <c r="I35" s="111">
        <v>2018</v>
      </c>
      <c r="J35" s="111">
        <v>2019</v>
      </c>
      <c r="K35" s="111">
        <v>2020</v>
      </c>
      <c r="L35" s="111">
        <v>2021</v>
      </c>
      <c r="M35" s="111">
        <v>2022</v>
      </c>
      <c r="O35" s="108"/>
      <c r="P35" s="108"/>
      <c r="Q35" s="108"/>
      <c r="R35" s="108"/>
      <c r="S35" s="108"/>
      <c r="T35" s="108"/>
      <c r="U35" s="108"/>
      <c r="V35" s="108"/>
      <c r="W35" s="108"/>
      <c r="X35" s="108"/>
      <c r="Y35" s="108"/>
      <c r="Z35" s="108"/>
      <c r="AA35" s="108"/>
      <c r="AB35" s="108"/>
      <c r="AC35" s="108"/>
      <c r="AD35" s="108"/>
      <c r="AE35" s="108"/>
      <c r="AF35" s="108"/>
      <c r="AG35" s="108"/>
      <c r="AH35" s="108"/>
      <c r="AI35" s="108"/>
      <c r="AJ35" s="108"/>
    </row>
    <row r="36" spans="2:36" ht="15" thickTop="1">
      <c r="B36" s="18" t="s">
        <v>115</v>
      </c>
      <c r="C36" s="112">
        <v>27232</v>
      </c>
      <c r="D36" s="112">
        <v>29840</v>
      </c>
      <c r="E36" s="112">
        <v>30953</v>
      </c>
      <c r="F36" s="112">
        <v>33665</v>
      </c>
      <c r="G36" s="112">
        <v>36253</v>
      </c>
      <c r="H36" s="112">
        <v>38470</v>
      </c>
      <c r="I36" s="112">
        <v>44437</v>
      </c>
      <c r="J36" s="112">
        <v>48322</v>
      </c>
      <c r="K36" s="112">
        <v>51995</v>
      </c>
      <c r="L36" s="112">
        <v>54047</v>
      </c>
      <c r="M36" s="112">
        <v>55485</v>
      </c>
      <c r="O36" s="108"/>
      <c r="P36" s="108"/>
      <c r="Q36" s="108"/>
      <c r="R36" s="108"/>
      <c r="S36" s="108"/>
      <c r="T36" s="108"/>
      <c r="U36" s="108"/>
      <c r="V36" s="108"/>
      <c r="W36" s="108"/>
      <c r="X36" s="108"/>
      <c r="Y36" s="108"/>
      <c r="Z36" s="108"/>
      <c r="AA36" s="108"/>
      <c r="AB36" s="108"/>
      <c r="AC36" s="108"/>
      <c r="AD36" s="108"/>
      <c r="AE36" s="108"/>
      <c r="AF36" s="108"/>
      <c r="AG36" s="108"/>
      <c r="AH36" s="108"/>
      <c r="AI36" s="108"/>
      <c r="AJ36" s="108"/>
    </row>
    <row r="37" spans="2:36">
      <c r="O37" s="108"/>
      <c r="P37" s="108"/>
      <c r="Q37" s="108"/>
      <c r="R37" s="108"/>
      <c r="S37" s="108"/>
      <c r="T37" s="108"/>
      <c r="U37" s="108"/>
      <c r="V37" s="108"/>
      <c r="W37" s="108"/>
      <c r="X37" s="108"/>
      <c r="Y37" s="108"/>
      <c r="Z37" s="108"/>
      <c r="AA37" s="108"/>
      <c r="AB37" s="108"/>
      <c r="AC37" s="108"/>
      <c r="AD37" s="108"/>
      <c r="AE37" s="108"/>
      <c r="AF37" s="108"/>
      <c r="AG37" s="108"/>
      <c r="AH37" s="108"/>
      <c r="AI37" s="108"/>
      <c r="AJ37" s="108"/>
    </row>
    <row r="38" spans="2:36">
      <c r="B38" s="18" t="s">
        <v>51</v>
      </c>
      <c r="C38" s="112">
        <v>19991</v>
      </c>
      <c r="D38" s="112">
        <v>14075</v>
      </c>
      <c r="E38" s="112">
        <v>13531</v>
      </c>
      <c r="F38" s="112">
        <v>12303</v>
      </c>
      <c r="G38" s="112">
        <v>16361</v>
      </c>
      <c r="H38" s="112">
        <v>16343</v>
      </c>
      <c r="I38" s="112">
        <v>21848</v>
      </c>
      <c r="J38" s="112">
        <v>25392</v>
      </c>
      <c r="K38" s="112">
        <v>26741</v>
      </c>
      <c r="L38" s="112">
        <v>24807</v>
      </c>
      <c r="M38" s="112">
        <v>21826</v>
      </c>
      <c r="O38" s="108"/>
      <c r="P38" s="108"/>
      <c r="Q38" s="108"/>
      <c r="R38" s="108"/>
      <c r="S38" s="108"/>
      <c r="T38" s="108"/>
      <c r="U38" s="108"/>
      <c r="V38" s="108"/>
      <c r="W38" s="108"/>
      <c r="X38" s="108"/>
      <c r="Y38" s="108"/>
      <c r="Z38" s="108"/>
      <c r="AA38" s="108"/>
      <c r="AB38" s="108"/>
      <c r="AC38" s="108"/>
      <c r="AD38" s="108"/>
      <c r="AE38" s="108"/>
      <c r="AF38" s="108"/>
      <c r="AG38" s="108"/>
      <c r="AH38" s="108"/>
      <c r="AI38" s="108"/>
      <c r="AJ38" s="108"/>
    </row>
    <row r="39" spans="2:36">
      <c r="B39" s="18" t="s">
        <v>27</v>
      </c>
      <c r="C39" s="117"/>
      <c r="D39" s="126">
        <f t="shared" ref="D39" si="81">(D38-C38)/C38</f>
        <v>-0.2959331699264669</v>
      </c>
      <c r="E39" s="126">
        <f t="shared" ref="E39" si="82">(E38-D38)/D38</f>
        <v>-3.8650088809946713E-2</v>
      </c>
      <c r="F39" s="126">
        <f t="shared" ref="F39" si="83">(F38-E38)/E38</f>
        <v>-9.0754563594708446E-2</v>
      </c>
      <c r="G39" s="126">
        <f t="shared" ref="G39" si="84">(G38-F38)/F38</f>
        <v>0.32983825083313012</v>
      </c>
      <c r="H39" s="126">
        <f t="shared" ref="H39" si="85">(H38-G38)/G38</f>
        <v>-1.1001772507792922E-3</v>
      </c>
      <c r="I39" s="126">
        <f t="shared" ref="I39" si="86">(I38-H38)/H38</f>
        <v>0.33684146117603869</v>
      </c>
      <c r="J39" s="126">
        <f t="shared" ref="J39" si="87">(J38-I38)/I38</f>
        <v>0.16221164408641522</v>
      </c>
      <c r="K39" s="126">
        <f t="shared" ref="K39" si="88">(K38-J38)/J38</f>
        <v>5.3126969124133588E-2</v>
      </c>
      <c r="L39" s="126">
        <f t="shared" ref="L39" si="89">(L38-K38)/K38</f>
        <v>-7.2323398526607088E-2</v>
      </c>
      <c r="M39" s="126">
        <f t="shared" ref="M39" si="90">(M38-L38)/L38</f>
        <v>-0.12016769460232998</v>
      </c>
      <c r="O39" s="108"/>
      <c r="P39" s="108"/>
      <c r="Q39" s="108"/>
      <c r="R39" s="108"/>
      <c r="S39" s="108"/>
      <c r="T39" s="108"/>
      <c r="U39" s="108"/>
      <c r="V39" s="108"/>
      <c r="W39" s="108"/>
      <c r="X39" s="108"/>
      <c r="Y39" s="108"/>
      <c r="Z39" s="108"/>
      <c r="AA39" s="108"/>
      <c r="AB39" s="108"/>
      <c r="AC39" s="108"/>
      <c r="AD39" s="108"/>
      <c r="AE39" s="108"/>
      <c r="AF39" s="108"/>
      <c r="AG39" s="108"/>
      <c r="AH39" s="108"/>
      <c r="AI39" s="108"/>
      <c r="AJ39" s="108"/>
    </row>
    <row r="40" spans="2:36">
      <c r="O40" s="108"/>
      <c r="P40" s="108"/>
      <c r="Q40" s="108"/>
      <c r="R40" s="108"/>
      <c r="S40" s="108"/>
      <c r="T40" s="108"/>
      <c r="U40" s="108"/>
      <c r="V40" s="108"/>
      <c r="W40" s="108"/>
      <c r="X40" s="108"/>
      <c r="Y40" s="108"/>
      <c r="Z40" s="108"/>
      <c r="AA40" s="108"/>
      <c r="AB40" s="108"/>
      <c r="AC40" s="108"/>
      <c r="AD40" s="108"/>
      <c r="AE40" s="108"/>
      <c r="AF40" s="108"/>
      <c r="AG40" s="108"/>
      <c r="AH40" s="108"/>
      <c r="AI40" s="108"/>
      <c r="AJ40" s="108"/>
    </row>
    <row r="41" spans="2:36">
      <c r="B41" s="18" t="s">
        <v>55</v>
      </c>
      <c r="C41" s="112">
        <v>144980</v>
      </c>
      <c r="D41" s="112">
        <v>144738</v>
      </c>
      <c r="E41" s="112">
        <v>145655</v>
      </c>
      <c r="F41" s="112">
        <v>154271</v>
      </c>
      <c r="G41" s="112">
        <v>164139</v>
      </c>
      <c r="H41" s="112">
        <v>171119</v>
      </c>
      <c r="I41" s="112">
        <v>229836</v>
      </c>
      <c r="J41" s="112">
        <v>238022</v>
      </c>
      <c r="K41" s="112">
        <v>247128</v>
      </c>
      <c r="L41" s="112">
        <v>251098</v>
      </c>
      <c r="M41" s="112">
        <v>235449</v>
      </c>
      <c r="O41" s="108"/>
      <c r="P41" s="108"/>
      <c r="Q41" s="108"/>
      <c r="R41" s="108"/>
      <c r="S41" s="108"/>
      <c r="T41" s="108"/>
      <c r="U41" s="108"/>
      <c r="V41" s="108"/>
      <c r="W41" s="108"/>
      <c r="X41" s="108"/>
      <c r="Y41" s="108"/>
      <c r="Z41" s="108"/>
      <c r="AA41" s="108"/>
      <c r="AB41" s="108"/>
      <c r="AC41" s="108"/>
      <c r="AD41" s="108"/>
      <c r="AE41" s="108"/>
      <c r="AF41" s="108"/>
      <c r="AG41" s="108"/>
      <c r="AH41" s="108"/>
      <c r="AI41" s="108"/>
      <c r="AJ41" s="108"/>
    </row>
    <row r="42" spans="2:36">
      <c r="B42" s="18" t="s">
        <v>27</v>
      </c>
      <c r="C42" s="117"/>
      <c r="D42" s="126">
        <f t="shared" ref="D42" si="91">(D41-C41)/C41</f>
        <v>-1.669195751138088E-3</v>
      </c>
      <c r="E42" s="126">
        <f t="shared" ref="E42" si="92">(E41-D41)/D41</f>
        <v>6.3355856789509323E-3</v>
      </c>
      <c r="F42" s="126">
        <f t="shared" ref="F42" si="93">(F41-E41)/E41</f>
        <v>5.9153479111599329E-2</v>
      </c>
      <c r="G42" s="126">
        <f t="shared" ref="G42" si="94">(G41-F41)/F41</f>
        <v>6.3965359659300836E-2</v>
      </c>
      <c r="H42" s="126">
        <f t="shared" ref="H42" si="95">(H41-G41)/G41</f>
        <v>4.2524933135939663E-2</v>
      </c>
      <c r="I42" s="126">
        <f t="shared" ref="I42" si="96">(I41-H41)/H41</f>
        <v>0.34313547881883366</v>
      </c>
      <c r="J42" s="126">
        <f t="shared" ref="J42" si="97">(J41-I41)/I41</f>
        <v>3.5616700603908875E-2</v>
      </c>
      <c r="K42" s="126">
        <f t="shared" ref="K42" si="98">(K41-J41)/J41</f>
        <v>3.8256967843308599E-2</v>
      </c>
      <c r="L42" s="126">
        <f t="shared" ref="L42" si="99">(L41-K41)/K41</f>
        <v>1.6064549545174969E-2</v>
      </c>
      <c r="M42" s="126">
        <f t="shared" ref="M42" si="100">(M41-L41)/L41</f>
        <v>-6.2322280543851402E-2</v>
      </c>
      <c r="O42" s="108"/>
      <c r="P42" s="108"/>
      <c r="Q42" s="108"/>
      <c r="R42" s="108"/>
      <c r="S42" s="108"/>
      <c r="T42" s="108"/>
      <c r="U42" s="108"/>
      <c r="V42" s="108"/>
      <c r="W42" s="108"/>
      <c r="X42" s="108"/>
      <c r="Y42" s="108"/>
      <c r="Z42" s="108"/>
      <c r="AA42" s="108"/>
      <c r="AB42" s="108"/>
      <c r="AC42" s="108"/>
      <c r="AD42" s="108"/>
      <c r="AE42" s="108"/>
      <c r="AF42" s="108"/>
      <c r="AG42" s="108"/>
      <c r="AH42" s="108"/>
      <c r="AI42" s="108"/>
      <c r="AJ42" s="108"/>
    </row>
    <row r="43" spans="2:36">
      <c r="O43" s="108"/>
      <c r="P43" s="108"/>
      <c r="Q43" s="108"/>
      <c r="R43" s="108"/>
      <c r="S43" s="108"/>
      <c r="T43" s="108"/>
      <c r="U43" s="108"/>
      <c r="V43" s="108"/>
      <c r="W43" s="108"/>
      <c r="X43" s="108"/>
      <c r="Y43" s="108"/>
      <c r="Z43" s="108"/>
      <c r="AA43" s="108"/>
      <c r="AB43" s="108"/>
      <c r="AC43" s="108"/>
      <c r="AD43" s="108"/>
      <c r="AE43" s="108"/>
      <c r="AF43" s="108"/>
      <c r="AG43" s="108"/>
      <c r="AH43" s="108"/>
      <c r="AI43" s="108"/>
      <c r="AJ43" s="108"/>
    </row>
    <row r="44" spans="2:36">
      <c r="B44" s="32" t="s">
        <v>52</v>
      </c>
      <c r="C44" s="115"/>
      <c r="D44" s="115">
        <f>D38+D41</f>
        <v>158813</v>
      </c>
      <c r="E44" s="115">
        <f t="shared" ref="E44:M44" si="101">E38+E41</f>
        <v>159186</v>
      </c>
      <c r="F44" s="115">
        <f t="shared" si="101"/>
        <v>166574</v>
      </c>
      <c r="G44" s="115">
        <f t="shared" si="101"/>
        <v>180500</v>
      </c>
      <c r="H44" s="115">
        <f t="shared" si="101"/>
        <v>187462</v>
      </c>
      <c r="I44" s="115">
        <f t="shared" si="101"/>
        <v>251684</v>
      </c>
      <c r="J44" s="115">
        <f t="shared" si="101"/>
        <v>263414</v>
      </c>
      <c r="K44" s="115">
        <f t="shared" si="101"/>
        <v>273869</v>
      </c>
      <c r="L44" s="115">
        <f t="shared" si="101"/>
        <v>275905</v>
      </c>
      <c r="M44" s="115">
        <f t="shared" si="101"/>
        <v>257275</v>
      </c>
      <c r="O44" s="108"/>
      <c r="P44" s="108"/>
      <c r="Q44" s="108"/>
      <c r="R44" s="108"/>
      <c r="S44" s="108"/>
      <c r="T44" s="108"/>
      <c r="U44" s="108"/>
      <c r="V44" s="108"/>
      <c r="W44" s="108"/>
      <c r="X44" s="108"/>
      <c r="Y44" s="108"/>
      <c r="Z44" s="108"/>
      <c r="AA44" s="108"/>
      <c r="AB44" s="108"/>
      <c r="AC44" s="108"/>
      <c r="AD44" s="108"/>
      <c r="AE44" s="108"/>
      <c r="AF44" s="108"/>
      <c r="AG44" s="108"/>
      <c r="AH44" s="108"/>
      <c r="AI44" s="108"/>
      <c r="AJ44" s="108"/>
    </row>
    <row r="45" spans="2:36">
      <c r="O45" s="108"/>
      <c r="P45" s="108"/>
      <c r="Q45" s="108"/>
      <c r="R45" s="108"/>
      <c r="S45" s="108"/>
      <c r="T45" s="108"/>
      <c r="U45" s="108"/>
      <c r="V45" s="108"/>
      <c r="W45" s="108"/>
      <c r="X45" s="108"/>
      <c r="Y45" s="108"/>
      <c r="Z45" s="108"/>
      <c r="AA45" s="108"/>
      <c r="AB45" s="108"/>
      <c r="AC45" s="108"/>
      <c r="AD45" s="108"/>
      <c r="AE45" s="108"/>
      <c r="AF45" s="108"/>
      <c r="AG45" s="108"/>
      <c r="AH45" s="108"/>
      <c r="AI45" s="108"/>
      <c r="AJ45" s="108"/>
    </row>
    <row r="46" spans="2:36">
      <c r="B46" s="18" t="s">
        <v>53</v>
      </c>
      <c r="C46" s="117">
        <v>16714</v>
      </c>
      <c r="D46" s="123">
        <v>18912</v>
      </c>
      <c r="E46" s="112">
        <v>17410</v>
      </c>
      <c r="F46" s="112">
        <v>18178</v>
      </c>
      <c r="G46" s="112">
        <v>21535</v>
      </c>
      <c r="H46" s="112">
        <v>21993</v>
      </c>
      <c r="I46" s="112">
        <v>27603</v>
      </c>
      <c r="J46" s="112">
        <v>30292</v>
      </c>
      <c r="K46" s="112">
        <v>28796</v>
      </c>
      <c r="L46" s="112">
        <v>29348</v>
      </c>
      <c r="M46" s="112">
        <v>27887</v>
      </c>
      <c r="O46" s="108"/>
      <c r="P46" s="108"/>
      <c r="Q46" s="108"/>
      <c r="R46" s="108"/>
      <c r="S46" s="108"/>
      <c r="T46" s="108"/>
      <c r="U46" s="108"/>
      <c r="V46" s="108"/>
      <c r="W46" s="108"/>
      <c r="X46" s="108"/>
      <c r="Y46" s="108"/>
      <c r="Z46" s="108"/>
      <c r="AA46" s="108"/>
      <c r="AB46" s="108"/>
      <c r="AC46" s="108"/>
      <c r="AD46" s="108"/>
      <c r="AE46" s="108"/>
      <c r="AF46" s="108"/>
      <c r="AG46" s="108"/>
      <c r="AH46" s="108"/>
      <c r="AI46" s="108"/>
      <c r="AJ46" s="108"/>
    </row>
    <row r="47" spans="2:36">
      <c r="B47" s="18" t="s">
        <v>27</v>
      </c>
      <c r="C47" s="117"/>
      <c r="D47" s="126">
        <f t="shared" ref="D47" si="102">(D46-C46)/C46</f>
        <v>0.13150652147899963</v>
      </c>
      <c r="E47" s="126">
        <f t="shared" ref="E47" si="103">(E46-D46)/D46</f>
        <v>-7.9420473773265651E-2</v>
      </c>
      <c r="F47" s="126">
        <f t="shared" ref="F47" si="104">(F46-E46)/E46</f>
        <v>4.4112578977599078E-2</v>
      </c>
      <c r="G47" s="126">
        <f t="shared" ref="G47" si="105">(G46-F46)/F46</f>
        <v>0.18467378149411376</v>
      </c>
      <c r="H47" s="126">
        <f t="shared" ref="H47" si="106">(H46-G46)/G46</f>
        <v>2.1267703738100767E-2</v>
      </c>
      <c r="I47" s="126">
        <f t="shared" ref="I47" si="107">(I46-H46)/H46</f>
        <v>0.25508116218796889</v>
      </c>
      <c r="J47" s="126">
        <f t="shared" ref="J47" si="108">(J46-I46)/I46</f>
        <v>9.7416947433250009E-2</v>
      </c>
      <c r="K47" s="126">
        <f t="shared" ref="K47" si="109">(K46-J46)/J46</f>
        <v>-4.9385976495444343E-2</v>
      </c>
      <c r="L47" s="126">
        <f t="shared" ref="L47" si="110">(L46-K46)/K46</f>
        <v>1.9169329073482427E-2</v>
      </c>
      <c r="M47" s="126">
        <f t="shared" ref="M47" si="111">(M46-L46)/L46</f>
        <v>-4.9781927218209079E-2</v>
      </c>
      <c r="O47" s="108"/>
      <c r="P47" s="108"/>
      <c r="Q47" s="108"/>
      <c r="R47" s="108"/>
      <c r="S47" s="108"/>
      <c r="T47" s="108"/>
      <c r="U47" s="108"/>
      <c r="V47" s="108"/>
      <c r="W47" s="108"/>
      <c r="X47" s="108"/>
      <c r="Y47" s="108"/>
      <c r="Z47" s="108"/>
      <c r="AA47" s="108"/>
      <c r="AB47" s="108"/>
      <c r="AC47" s="108"/>
      <c r="AD47" s="108"/>
      <c r="AE47" s="108"/>
      <c r="AF47" s="108"/>
      <c r="AG47" s="108"/>
      <c r="AH47" s="108"/>
      <c r="AI47" s="108"/>
      <c r="AJ47" s="108"/>
    </row>
    <row r="48" spans="2:36">
      <c r="O48" s="108"/>
      <c r="P48" s="108"/>
      <c r="Q48" s="108"/>
      <c r="R48" s="108"/>
      <c r="S48" s="108"/>
      <c r="T48" s="108"/>
      <c r="U48" s="108"/>
      <c r="V48" s="108"/>
      <c r="W48" s="108"/>
      <c r="X48" s="108"/>
      <c r="Y48" s="108"/>
      <c r="Z48" s="108"/>
      <c r="AA48" s="108"/>
      <c r="AB48" s="108"/>
      <c r="AC48" s="108"/>
      <c r="AD48" s="108"/>
      <c r="AE48" s="108"/>
      <c r="AF48" s="108"/>
      <c r="AG48" s="108"/>
      <c r="AH48" s="108"/>
      <c r="AI48" s="108"/>
      <c r="AJ48" s="108"/>
    </row>
    <row r="49" spans="2:36">
      <c r="B49" s="18" t="s">
        <v>54</v>
      </c>
      <c r="C49" s="117">
        <v>98461</v>
      </c>
      <c r="D49" s="112">
        <v>88843</v>
      </c>
      <c r="E49" s="112">
        <v>88708</v>
      </c>
      <c r="F49" s="112">
        <v>94418</v>
      </c>
      <c r="G49" s="112">
        <v>102791</v>
      </c>
      <c r="H49" s="112">
        <v>96010</v>
      </c>
      <c r="I49" s="112">
        <v>151579</v>
      </c>
      <c r="J49" s="112">
        <v>149248</v>
      </c>
      <c r="K49" s="112">
        <v>153335</v>
      </c>
      <c r="L49" s="112">
        <v>149068</v>
      </c>
      <c r="M49" s="112">
        <v>147760</v>
      </c>
      <c r="O49" s="108"/>
      <c r="P49" s="108"/>
      <c r="Q49" s="108"/>
      <c r="R49" s="108"/>
      <c r="S49" s="108"/>
      <c r="T49" s="108"/>
      <c r="U49" s="108"/>
      <c r="V49" s="108"/>
      <c r="W49" s="108"/>
      <c r="X49" s="108"/>
      <c r="Y49" s="108"/>
      <c r="Z49" s="108"/>
      <c r="AA49" s="108"/>
      <c r="AB49" s="108"/>
      <c r="AC49" s="108"/>
      <c r="AD49" s="108"/>
      <c r="AE49" s="108"/>
      <c r="AF49" s="108"/>
      <c r="AG49" s="108"/>
      <c r="AH49" s="108"/>
      <c r="AI49" s="108"/>
      <c r="AJ49" s="108"/>
    </row>
    <row r="50" spans="2:36">
      <c r="B50" s="18" t="s">
        <v>27</v>
      </c>
      <c r="C50" s="117"/>
      <c r="D50" s="126">
        <f t="shared" ref="D50" si="112">(D49-C49)/C49</f>
        <v>-9.7683346705802296E-2</v>
      </c>
      <c r="E50" s="126">
        <f t="shared" ref="E50" si="113">(E49-D49)/D49</f>
        <v>-1.519534459664802E-3</v>
      </c>
      <c r="F50" s="126">
        <f t="shared" ref="F50" si="114">(F49-E49)/E49</f>
        <v>6.4368489876899485E-2</v>
      </c>
      <c r="G50" s="126">
        <f t="shared" ref="G50" si="115">(G49-F49)/F49</f>
        <v>8.8680124552521764E-2</v>
      </c>
      <c r="H50" s="126">
        <f t="shared" ref="H50" si="116">(H49-G49)/G49</f>
        <v>-6.5968810498973643E-2</v>
      </c>
      <c r="I50" s="126">
        <f t="shared" ref="I50" si="117">(I49-H49)/H49</f>
        <v>0.57878346005624415</v>
      </c>
      <c r="J50" s="126">
        <f t="shared" ref="J50" si="118">(J49-I49)/I49</f>
        <v>-1.5378119660375118E-2</v>
      </c>
      <c r="K50" s="126">
        <f t="shared" ref="K50" si="119">(K49-J49)/J49</f>
        <v>2.7383951543739279E-2</v>
      </c>
      <c r="L50" s="126">
        <f t="shared" ref="L50" si="120">(L49-K49)/K49</f>
        <v>-2.782795839175661E-2</v>
      </c>
      <c r="M50" s="126">
        <f t="shared" ref="M50" si="121">(M49-L49)/L49</f>
        <v>-8.7745190114578587E-3</v>
      </c>
      <c r="O50" s="108"/>
      <c r="P50" s="108"/>
      <c r="Q50" s="108"/>
      <c r="R50" s="108"/>
      <c r="S50" s="108"/>
      <c r="T50" s="108"/>
      <c r="U50" s="108"/>
      <c r="V50" s="108"/>
      <c r="W50" s="108"/>
      <c r="X50" s="108"/>
      <c r="Y50" s="108"/>
      <c r="Z50" s="108"/>
      <c r="AA50" s="108"/>
      <c r="AB50" s="108"/>
      <c r="AC50" s="108"/>
      <c r="AD50" s="108"/>
      <c r="AE50" s="108"/>
      <c r="AF50" s="108"/>
      <c r="AG50" s="108"/>
      <c r="AH50" s="108"/>
      <c r="AI50" s="108"/>
      <c r="AJ50" s="108"/>
    </row>
    <row r="51" spans="2:36">
      <c r="O51" s="108"/>
      <c r="P51" s="108"/>
      <c r="Q51" s="108"/>
      <c r="R51" s="108"/>
      <c r="S51" s="108"/>
      <c r="T51" s="108"/>
      <c r="U51" s="108"/>
      <c r="V51" s="108"/>
      <c r="W51" s="108"/>
      <c r="X51" s="108"/>
      <c r="Y51" s="108"/>
      <c r="Z51" s="108"/>
      <c r="AA51" s="108"/>
      <c r="AB51" s="108"/>
      <c r="AC51" s="108"/>
      <c r="AD51" s="108"/>
      <c r="AE51" s="108"/>
      <c r="AF51" s="108"/>
      <c r="AG51" s="108"/>
      <c r="AH51" s="108"/>
      <c r="AI51" s="108"/>
      <c r="AJ51" s="108"/>
    </row>
    <row r="52" spans="2:36">
      <c r="B52" s="31" t="s">
        <v>56</v>
      </c>
      <c r="C52" s="121">
        <v>1</v>
      </c>
      <c r="D52" s="115">
        <f>D46+D49</f>
        <v>107755</v>
      </c>
      <c r="E52" s="115">
        <f t="shared" ref="E52:M52" si="122">E46+E49</f>
        <v>106118</v>
      </c>
      <c r="F52" s="115">
        <f t="shared" si="122"/>
        <v>112596</v>
      </c>
      <c r="G52" s="115">
        <f t="shared" si="122"/>
        <v>124326</v>
      </c>
      <c r="H52" s="115">
        <f t="shared" si="122"/>
        <v>118003</v>
      </c>
      <c r="I52" s="115">
        <f t="shared" si="122"/>
        <v>179182</v>
      </c>
      <c r="J52" s="115">
        <f t="shared" si="122"/>
        <v>179540</v>
      </c>
      <c r="K52" s="115">
        <f t="shared" si="122"/>
        <v>182131</v>
      </c>
      <c r="L52" s="115">
        <f t="shared" si="122"/>
        <v>178416</v>
      </c>
      <c r="M52" s="115">
        <f t="shared" si="122"/>
        <v>175647</v>
      </c>
      <c r="O52" s="108"/>
      <c r="P52" s="108"/>
      <c r="Q52" s="108"/>
      <c r="R52" s="108"/>
      <c r="S52" s="108"/>
      <c r="T52" s="108"/>
      <c r="U52" s="108"/>
      <c r="V52" s="108"/>
      <c r="W52" s="108"/>
      <c r="X52" s="108"/>
      <c r="Y52" s="108"/>
      <c r="Z52" s="108"/>
      <c r="AA52" s="108"/>
      <c r="AB52" s="108"/>
      <c r="AC52" s="108"/>
      <c r="AD52" s="108"/>
      <c r="AE52" s="108"/>
      <c r="AF52" s="108"/>
      <c r="AG52" s="108"/>
      <c r="AH52" s="108"/>
      <c r="AI52" s="108"/>
      <c r="AJ52" s="108"/>
    </row>
    <row r="53" spans="2:36">
      <c r="B53" s="18"/>
      <c r="C53" s="117"/>
      <c r="O53" s="108"/>
      <c r="P53" s="108"/>
      <c r="Q53" s="108"/>
      <c r="R53" s="108"/>
      <c r="S53" s="108"/>
      <c r="T53" s="108"/>
      <c r="U53" s="108"/>
      <c r="V53" s="108"/>
      <c r="W53" s="108"/>
      <c r="X53" s="108"/>
      <c r="Y53" s="108"/>
      <c r="Z53" s="108"/>
      <c r="AA53" s="108"/>
      <c r="AB53" s="108"/>
      <c r="AC53" s="108"/>
      <c r="AD53" s="108"/>
      <c r="AE53" s="108"/>
      <c r="AF53" s="108"/>
      <c r="AG53" s="108"/>
      <c r="AH53" s="108"/>
      <c r="AI53" s="108"/>
      <c r="AJ53" s="108"/>
    </row>
    <row r="54" spans="2:36">
      <c r="B54" s="31" t="s">
        <v>57</v>
      </c>
      <c r="C54" s="121">
        <v>1</v>
      </c>
      <c r="D54" s="114">
        <f>D44-D52</f>
        <v>51058</v>
      </c>
      <c r="E54" s="114">
        <f t="shared" ref="E54:M54" si="123">E44-E52</f>
        <v>53068</v>
      </c>
      <c r="F54" s="114">
        <f t="shared" si="123"/>
        <v>53978</v>
      </c>
      <c r="G54" s="114">
        <f t="shared" si="123"/>
        <v>56174</v>
      </c>
      <c r="H54" s="114">
        <f t="shared" si="123"/>
        <v>69459</v>
      </c>
      <c r="I54" s="114">
        <f t="shared" si="123"/>
        <v>72502</v>
      </c>
      <c r="J54" s="114">
        <f t="shared" si="123"/>
        <v>83874</v>
      </c>
      <c r="K54" s="114">
        <f t="shared" si="123"/>
        <v>91738</v>
      </c>
      <c r="L54" s="114">
        <f t="shared" si="123"/>
        <v>97489</v>
      </c>
      <c r="M54" s="114">
        <f t="shared" si="123"/>
        <v>81628</v>
      </c>
      <c r="O54" s="108"/>
      <c r="P54" s="108"/>
      <c r="Q54" s="108"/>
      <c r="R54" s="108"/>
      <c r="S54" s="108"/>
      <c r="T54" s="108"/>
      <c r="U54" s="108"/>
      <c r="V54" s="108"/>
      <c r="W54" s="108"/>
      <c r="X54" s="108"/>
      <c r="Y54" s="108"/>
      <c r="Z54" s="108"/>
      <c r="AA54" s="108"/>
      <c r="AB54" s="108"/>
      <c r="AC54" s="108"/>
      <c r="AD54" s="108"/>
      <c r="AE54" s="108"/>
      <c r="AF54" s="108"/>
      <c r="AG54" s="108"/>
      <c r="AH54" s="108"/>
      <c r="AI54" s="108"/>
      <c r="AJ54" s="108"/>
    </row>
    <row r="55" spans="2:36">
      <c r="O55" s="108"/>
      <c r="P55" s="108"/>
      <c r="Q55" s="108"/>
      <c r="R55" s="108"/>
      <c r="S55" s="108"/>
      <c r="T55" s="108"/>
      <c r="U55" s="108"/>
      <c r="V55" s="108"/>
      <c r="W55" s="108"/>
      <c r="X55" s="108"/>
      <c r="Y55" s="108"/>
      <c r="Z55" s="108"/>
      <c r="AA55" s="108"/>
      <c r="AB55" s="108"/>
      <c r="AC55" s="108"/>
      <c r="AD55" s="108"/>
      <c r="AE55" s="108"/>
      <c r="AF55" s="108"/>
      <c r="AG55" s="108"/>
      <c r="AH55" s="108"/>
      <c r="AI55" s="108"/>
      <c r="AJ55" s="108"/>
    </row>
    <row r="56" spans="2:36">
      <c r="O56" s="108"/>
      <c r="P56" s="108"/>
      <c r="Q56" s="108"/>
      <c r="R56" s="108"/>
      <c r="S56" s="108"/>
      <c r="T56" s="108"/>
      <c r="U56" s="108"/>
      <c r="V56" s="108"/>
      <c r="W56" s="108"/>
      <c r="X56" s="108"/>
      <c r="Y56" s="108"/>
      <c r="Z56" s="108"/>
      <c r="AA56" s="108"/>
      <c r="AB56" s="108"/>
      <c r="AC56" s="108"/>
      <c r="AD56" s="108"/>
      <c r="AE56" s="108"/>
      <c r="AF56" s="108"/>
      <c r="AG56" s="108"/>
      <c r="AH56" s="108"/>
      <c r="AI56" s="108"/>
      <c r="AJ56" s="108"/>
    </row>
    <row r="57" spans="2:36">
      <c r="O57" s="108"/>
      <c r="P57" s="108"/>
      <c r="Q57" s="108"/>
      <c r="R57" s="108"/>
      <c r="S57" s="108"/>
      <c r="T57" s="108"/>
      <c r="U57" s="108"/>
      <c r="V57" s="108"/>
      <c r="W57" s="108"/>
      <c r="X57" s="108"/>
      <c r="Y57" s="108"/>
      <c r="Z57" s="108"/>
      <c r="AA57" s="108"/>
      <c r="AB57" s="108"/>
      <c r="AC57" s="108"/>
      <c r="AD57" s="108"/>
      <c r="AE57" s="108"/>
      <c r="AF57" s="108"/>
      <c r="AG57" s="108"/>
      <c r="AH57" s="108"/>
      <c r="AI57" s="108"/>
      <c r="AJ57" s="108"/>
    </row>
    <row r="58" spans="2:36">
      <c r="O58" s="108"/>
      <c r="P58" s="108"/>
      <c r="Q58" s="108"/>
      <c r="R58" s="108"/>
      <c r="S58" s="108"/>
      <c r="T58" s="108"/>
      <c r="U58" s="108"/>
      <c r="V58" s="108"/>
      <c r="W58" s="108"/>
      <c r="X58" s="108"/>
      <c r="Y58" s="108"/>
      <c r="Z58" s="108"/>
      <c r="AA58" s="108"/>
      <c r="AB58" s="108"/>
      <c r="AC58" s="108"/>
      <c r="AD58" s="108"/>
      <c r="AE58" s="108"/>
      <c r="AF58" s="108"/>
      <c r="AG58" s="108"/>
      <c r="AH58" s="108"/>
      <c r="AI58" s="108"/>
      <c r="AJ58" s="108"/>
    </row>
    <row r="59" spans="2:36" ht="17.5" thickBot="1">
      <c r="B59" s="2" t="s">
        <v>58</v>
      </c>
      <c r="C59" s="111"/>
      <c r="D59" s="111">
        <v>2013</v>
      </c>
      <c r="E59" s="111">
        <v>2014</v>
      </c>
      <c r="F59" s="111">
        <v>2015</v>
      </c>
      <c r="G59" s="111">
        <v>2016</v>
      </c>
      <c r="H59" s="111">
        <v>2017</v>
      </c>
      <c r="I59" s="111">
        <v>2018</v>
      </c>
      <c r="J59" s="111">
        <v>2019</v>
      </c>
      <c r="K59" s="111">
        <v>2020</v>
      </c>
      <c r="L59" s="111">
        <v>2021</v>
      </c>
      <c r="M59" s="111">
        <v>2022</v>
      </c>
      <c r="O59" s="108"/>
      <c r="P59" s="108"/>
      <c r="Q59" s="108"/>
      <c r="R59" s="108"/>
      <c r="S59" s="108"/>
      <c r="T59" s="108"/>
      <c r="U59" s="108"/>
      <c r="V59" s="108"/>
      <c r="W59" s="108"/>
      <c r="X59" s="108"/>
      <c r="Y59" s="108"/>
      <c r="Z59" s="108"/>
      <c r="AA59" s="108"/>
      <c r="AB59" s="108"/>
      <c r="AC59" s="108"/>
      <c r="AD59" s="108"/>
      <c r="AE59" s="108"/>
      <c r="AF59" s="108"/>
      <c r="AG59" s="108"/>
      <c r="AH59" s="108"/>
      <c r="AI59" s="108"/>
      <c r="AJ59" s="108"/>
    </row>
    <row r="60" spans="2:36" ht="15" thickTop="1">
      <c r="B60" s="18" t="s">
        <v>59</v>
      </c>
      <c r="C60" s="117"/>
      <c r="D60" s="131">
        <f>D6/D3</f>
        <v>0.10541782018961597</v>
      </c>
      <c r="E60" s="131">
        <f t="shared" ref="E60:M60" si="124">E6/E3</f>
        <v>0.12184660123591422</v>
      </c>
      <c r="F60" s="131">
        <f t="shared" si="124"/>
        <v>0.10955576432693598</v>
      </c>
      <c r="G60" s="131">
        <f t="shared" si="124"/>
        <v>0.10748612762584225</v>
      </c>
      <c r="H60" s="131">
        <f>H6/H3</f>
        <v>0.26737936468734197</v>
      </c>
      <c r="I60" s="131">
        <f t="shared" si="124"/>
        <v>0.12412837144338515</v>
      </c>
      <c r="J60" s="131">
        <f t="shared" si="124"/>
        <v>0.11985276569183602</v>
      </c>
      <c r="K60" s="131">
        <f>K6/K3</f>
        <v>0.10171488161909543</v>
      </c>
      <c r="L60" s="131">
        <f>L6/L3</f>
        <v>0.12165657086394295</v>
      </c>
      <c r="M60" s="131">
        <f t="shared" si="124"/>
        <v>4.4224101723669362E-2</v>
      </c>
      <c r="O60" s="108"/>
      <c r="P60" s="108"/>
      <c r="Q60" s="108"/>
      <c r="R60" s="108"/>
      <c r="S60" s="108"/>
      <c r="T60" s="108"/>
      <c r="U60" s="108"/>
      <c r="V60" s="108"/>
      <c r="W60" s="108"/>
      <c r="X60" s="108"/>
      <c r="Y60" s="108"/>
      <c r="Z60" s="108"/>
      <c r="AA60" s="108"/>
      <c r="AB60" s="108"/>
      <c r="AC60" s="108"/>
      <c r="AD60" s="108"/>
      <c r="AE60" s="108"/>
      <c r="AF60" s="108"/>
      <c r="AG60" s="108"/>
      <c r="AH60" s="108"/>
      <c r="AI60" s="108"/>
      <c r="AJ60" s="108"/>
    </row>
    <row r="61" spans="2:36">
      <c r="B61" s="18" t="s">
        <v>60</v>
      </c>
      <c r="C61" s="117"/>
      <c r="D61" s="131">
        <f t="shared" ref="D61:M61" si="125">D9/D3</f>
        <v>0.33150316284393028</v>
      </c>
      <c r="E61" s="131">
        <f t="shared" si="125"/>
        <v>0.33330425299890948</v>
      </c>
      <c r="F61" s="131">
        <f t="shared" si="125"/>
        <v>0.33120386525298617</v>
      </c>
      <c r="G61" s="131">
        <f t="shared" si="125"/>
        <v>0.32522047166072138</v>
      </c>
      <c r="H61" s="131">
        <f t="shared" si="125"/>
        <v>0.32584177163085537</v>
      </c>
      <c r="I61" s="131">
        <f t="shared" si="125"/>
        <v>0.31410371718497043</v>
      </c>
      <c r="J61" s="131">
        <f t="shared" si="125"/>
        <v>0.31280865047456446</v>
      </c>
      <c r="K61" s="131">
        <f>K9/K3</f>
        <v>0.29540187710015064</v>
      </c>
      <c r="L61" s="131">
        <f t="shared" si="125"/>
        <v>0.29746960518967219</v>
      </c>
      <c r="M61" s="131">
        <f t="shared" si="125"/>
        <v>0.2294547341200886</v>
      </c>
      <c r="O61" s="108"/>
      <c r="P61" s="108"/>
      <c r="Q61" s="108"/>
      <c r="R61" s="108"/>
      <c r="S61" s="108"/>
      <c r="T61" s="108"/>
      <c r="U61" s="108"/>
      <c r="V61" s="108"/>
      <c r="W61" s="108"/>
      <c r="X61" s="108"/>
      <c r="Y61" s="108"/>
      <c r="Z61" s="108"/>
      <c r="AA61" s="108"/>
      <c r="AB61" s="108"/>
      <c r="AC61" s="108"/>
      <c r="AD61" s="108"/>
      <c r="AE61" s="108"/>
      <c r="AF61" s="108"/>
      <c r="AG61" s="108"/>
      <c r="AH61" s="108"/>
      <c r="AI61" s="108"/>
      <c r="AJ61" s="108"/>
    </row>
    <row r="62" spans="2:36">
      <c r="B62" s="18" t="s">
        <v>61</v>
      </c>
      <c r="C62" s="117"/>
      <c r="D62" s="131">
        <f t="shared" ref="D62:L62" si="126">D28/D3</f>
        <v>5.6931190745008277E-2</v>
      </c>
      <c r="E62" s="131">
        <f t="shared" si="126"/>
        <v>0.11360232642675391</v>
      </c>
      <c r="F62" s="131">
        <f t="shared" si="126"/>
        <v>0.10861629311501812</v>
      </c>
      <c r="G62" s="131">
        <f t="shared" si="126"/>
        <v>9.5087693222354344E-2</v>
      </c>
      <c r="H62" s="131">
        <f t="shared" si="126"/>
        <v>0.11003304754848346</v>
      </c>
      <c r="I62" s="131">
        <f t="shared" si="126"/>
        <v>8.0988709831017802E-2</v>
      </c>
      <c r="J62" s="131">
        <f t="shared" si="126"/>
        <v>8.1318499752161696E-2</v>
      </c>
      <c r="K62" s="131">
        <f t="shared" si="126"/>
        <v>7.689930864006797E-2</v>
      </c>
      <c r="L62" s="131">
        <f t="shared" si="126"/>
        <v>0.11418997293465653</v>
      </c>
      <c r="M62" s="131">
        <f>M28/M3</f>
        <v>9.1857659334414921E-2</v>
      </c>
      <c r="O62" s="108"/>
      <c r="P62" s="108"/>
      <c r="Q62" s="108"/>
      <c r="R62" s="108"/>
      <c r="S62" s="108"/>
      <c r="T62" s="108"/>
      <c r="U62" s="108"/>
      <c r="V62" s="108"/>
      <c r="W62" s="108"/>
      <c r="X62" s="108"/>
      <c r="Y62" s="108"/>
      <c r="Z62" s="108"/>
      <c r="AA62" s="108"/>
      <c r="AB62" s="108"/>
      <c r="AC62" s="108"/>
      <c r="AD62" s="108"/>
      <c r="AE62" s="108"/>
      <c r="AF62" s="108"/>
      <c r="AG62" s="108"/>
      <c r="AH62" s="108"/>
      <c r="AI62" s="108"/>
      <c r="AJ62" s="108"/>
    </row>
    <row r="63" spans="2:36">
      <c r="O63" s="108"/>
      <c r="P63" s="108"/>
      <c r="Q63" s="108"/>
      <c r="R63" s="108"/>
      <c r="S63" s="108"/>
      <c r="T63" s="108"/>
      <c r="U63" s="108"/>
      <c r="V63" s="108"/>
      <c r="W63" s="108"/>
      <c r="X63" s="108"/>
      <c r="Y63" s="108"/>
      <c r="Z63" s="108"/>
      <c r="AA63" s="108"/>
      <c r="AB63" s="108"/>
      <c r="AC63" s="108"/>
      <c r="AD63" s="108"/>
      <c r="AE63" s="108"/>
      <c r="AF63" s="108"/>
      <c r="AG63" s="108"/>
      <c r="AH63" s="108"/>
      <c r="AI63" s="108"/>
      <c r="AJ63" s="108"/>
    </row>
    <row r="64" spans="2:36" ht="17.5" thickBot="1">
      <c r="B64" s="2" t="s">
        <v>63</v>
      </c>
      <c r="C64" s="111"/>
      <c r="D64" s="111">
        <v>2013</v>
      </c>
      <c r="E64" s="111">
        <v>2014</v>
      </c>
      <c r="F64" s="111">
        <v>2015</v>
      </c>
      <c r="G64" s="111">
        <v>2016</v>
      </c>
      <c r="H64" s="111">
        <v>2017</v>
      </c>
      <c r="I64" s="111">
        <v>2018</v>
      </c>
      <c r="J64" s="111">
        <v>2019</v>
      </c>
      <c r="K64" s="111">
        <v>2020</v>
      </c>
      <c r="L64" s="111">
        <v>2021</v>
      </c>
      <c r="M64" s="111">
        <v>2022</v>
      </c>
      <c r="O64" s="108"/>
      <c r="P64" s="108"/>
      <c r="Q64" s="108"/>
      <c r="R64" s="108"/>
      <c r="S64" s="108"/>
      <c r="T64" s="108"/>
      <c r="U64" s="108"/>
      <c r="V64" s="108"/>
      <c r="W64" s="108"/>
      <c r="X64" s="108"/>
      <c r="Y64" s="108"/>
      <c r="Z64" s="108"/>
      <c r="AA64" s="108"/>
      <c r="AB64" s="108"/>
      <c r="AC64" s="108"/>
      <c r="AD64" s="108"/>
      <c r="AE64" s="108"/>
      <c r="AF64" s="108"/>
      <c r="AG64" s="108"/>
      <c r="AH64" s="108"/>
      <c r="AI64" s="108"/>
      <c r="AJ64" s="108"/>
    </row>
    <row r="65" spans="2:36" ht="15" thickTop="1">
      <c r="B65" s="10" t="s">
        <v>64</v>
      </c>
      <c r="C65" s="119"/>
      <c r="D65" s="131">
        <f t="shared" ref="D65:M65" si="127">D31/D6</f>
        <v>0.28814553990610331</v>
      </c>
      <c r="E65" s="131">
        <f t="shared" si="127"/>
        <v>0.26897374701670645</v>
      </c>
      <c r="F65" s="131">
        <f t="shared" si="127"/>
        <v>0.29854220262158521</v>
      </c>
      <c r="G65" s="131">
        <f t="shared" si="127"/>
        <v>0.29972343858031802</v>
      </c>
      <c r="H65" s="131">
        <f t="shared" si="127"/>
        <v>0.12680888497910711</v>
      </c>
      <c r="I65" s="131">
        <f t="shared" si="127"/>
        <v>0.28573864120705822</v>
      </c>
      <c r="J65" s="131">
        <f t="shared" si="127"/>
        <v>0.28605345791529446</v>
      </c>
      <c r="K65" s="131">
        <f t="shared" si="127"/>
        <v>0.3930131004366812</v>
      </c>
      <c r="L65" s="131">
        <f t="shared" si="127"/>
        <v>0.32007910163147113</v>
      </c>
      <c r="M65" s="131">
        <f t="shared" si="127"/>
        <v>0.88286778398510246</v>
      </c>
      <c r="O65" s="108"/>
      <c r="P65" s="108"/>
      <c r="Q65" s="108"/>
      <c r="R65" s="108"/>
      <c r="S65" s="108"/>
      <c r="T65" s="108"/>
      <c r="U65" s="108"/>
      <c r="V65" s="108"/>
      <c r="W65" s="108"/>
      <c r="X65" s="108"/>
      <c r="Y65" s="108"/>
      <c r="Z65" s="108"/>
      <c r="AA65" s="108"/>
      <c r="AB65" s="108"/>
      <c r="AC65" s="108"/>
      <c r="AD65" s="108"/>
      <c r="AE65" s="108"/>
      <c r="AF65" s="108"/>
      <c r="AG65" s="108"/>
      <c r="AH65" s="108"/>
      <c r="AI65" s="108"/>
      <c r="AJ65" s="108"/>
    </row>
    <row r="66" spans="2:36">
      <c r="O66" s="108"/>
      <c r="P66" s="108"/>
      <c r="Q66" s="108"/>
      <c r="R66" s="108"/>
      <c r="S66" s="108"/>
      <c r="T66" s="108"/>
      <c r="U66" s="108"/>
      <c r="V66" s="108"/>
      <c r="W66" s="108"/>
      <c r="X66" s="108"/>
      <c r="Y66" s="108"/>
      <c r="Z66" s="108"/>
      <c r="AA66" s="108"/>
      <c r="AB66" s="108"/>
      <c r="AC66" s="108"/>
      <c r="AD66" s="108"/>
      <c r="AE66" s="108"/>
      <c r="AF66" s="108"/>
      <c r="AG66" s="108"/>
      <c r="AH66" s="108"/>
      <c r="AI66" s="108"/>
      <c r="AJ66" s="108"/>
    </row>
    <row r="67" spans="2:36" ht="17.5" thickBot="1">
      <c r="B67" s="2" t="s">
        <v>65</v>
      </c>
      <c r="C67" s="111"/>
      <c r="D67" s="111">
        <v>2013</v>
      </c>
      <c r="E67" s="111">
        <v>2014</v>
      </c>
      <c r="F67" s="111">
        <v>2015</v>
      </c>
      <c r="G67" s="111">
        <v>2016</v>
      </c>
      <c r="H67" s="111">
        <v>2017</v>
      </c>
      <c r="I67" s="111">
        <v>2018</v>
      </c>
      <c r="J67" s="111">
        <v>2019</v>
      </c>
      <c r="K67" s="111">
        <v>2020</v>
      </c>
      <c r="L67" s="111">
        <v>2021</v>
      </c>
      <c r="M67" s="111">
        <v>2022</v>
      </c>
      <c r="O67" s="108"/>
      <c r="P67" s="108"/>
      <c r="Q67" s="108"/>
      <c r="R67" s="108"/>
      <c r="S67" s="108"/>
      <c r="T67" s="108"/>
      <c r="U67" s="108"/>
      <c r="V67" s="108"/>
      <c r="W67" s="108"/>
      <c r="X67" s="108"/>
      <c r="Y67" s="108"/>
      <c r="Z67" s="108"/>
      <c r="AA67" s="108"/>
      <c r="AB67" s="108"/>
      <c r="AC67" s="108"/>
      <c r="AD67" s="108"/>
      <c r="AE67" s="108"/>
      <c r="AF67" s="108"/>
      <c r="AG67" s="108"/>
      <c r="AH67" s="108"/>
      <c r="AI67" s="108"/>
      <c r="AJ67" s="108"/>
    </row>
    <row r="68" spans="2:36" ht="15" thickTop="1">
      <c r="B68" s="18" t="s">
        <v>66</v>
      </c>
      <c r="C68" s="117"/>
      <c r="D68" s="116">
        <f>D52/D54</f>
        <v>2.1104430255787534</v>
      </c>
      <c r="E68" s="116">
        <f t="shared" ref="E68:M68" si="128">E52/E54</f>
        <v>1.9996608125423985</v>
      </c>
      <c r="F68" s="116">
        <f t="shared" si="128"/>
        <v>2.0859609470525027</v>
      </c>
      <c r="G68" s="116">
        <f t="shared" si="128"/>
        <v>2.2132303200769039</v>
      </c>
      <c r="H68" s="116">
        <f t="shared" si="128"/>
        <v>1.6988871132610606</v>
      </c>
      <c r="I68" s="116">
        <f t="shared" si="128"/>
        <v>2.4714076853052331</v>
      </c>
      <c r="J68" s="116">
        <f t="shared" si="128"/>
        <v>2.1405918401411643</v>
      </c>
      <c r="K68" s="116">
        <f t="shared" si="128"/>
        <v>1.98533868189845</v>
      </c>
      <c r="L68" s="116">
        <f t="shared" si="128"/>
        <v>1.8301141667265024</v>
      </c>
      <c r="M68" s="116">
        <f t="shared" si="128"/>
        <v>2.1517984025089429</v>
      </c>
      <c r="O68" s="108"/>
      <c r="P68" s="108"/>
      <c r="Q68" s="108"/>
      <c r="R68" s="108"/>
      <c r="S68" s="108"/>
      <c r="T68" s="108"/>
      <c r="U68" s="108"/>
      <c r="V68" s="108"/>
      <c r="W68" s="108"/>
      <c r="X68" s="108"/>
      <c r="Y68" s="108"/>
      <c r="Z68" s="108"/>
      <c r="AA68" s="108"/>
      <c r="AB68" s="108"/>
      <c r="AC68" s="108"/>
      <c r="AD68" s="108"/>
      <c r="AE68" s="108"/>
      <c r="AF68" s="108"/>
      <c r="AG68" s="108"/>
      <c r="AH68" s="108"/>
      <c r="AI68" s="108"/>
      <c r="AJ68" s="108"/>
    </row>
    <row r="69" spans="2:36">
      <c r="B69" s="18" t="s">
        <v>67</v>
      </c>
      <c r="C69" s="117"/>
      <c r="D69" s="116">
        <f>D38/D46</f>
        <v>0.74423646362098139</v>
      </c>
      <c r="E69" s="116">
        <f t="shared" ref="E69:M69" si="129">E38/E46</f>
        <v>0.77719701321079837</v>
      </c>
      <c r="F69" s="116">
        <f t="shared" si="129"/>
        <v>0.67680712949719446</v>
      </c>
      <c r="G69" s="116">
        <f t="shared" si="129"/>
        <v>0.75973995820756912</v>
      </c>
      <c r="H69" s="116">
        <f t="shared" si="129"/>
        <v>0.74310007729732186</v>
      </c>
      <c r="I69" s="116">
        <f t="shared" si="129"/>
        <v>0.79150816940187663</v>
      </c>
      <c r="J69" s="116">
        <f t="shared" si="129"/>
        <v>0.83824111976759541</v>
      </c>
      <c r="K69" s="116">
        <f t="shared" si="129"/>
        <v>0.92863592165578557</v>
      </c>
      <c r="L69" s="116">
        <f t="shared" si="129"/>
        <v>0.84527054654490941</v>
      </c>
      <c r="M69" s="116">
        <f t="shared" si="129"/>
        <v>0.78265858643812525</v>
      </c>
      <c r="O69" s="108"/>
      <c r="P69" s="108"/>
      <c r="Q69" s="108"/>
      <c r="R69" s="108"/>
      <c r="S69" s="108"/>
      <c r="T69" s="108"/>
      <c r="U69" s="108"/>
      <c r="V69" s="108"/>
      <c r="W69" s="108"/>
      <c r="X69" s="108"/>
      <c r="Y69" s="108"/>
      <c r="Z69" s="108"/>
      <c r="AA69" s="108"/>
      <c r="AB69" s="108"/>
      <c r="AC69" s="108"/>
      <c r="AD69" s="108"/>
      <c r="AE69" s="108"/>
      <c r="AF69" s="108"/>
      <c r="AG69" s="108"/>
      <c r="AH69" s="108"/>
      <c r="AI69" s="108"/>
      <c r="AJ69" s="108"/>
    </row>
    <row r="70" spans="2:36">
      <c r="O70" s="108"/>
      <c r="P70" s="108"/>
      <c r="Q70" s="108"/>
      <c r="R70" s="108"/>
      <c r="S70" s="108"/>
      <c r="T70" s="108"/>
      <c r="U70" s="108"/>
      <c r="V70" s="108"/>
      <c r="W70" s="108"/>
      <c r="X70" s="108"/>
      <c r="Y70" s="108"/>
      <c r="Z70" s="108"/>
      <c r="AA70" s="108"/>
      <c r="AB70" s="108"/>
      <c r="AC70" s="108"/>
      <c r="AD70" s="108"/>
      <c r="AE70" s="108"/>
      <c r="AF70" s="108"/>
      <c r="AG70" s="108"/>
      <c r="AH70" s="108"/>
      <c r="AI70" s="108"/>
      <c r="AJ70" s="108"/>
    </row>
    <row r="71" spans="2:36" ht="17.5" thickBot="1">
      <c r="B71" s="2" t="s">
        <v>74</v>
      </c>
      <c r="C71" s="111"/>
      <c r="D71" s="111"/>
      <c r="O71" s="108"/>
      <c r="P71" s="108"/>
      <c r="Q71" s="108"/>
      <c r="R71" s="108"/>
      <c r="S71" s="108"/>
      <c r="T71" s="108"/>
      <c r="U71" s="108"/>
      <c r="V71" s="108"/>
      <c r="W71" s="108"/>
      <c r="X71" s="108"/>
      <c r="Y71" s="108"/>
      <c r="Z71" s="108"/>
      <c r="AA71" s="108"/>
      <c r="AB71" s="108"/>
      <c r="AC71" s="108"/>
      <c r="AD71" s="108"/>
      <c r="AE71" s="108"/>
      <c r="AF71" s="108"/>
      <c r="AG71" s="108"/>
      <c r="AH71" s="108"/>
      <c r="AI71" s="108"/>
      <c r="AJ71" s="108"/>
    </row>
    <row r="72" spans="2:36" ht="15" thickTop="1">
      <c r="B72" s="18" t="s">
        <v>75</v>
      </c>
      <c r="C72" s="117"/>
      <c r="D72" s="126">
        <f>(M28/I28)^0.2 - 1</f>
        <v>7.8222614573602911E-2</v>
      </c>
      <c r="O72" s="108"/>
      <c r="P72" s="108"/>
      <c r="Q72" s="108"/>
      <c r="R72" s="108"/>
      <c r="S72" s="108"/>
      <c r="T72" s="108"/>
      <c r="U72" s="108"/>
      <c r="V72" s="108"/>
      <c r="W72" s="108"/>
      <c r="X72" s="108"/>
      <c r="Y72" s="108"/>
      <c r="Z72" s="108"/>
      <c r="AA72" s="108"/>
      <c r="AB72" s="108"/>
      <c r="AC72" s="108"/>
      <c r="AD72" s="108"/>
      <c r="AE72" s="108"/>
      <c r="AF72" s="108"/>
      <c r="AG72" s="108"/>
      <c r="AH72" s="108"/>
      <c r="AI72" s="108"/>
      <c r="AJ72" s="108"/>
    </row>
    <row r="73" spans="2:36">
      <c r="B73" s="18" t="s">
        <v>85</v>
      </c>
      <c r="C73" s="117"/>
      <c r="D73" s="126">
        <f>(M28/D28)^0.1 - 1</f>
        <v>0.11724001576861531</v>
      </c>
    </row>
    <row r="74" spans="2:36">
      <c r="B74" s="10" t="s">
        <v>76</v>
      </c>
      <c r="C74" s="119"/>
      <c r="D74" s="126">
        <f>(M6/I6)^0.2 - 1</f>
        <v>-0.14468153045679921</v>
      </c>
    </row>
    <row r="75" spans="2:36">
      <c r="B75" s="10" t="s">
        <v>86</v>
      </c>
      <c r="C75" s="119"/>
      <c r="D75" s="126">
        <f>(M6/D6)^0.1 - 1</f>
        <v>-2.3562454391197973E-2</v>
      </c>
    </row>
    <row r="76" spans="2:36">
      <c r="B76" s="10" t="s">
        <v>77</v>
      </c>
      <c r="C76" s="119"/>
      <c r="D76" s="126">
        <f>(M3/I3)^0.2 - 1</f>
        <v>5.140553170801887E-2</v>
      </c>
    </row>
    <row r="77" spans="2:36">
      <c r="B77" s="10" t="s">
        <v>87</v>
      </c>
      <c r="C77" s="119"/>
      <c r="D77" s="126">
        <f>(M3/D3)^0.1 - 1</f>
        <v>6.5049938261403595E-2</v>
      </c>
    </row>
    <row r="78" spans="2:36">
      <c r="B78" s="10" t="s">
        <v>90</v>
      </c>
      <c r="C78" s="119"/>
      <c r="D78" s="126">
        <f>(M9/I9)^0.2 - 1</f>
        <v>-1.2595625542054179E-2</v>
      </c>
    </row>
    <row r="79" spans="2:36">
      <c r="B79" s="10" t="s">
        <v>91</v>
      </c>
      <c r="C79" s="119"/>
      <c r="D79" s="126">
        <f>(M9/D9)^0.2 - 1</f>
        <v>5.3857309948096344E-2</v>
      </c>
    </row>
    <row r="80" spans="2:36">
      <c r="B80" s="10" t="s">
        <v>136</v>
      </c>
      <c r="D80" s="126">
        <f>(M31/I31)^0.2 - 1</f>
        <v>7.1798608998944413E-2</v>
      </c>
    </row>
    <row r="81" spans="2:13">
      <c r="B81" s="10" t="s">
        <v>137</v>
      </c>
      <c r="D81" s="126">
        <f>AVERAGE(I32:M32)</f>
        <v>0.10523482790922609</v>
      </c>
    </row>
    <row r="82" spans="2:13">
      <c r="B82" s="10" t="s">
        <v>140</v>
      </c>
      <c r="D82" s="126">
        <f>AVERAGE(I65:M65)</f>
        <v>0.43355041703512143</v>
      </c>
    </row>
    <row r="84" spans="2:13" ht="17.5" thickBot="1">
      <c r="B84" s="2" t="s">
        <v>150</v>
      </c>
      <c r="C84" s="111"/>
      <c r="D84" s="111">
        <v>2013</v>
      </c>
      <c r="E84" s="111">
        <v>2014</v>
      </c>
      <c r="F84" s="111">
        <v>2015</v>
      </c>
      <c r="G84" s="111">
        <v>2016</v>
      </c>
      <c r="H84" s="111">
        <v>2017</v>
      </c>
      <c r="I84" s="111">
        <v>2018</v>
      </c>
      <c r="J84" s="111">
        <v>2019</v>
      </c>
      <c r="K84" s="111">
        <v>2020</v>
      </c>
      <c r="L84" s="111">
        <v>2021</v>
      </c>
      <c r="M84" s="111">
        <v>2022</v>
      </c>
    </row>
    <row r="85" spans="2:13" ht="15" thickTop="1">
      <c r="B85" s="10" t="s">
        <v>143</v>
      </c>
      <c r="C85" s="112">
        <v>0</v>
      </c>
      <c r="D85" s="112">
        <f>100*D6/D44</f>
        <v>4.2918400886577297</v>
      </c>
      <c r="E85" s="112">
        <f t="shared" ref="E85:M85" si="130">100*E6/E44</f>
        <v>5.2642820348523109</v>
      </c>
      <c r="F85" s="112">
        <f t="shared" si="130"/>
        <v>4.9005246917286014</v>
      </c>
      <c r="G85" s="112">
        <f t="shared" si="130"/>
        <v>4.8077562326869803</v>
      </c>
      <c r="H85" s="112">
        <f t="shared" si="130"/>
        <v>12.127791232356424</v>
      </c>
      <c r="I85" s="112">
        <f t="shared" si="130"/>
        <v>4.6610034805549816</v>
      </c>
      <c r="J85" s="112">
        <f t="shared" si="130"/>
        <v>4.9568360071977953</v>
      </c>
      <c r="K85" s="112">
        <f t="shared" si="130"/>
        <v>3.8463645027367099</v>
      </c>
      <c r="L85" s="112">
        <f t="shared" si="130"/>
        <v>5.1318388575777893</v>
      </c>
      <c r="M85" s="112">
        <f t="shared" si="130"/>
        <v>2.0872607132445826</v>
      </c>
    </row>
    <row r="86" spans="2:13">
      <c r="B86" s="10" t="s">
        <v>144</v>
      </c>
      <c r="C86" s="112">
        <v>0</v>
      </c>
      <c r="D86" s="112">
        <f>100*D6/D54</f>
        <v>13.349524070664733</v>
      </c>
      <c r="E86" s="112">
        <f t="shared" ref="E86:M86" si="131">100*E6/E54</f>
        <v>15.791060526117434</v>
      </c>
      <c r="F86" s="112">
        <f t="shared" si="131"/>
        <v>15.122827818740969</v>
      </c>
      <c r="G86" s="112">
        <f t="shared" si="131"/>
        <v>15.448428098408517</v>
      </c>
      <c r="H86" s="112">
        <f t="shared" si="131"/>
        <v>32.731539469327231</v>
      </c>
      <c r="I86" s="112">
        <f t="shared" si="131"/>
        <v>16.180243303633002</v>
      </c>
      <c r="J86" s="112">
        <f t="shared" si="131"/>
        <v>15.567398717123304</v>
      </c>
      <c r="K86" s="112">
        <f t="shared" si="131"/>
        <v>11.482700734700996</v>
      </c>
      <c r="L86" s="112">
        <f t="shared" si="131"/>
        <v>14.523689852188452</v>
      </c>
      <c r="M86" s="112">
        <f t="shared" si="131"/>
        <v>6.5786249816239524</v>
      </c>
    </row>
    <row r="87" spans="2:13">
      <c r="B87" s="10" t="s">
        <v>145</v>
      </c>
      <c r="C87" s="112">
        <v>0</v>
      </c>
      <c r="D87" s="40">
        <v>8.9899997711181641</v>
      </c>
      <c r="E87" s="40">
        <v>10.210000038146973</v>
      </c>
      <c r="F87" s="40">
        <v>9.5799999237060547</v>
      </c>
      <c r="G87" s="40">
        <v>9.5900001525878906</v>
      </c>
      <c r="H87" s="40">
        <v>19.969999313354492</v>
      </c>
      <c r="I87" s="40">
        <v>9.1499996185302734</v>
      </c>
      <c r="J87" s="40">
        <v>9.0299997329711914</v>
      </c>
      <c r="K87" s="40">
        <v>7.4000000953674316</v>
      </c>
      <c r="L87" s="40">
        <v>8.9700002670288086</v>
      </c>
      <c r="M87" s="40">
        <v>4.1999998092651367</v>
      </c>
    </row>
    <row r="89" spans="2:13" ht="17.5" thickBot="1">
      <c r="B89" s="2" t="s">
        <v>151</v>
      </c>
      <c r="C89" s="111"/>
      <c r="D89" s="111">
        <v>2013</v>
      </c>
      <c r="E89" s="111">
        <v>2014</v>
      </c>
      <c r="F89" s="111">
        <v>2015</v>
      </c>
      <c r="G89" s="111">
        <v>2016</v>
      </c>
      <c r="H89" s="111">
        <v>2017</v>
      </c>
      <c r="I89" s="111">
        <v>2018</v>
      </c>
      <c r="J89" s="111">
        <v>2019</v>
      </c>
      <c r="K89" s="111">
        <v>2020</v>
      </c>
      <c r="L89" s="111">
        <v>2021</v>
      </c>
      <c r="M89" s="111">
        <v>2022</v>
      </c>
    </row>
    <row r="90" spans="2:13" ht="15" thickTop="1">
      <c r="B90" s="127" t="s">
        <v>152</v>
      </c>
      <c r="C90" s="112">
        <v>0</v>
      </c>
      <c r="D90" s="40">
        <v>21.649999618530273</v>
      </c>
      <c r="E90" s="40">
        <v>18.239999771118164</v>
      </c>
      <c r="F90" s="40">
        <v>17.690000534057617</v>
      </c>
      <c r="G90" s="40">
        <v>20.25</v>
      </c>
      <c r="H90" s="40">
        <v>19.209999084472656</v>
      </c>
      <c r="I90" s="40">
        <v>6.6500000953674316</v>
      </c>
      <c r="J90" s="40">
        <v>16.659999847412109</v>
      </c>
      <c r="K90" s="40">
        <v>23.5</v>
      </c>
      <c r="L90" s="40">
        <v>16.180000305175781</v>
      </c>
      <c r="M90" s="40">
        <v>29.639999389648438</v>
      </c>
    </row>
    <row r="91" spans="2:13">
      <c r="B91" s="127" t="s">
        <v>153</v>
      </c>
      <c r="C91" s="112">
        <v>0</v>
      </c>
      <c r="D91" s="40">
        <v>9.0900001525878906</v>
      </c>
      <c r="E91" s="40">
        <v>10.340000152587891</v>
      </c>
      <c r="F91" s="40">
        <v>7.7800002098083496</v>
      </c>
      <c r="G91" s="40">
        <v>9.1800003051757813</v>
      </c>
      <c r="H91" s="40">
        <v>9.0799999237060547</v>
      </c>
      <c r="I91" s="40">
        <v>6.6100001335144043</v>
      </c>
      <c r="J91" s="40">
        <v>8.1999998092651367</v>
      </c>
      <c r="K91" s="40">
        <v>9.3299999237060547</v>
      </c>
      <c r="L91" s="40">
        <v>8.8599996566772461</v>
      </c>
      <c r="M91" s="40">
        <v>5.5900001525878906</v>
      </c>
    </row>
    <row r="92" spans="2:13">
      <c r="B92" s="127" t="s">
        <v>161</v>
      </c>
      <c r="C92" s="112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Valuation Metrics</vt:lpstr>
      <vt:lpstr>Graphics</vt:lpstr>
      <vt:lpstr>WACC</vt:lpstr>
      <vt:lpstr>DCF</vt:lpstr>
      <vt:lpstr>Graham</vt:lpstr>
      <vt:lpstr>DDM</vt:lpstr>
      <vt:lpstr>Financials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2023-04-13T10:20:11Z</dcterms:modified>
</cp:coreProperties>
</file>