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D97CA515-A398-49B1-81F6-F5D35D305096}" xr6:coauthVersionLast="47" xr6:coauthVersionMax="47" xr10:uidLastSave="{00000000-0000-0000-0000-000000000000}"/>
  <bookViews>
    <workbookView xWindow="-110" yWindow="-110" windowWidth="38620" windowHeight="21100" activeTab="5" xr2:uid="{00000000-000D-0000-FFFF-FFFF00000000}"/>
  </bookViews>
  <sheets>
    <sheet name="Valuation Metrics" sheetId="5" r:id="rId1"/>
    <sheet name="Graphics" sheetId="4" r:id="rId2"/>
    <sheet name="WACC" sheetId="1" r:id="rId3"/>
    <sheet name="DCF" sheetId="2" r:id="rId4"/>
    <sheet name="Graham" sheetId="6" r:id="rId5"/>
    <sheet name="DDM" sheetId="7" r:id="rId6"/>
    <sheet name="Financials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6" i="7" l="1"/>
  <c r="P17" i="7"/>
  <c r="P8" i="7"/>
  <c r="C7" i="2"/>
  <c r="F22" i="5"/>
  <c r="G22" i="5"/>
  <c r="H22" i="5"/>
  <c r="I22" i="5"/>
  <c r="J22" i="5"/>
  <c r="K22" i="5"/>
  <c r="L22" i="5"/>
  <c r="M22" i="5"/>
  <c r="N22" i="5"/>
  <c r="O22" i="5"/>
  <c r="P22" i="5"/>
  <c r="M60" i="3"/>
  <c r="L60" i="3"/>
  <c r="K60" i="3"/>
  <c r="J60" i="3"/>
  <c r="I60" i="3"/>
  <c r="H60" i="3"/>
  <c r="G60" i="3"/>
  <c r="F60" i="3"/>
  <c r="E60" i="3"/>
  <c r="D60" i="3"/>
  <c r="M55" i="3"/>
  <c r="L55" i="3"/>
  <c r="K55" i="3"/>
  <c r="J55" i="3"/>
  <c r="I55" i="3"/>
  <c r="H55" i="3"/>
  <c r="G55" i="3"/>
  <c r="F55" i="3"/>
  <c r="E55" i="3"/>
  <c r="D55" i="3"/>
  <c r="C22" i="2" l="1"/>
  <c r="D22" i="2"/>
  <c r="E22" i="2"/>
  <c r="F22" i="2"/>
  <c r="G22" i="2"/>
  <c r="H22" i="2"/>
  <c r="I22" i="2"/>
  <c r="J22" i="2"/>
  <c r="K22" i="2"/>
  <c r="L22" i="2"/>
  <c r="F30" i="5" l="1"/>
  <c r="G28" i="5" l="1"/>
  <c r="H28" i="5"/>
  <c r="I28" i="5"/>
  <c r="J28" i="5"/>
  <c r="K28" i="5"/>
  <c r="L28" i="5"/>
  <c r="M28" i="5"/>
  <c r="N28" i="5"/>
  <c r="O28" i="5"/>
  <c r="P28" i="5"/>
  <c r="G26" i="5"/>
  <c r="H26" i="5"/>
  <c r="I26" i="5"/>
  <c r="J26" i="5"/>
  <c r="K26" i="5"/>
  <c r="L26" i="5"/>
  <c r="M26" i="5"/>
  <c r="N26" i="5"/>
  <c r="O26" i="5"/>
  <c r="P26" i="5"/>
  <c r="G16" i="5"/>
  <c r="H16" i="5"/>
  <c r="I16" i="5"/>
  <c r="J16" i="5"/>
  <c r="K16" i="5"/>
  <c r="L16" i="5"/>
  <c r="M16" i="5"/>
  <c r="N16" i="5"/>
  <c r="O16" i="5"/>
  <c r="P16" i="5"/>
  <c r="F28" i="5" l="1"/>
  <c r="F26" i="5"/>
  <c r="F16" i="5"/>
  <c r="D50" i="3"/>
  <c r="E50" i="3"/>
  <c r="F50" i="3"/>
  <c r="G50" i="3"/>
  <c r="H50" i="3"/>
  <c r="I50" i="3"/>
  <c r="J50" i="3"/>
  <c r="K50" i="3"/>
  <c r="L50" i="3"/>
  <c r="M50" i="3"/>
  <c r="D51" i="3"/>
  <c r="E51" i="3"/>
  <c r="F51" i="3"/>
  <c r="G51" i="3"/>
  <c r="H51" i="3"/>
  <c r="I51" i="3"/>
  <c r="J51" i="3"/>
  <c r="K51" i="3"/>
  <c r="L51" i="3"/>
  <c r="M51" i="3"/>
  <c r="M40" i="3" l="1"/>
  <c r="L40" i="3"/>
  <c r="K40" i="3"/>
  <c r="J40" i="3"/>
  <c r="I40" i="3"/>
  <c r="H40" i="3"/>
  <c r="G40" i="3"/>
  <c r="F40" i="3"/>
  <c r="E40" i="3"/>
  <c r="D40" i="3"/>
  <c r="M37" i="3"/>
  <c r="L37" i="3"/>
  <c r="K37" i="3"/>
  <c r="J37" i="3"/>
  <c r="I37" i="3"/>
  <c r="H37" i="3"/>
  <c r="G37" i="3"/>
  <c r="F37" i="3"/>
  <c r="E37" i="3"/>
  <c r="D37" i="3"/>
  <c r="M32" i="3"/>
  <c r="L32" i="3"/>
  <c r="K32" i="3"/>
  <c r="J32" i="3"/>
  <c r="I32" i="3"/>
  <c r="H32" i="3"/>
  <c r="G32" i="3"/>
  <c r="F32" i="3"/>
  <c r="E32" i="3"/>
  <c r="D32" i="3"/>
  <c r="M29" i="3"/>
  <c r="L29" i="3"/>
  <c r="K29" i="3"/>
  <c r="J29" i="3"/>
  <c r="I29" i="3"/>
  <c r="H29" i="3"/>
  <c r="G29" i="3"/>
  <c r="F29" i="3"/>
  <c r="E29" i="3"/>
  <c r="D29" i="3"/>
  <c r="M24" i="3"/>
  <c r="L24" i="3"/>
  <c r="K24" i="3"/>
  <c r="J24" i="3"/>
  <c r="I24" i="3"/>
  <c r="H24" i="3"/>
  <c r="G24" i="3"/>
  <c r="F24" i="3"/>
  <c r="E24" i="3"/>
  <c r="D24" i="3"/>
  <c r="M16" i="3"/>
  <c r="L16" i="3"/>
  <c r="K16" i="3"/>
  <c r="J16" i="3"/>
  <c r="I16" i="3"/>
  <c r="H16" i="3"/>
  <c r="G16" i="3"/>
  <c r="F16" i="3"/>
  <c r="E16" i="3"/>
  <c r="D16" i="3"/>
  <c r="M13" i="3"/>
  <c r="L13" i="3"/>
  <c r="K13" i="3"/>
  <c r="J13" i="3"/>
  <c r="I13" i="3"/>
  <c r="H13" i="3"/>
  <c r="G13" i="3"/>
  <c r="F13" i="3"/>
  <c r="E13" i="3"/>
  <c r="D13" i="3"/>
  <c r="M10" i="3"/>
  <c r="L10" i="3"/>
  <c r="K10" i="3"/>
  <c r="J10" i="3"/>
  <c r="I10" i="3"/>
  <c r="H10" i="3"/>
  <c r="G10" i="3"/>
  <c r="F10" i="3"/>
  <c r="E10" i="3"/>
  <c r="D10" i="3"/>
  <c r="M7" i="3"/>
  <c r="L7" i="3"/>
  <c r="K7" i="3"/>
  <c r="J7" i="3"/>
  <c r="I7" i="3"/>
  <c r="H7" i="3"/>
  <c r="G7" i="3"/>
  <c r="F7" i="3"/>
  <c r="E7" i="3"/>
  <c r="D7" i="3"/>
  <c r="D4" i="3" l="1"/>
  <c r="G24" i="5" l="1"/>
  <c r="H24" i="5"/>
  <c r="I24" i="5"/>
  <c r="J24" i="5"/>
  <c r="K24" i="5"/>
  <c r="L24" i="5"/>
  <c r="M24" i="5"/>
  <c r="N24" i="5"/>
  <c r="O24" i="5"/>
  <c r="P24" i="5"/>
  <c r="P24" i="7" l="1"/>
  <c r="P15" i="7"/>
  <c r="P6" i="7"/>
  <c r="L46" i="2" l="1"/>
  <c r="K46" i="2"/>
  <c r="J46" i="2"/>
  <c r="I46" i="2"/>
  <c r="H46" i="2"/>
  <c r="G46" i="2"/>
  <c r="F46" i="2"/>
  <c r="D46" i="2"/>
  <c r="E46" i="2"/>
  <c r="C46" i="2"/>
  <c r="D71" i="3" l="1"/>
  <c r="F45" i="5" s="1"/>
  <c r="C25" i="7"/>
  <c r="C16" i="7"/>
  <c r="C7" i="7"/>
  <c r="D7" i="7" l="1"/>
  <c r="D16" i="7"/>
  <c r="D25" i="7"/>
  <c r="E25" i="7" l="1"/>
  <c r="E16" i="7"/>
  <c r="E7" i="7"/>
  <c r="F7" i="7" l="1"/>
  <c r="F16" i="7"/>
  <c r="F25" i="7"/>
  <c r="G25" i="7" l="1"/>
  <c r="G16" i="7"/>
  <c r="G7" i="7"/>
  <c r="H7" i="7" l="1"/>
  <c r="H16" i="7"/>
  <c r="H25" i="7"/>
  <c r="I25" i="7" l="1"/>
  <c r="I16" i="7"/>
  <c r="I7" i="7"/>
  <c r="J7" i="7" l="1"/>
  <c r="J16" i="7"/>
  <c r="J25" i="7"/>
  <c r="K25" i="7" l="1"/>
  <c r="K7" i="7"/>
  <c r="K16" i="7"/>
  <c r="L16" i="7" l="1"/>
  <c r="L7" i="7"/>
  <c r="L25" i="7"/>
  <c r="M59" i="3" l="1"/>
  <c r="L59" i="3"/>
  <c r="K59" i="3"/>
  <c r="J59" i="3"/>
  <c r="I59" i="3"/>
  <c r="H59" i="3"/>
  <c r="G59" i="3"/>
  <c r="F59" i="3"/>
  <c r="E59" i="3"/>
  <c r="D59" i="3"/>
  <c r="D44" i="3"/>
  <c r="D77" i="3" s="1"/>
  <c r="G14" i="5" s="1"/>
  <c r="M42" i="3"/>
  <c r="L42" i="3"/>
  <c r="K42" i="3"/>
  <c r="J42" i="3"/>
  <c r="I42" i="3"/>
  <c r="H42" i="3"/>
  <c r="G42" i="3"/>
  <c r="F42" i="3"/>
  <c r="E42" i="3"/>
  <c r="D42" i="3"/>
  <c r="M34" i="3"/>
  <c r="M76" i="3" s="1"/>
  <c r="P12" i="5" s="1"/>
  <c r="L34" i="3"/>
  <c r="L76" i="3" s="1"/>
  <c r="O12" i="5" s="1"/>
  <c r="K34" i="3"/>
  <c r="K76" i="3" s="1"/>
  <c r="N12" i="5" s="1"/>
  <c r="J34" i="3"/>
  <c r="J76" i="3" s="1"/>
  <c r="M12" i="5" s="1"/>
  <c r="I34" i="3"/>
  <c r="I76" i="3" s="1"/>
  <c r="L12" i="5" s="1"/>
  <c r="H34" i="3"/>
  <c r="H76" i="3" s="1"/>
  <c r="K12" i="5" s="1"/>
  <c r="G34" i="3"/>
  <c r="G76" i="3" s="1"/>
  <c r="J12" i="5" s="1"/>
  <c r="F34" i="3"/>
  <c r="F76" i="3" s="1"/>
  <c r="I12" i="5" s="1"/>
  <c r="E34" i="3"/>
  <c r="E76" i="3" s="1"/>
  <c r="H12" i="5" s="1"/>
  <c r="D34" i="3"/>
  <c r="D76" i="3" s="1"/>
  <c r="G12" i="5" s="1"/>
  <c r="F12" i="5" l="1"/>
  <c r="C20" i="6"/>
  <c r="C25" i="2" l="1"/>
  <c r="D25" i="2"/>
  <c r="E25" i="2"/>
  <c r="F25" i="2"/>
  <c r="G25" i="2"/>
  <c r="H25" i="2"/>
  <c r="I25" i="2"/>
  <c r="J25" i="2"/>
  <c r="K25" i="2"/>
  <c r="L25" i="2"/>
  <c r="F45" i="2" s="1"/>
  <c r="G45" i="2" s="1"/>
  <c r="H45" i="2" s="1"/>
  <c r="I45" i="2" s="1"/>
  <c r="J45" i="2" s="1"/>
  <c r="K45" i="2" s="1"/>
  <c r="L45" i="2" s="1"/>
  <c r="C69" i="2" s="1"/>
  <c r="D26" i="2"/>
  <c r="E26" i="2"/>
  <c r="F26" i="2"/>
  <c r="G26" i="2"/>
  <c r="H26" i="2"/>
  <c r="I26" i="2"/>
  <c r="J26" i="2"/>
  <c r="K26" i="2"/>
  <c r="L26" i="2"/>
  <c r="D68" i="3"/>
  <c r="F42" i="5" s="1"/>
  <c r="D66" i="3"/>
  <c r="F39" i="5" s="1"/>
  <c r="D67" i="3"/>
  <c r="F41" i="5" s="1"/>
  <c r="D65" i="3"/>
  <c r="F38" i="5" s="1"/>
  <c r="P18" i="5" l="1"/>
  <c r="O18" i="5"/>
  <c r="N18" i="5"/>
  <c r="M18" i="5"/>
  <c r="L18" i="5"/>
  <c r="F18" i="5" s="1"/>
  <c r="K18" i="5"/>
  <c r="J18" i="5"/>
  <c r="I18" i="5"/>
  <c r="H18" i="5"/>
  <c r="G18" i="5"/>
  <c r="D72" i="3"/>
  <c r="F46" i="5" s="1"/>
  <c r="F47" i="5" s="1"/>
  <c r="C19" i="2"/>
  <c r="D19" i="2"/>
  <c r="E19" i="2"/>
  <c r="F19" i="2"/>
  <c r="G19" i="2"/>
  <c r="H19" i="2"/>
  <c r="I19" i="2"/>
  <c r="J19" i="2"/>
  <c r="K19" i="2"/>
  <c r="L19" i="2"/>
  <c r="C16" i="2"/>
  <c r="D16" i="2"/>
  <c r="E16" i="2"/>
  <c r="F16" i="2"/>
  <c r="G16" i="2"/>
  <c r="H16" i="2"/>
  <c r="I16" i="2"/>
  <c r="J16" i="2"/>
  <c r="K16" i="2"/>
  <c r="L16" i="2"/>
  <c r="F44" i="3"/>
  <c r="E44" i="3"/>
  <c r="D58" i="3"/>
  <c r="G20" i="5" s="1"/>
  <c r="D52" i="3"/>
  <c r="M4" i="3"/>
  <c r="L4" i="3"/>
  <c r="K4" i="3"/>
  <c r="J4" i="3"/>
  <c r="I4" i="3"/>
  <c r="H4" i="3"/>
  <c r="G4" i="3"/>
  <c r="F4" i="3"/>
  <c r="E4" i="3"/>
  <c r="F52" i="3" l="1"/>
  <c r="F21" i="3"/>
  <c r="M52" i="3"/>
  <c r="M21" i="3"/>
  <c r="J52" i="3"/>
  <c r="J21" i="3"/>
  <c r="K52" i="3"/>
  <c r="K21" i="3"/>
  <c r="E58" i="3"/>
  <c r="H20" i="5" s="1"/>
  <c r="E77" i="3"/>
  <c r="H14" i="5" s="1"/>
  <c r="G52" i="3"/>
  <c r="G21" i="3"/>
  <c r="F58" i="3"/>
  <c r="I20" i="5" s="1"/>
  <c r="F77" i="3"/>
  <c r="I14" i="5" s="1"/>
  <c r="H52" i="3"/>
  <c r="H21" i="3"/>
  <c r="I52" i="3"/>
  <c r="I21" i="3"/>
  <c r="L52" i="3"/>
  <c r="L21" i="3"/>
  <c r="E52" i="3"/>
  <c r="E21" i="3"/>
  <c r="D73" i="3"/>
  <c r="F44" i="5" s="1"/>
  <c r="G44" i="3"/>
  <c r="H44" i="3"/>
  <c r="D64" i="3"/>
  <c r="F33" i="5" s="1"/>
  <c r="I44" i="3"/>
  <c r="M44" i="3"/>
  <c r="K17" i="2"/>
  <c r="J17" i="2"/>
  <c r="D17" i="2"/>
  <c r="E17" i="2"/>
  <c r="F17" i="2"/>
  <c r="J44" i="3"/>
  <c r="K44" i="3"/>
  <c r="L44" i="3"/>
  <c r="D63" i="3"/>
  <c r="F32" i="5" s="1"/>
  <c r="L17" i="2"/>
  <c r="I17" i="2"/>
  <c r="H17" i="2"/>
  <c r="G17" i="2"/>
  <c r="G58" i="3" l="1"/>
  <c r="J20" i="5" s="1"/>
  <c r="G77" i="3"/>
  <c r="J14" i="5" s="1"/>
  <c r="K58" i="3"/>
  <c r="N20" i="5" s="1"/>
  <c r="K77" i="3"/>
  <c r="N14" i="5" s="1"/>
  <c r="J58" i="3"/>
  <c r="M20" i="5" s="1"/>
  <c r="J77" i="3"/>
  <c r="M14" i="5" s="1"/>
  <c r="L58" i="3"/>
  <c r="O20" i="5" s="1"/>
  <c r="L77" i="3"/>
  <c r="O14" i="5" s="1"/>
  <c r="M58" i="3"/>
  <c r="P20" i="5" s="1"/>
  <c r="M77" i="3"/>
  <c r="P14" i="5" s="1"/>
  <c r="I58" i="3"/>
  <c r="L20" i="5" s="1"/>
  <c r="I77" i="3"/>
  <c r="L14" i="5" s="1"/>
  <c r="F14" i="5" s="1"/>
  <c r="H58" i="3"/>
  <c r="K20" i="5" s="1"/>
  <c r="H77" i="3"/>
  <c r="K14" i="5" s="1"/>
  <c r="L37" i="2"/>
  <c r="K37" i="2"/>
  <c r="J37" i="2"/>
  <c r="I37" i="2"/>
  <c r="H37" i="2"/>
  <c r="G37" i="2"/>
  <c r="F37" i="2"/>
  <c r="C36" i="2"/>
  <c r="L28" i="2"/>
  <c r="K28" i="2"/>
  <c r="J28" i="2"/>
  <c r="I28" i="2"/>
  <c r="H28" i="2"/>
  <c r="G28" i="2"/>
  <c r="F28" i="2"/>
  <c r="E28" i="2"/>
  <c r="D28" i="2"/>
  <c r="C28" i="2"/>
  <c r="L29" i="2"/>
  <c r="K29" i="2"/>
  <c r="I29" i="2"/>
  <c r="H29" i="2"/>
  <c r="G29" i="2"/>
  <c r="F29" i="2"/>
  <c r="C29" i="2"/>
  <c r="L20" i="2"/>
  <c r="K20" i="2"/>
  <c r="J20" i="2"/>
  <c r="I20" i="2"/>
  <c r="H20" i="2"/>
  <c r="G20" i="2"/>
  <c r="F20" i="2"/>
  <c r="E20" i="2"/>
  <c r="D20" i="2"/>
  <c r="C19" i="1"/>
  <c r="C17" i="1"/>
  <c r="C18" i="1" s="1"/>
  <c r="F20" i="5" l="1"/>
  <c r="C39" i="2"/>
  <c r="C40" i="2" s="1"/>
  <c r="H23" i="2"/>
  <c r="J23" i="2"/>
  <c r="D23" i="2"/>
  <c r="F23" i="2"/>
  <c r="E23" i="2"/>
  <c r="D29" i="2"/>
  <c r="G23" i="2"/>
  <c r="E29" i="2"/>
  <c r="L23" i="2"/>
  <c r="K23" i="2"/>
  <c r="J29" i="2"/>
  <c r="D36" i="2"/>
  <c r="I23" i="2"/>
  <c r="C20" i="1"/>
  <c r="C21" i="1"/>
  <c r="C22" i="1" s="1"/>
  <c r="C8" i="2" l="1"/>
  <c r="C42" i="2" s="1"/>
  <c r="C23" i="1"/>
  <c r="C25" i="1" s="1"/>
  <c r="E36" i="2"/>
  <c r="D39" i="2"/>
  <c r="C4" i="2" l="1"/>
  <c r="E16" i="5"/>
  <c r="C43" i="2"/>
  <c r="E39" i="2"/>
  <c r="F36" i="2"/>
  <c r="D42" i="2"/>
  <c r="D40" i="2"/>
  <c r="C55" i="2" l="1"/>
  <c r="C70" i="2" s="1"/>
  <c r="I51" i="2"/>
  <c r="H51" i="2"/>
  <c r="F51" i="2"/>
  <c r="D51" i="2"/>
  <c r="D53" i="2" s="1"/>
  <c r="L51" i="2"/>
  <c r="J51" i="2"/>
  <c r="G51" i="2"/>
  <c r="C51" i="2"/>
  <c r="C53" i="2" s="1"/>
  <c r="K51" i="2"/>
  <c r="E51" i="2"/>
  <c r="C17" i="7"/>
  <c r="D17" i="7"/>
  <c r="E17" i="7"/>
  <c r="F17" i="7"/>
  <c r="G17" i="7"/>
  <c r="H17" i="7"/>
  <c r="I17" i="7"/>
  <c r="J17" i="7"/>
  <c r="K17" i="7"/>
  <c r="M16" i="7"/>
  <c r="M17" i="7" s="1"/>
  <c r="L17" i="7"/>
  <c r="C8" i="7"/>
  <c r="D8" i="7"/>
  <c r="E8" i="7"/>
  <c r="F8" i="7"/>
  <c r="G8" i="7"/>
  <c r="H8" i="7"/>
  <c r="I8" i="7"/>
  <c r="J8" i="7"/>
  <c r="K8" i="7"/>
  <c r="M7" i="7"/>
  <c r="M8" i="7" s="1"/>
  <c r="L8" i="7"/>
  <c r="C26" i="7"/>
  <c r="D26" i="7"/>
  <c r="E26" i="7"/>
  <c r="F26" i="7"/>
  <c r="G26" i="7"/>
  <c r="H26" i="7"/>
  <c r="I26" i="7"/>
  <c r="J26" i="7"/>
  <c r="K26" i="7"/>
  <c r="M25" i="7"/>
  <c r="M26" i="7" s="1"/>
  <c r="L26" i="7"/>
  <c r="D43" i="2"/>
  <c r="G36" i="2"/>
  <c r="F39" i="2"/>
  <c r="E40" i="2"/>
  <c r="E42" i="2"/>
  <c r="C10" i="7" l="1"/>
  <c r="C28" i="7"/>
  <c r="C19" i="7"/>
  <c r="E43" i="2"/>
  <c r="E53" i="2"/>
  <c r="F42" i="2"/>
  <c r="F40" i="2"/>
  <c r="H36" i="2"/>
  <c r="G39" i="2"/>
  <c r="F43" i="2" l="1"/>
  <c r="F53" i="2"/>
  <c r="G40" i="2"/>
  <c r="G42" i="2"/>
  <c r="I36" i="2"/>
  <c r="H39" i="2"/>
  <c r="G43" i="2" l="1"/>
  <c r="G53" i="2"/>
  <c r="H40" i="2"/>
  <c r="H42" i="2"/>
  <c r="J36" i="2"/>
  <c r="I39" i="2"/>
  <c r="H43" i="2" l="1"/>
  <c r="H53" i="2"/>
  <c r="I40" i="2"/>
  <c r="I42" i="2"/>
  <c r="K36" i="2"/>
  <c r="J39" i="2"/>
  <c r="I43" i="2" l="1"/>
  <c r="I53" i="2"/>
  <c r="J40" i="2"/>
  <c r="J42" i="2"/>
  <c r="L36" i="2"/>
  <c r="L39" i="2" s="1"/>
  <c r="K39" i="2"/>
  <c r="J43" i="2" l="1"/>
  <c r="J53" i="2"/>
  <c r="K42" i="2"/>
  <c r="K40" i="2"/>
  <c r="L42" i="2"/>
  <c r="L53" i="2" s="1"/>
  <c r="L40" i="2"/>
  <c r="C59" i="2" l="1"/>
  <c r="C60" i="2" s="1"/>
  <c r="K43" i="2"/>
  <c r="K53" i="2"/>
  <c r="L43" i="2"/>
  <c r="D69" i="3"/>
  <c r="F35" i="5" s="1"/>
  <c r="D70" i="3"/>
  <c r="F36" i="5" s="1"/>
  <c r="C62" i="2" l="1"/>
  <c r="C64" i="2" s="1"/>
  <c r="C72" i="2"/>
  <c r="C74" i="2" s="1"/>
  <c r="D47" i="5"/>
  <c r="D46" i="5"/>
  <c r="D45" i="5"/>
  <c r="D44" i="5"/>
  <c r="D42" i="5"/>
  <c r="D41" i="5"/>
  <c r="D39" i="5"/>
  <c r="D38" i="5"/>
  <c r="D36" i="5"/>
  <c r="D35" i="5"/>
  <c r="D33" i="5"/>
  <c r="D32" i="5"/>
  <c r="D30" i="5"/>
  <c r="D28" i="5"/>
  <c r="D26" i="5"/>
  <c r="D24" i="5"/>
  <c r="D20" i="5"/>
  <c r="D18" i="5"/>
  <c r="D16" i="5"/>
  <c r="D14" i="5"/>
  <c r="D12" i="5"/>
  <c r="D22" i="5"/>
</calcChain>
</file>

<file path=xl/sharedStrings.xml><?xml version="1.0" encoding="utf-8"?>
<sst xmlns="http://schemas.openxmlformats.org/spreadsheetml/2006/main" count="227" uniqueCount="162">
  <si>
    <t>WACC</t>
  </si>
  <si>
    <t>WACC (Weight Average Cost of Capital) computation</t>
  </si>
  <si>
    <t>&lt;=&gt;</t>
  </si>
  <si>
    <t>Interest Expense Non Operating (Income statement)</t>
  </si>
  <si>
    <t>Total Non Current Liabilities         (Balance sheet)</t>
  </si>
  <si>
    <t>Current Liabilities                            (Balance sheet)</t>
  </si>
  <si>
    <t>Pretax Income                                 (Income statement)</t>
  </si>
  <si>
    <t>Tax Provision                                   (Income statement)</t>
  </si>
  <si>
    <t>Market cap (billions)</t>
  </si>
  <si>
    <t>Beta (5Y Monthly)</t>
  </si>
  <si>
    <t>Cost of equity</t>
  </si>
  <si>
    <t>B = Beta</t>
  </si>
  <si>
    <t>Rm = Return of the market (on ETF would be 12%)</t>
  </si>
  <si>
    <t>Rm ( Return of the market )</t>
  </si>
  <si>
    <t>Balancesheet data</t>
  </si>
  <si>
    <t>Assumed macro constants</t>
  </si>
  <si>
    <t>Rf ( Treasury yeld 10 years )</t>
  </si>
  <si>
    <t>Rf = Risk free rate ( Treasury Yield )</t>
  </si>
  <si>
    <t>Cost of debt ( Rd )</t>
  </si>
  <si>
    <t>Cost of equity ( Re )</t>
  </si>
  <si>
    <t>Corporate tax rate ( Tc )</t>
  </si>
  <si>
    <t>Total deb ( D )</t>
  </si>
  <si>
    <t>E = Market cap + Total debt</t>
  </si>
  <si>
    <t xml:space="preserve">Weight of equity (We) =  V/E </t>
  </si>
  <si>
    <t xml:space="preserve">Weight of debt (Wd) =  D/E </t>
  </si>
  <si>
    <t>Growth rate</t>
  </si>
  <si>
    <t>Revenue</t>
  </si>
  <si>
    <t>(%)</t>
  </si>
  <si>
    <t>Net Income</t>
  </si>
  <si>
    <t>Net Income Available to Common Stockholders</t>
  </si>
  <si>
    <t>Free Cash Flow</t>
  </si>
  <si>
    <t>Net Income Margin</t>
  </si>
  <si>
    <t>Free Cash Flow Ratio (FCF / Net Income)</t>
  </si>
  <si>
    <t>1. Assumptions</t>
  </si>
  <si>
    <t>2. Historichal data</t>
  </si>
  <si>
    <t>3. Estimations</t>
  </si>
  <si>
    <t>Revenue growth YoY</t>
  </si>
  <si>
    <t>Terminal Value (TV)</t>
  </si>
  <si>
    <t>Discout factor</t>
  </si>
  <si>
    <t>PV to FCF</t>
  </si>
  <si>
    <t>Discout factor for TV</t>
  </si>
  <si>
    <t>PV to Terminal Value</t>
  </si>
  <si>
    <t>Fair Value</t>
  </si>
  <si>
    <t>Enterprise Value (USD millions)</t>
  </si>
  <si>
    <t>Number of shares</t>
  </si>
  <si>
    <t>Income Statement</t>
  </si>
  <si>
    <t>Cash Flow</t>
  </si>
  <si>
    <t>EBIDTA</t>
  </si>
  <si>
    <t>Balance Sheet</t>
  </si>
  <si>
    <t>Total Current Assets</t>
  </si>
  <si>
    <t>Total Assets</t>
  </si>
  <si>
    <t>Total Current Liabilities</t>
  </si>
  <si>
    <t>Total Non-Current Liabilities</t>
  </si>
  <si>
    <t>Total Non-Current Assets</t>
  </si>
  <si>
    <t>Total Liabilities</t>
  </si>
  <si>
    <t>Total Equity</t>
  </si>
  <si>
    <t>Margins</t>
  </si>
  <si>
    <t>Net margin</t>
  </si>
  <si>
    <t>EBITDA margin</t>
  </si>
  <si>
    <t>FCF maring</t>
  </si>
  <si>
    <t>Cash Dividends Paid</t>
  </si>
  <si>
    <t>Dividends</t>
  </si>
  <si>
    <t>Payout Ratio</t>
  </si>
  <si>
    <t>Debt</t>
  </si>
  <si>
    <t>Debt / Equity</t>
  </si>
  <si>
    <t>Current ratio (Current Assets / Current liabilites)</t>
  </si>
  <si>
    <t>Metric Indicator</t>
  </si>
  <si>
    <t>Condition</t>
  </si>
  <si>
    <t>1.0 - 1.5</t>
  </si>
  <si>
    <t>yes</t>
  </si>
  <si>
    <t>1 - 1.5</t>
  </si>
  <si>
    <t>PEG Ratio (5 yr expected) &lt;=</t>
  </si>
  <si>
    <t>Metrics</t>
  </si>
  <si>
    <t>FCF CAGR 5Y</t>
  </si>
  <si>
    <t>Net Income CAGR 5Y</t>
  </si>
  <si>
    <t>Revenue CAGR 5Y</t>
  </si>
  <si>
    <t xml:space="preserve">FCF (CARG 5y) </t>
  </si>
  <si>
    <t>increase</t>
  </si>
  <si>
    <t xml:space="preserve">Net income (CARG 5y) </t>
  </si>
  <si>
    <t xml:space="preserve">Revenue (CARG 5y) </t>
  </si>
  <si>
    <t xml:space="preserve">FCF (CARG 10y) </t>
  </si>
  <si>
    <t xml:space="preserve">Net income (CARG 10y) </t>
  </si>
  <si>
    <t xml:space="preserve">Revenue (CARG 10y) </t>
  </si>
  <si>
    <t>FCF CAGR 10Y</t>
  </si>
  <si>
    <t>Net Income CAGR 10Y</t>
  </si>
  <si>
    <t>Revenue CAGR 10Y</t>
  </si>
  <si>
    <t>Group</t>
  </si>
  <si>
    <t>Eficiency</t>
  </si>
  <si>
    <t>EBIDTA CAGR 5Y</t>
  </si>
  <si>
    <t>EBIDTA CAGR 10Y</t>
  </si>
  <si>
    <t xml:space="preserve">EBIDTA (CARG 5y) </t>
  </si>
  <si>
    <t xml:space="preserve">EBIDTA (CARG 10y) </t>
  </si>
  <si>
    <t>Profitability</t>
  </si>
  <si>
    <t>Evaluation</t>
  </si>
  <si>
    <t>Shares</t>
  </si>
  <si>
    <t>Value</t>
  </si>
  <si>
    <t>PE (last 5 Y) &lt;=</t>
  </si>
  <si>
    <t>K</t>
  </si>
  <si>
    <t>L</t>
  </si>
  <si>
    <t>J</t>
  </si>
  <si>
    <t>EBITDA estiamted growth rate</t>
  </si>
  <si>
    <t>DCF Perpetual Growth</t>
  </si>
  <si>
    <t>DCF Multiples</t>
  </si>
  <si>
    <t>4. Discounted FCF</t>
  </si>
  <si>
    <t>P/FCF (last 5Y) &lt;=</t>
  </si>
  <si>
    <t>Graham Revised Formula</t>
  </si>
  <si>
    <t>EPS (Diluted)</t>
  </si>
  <si>
    <t>Intrinsic value</t>
  </si>
  <si>
    <t>Y ( 20yr AA corp bond rate)</t>
  </si>
  <si>
    <t>https://fred.stlouisfed.org/series/BAMLC0A2CAAEY</t>
  </si>
  <si>
    <t>---&gt;</t>
  </si>
  <si>
    <t>P/E of company no growth [7, 8.5]</t>
  </si>
  <si>
    <t>Free Cash Flow Ratio</t>
  </si>
  <si>
    <t>Dividend Discout Model</t>
  </si>
  <si>
    <t>Scenariu</t>
  </si>
  <si>
    <t>CONSERVATIV</t>
  </si>
  <si>
    <t>Ratele de crestere</t>
  </si>
  <si>
    <t>Inputs</t>
  </si>
  <si>
    <t>Year</t>
  </si>
  <si>
    <t>Terminal Value</t>
  </si>
  <si>
    <t>Dividend / share</t>
  </si>
  <si>
    <t>Dividend Value [$]</t>
  </si>
  <si>
    <t>Estimated growth YOY[%]</t>
  </si>
  <si>
    <t>PV</t>
  </si>
  <si>
    <t xml:space="preserve">WACC [%] </t>
  </si>
  <si>
    <t>Fair value</t>
  </si>
  <si>
    <t>NORMAL</t>
  </si>
  <si>
    <t>HIGH</t>
  </si>
  <si>
    <t>Net Payout Ratio (last 5y) &lt;=</t>
  </si>
  <si>
    <t xml:space="preserve">CHOWDER (5y) &gt; </t>
  </si>
  <si>
    <t>CAGR 5y</t>
  </si>
  <si>
    <t>Dividend CAGR 5y</t>
  </si>
  <si>
    <t>Dividend Increase Average 5y</t>
  </si>
  <si>
    <t xml:space="preserve">Average Increasing 5 y &gt; </t>
  </si>
  <si>
    <t>positive</t>
  </si>
  <si>
    <t>Net Payout Ratio Average 5y</t>
  </si>
  <si>
    <t>EV/EBIDTA Multiple (stock median)</t>
  </si>
  <si>
    <t>&lt;1 Excelent, [1,2] Good</t>
  </si>
  <si>
    <t>ROA</t>
  </si>
  <si>
    <t>ROE</t>
  </si>
  <si>
    <t>ROIC</t>
  </si>
  <si>
    <t>5% good, 20% excelent</t>
  </si>
  <si>
    <t>Number of shares decrease</t>
  </si>
  <si>
    <t>Shares outstanding</t>
  </si>
  <si>
    <t>EPS</t>
  </si>
  <si>
    <t>Efficiency</t>
  </si>
  <si>
    <t>Other metrics</t>
  </si>
  <si>
    <t>Price to Earnings</t>
  </si>
  <si>
    <t>Price to FCF</t>
  </si>
  <si>
    <t>ROA (last 5 Y) &gt;=</t>
  </si>
  <si>
    <t>ROE (last 5 Y) &gt;=</t>
  </si>
  <si>
    <t>ROIC (last 5 Y) =&gt;</t>
  </si>
  <si>
    <t>Current Ratio (last 5 Y) &gt;=</t>
  </si>
  <si>
    <t>PEG</t>
  </si>
  <si>
    <t>EPS Growth esitmation (%)</t>
  </si>
  <si>
    <t>Long Term Debt</t>
  </si>
  <si>
    <t>Liabilities / Equity (last 5 Y) &lt;=</t>
  </si>
  <si>
    <t>Long Term Debt / EBIDTA</t>
  </si>
  <si>
    <t>&lt;3 Excelent &lt; 3.5 Good</t>
  </si>
  <si>
    <t>TXN_TexasInstruments</t>
  </si>
  <si>
    <t>sector median (19.13)</t>
  </si>
  <si>
    <t>sector median (7.94)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</si>
</sst>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&quot;$&quot;#,##0.00"/>
  </numFmts>
  <fonts count="27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5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3F3F3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5"/>
      <color theme="0"/>
      <name val="Wingdings"/>
      <charset val="2"/>
    </font>
    <font>
      <b/>
      <sz val="11"/>
      <color rgb="FF3F3F76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sz val="11"/>
      <color theme="1"/>
      <name val="Arial"/>
      <family val="2"/>
    </font>
    <font>
      <sz val="7"/>
      <color rgb="FFD4D4D4"/>
      <name val="Consolas"/>
      <family val="3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9.8000000000000007"/>
      <color rgb="FFA9B7C6"/>
      <name val="JetBrains Mono"/>
      <family val="3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theme="4" tint="0.499984740745262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12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4" applyNumberFormat="0" applyAlignment="0" applyProtection="0"/>
    <xf numFmtId="0" fontId="5" fillId="3" borderId="5" applyNumberFormat="0" applyAlignment="0" applyProtection="0"/>
    <xf numFmtId="0" fontId="6" fillId="0" borderId="6" applyNumberFormat="0" applyFill="0" applyAlignment="0" applyProtection="0"/>
    <xf numFmtId="0" fontId="7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4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65">
    <xf numFmtId="2" fontId="0" fillId="0" borderId="0" xfId="0" applyNumberFormat="1"/>
    <xf numFmtId="0" fontId="3" fillId="0" borderId="3" xfId="3"/>
    <xf numFmtId="0" fontId="2" fillId="0" borderId="2" xfId="2"/>
    <xf numFmtId="0" fontId="1" fillId="0" borderId="1" xfId="1"/>
    <xf numFmtId="0" fontId="3" fillId="0" borderId="0" xfId="4" applyBorder="1"/>
    <xf numFmtId="0" fontId="6" fillId="0" borderId="6" xfId="7"/>
    <xf numFmtId="0" fontId="0" fillId="0" borderId="0" xfId="0" applyAlignment="1">
      <alignment vertical="center"/>
    </xf>
    <xf numFmtId="0" fontId="3" fillId="0" borderId="0" xfId="4" applyBorder="1" applyAlignment="1">
      <alignment vertical="center"/>
    </xf>
    <xf numFmtId="0" fontId="1" fillId="0" borderId="1" xfId="1" applyAlignment="1"/>
    <xf numFmtId="3" fontId="0" fillId="0" borderId="0" xfId="0" applyNumberFormat="1"/>
    <xf numFmtId="0" fontId="3" fillId="0" borderId="0" xfId="4" applyFill="1" applyBorder="1"/>
    <xf numFmtId="3" fontId="2" fillId="0" borderId="2" xfId="2" applyNumberFormat="1"/>
    <xf numFmtId="10" fontId="2" fillId="0" borderId="2" xfId="2" applyNumberFormat="1"/>
    <xf numFmtId="10" fontId="0" fillId="0" borderId="0" xfId="0" applyNumberFormat="1"/>
    <xf numFmtId="9" fontId="0" fillId="0" borderId="0" xfId="0" applyNumberFormat="1"/>
    <xf numFmtId="0" fontId="8" fillId="0" borderId="0" xfId="0" applyFont="1" applyAlignment="1">
      <alignment vertical="top"/>
    </xf>
    <xf numFmtId="0" fontId="2" fillId="0" borderId="2" xfId="2" applyFill="1"/>
    <xf numFmtId="10" fontId="1" fillId="0" borderId="1" xfId="1" applyNumberFormat="1"/>
    <xf numFmtId="0" fontId="3" fillId="0" borderId="0" xfId="4"/>
    <xf numFmtId="0" fontId="1" fillId="0" borderId="1" xfId="1" applyAlignment="1">
      <alignment horizontal="left"/>
    </xf>
    <xf numFmtId="10" fontId="10" fillId="0" borderId="0" xfId="0" applyNumberFormat="1" applyFont="1"/>
    <xf numFmtId="4" fontId="10" fillId="0" borderId="0" xfId="0" applyNumberFormat="1" applyFont="1"/>
    <xf numFmtId="0" fontId="10" fillId="0" borderId="0" xfId="0" applyFont="1"/>
    <xf numFmtId="4" fontId="6" fillId="0" borderId="6" xfId="7" applyNumberFormat="1"/>
    <xf numFmtId="10" fontId="3" fillId="0" borderId="3" xfId="3" applyNumberFormat="1"/>
    <xf numFmtId="4" fontId="3" fillId="0" borderId="0" xfId="4" applyNumberFormat="1"/>
    <xf numFmtId="10" fontId="3" fillId="0" borderId="0" xfId="4" applyNumberFormat="1"/>
    <xf numFmtId="9" fontId="10" fillId="0" borderId="0" xfId="0" applyNumberFormat="1" applyFont="1"/>
    <xf numFmtId="164" fontId="3" fillId="0" borderId="0" xfId="4" applyNumberFormat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left"/>
    </xf>
    <xf numFmtId="0" fontId="5" fillId="3" borderId="0" xfId="6" applyBorder="1"/>
    <xf numFmtId="0" fontId="12" fillId="3" borderId="0" xfId="7" applyFont="1" applyFill="1" applyBorder="1"/>
    <xf numFmtId="0" fontId="6" fillId="0" borderId="0" xfId="0" applyFont="1"/>
    <xf numFmtId="0" fontId="0" fillId="8" borderId="0" xfId="0" applyFill="1"/>
    <xf numFmtId="0" fontId="3" fillId="8" borderId="0" xfId="4" applyFill="1"/>
    <xf numFmtId="0" fontId="3" fillId="7" borderId="0" xfId="4" applyFill="1"/>
    <xf numFmtId="4" fontId="14" fillId="9" borderId="0" xfId="0" applyNumberFormat="1" applyFont="1" applyFill="1" applyAlignment="1">
      <alignment horizontal="right" vertical="center" wrapText="1"/>
    </xf>
    <xf numFmtId="0" fontId="0" fillId="7" borderId="0" xfId="0" applyFill="1"/>
    <xf numFmtId="0" fontId="12" fillId="8" borderId="0" xfId="9" applyFont="1" applyFill="1"/>
    <xf numFmtId="2" fontId="12" fillId="8" borderId="0" xfId="0" applyNumberFormat="1" applyFont="1" applyFill="1"/>
    <xf numFmtId="0" fontId="12" fillId="7" borderId="0" xfId="10" applyFont="1" applyFill="1"/>
    <xf numFmtId="2" fontId="12" fillId="7" borderId="0" xfId="10" applyNumberFormat="1" applyFont="1" applyFill="1"/>
    <xf numFmtId="0" fontId="12" fillId="7" borderId="0" xfId="0" applyFont="1" applyFill="1"/>
    <xf numFmtId="0" fontId="12" fillId="0" borderId="0" xfId="0" applyFont="1"/>
    <xf numFmtId="0" fontId="6" fillId="8" borderId="0" xfId="9" applyFont="1" applyFill="1"/>
    <xf numFmtId="9" fontId="6" fillId="8" borderId="0" xfId="9" applyNumberFormat="1" applyFont="1" applyFill="1" applyAlignment="1">
      <alignment horizontal="left"/>
    </xf>
    <xf numFmtId="10" fontId="6" fillId="8" borderId="0" xfId="9" applyNumberFormat="1" applyFont="1" applyFill="1" applyAlignment="1">
      <alignment horizontal="left"/>
    </xf>
    <xf numFmtId="0" fontId="6" fillId="7" borderId="0" xfId="10" applyFont="1" applyFill="1"/>
    <xf numFmtId="9" fontId="6" fillId="7" borderId="0" xfId="10" applyNumberFormat="1" applyFont="1" applyFill="1" applyAlignment="1">
      <alignment horizontal="left"/>
    </xf>
    <xf numFmtId="0" fontId="6" fillId="8" borderId="0" xfId="0" applyFont="1" applyFill="1" applyAlignment="1">
      <alignment horizontal="left"/>
    </xf>
    <xf numFmtId="0" fontId="6" fillId="7" borderId="0" xfId="0" applyFont="1" applyFill="1" applyAlignment="1">
      <alignment horizontal="left"/>
    </xf>
    <xf numFmtId="10" fontId="12" fillId="8" borderId="0" xfId="0" applyNumberFormat="1" applyFont="1" applyFill="1" applyAlignment="1">
      <alignment horizontal="left"/>
    </xf>
    <xf numFmtId="0" fontId="12" fillId="8" borderId="0" xfId="0" applyFont="1" applyFill="1" applyAlignment="1">
      <alignment horizontal="left"/>
    </xf>
    <xf numFmtId="0" fontId="15" fillId="12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15" fillId="11" borderId="0" xfId="0" applyFont="1" applyFill="1" applyAlignment="1">
      <alignment horizontal="center" vertical="center"/>
    </xf>
    <xf numFmtId="2" fontId="6" fillId="7" borderId="0" xfId="0" applyNumberFormat="1" applyFont="1" applyFill="1" applyAlignment="1">
      <alignment horizontal="left"/>
    </xf>
    <xf numFmtId="4" fontId="16" fillId="2" borderId="4" xfId="5" applyNumberFormat="1" applyFont="1" applyAlignment="1">
      <alignment vertical="center"/>
    </xf>
    <xf numFmtId="3" fontId="16" fillId="2" borderId="4" xfId="5" applyNumberFormat="1" applyFont="1"/>
    <xf numFmtId="4" fontId="16" fillId="2" borderId="4" xfId="5" applyNumberFormat="1" applyFont="1"/>
    <xf numFmtId="165" fontId="10" fillId="0" borderId="0" xfId="0" applyNumberFormat="1" applyFont="1"/>
    <xf numFmtId="4" fontId="17" fillId="0" borderId="0" xfId="4" applyNumberFormat="1" applyFont="1"/>
    <xf numFmtId="10" fontId="17" fillId="0" borderId="0" xfId="4" applyNumberFormat="1" applyFont="1"/>
    <xf numFmtId="0" fontId="1" fillId="0" borderId="0" xfId="1" applyBorder="1"/>
    <xf numFmtId="10" fontId="18" fillId="2" borderId="4" xfId="5" applyNumberFormat="1" applyFont="1"/>
    <xf numFmtId="2" fontId="16" fillId="2" borderId="4" xfId="5" applyNumberFormat="1" applyFont="1"/>
    <xf numFmtId="10" fontId="16" fillId="2" borderId="4" xfId="5" applyNumberFormat="1" applyFont="1"/>
    <xf numFmtId="10" fontId="18" fillId="2" borderId="0" xfId="5" applyNumberFormat="1" applyFont="1" applyBorder="1"/>
    <xf numFmtId="0" fontId="19" fillId="3" borderId="5" xfId="6" applyFont="1"/>
    <xf numFmtId="166" fontId="19" fillId="3" borderId="5" xfId="6" applyNumberFormat="1" applyFont="1"/>
    <xf numFmtId="4" fontId="1" fillId="7" borderId="1" xfId="1" applyNumberFormat="1" applyFill="1"/>
    <xf numFmtId="4" fontId="1" fillId="0" borderId="1" xfId="1" applyNumberFormat="1"/>
    <xf numFmtId="0" fontId="3" fillId="0" borderId="8" xfId="4" applyBorder="1"/>
    <xf numFmtId="4" fontId="12" fillId="0" borderId="8" xfId="0" applyNumberFormat="1" applyFont="1" applyBorder="1"/>
    <xf numFmtId="0" fontId="6" fillId="8" borderId="6" xfId="7" applyFill="1"/>
    <xf numFmtId="0" fontId="20" fillId="0" borderId="0" xfId="11"/>
    <xf numFmtId="49" fontId="0" fillId="0" borderId="0" xfId="0" applyNumberFormat="1" applyAlignment="1">
      <alignment horizontal="center"/>
    </xf>
    <xf numFmtId="2" fontId="4" fillId="2" borderId="4" xfId="5" applyNumberFormat="1"/>
    <xf numFmtId="2" fontId="6" fillId="8" borderId="6" xfId="7" applyNumberFormat="1" applyFill="1"/>
    <xf numFmtId="0" fontId="3" fillId="0" borderId="18" xfId="3" applyBorder="1"/>
    <xf numFmtId="0" fontId="3" fillId="0" borderId="19" xfId="3" applyBorder="1"/>
    <xf numFmtId="0" fontId="0" fillId="0" borderId="19" xfId="0" applyBorder="1"/>
    <xf numFmtId="0" fontId="0" fillId="0" borderId="17" xfId="0" applyBorder="1"/>
    <xf numFmtId="0" fontId="3" fillId="0" borderId="20" xfId="3" applyBorder="1"/>
    <xf numFmtId="0" fontId="3" fillId="0" borderId="21" xfId="3" applyBorder="1"/>
    <xf numFmtId="0" fontId="3" fillId="0" borderId="22" xfId="4" applyBorder="1"/>
    <xf numFmtId="0" fontId="3" fillId="0" borderId="23" xfId="4" applyBorder="1"/>
    <xf numFmtId="0" fontId="3" fillId="0" borderId="25" xfId="3" applyBorder="1"/>
    <xf numFmtId="0" fontId="3" fillId="0" borderId="26" xfId="4" applyBorder="1"/>
    <xf numFmtId="2" fontId="5" fillId="3" borderId="27" xfId="6" applyNumberFormat="1" applyBorder="1"/>
    <xf numFmtId="0" fontId="3" fillId="0" borderId="14" xfId="3" applyBorder="1"/>
    <xf numFmtId="0" fontId="0" fillId="0" borderId="12" xfId="0" applyBorder="1"/>
    <xf numFmtId="0" fontId="0" fillId="0" borderId="13" xfId="0" applyBorder="1"/>
    <xf numFmtId="0" fontId="1" fillId="3" borderId="14" xfId="1" applyFill="1" applyBorder="1" applyAlignment="1"/>
    <xf numFmtId="166" fontId="1" fillId="3" borderId="8" xfId="1" applyNumberFormat="1" applyFill="1" applyBorder="1" applyAlignment="1"/>
    <xf numFmtId="0" fontId="0" fillId="0" borderId="8" xfId="0" applyBorder="1"/>
    <xf numFmtId="0" fontId="0" fillId="0" borderId="15" xfId="0" applyBorder="1"/>
    <xf numFmtId="0" fontId="22" fillId="0" borderId="0" xfId="0" applyFont="1"/>
    <xf numFmtId="166" fontId="0" fillId="0" borderId="0" xfId="0" applyNumberFormat="1"/>
    <xf numFmtId="0" fontId="3" fillId="0" borderId="0" xfId="4" applyFill="1"/>
    <xf numFmtId="9" fontId="3" fillId="0" borderId="0" xfId="4" applyNumberFormat="1" applyAlignment="1">
      <alignment horizontal="left"/>
    </xf>
    <xf numFmtId="9" fontId="3" fillId="0" borderId="0" xfId="4" applyNumberFormat="1" applyBorder="1" applyAlignment="1">
      <alignment horizontal="left"/>
    </xf>
    <xf numFmtId="10" fontId="3" fillId="0" borderId="0" xfId="4" applyNumberFormat="1" applyAlignment="1">
      <alignment horizontal="left"/>
    </xf>
    <xf numFmtId="10" fontId="16" fillId="2" borderId="29" xfId="5" applyNumberFormat="1" applyFont="1" applyBorder="1" applyAlignment="1">
      <alignment horizontal="right"/>
    </xf>
    <xf numFmtId="10" fontId="16" fillId="0" borderId="30" xfId="5" applyNumberFormat="1" applyFont="1" applyFill="1" applyBorder="1" applyAlignment="1">
      <alignment horizontal="right"/>
    </xf>
    <xf numFmtId="166" fontId="6" fillId="0" borderId="0" xfId="0" applyNumberFormat="1" applyFont="1"/>
    <xf numFmtId="49" fontId="0" fillId="0" borderId="0" xfId="0" applyNumberFormat="1"/>
    <xf numFmtId="49" fontId="23" fillId="0" borderId="0" xfId="0" applyNumberFormat="1" applyFont="1" applyAlignment="1">
      <alignment vertical="center"/>
    </xf>
    <xf numFmtId="0" fontId="2" fillId="0" borderId="2" xfId="2" applyAlignment="1">
      <alignment horizontal="right"/>
    </xf>
    <xf numFmtId="2" fontId="0" fillId="0" borderId="0" xfId="0" applyNumberFormat="1" applyAlignment="1">
      <alignment horizontal="right"/>
    </xf>
    <xf numFmtId="4" fontId="12" fillId="3" borderId="0" xfId="7" applyNumberFormat="1" applyFont="1" applyFill="1" applyBorder="1" applyAlignment="1">
      <alignment horizontal="right"/>
    </xf>
    <xf numFmtId="2" fontId="5" fillId="3" borderId="5" xfId="6" applyNumberFormat="1" applyAlignment="1">
      <alignment horizontal="right"/>
    </xf>
    <xf numFmtId="2" fontId="3" fillId="0" borderId="0" xfId="4" applyNumberFormat="1" applyAlignment="1">
      <alignment horizontal="right"/>
    </xf>
    <xf numFmtId="0" fontId="3" fillId="0" borderId="0" xfId="4" applyFill="1" applyBorder="1" applyAlignment="1">
      <alignment horizontal="right"/>
    </xf>
    <xf numFmtId="4" fontId="10" fillId="0" borderId="0" xfId="0" applyNumberFormat="1" applyFont="1" applyAlignment="1">
      <alignment horizontal="right"/>
    </xf>
    <xf numFmtId="4" fontId="5" fillId="3" borderId="0" xfId="6" applyNumberFormat="1" applyBorder="1" applyAlignment="1">
      <alignment horizontal="right"/>
    </xf>
    <xf numFmtId="166" fontId="16" fillId="2" borderId="4" xfId="5" applyNumberFormat="1" applyFont="1" applyAlignment="1">
      <alignment wrapText="1"/>
    </xf>
    <xf numFmtId="2" fontId="0" fillId="0" borderId="0" xfId="0" applyNumberFormat="1" applyAlignment="1">
      <alignment horizontal="right" vertical="center"/>
    </xf>
    <xf numFmtId="2" fontId="12" fillId="8" borderId="0" xfId="9" applyNumberFormat="1" applyFont="1" applyFill="1"/>
    <xf numFmtId="2" fontId="13" fillId="0" borderId="0" xfId="4" applyNumberFormat="1" applyFont="1" applyAlignment="1">
      <alignment horizontal="right"/>
    </xf>
    <xf numFmtId="10" fontId="12" fillId="8" borderId="0" xfId="0" applyNumberFormat="1" applyFont="1" applyFill="1" applyAlignment="1">
      <alignment horizontal="right"/>
    </xf>
    <xf numFmtId="2" fontId="3" fillId="0" borderId="0" xfId="4" applyNumberFormat="1"/>
    <xf numFmtId="2" fontId="6" fillId="8" borderId="0" xfId="9" applyNumberFormat="1" applyFont="1" applyFill="1" applyAlignment="1">
      <alignment horizontal="left"/>
    </xf>
    <xf numFmtId="2" fontId="6" fillId="8" borderId="0" xfId="0" applyNumberFormat="1" applyFont="1" applyFill="1" applyAlignment="1">
      <alignment horizontal="left"/>
    </xf>
    <xf numFmtId="2" fontId="6" fillId="0" borderId="0" xfId="0" applyNumberFormat="1" applyFont="1" applyAlignment="1">
      <alignment horizontal="left"/>
    </xf>
    <xf numFmtId="10" fontId="11" fillId="3" borderId="5" xfId="6" applyNumberFormat="1" applyFont="1" applyAlignment="1">
      <alignment horizontal="right"/>
    </xf>
    <xf numFmtId="2" fontId="12" fillId="7" borderId="0" xfId="0" applyNumberFormat="1" applyFont="1" applyFill="1" applyAlignment="1">
      <alignment horizontal="left"/>
    </xf>
    <xf numFmtId="2" fontId="24" fillId="0" borderId="0" xfId="0" applyNumberFormat="1" applyFont="1" applyAlignment="1">
      <alignment vertical="center"/>
    </xf>
    <xf numFmtId="0" fontId="24" fillId="0" borderId="0" xfId="0" applyFont="1"/>
    <xf numFmtId="2" fontId="24" fillId="0" borderId="0" xfId="0" applyNumberFormat="1" applyFont="1" applyAlignment="1">
      <alignment horizontal="right"/>
    </xf>
    <xf numFmtId="10" fontId="25" fillId="8" borderId="0" xfId="0" applyNumberFormat="1" applyFont="1" applyFill="1"/>
    <xf numFmtId="0" fontId="13" fillId="7" borderId="0" xfId="10" applyFill="1" applyAlignment="1">
      <alignment horizontal="left" vertical="center"/>
    </xf>
    <xf numFmtId="2" fontId="26" fillId="0" borderId="0" xfId="0" applyNumberFormat="1" applyFont="1" applyAlignment="1">
      <alignment vertical="center"/>
    </xf>
    <xf numFmtId="4" fontId="11" fillId="3" borderId="0" xfId="6" applyNumberFormat="1" applyFont="1" applyBorder="1" applyAlignment="1">
      <alignment horizontal="right" vertical="top"/>
    </xf>
    <xf numFmtId="2" fontId="12" fillId="0" borderId="0" xfId="0" applyNumberFormat="1" applyFont="1" applyAlignment="1">
      <alignment horizontal="right" vertical="top"/>
    </xf>
    <xf numFmtId="2" fontId="10" fillId="0" borderId="0" xfId="0" applyNumberFormat="1" applyFont="1" applyAlignment="1">
      <alignment horizontal="right" vertical="top"/>
    </xf>
    <xf numFmtId="0" fontId="0" fillId="0" borderId="0" xfId="0"/>
    <xf numFmtId="0" fontId="3" fillId="0" borderId="0" xfId="4" applyAlignment="1">
      <alignment horizontal="left" vertical="center"/>
    </xf>
    <xf numFmtId="0" fontId="21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6" fillId="8" borderId="7" xfId="9" applyFont="1" applyFill="1" applyBorder="1" applyAlignment="1">
      <alignment horizontal="left" vertical="center"/>
    </xf>
    <xf numFmtId="0" fontId="6" fillId="8" borderId="0" xfId="9" applyFont="1" applyFill="1" applyBorder="1" applyAlignment="1">
      <alignment horizontal="left" vertical="center"/>
    </xf>
    <xf numFmtId="0" fontId="6" fillId="8" borderId="0" xfId="9" applyFont="1" applyFill="1" applyAlignment="1">
      <alignment horizontal="left" vertical="center"/>
    </xf>
    <xf numFmtId="0" fontId="6" fillId="7" borderId="0" xfId="10" applyFont="1" applyFill="1" applyAlignment="1">
      <alignment horizontal="left" vertical="center"/>
    </xf>
    <xf numFmtId="0" fontId="13" fillId="7" borderId="0" xfId="10" applyFill="1" applyAlignment="1">
      <alignment horizontal="left" vertical="center"/>
    </xf>
    <xf numFmtId="0" fontId="6" fillId="8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3" fillId="8" borderId="0" xfId="4" applyFill="1" applyAlignment="1">
      <alignment horizontal="left"/>
    </xf>
    <xf numFmtId="0" fontId="9" fillId="5" borderId="0" xfId="8" applyFont="1" applyBorder="1" applyAlignment="1">
      <alignment horizontal="center" vertical="center"/>
    </xf>
    <xf numFmtId="2" fontId="5" fillId="3" borderId="27" xfId="6" applyNumberFormat="1" applyBorder="1" applyAlignment="1">
      <alignment horizontal="center"/>
    </xf>
    <xf numFmtId="2" fontId="5" fillId="3" borderId="28" xfId="6" applyNumberFormat="1" applyBorder="1" applyAlignment="1">
      <alignment horizontal="center"/>
    </xf>
    <xf numFmtId="0" fontId="1" fillId="0" borderId="16" xfId="1" applyFill="1" applyBorder="1" applyAlignment="1">
      <alignment horizontal="left"/>
    </xf>
    <xf numFmtId="0" fontId="1" fillId="0" borderId="17" xfId="1" applyFill="1" applyBorder="1" applyAlignment="1">
      <alignment horizontal="left"/>
    </xf>
    <xf numFmtId="0" fontId="3" fillId="0" borderId="23" xfId="4" applyBorder="1"/>
    <xf numFmtId="0" fontId="3" fillId="0" borderId="24" xfId="4" applyBorder="1"/>
  </cellXfs>
  <cellStyles count="12">
    <cellStyle name="20% - Accent1" xfId="9" builtinId="30"/>
    <cellStyle name="40% - Accent1" xfId="10" builtinId="31"/>
    <cellStyle name="60% - Accent1" xfId="8" builtinId="32"/>
    <cellStyle name="Heading 1" xfId="1" builtinId="16"/>
    <cellStyle name="Heading 2" xfId="2" builtinId="17"/>
    <cellStyle name="Heading 3" xfId="3" builtinId="18"/>
    <cellStyle name="Heading 4" xfId="4" builtinId="19"/>
    <cellStyle name="Hyperlink" xfId="11" builtinId="8"/>
    <cellStyle name="Input" xfId="5" builtinId="20"/>
    <cellStyle name="Normal" xfId="0" builtinId="0"/>
    <cellStyle name="Output" xfId="6" builtinId="21"/>
    <cellStyle name="Total" xfId="7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Margins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Net margin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Financials!$D$50:$M$50</c:f>
              <c:numCache>
                <c:formatCode>0.00%</c:formatCode>
                <c:ptCount val="10"/>
                <c:pt idx="0">
                  <c:v>0.17410897173289636</c:v>
                </c:pt>
                <c:pt idx="1">
                  <c:v>0.212878497508624</c:v>
                </c:pt>
                <c:pt idx="2">
                  <c:v>0.2296923076923077</c:v>
                </c:pt>
                <c:pt idx="3">
                  <c:v>0.26888556469708302</c:v>
                </c:pt>
                <c:pt idx="4">
                  <c:v>0.24383396831762583</c:v>
                </c:pt>
                <c:pt idx="5">
                  <c:v>0.35079827673593511</c:v>
                </c:pt>
                <c:pt idx="6">
                  <c:v>0.34658972397969823</c:v>
                </c:pt>
                <c:pt idx="7">
                  <c:v>0.38503561302814465</c:v>
                </c:pt>
                <c:pt idx="8">
                  <c:v>0.4217182730047972</c:v>
                </c:pt>
                <c:pt idx="9">
                  <c:v>0.43484122228879568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FE3-402B-88B1-A32EEE73278E}"/>
            </c:ext>
          </c:extLst>
        </c:ser>
        <c:ser>
          <c:idx val="1"/>
          <c:order val="1"/>
          <c:tx>
            <c:v>EBITDA margin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Financials!$D$51:$M$51</c:f>
              <c:numCache>
                <c:formatCode>0.00%</c:formatCode>
                <c:ptCount val="10"/>
                <c:pt idx="0">
                  <c:v>0.33830397378123722</c:v>
                </c:pt>
                <c:pt idx="1">
                  <c:v>0.39685703334610961</c:v>
                </c:pt>
                <c:pt idx="2">
                  <c:v>0.41961538461538461</c:v>
                </c:pt>
                <c:pt idx="3">
                  <c:v>0.43455497382198954</c:v>
                </c:pt>
                <c:pt idx="4">
                  <c:v>0.46701423701624223</c:v>
                </c:pt>
                <c:pt idx="5">
                  <c:v>0.48574505828687276</c:v>
                </c:pt>
                <c:pt idx="6">
                  <c:v>0.47090314955155393</c:v>
                </c:pt>
                <c:pt idx="7">
                  <c:v>0.47617730447410278</c:v>
                </c:pt>
                <c:pt idx="8">
                  <c:v>0.54044919319668561</c:v>
                </c:pt>
                <c:pt idx="9">
                  <c:v>0.555172758138606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FE3-402B-88B1-A32EEE73278E}"/>
            </c:ext>
          </c:extLst>
        </c:ser>
        <c:ser>
          <c:idx val="2"/>
          <c:order val="2"/>
          <c:tx>
            <c:v>FCF Margin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Financials!$D$52:$M$52</c:f>
              <c:numCache>
                <c:formatCode>0.00%</c:formatCode>
                <c:ptCount val="10"/>
                <c:pt idx="0">
                  <c:v>0.24522736583367472</c:v>
                </c:pt>
                <c:pt idx="1">
                  <c:v>0.29214258336527404</c:v>
                </c:pt>
                <c:pt idx="2">
                  <c:v>0.30430769230769233</c:v>
                </c:pt>
                <c:pt idx="3">
                  <c:v>0.30538519072550485</c:v>
                </c:pt>
                <c:pt idx="4">
                  <c:v>0.31468484726956752</c:v>
                </c:pt>
                <c:pt idx="5">
                  <c:v>0.38437658388241258</c:v>
                </c:pt>
                <c:pt idx="6">
                  <c:v>0.40547869012028087</c:v>
                </c:pt>
                <c:pt idx="7">
                  <c:v>0.3799184012170666</c:v>
                </c:pt>
                <c:pt idx="8">
                  <c:v>0.34719799389446143</c:v>
                </c:pt>
                <c:pt idx="9">
                  <c:v>0.29588575993608945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FE3-402B-88B1-A32EEE7327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4061504"/>
        <c:axId val="323784136"/>
      </c:lineChart>
      <c:catAx>
        <c:axId val="3240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84136"/>
        <c:crosses val="autoZero"/>
        <c:auto val="1"/>
        <c:lblAlgn val="ctr"/>
        <c:lblOffset val="100"/>
        <c:noMultiLvlLbl val="0"/>
      </c:catAx>
      <c:valAx>
        <c:axId val="32378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Margin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 and P/FCF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Financials!$D$81:$M$81</c:f>
              <c:numCache>
                <c:formatCode>0.00</c:formatCode>
                <c:ptCount val="10"/>
                <c:pt idx="0">
                  <c:v>25.979999542236328</c:v>
                </c:pt>
                <c:pt idx="1">
                  <c:v>23.549999237060547</c:v>
                </c:pt>
                <c:pt idx="2">
                  <c:v>19.719999313354492</c:v>
                </c:pt>
                <c:pt idx="3">
                  <c:v>23.239999771118164</c:v>
                </c:pt>
                <c:pt idx="4">
                  <c:v>24.399999618530273</c:v>
                </c:pt>
                <c:pt idx="5">
                  <c:v>20.239999771118164</c:v>
                </c:pt>
                <c:pt idx="6">
                  <c:v>23.799999237060547</c:v>
                </c:pt>
                <c:pt idx="7">
                  <c:v>31.030000686645508</c:v>
                </c:pt>
                <c:pt idx="8">
                  <c:v>24.190000534057617</c:v>
                </c:pt>
                <c:pt idx="9">
                  <c:v>17.319999694824219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E99-43A2-91C6-E54CD548E410}"/>
            </c:ext>
          </c:extLst>
        </c:ser>
        <c:ser>
          <c:idx val="1"/>
          <c:order val="1"/>
          <c:tx>
            <c:v>P/FCF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Financials!$D$82:$M$82</c:f>
              <c:numCache>
                <c:formatCode>0.00</c:formatCode>
                <c:ptCount val="10"/>
                <c:pt idx="0">
                  <c:v>15.029999732971191</c:v>
                </c:pt>
                <c:pt idx="1">
                  <c:v>15.25</c:v>
                </c:pt>
                <c:pt idx="2">
                  <c:v>14.039999961853027</c:v>
                </c:pt>
                <c:pt idx="3">
                  <c:v>16.680000305175781</c:v>
                </c:pt>
                <c:pt idx="4">
                  <c:v>21.989999771118164</c:v>
                </c:pt>
                <c:pt idx="5">
                  <c:v>13.539999961853027</c:v>
                </c:pt>
                <c:pt idx="6">
                  <c:v>17.440000534057617</c:v>
                </c:pt>
                <c:pt idx="7">
                  <c:v>26.659999847412109</c:v>
                </c:pt>
                <c:pt idx="8">
                  <c:v>20.680000305175781</c:v>
                </c:pt>
                <c:pt idx="9">
                  <c:v>17.020000457763672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E99-43A2-91C6-E54CD548E4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4914160"/>
        <c:axId val="324911808"/>
      </c:lineChart>
      <c:catAx>
        <c:axId val="32491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808"/>
        <c:crosses val="autoZero"/>
        <c:auto val="1"/>
        <c:lblAlgn val="ctr"/>
        <c:lblOffset val="100"/>
        <c:noMultiLvlLbl val="0"/>
      </c:catAx>
      <c:valAx>
        <c:axId val="32491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EPS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Financials!$D$15:$M$15</c:f>
              <c:numCache>
                <c:formatCode>0.00</c:formatCode>
                <c:ptCount val="10"/>
                <c:pt idx="0">
                  <c:v>1.9099999666213989</c:v>
                </c:pt>
                <c:pt idx="1">
                  <c:v>2.5699999332427979</c:v>
                </c:pt>
                <c:pt idx="2">
                  <c:v>2.8199999332427979</c:v>
                </c:pt>
                <c:pt idx="3">
                  <c:v>3.4800000190734863</c:v>
                </c:pt>
                <c:pt idx="4">
                  <c:v>3.6099998950958252</c:v>
                </c:pt>
                <c:pt idx="5">
                  <c:v>5.5900001525878906</c:v>
                </c:pt>
                <c:pt idx="6">
                  <c:v>5.2399997711181641</c:v>
                </c:pt>
                <c:pt idx="7">
                  <c:v>5.9699997901916504</c:v>
                </c:pt>
                <c:pt idx="8">
                  <c:v>8.2600002288818359</c:v>
                </c:pt>
                <c:pt idx="9">
                  <c:v>9.4099998474121094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E-4D0E-B961-FAF8C19FC5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5728"/>
        <c:axId val="324918080"/>
      </c:barChart>
      <c:catAx>
        <c:axId val="3249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8080"/>
        <c:crosses val="autoZero"/>
        <c:auto val="1"/>
        <c:lblAlgn val="ctr"/>
        <c:lblOffset val="100"/>
        <c:noMultiLvlLbl val="0"/>
      </c:catAx>
      <c:valAx>
        <c:axId val="3249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Financials!$D$3:$M$3</c:f>
              <c:numCache>
                <c:formatCode>0.00</c:formatCode>
                <c:ptCount val="10"/>
                <c:pt idx="0">
                  <c:v>12205</c:v>
                </c:pt>
                <c:pt idx="1">
                  <c:v>13045</c:v>
                </c:pt>
                <c:pt idx="2">
                  <c:v>13000</c:v>
                </c:pt>
                <c:pt idx="3">
                  <c:v>13370</c:v>
                </c:pt>
                <c:pt idx="4">
                  <c:v>14961</c:v>
                </c:pt>
                <c:pt idx="5">
                  <c:v>15784</c:v>
                </c:pt>
                <c:pt idx="6">
                  <c:v>14383</c:v>
                </c:pt>
                <c:pt idx="7">
                  <c:v>14461</c:v>
                </c:pt>
                <c:pt idx="8">
                  <c:v>18344</c:v>
                </c:pt>
                <c:pt idx="9">
                  <c:v>20028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E-45FB-AC97-BE6E1683FD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4944"/>
        <c:axId val="324915336"/>
      </c:barChart>
      <c:catAx>
        <c:axId val="32491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5336"/>
        <c:crosses val="autoZero"/>
        <c:auto val="1"/>
        <c:lblAlgn val="ctr"/>
        <c:lblOffset val="100"/>
        <c:noMultiLvlLbl val="0"/>
      </c:catAx>
      <c:valAx>
        <c:axId val="32491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Long</a:t>
            </a:r>
            <a:r>
              <a:rPr lang="en-GB" baseline="0"/>
              <a:t> debt to EBIDTA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Long Term Debt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Financials!$D$46:$M$46</c:f>
              <c:numCache>
                <c:formatCode>0.00</c:formatCode>
                <c:ptCount val="10"/>
                <c:pt idx="0">
                  <c:v>4158</c:v>
                </c:pt>
                <c:pt idx="1">
                  <c:v>3630</c:v>
                </c:pt>
                <c:pt idx="2">
                  <c:v>3120</c:v>
                </c:pt>
                <c:pt idx="3">
                  <c:v>2978</c:v>
                </c:pt>
                <c:pt idx="4">
                  <c:v>3577</c:v>
                </c:pt>
                <c:pt idx="5">
                  <c:v>4319</c:v>
                </c:pt>
                <c:pt idx="6">
                  <c:v>5303</c:v>
                </c:pt>
                <c:pt idx="7">
                  <c:v>6248</c:v>
                </c:pt>
                <c:pt idx="8">
                  <c:v>7241</c:v>
                </c:pt>
                <c:pt idx="9">
                  <c:v>8235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E-45CF-BF1C-D9569523F0D8}"/>
            </c:ext>
          </c:extLst>
        </c:ser>
        <c:ser>
          <c:idx val="1"/>
          <c:order val="1"/>
          <c:tx>
            <c:v>EBIDTA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4129</c:v>
                </c:pt>
                <c:pt idx="1">
                  <c:v>5177</c:v>
                </c:pt>
                <c:pt idx="2">
                  <c:v>5455</c:v>
                </c:pt>
                <c:pt idx="3">
                  <c:v>5810</c:v>
                </c:pt>
                <c:pt idx="4">
                  <c:v>6987</c:v>
                </c:pt>
                <c:pt idx="5">
                  <c:v>7667</c:v>
                </c:pt>
                <c:pt idx="6">
                  <c:v>6773</c:v>
                </c:pt>
                <c:pt idx="7">
                  <c:v>6886</c:v>
                </c:pt>
                <c:pt idx="8">
                  <c:v>9914</c:v>
                </c:pt>
                <c:pt idx="9">
                  <c:v>11119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4E-45CF-BF1C-D9569523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7557008"/>
        <c:axId val="647553648"/>
      </c:barChart>
      <c:lineChart>
        <c:grouping val="stacked"/>
        <c:varyColors val="0"/>
        <c:ser>
          <c:idx val="2"/>
          <c:order val="2"/>
          <c:tx>
            <c:v>Debt / EBIDTA ratio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Financials!$D$60:$M$60</c:f>
              <c:numCache>
                <c:formatCode>0.00</c:formatCode>
                <c:ptCount val="10"/>
                <c:pt idx="0">
                  <c:v>1.0070234923710342</c:v>
                </c:pt>
                <c:pt idx="1">
                  <c:v>0.70117828858412212</c:v>
                </c:pt>
                <c:pt idx="2">
                  <c:v>0.57195233730522455</c:v>
                </c:pt>
                <c:pt idx="3">
                  <c:v>0.51256454388984507</c:v>
                </c:pt>
                <c:pt idx="4">
                  <c:v>0.51195076570774301</c:v>
                </c:pt>
                <c:pt idx="5">
                  <c:v>0.56332333376809707</c:v>
                </c:pt>
                <c:pt idx="6">
                  <c:v>0.78296175992913042</c:v>
                </c:pt>
                <c:pt idx="7">
                  <c:v>0.90734824281150162</c:v>
                </c:pt>
                <c:pt idx="8">
                  <c:v>0.73038127899939476</c:v>
                </c:pt>
                <c:pt idx="9">
                  <c:v>0.74062415684863747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4E-45CF-BF1C-D9569523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562128"/>
        <c:axId val="874567888"/>
      </c:lineChart>
      <c:catAx>
        <c:axId val="64755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3648"/>
        <c:crosses val="autoZero"/>
        <c:auto val="1"/>
        <c:lblAlgn val="ctr"/>
        <c:lblOffset val="100"/>
        <c:noMultiLvlLbl val="0"/>
      </c:catAx>
      <c:valAx>
        <c:axId val="6475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7008"/>
        <c:crosses val="autoZero"/>
        <c:crossBetween val="between"/>
      </c:valAx>
      <c:valAx>
        <c:axId val="87456788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562128"/>
        <c:crosses val="max"/>
        <c:crossBetween val="between"/>
      </c:valAx>
      <c:catAx>
        <c:axId val="87456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4567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Dividend sustainability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Free Cash Flow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Financials!$D$20:$M$20</c:f>
              <c:numCache>
                <c:formatCode>0.00</c:formatCode>
                <c:ptCount val="10"/>
                <c:pt idx="0">
                  <c:v>2993</c:v>
                </c:pt>
                <c:pt idx="1">
                  <c:v>3811</c:v>
                </c:pt>
                <c:pt idx="2">
                  <c:v>3956</c:v>
                </c:pt>
                <c:pt idx="3">
                  <c:v>4083</c:v>
                </c:pt>
                <c:pt idx="4">
                  <c:v>4708</c:v>
                </c:pt>
                <c:pt idx="5">
                  <c:v>6067</c:v>
                </c:pt>
                <c:pt idx="6">
                  <c:v>5832</c:v>
                </c:pt>
                <c:pt idx="7">
                  <c:v>5494</c:v>
                </c:pt>
                <c:pt idx="8">
                  <c:v>6369</c:v>
                </c:pt>
                <c:pt idx="9">
                  <c:v>5926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D-4E4A-AA11-E50E447108A8}"/>
            </c:ext>
          </c:extLst>
        </c:ser>
        <c:ser>
          <c:idx val="0"/>
          <c:order val="1"/>
          <c:tx>
            <c:v>Dividend paid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Financials!$D$23:$M$23</c:f>
              <c:numCache>
                <c:formatCode>0.00</c:formatCode>
                <c:ptCount val="10"/>
                <c:pt idx="0">
                  <c:v>1175</c:v>
                </c:pt>
                <c:pt idx="1">
                  <c:v>1323</c:v>
                </c:pt>
                <c:pt idx="2">
                  <c:v>1444</c:v>
                </c:pt>
                <c:pt idx="3">
                  <c:v>1646</c:v>
                </c:pt>
                <c:pt idx="4">
                  <c:v>2104</c:v>
                </c:pt>
                <c:pt idx="5">
                  <c:v>2555</c:v>
                </c:pt>
                <c:pt idx="6">
                  <c:v>3008</c:v>
                </c:pt>
                <c:pt idx="7">
                  <c:v>3426</c:v>
                </c:pt>
                <c:pt idx="8">
                  <c:v>3886</c:v>
                </c:pt>
                <c:pt idx="9">
                  <c:v>4297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3890768"/>
        <c:axId val="323891152"/>
      </c:barChart>
      <c:scatterChart>
        <c:scatterStyle val="smoothMarker"/>
        <c:varyColors val="0"/>
        <c:ser>
          <c:idx val="2"/>
          <c:order val="2"/>
          <c:tx>
            <c:v>Payout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Financials!$D$55:$M$55</c:f>
              <c:numCache>
                <c:formatCode>0.00%</c:formatCode>
                <c:ptCount val="10"/>
                <c:pt idx="0">
                  <c:v>0.39258269295021719</c:v>
                </c:pt>
                <c:pt idx="1">
                  <c:v>0.34715297822093938</c:v>
                </c:pt>
                <c:pt idx="2">
                  <c:v>0.36501516683518703</c:v>
                </c:pt>
                <c:pt idx="3">
                  <c:v>0.40313494979181974</c:v>
                </c:pt>
                <c:pt idx="4">
                  <c:v>0.44689889549702633</c:v>
                </c:pt>
                <c:pt idx="5">
                  <c:v>0.4211307071040053</c:v>
                </c:pt>
                <c:pt idx="6">
                  <c:v>0.51577503429355276</c:v>
                </c:pt>
                <c:pt idx="7">
                  <c:v>0.6235893702220604</c:v>
                </c:pt>
                <c:pt idx="8">
                  <c:v>0.61014287957293134</c:v>
                </c:pt>
                <c:pt idx="9">
                  <c:v>0.72510968612892335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924800"/>
        <c:axId val="323899736"/>
      </c:scatterChart>
      <c:catAx>
        <c:axId val="32389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1152"/>
        <c:crosses val="autoZero"/>
        <c:auto val="1"/>
        <c:lblAlgn val="ctr"/>
        <c:lblOffset val="100"/>
        <c:noMultiLvlLbl val="0"/>
      </c:catAx>
      <c:valAx>
        <c:axId val="3238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0768"/>
        <c:crosses val="autoZero"/>
        <c:crossBetween val="between"/>
      </c:valAx>
      <c:valAx>
        <c:axId val="3238997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24800"/>
        <c:crosses val="max"/>
        <c:crossBetween val="midCat"/>
      </c:valAx>
      <c:valAx>
        <c:axId val="323924800"/>
        <c:scaling>
          <c:orientation val="minMax"/>
        </c:scaling>
        <c:delete val="1"/>
        <c:axPos val="b"/>
        <c:majorTickMark val="out"/>
        <c:minorTickMark val="none"/>
        <c:tickLblPos val="nextTo"/>
        <c:crossAx val="323899736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Assets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Not-Current Assets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Financials!$D$31:$M$31</c:f>
              <c:numCache>
                <c:formatCode>0.00</c:formatCode>
                <c:ptCount val="10"/>
                <c:pt idx="0">
                  <c:v>10919</c:v>
                </c:pt>
                <c:pt idx="1">
                  <c:v>9951</c:v>
                </c:pt>
                <c:pt idx="2">
                  <c:v>9156</c:v>
                </c:pt>
                <c:pt idx="3">
                  <c:v>8974</c:v>
                </c:pt>
                <c:pt idx="4">
                  <c:v>8908</c:v>
                </c:pt>
                <c:pt idx="5">
                  <c:v>9040</c:v>
                </c:pt>
                <c:pt idx="6">
                  <c:v>9257</c:v>
                </c:pt>
                <c:pt idx="7">
                  <c:v>9112</c:v>
                </c:pt>
                <c:pt idx="8">
                  <c:v>10991</c:v>
                </c:pt>
                <c:pt idx="9">
                  <c:v>13186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F-4C09-80D9-ADBB573BF7C8}"/>
            </c:ext>
          </c:extLst>
        </c:ser>
        <c:ser>
          <c:idx val="0"/>
          <c:order val="1"/>
          <c:tx>
            <c:v>Current Assets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0.00</c:formatCode>
                <c:ptCount val="10"/>
                <c:pt idx="0">
                  <c:v>8019</c:v>
                </c:pt>
                <c:pt idx="1">
                  <c:v>7421</c:v>
                </c:pt>
                <c:pt idx="2">
                  <c:v>7074</c:v>
                </c:pt>
                <c:pt idx="3">
                  <c:v>7457</c:v>
                </c:pt>
                <c:pt idx="4">
                  <c:v>8734</c:v>
                </c:pt>
                <c:pt idx="5">
                  <c:v>8097</c:v>
                </c:pt>
                <c:pt idx="6">
                  <c:v>8761</c:v>
                </c:pt>
                <c:pt idx="7">
                  <c:v>10239</c:v>
                </c:pt>
                <c:pt idx="8">
                  <c:v>13685</c:v>
                </c:pt>
                <c:pt idx="9">
                  <c:v>14021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F-4C09-80D9-ADBB573BF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23936248"/>
        <c:axId val="324020400"/>
      </c:barChart>
      <c:catAx>
        <c:axId val="32393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20400"/>
        <c:crosses val="autoZero"/>
        <c:auto val="1"/>
        <c:lblAlgn val="ctr"/>
        <c:lblOffset val="100"/>
        <c:noMultiLvlLbl val="0"/>
      </c:catAx>
      <c:valAx>
        <c:axId val="324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3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Liabilities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Current Liabilities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Financials!$D$36:$M$36</c:f>
              <c:numCache>
                <c:formatCode>0.00</c:formatCode>
                <c:ptCount val="10"/>
                <c:pt idx="0">
                  <c:v>2747</c:v>
                </c:pt>
                <c:pt idx="1">
                  <c:v>2658</c:v>
                </c:pt>
                <c:pt idx="2">
                  <c:v>2555</c:v>
                </c:pt>
                <c:pt idx="3">
                  <c:v>2264</c:v>
                </c:pt>
                <c:pt idx="4">
                  <c:v>2258</c:v>
                </c:pt>
                <c:pt idx="5">
                  <c:v>2474</c:v>
                </c:pt>
                <c:pt idx="6">
                  <c:v>2123</c:v>
                </c:pt>
                <c:pt idx="7">
                  <c:v>2390</c:v>
                </c:pt>
                <c:pt idx="8">
                  <c:v>2569</c:v>
                </c:pt>
                <c:pt idx="9">
                  <c:v>2985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8-4E8A-8CFA-F7ADD20FD77D}"/>
            </c:ext>
          </c:extLst>
        </c:ser>
        <c:ser>
          <c:idx val="1"/>
          <c:order val="1"/>
          <c:tx>
            <c:v>Non-Current liabilities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Financials!$D$39:$M$39</c:f>
              <c:numCache>
                <c:formatCode>0.00</c:formatCode>
                <c:ptCount val="10"/>
                <c:pt idx="0">
                  <c:v>5384</c:v>
                </c:pt>
                <c:pt idx="1">
                  <c:v>4324</c:v>
                </c:pt>
                <c:pt idx="2">
                  <c:v>3729</c:v>
                </c:pt>
                <c:pt idx="3">
                  <c:v>3694</c:v>
                </c:pt>
                <c:pt idx="4">
                  <c:v>5047</c:v>
                </c:pt>
                <c:pt idx="5">
                  <c:v>5669</c:v>
                </c:pt>
                <c:pt idx="6">
                  <c:v>6988</c:v>
                </c:pt>
                <c:pt idx="7">
                  <c:v>7774</c:v>
                </c:pt>
                <c:pt idx="8">
                  <c:v>8774</c:v>
                </c:pt>
                <c:pt idx="9">
                  <c:v>9645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8-4E8A-8CFA-F7ADD20F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4449320"/>
        <c:axId val="324447752"/>
      </c:barChart>
      <c:catAx>
        <c:axId val="32444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7752"/>
        <c:crosses val="autoZero"/>
        <c:auto val="1"/>
        <c:lblAlgn val="ctr"/>
        <c:lblOffset val="100"/>
        <c:noMultiLvlLbl val="0"/>
      </c:catAx>
      <c:valAx>
        <c:axId val="32444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Debt to 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equity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Financials!$D$44:$M$44</c:f>
              <c:numCache>
                <c:formatCode>#,##0.00</c:formatCode>
                <c:ptCount val="10"/>
                <c:pt idx="0">
                  <c:v>10807</c:v>
                </c:pt>
                <c:pt idx="1">
                  <c:v>10390</c:v>
                </c:pt>
                <c:pt idx="2">
                  <c:v>9946</c:v>
                </c:pt>
                <c:pt idx="3">
                  <c:v>10473</c:v>
                </c:pt>
                <c:pt idx="4">
                  <c:v>10337</c:v>
                </c:pt>
                <c:pt idx="5">
                  <c:v>8994</c:v>
                </c:pt>
                <c:pt idx="6">
                  <c:v>8907</c:v>
                </c:pt>
                <c:pt idx="7">
                  <c:v>9187</c:v>
                </c:pt>
                <c:pt idx="8">
                  <c:v>13333</c:v>
                </c:pt>
                <c:pt idx="9">
                  <c:v>14577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1-4451-902B-E5C55349FE88}"/>
            </c:ext>
          </c:extLst>
        </c:ser>
        <c:ser>
          <c:idx val="0"/>
          <c:order val="1"/>
          <c:tx>
            <c:v>Total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Financials!$D$42:$M$42</c:f>
              <c:numCache>
                <c:formatCode>#,##0.00</c:formatCode>
                <c:ptCount val="10"/>
                <c:pt idx="0">
                  <c:v>8131</c:v>
                </c:pt>
                <c:pt idx="1">
                  <c:v>6982</c:v>
                </c:pt>
                <c:pt idx="2">
                  <c:v>6284</c:v>
                </c:pt>
                <c:pt idx="3">
                  <c:v>5958</c:v>
                </c:pt>
                <c:pt idx="4">
                  <c:v>7305</c:v>
                </c:pt>
                <c:pt idx="5">
                  <c:v>8143</c:v>
                </c:pt>
                <c:pt idx="6">
                  <c:v>9111</c:v>
                </c:pt>
                <c:pt idx="7">
                  <c:v>10164</c:v>
                </c:pt>
                <c:pt idx="8">
                  <c:v>11343</c:v>
                </c:pt>
                <c:pt idx="9">
                  <c:v>12630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4450104"/>
        <c:axId val="324450496"/>
      </c:barChart>
      <c:scatterChart>
        <c:scatterStyle val="smoothMarker"/>
        <c:varyColors val="0"/>
        <c:ser>
          <c:idx val="2"/>
          <c:order val="2"/>
          <c:tx>
            <c:v>Debt / Equity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Financials!$D$58:$M$58</c:f>
              <c:numCache>
                <c:formatCode>0.00</c:formatCode>
                <c:ptCount val="10"/>
                <c:pt idx="0">
                  <c:v>0.7523827149070047</c:v>
                </c:pt>
                <c:pt idx="1">
                  <c:v>0.67199230028873913</c:v>
                </c:pt>
                <c:pt idx="2">
                  <c:v>0.63181178363161072</c:v>
                </c:pt>
                <c:pt idx="3">
                  <c:v>0.56889143511887708</c:v>
                </c:pt>
                <c:pt idx="4">
                  <c:v>0.70668472477507982</c:v>
                </c:pt>
                <c:pt idx="5">
                  <c:v>0.90538136535468094</c:v>
                </c:pt>
                <c:pt idx="6">
                  <c:v>1.0229033344560459</c:v>
                </c:pt>
                <c:pt idx="7">
                  <c:v>1.1063459235876782</c:v>
                </c:pt>
                <c:pt idx="8">
                  <c:v>0.85074626865671643</c:v>
                </c:pt>
                <c:pt idx="9">
                  <c:v>0.86643342251492073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447360"/>
        <c:axId val="324446968"/>
      </c:scatterChart>
      <c:catAx>
        <c:axId val="32445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0496"/>
        <c:crosses val="autoZero"/>
        <c:auto val="1"/>
        <c:lblAlgn val="ctr"/>
        <c:lblOffset val="100"/>
        <c:noMultiLvlLbl val="0"/>
      </c:catAx>
      <c:valAx>
        <c:axId val="3244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0104"/>
        <c:crosses val="autoZero"/>
        <c:crossBetween val="between"/>
      </c:valAx>
      <c:valAx>
        <c:axId val="32444696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7360"/>
        <c:crosses val="max"/>
        <c:crossBetween val="midCat"/>
      </c:valAx>
      <c:valAx>
        <c:axId val="324447360"/>
        <c:scaling>
          <c:orientation val="minMax"/>
        </c:scaling>
        <c:delete val="1"/>
        <c:axPos val="b"/>
        <c:majorTickMark val="out"/>
        <c:minorTickMark val="none"/>
        <c:tickLblPos val="nextTo"/>
        <c:crossAx val="324446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Current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Current assets</c:v>
          </c:tx>
          <c:spPr>
            <a:solidFill>
              <a:srgbClr val="92D05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0.00</c:formatCode>
                <c:ptCount val="10"/>
                <c:pt idx="0">
                  <c:v>8019</c:v>
                </c:pt>
                <c:pt idx="1">
                  <c:v>7421</c:v>
                </c:pt>
                <c:pt idx="2">
                  <c:v>7074</c:v>
                </c:pt>
                <c:pt idx="3">
                  <c:v>7457</c:v>
                </c:pt>
                <c:pt idx="4">
                  <c:v>8734</c:v>
                </c:pt>
                <c:pt idx="5">
                  <c:v>8097</c:v>
                </c:pt>
                <c:pt idx="6">
                  <c:v>8761</c:v>
                </c:pt>
                <c:pt idx="7">
                  <c:v>10239</c:v>
                </c:pt>
                <c:pt idx="8">
                  <c:v>13685</c:v>
                </c:pt>
                <c:pt idx="9">
                  <c:v>14021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7-4D67-B636-EDCF6282012C}"/>
            </c:ext>
          </c:extLst>
        </c:ser>
        <c:ser>
          <c:idx val="1"/>
          <c:order val="1"/>
          <c:tx>
            <c:v>Current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Financials!$D$36:$M$36</c:f>
              <c:numCache>
                <c:formatCode>0.00</c:formatCode>
                <c:ptCount val="10"/>
                <c:pt idx="0">
                  <c:v>2747</c:v>
                </c:pt>
                <c:pt idx="1">
                  <c:v>2658</c:v>
                </c:pt>
                <c:pt idx="2">
                  <c:v>2555</c:v>
                </c:pt>
                <c:pt idx="3">
                  <c:v>2264</c:v>
                </c:pt>
                <c:pt idx="4">
                  <c:v>2258</c:v>
                </c:pt>
                <c:pt idx="5">
                  <c:v>2474</c:v>
                </c:pt>
                <c:pt idx="6">
                  <c:v>2123</c:v>
                </c:pt>
                <c:pt idx="7">
                  <c:v>2390</c:v>
                </c:pt>
                <c:pt idx="8">
                  <c:v>2569</c:v>
                </c:pt>
                <c:pt idx="9">
                  <c:v>2985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4448536"/>
        <c:axId val="324448928"/>
      </c:barChart>
      <c:lineChart>
        <c:grouping val="stacked"/>
        <c:varyColors val="0"/>
        <c:ser>
          <c:idx val="2"/>
          <c:order val="2"/>
          <c:tx>
            <c:v>Current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Financials!$D$59:$M$59</c:f>
              <c:numCache>
                <c:formatCode>0.00</c:formatCode>
                <c:ptCount val="10"/>
                <c:pt idx="0">
                  <c:v>2.9191845649799784</c:v>
                </c:pt>
                <c:pt idx="1">
                  <c:v>2.7919488337095562</c:v>
                </c:pt>
                <c:pt idx="2">
                  <c:v>2.768688845401174</c:v>
                </c:pt>
                <c:pt idx="3">
                  <c:v>3.2937279151943462</c:v>
                </c:pt>
                <c:pt idx="4">
                  <c:v>3.8680248007085916</c:v>
                </c:pt>
                <c:pt idx="5">
                  <c:v>3.2728375101050928</c:v>
                </c:pt>
                <c:pt idx="6">
                  <c:v>4.1267074894017899</c:v>
                </c:pt>
                <c:pt idx="7">
                  <c:v>4.2841004184100422</c:v>
                </c:pt>
                <c:pt idx="8">
                  <c:v>5.3269754768392374</c:v>
                </c:pt>
                <c:pt idx="9">
                  <c:v>4.6971524288107203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912592"/>
        <c:axId val="324917688"/>
      </c:lineChart>
      <c:catAx>
        <c:axId val="32444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8928"/>
        <c:crosses val="autoZero"/>
        <c:auto val="1"/>
        <c:lblAlgn val="ctr"/>
        <c:lblOffset val="100"/>
        <c:noMultiLvlLbl val="0"/>
      </c:catAx>
      <c:valAx>
        <c:axId val="3244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8536"/>
        <c:crosses val="autoZero"/>
        <c:crossBetween val="between"/>
      </c:valAx>
      <c:valAx>
        <c:axId val="324917688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592"/>
        <c:crosses val="max"/>
        <c:crossBetween val="between"/>
      </c:valAx>
      <c:catAx>
        <c:axId val="32491259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7688"/>
        <c:crosses val="max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Profitability</a:t>
            </a:r>
            <a:r>
              <a:rPr lang="en-US" baseline="0"/>
              <a:t> </a:t>
            </a:r>
            <a:r>
              <a:rPr lang="en-US"/>
              <a:t>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EBIDTA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4129</c:v>
                </c:pt>
                <c:pt idx="1">
                  <c:v>5177</c:v>
                </c:pt>
                <c:pt idx="2">
                  <c:v>5455</c:v>
                </c:pt>
                <c:pt idx="3">
                  <c:v>5810</c:v>
                </c:pt>
                <c:pt idx="4">
                  <c:v>6987</c:v>
                </c:pt>
                <c:pt idx="5">
                  <c:v>7667</c:v>
                </c:pt>
                <c:pt idx="6">
                  <c:v>6773</c:v>
                </c:pt>
                <c:pt idx="7">
                  <c:v>6886</c:v>
                </c:pt>
                <c:pt idx="8">
                  <c:v>9914</c:v>
                </c:pt>
                <c:pt idx="9">
                  <c:v>11119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5D-49BE-8C18-62B89DC40B3C}"/>
            </c:ext>
          </c:extLst>
        </c:ser>
        <c:ser>
          <c:idx val="2"/>
          <c:order val="1"/>
          <c:tx>
            <c:v>Net Income</c:v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Financials!$D$6:$M$6</c:f>
              <c:numCache>
                <c:formatCode>0.00</c:formatCode>
                <c:ptCount val="10"/>
                <c:pt idx="0">
                  <c:v>2125</c:v>
                </c:pt>
                <c:pt idx="1">
                  <c:v>2777</c:v>
                </c:pt>
                <c:pt idx="2">
                  <c:v>2986</c:v>
                </c:pt>
                <c:pt idx="3">
                  <c:v>3595</c:v>
                </c:pt>
                <c:pt idx="4">
                  <c:v>3648</c:v>
                </c:pt>
                <c:pt idx="5">
                  <c:v>5537</c:v>
                </c:pt>
                <c:pt idx="6">
                  <c:v>4985</c:v>
                </c:pt>
                <c:pt idx="7">
                  <c:v>5568</c:v>
                </c:pt>
                <c:pt idx="8">
                  <c:v>7736</c:v>
                </c:pt>
                <c:pt idx="9">
                  <c:v>8709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5D-49BE-8C18-62B89DC40B3C}"/>
            </c:ext>
          </c:extLst>
        </c:ser>
        <c:ser>
          <c:idx val="3"/>
          <c:order val="2"/>
          <c:tx>
            <c:v>Free Cash Flow</c:v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Financials!$D$20:$M$20</c:f>
              <c:numCache>
                <c:formatCode>0.00</c:formatCode>
                <c:ptCount val="10"/>
                <c:pt idx="0">
                  <c:v>2993</c:v>
                </c:pt>
                <c:pt idx="1">
                  <c:v>3811</c:v>
                </c:pt>
                <c:pt idx="2">
                  <c:v>3956</c:v>
                </c:pt>
                <c:pt idx="3">
                  <c:v>4083</c:v>
                </c:pt>
                <c:pt idx="4">
                  <c:v>4708</c:v>
                </c:pt>
                <c:pt idx="5">
                  <c:v>6067</c:v>
                </c:pt>
                <c:pt idx="6">
                  <c:v>5832</c:v>
                </c:pt>
                <c:pt idx="7">
                  <c:v>5494</c:v>
                </c:pt>
                <c:pt idx="8">
                  <c:v>6369</c:v>
                </c:pt>
                <c:pt idx="9">
                  <c:v>5926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5D-49BE-8C18-62B89DC40B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24913768"/>
        <c:axId val="324912984"/>
      </c:barChart>
      <c:valAx>
        <c:axId val="3249129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3768"/>
        <c:crosses val="max"/>
        <c:crossBetween val="between"/>
      </c:valAx>
      <c:catAx>
        <c:axId val="32491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ROA ROE ROIC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ROA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Financials!$D$76:$M$76</c:f>
              <c:numCache>
                <c:formatCode>0.00</c:formatCode>
                <c:ptCount val="10"/>
                <c:pt idx="0">
                  <c:v>11.220825852782765</c:v>
                </c:pt>
                <c:pt idx="1">
                  <c:v>15.985493898227032</c:v>
                </c:pt>
                <c:pt idx="2">
                  <c:v>18.398028342575479</c:v>
                </c:pt>
                <c:pt idx="3">
                  <c:v>21.879374353356461</c:v>
                </c:pt>
                <c:pt idx="4">
                  <c:v>20.677927672599477</c:v>
                </c:pt>
                <c:pt idx="5">
                  <c:v>32.31020598704557</c:v>
                </c:pt>
                <c:pt idx="6">
                  <c:v>27.666777666777666</c:v>
                </c:pt>
                <c:pt idx="7">
                  <c:v>28.773706785179062</c:v>
                </c:pt>
                <c:pt idx="8">
                  <c:v>31.35029988652942</c:v>
                </c:pt>
                <c:pt idx="9">
                  <c:v>32.010144448119966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F-45DB-907A-A59C0CB47A38}"/>
            </c:ext>
          </c:extLst>
        </c:ser>
        <c:ser>
          <c:idx val="1"/>
          <c:order val="1"/>
          <c:tx>
            <c:v>ROE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Financials!$D$77:$M$77</c:f>
              <c:numCache>
                <c:formatCode>0.00</c:formatCode>
                <c:ptCount val="10"/>
                <c:pt idx="0">
                  <c:v>19.66318127139817</c:v>
                </c:pt>
                <c:pt idx="1">
                  <c:v>26.727622714148218</c:v>
                </c:pt>
                <c:pt idx="2">
                  <c:v>30.022119445003018</c:v>
                </c:pt>
                <c:pt idx="3">
                  <c:v>34.326363028740573</c:v>
                </c:pt>
                <c:pt idx="4">
                  <c:v>35.290703298829449</c:v>
                </c:pt>
                <c:pt idx="5">
                  <c:v>61.563264398487881</c:v>
                </c:pt>
                <c:pt idx="6">
                  <c:v>55.967216795778604</c:v>
                </c:pt>
                <c:pt idx="7">
                  <c:v>60.607379993469031</c:v>
                </c:pt>
                <c:pt idx="8">
                  <c:v>58.021450536263409</c:v>
                </c:pt>
                <c:pt idx="9">
                  <c:v>59.744803457501547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F-45DB-907A-A59C0CB47A38}"/>
            </c:ext>
          </c:extLst>
        </c:ser>
        <c:ser>
          <c:idx val="2"/>
          <c:order val="2"/>
          <c:tx>
            <c:v>ROIC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Financials!$D$78:$M$78</c:f>
              <c:numCache>
                <c:formatCode>0.00</c:formatCode>
                <c:ptCount val="10"/>
                <c:pt idx="0">
                  <c:v>13.489999771118164</c:v>
                </c:pt>
                <c:pt idx="1">
                  <c:v>18.299999237060547</c:v>
                </c:pt>
                <c:pt idx="2">
                  <c:v>20.600000381469727</c:v>
                </c:pt>
                <c:pt idx="3">
                  <c:v>25.600000381469727</c:v>
                </c:pt>
                <c:pt idx="4">
                  <c:v>25.940000534057617</c:v>
                </c:pt>
                <c:pt idx="5">
                  <c:v>39.619998931884766</c:v>
                </c:pt>
                <c:pt idx="6">
                  <c:v>35.590000152587891</c:v>
                </c:pt>
                <c:pt idx="7">
                  <c:v>36.990001678466797</c:v>
                </c:pt>
                <c:pt idx="8">
                  <c:v>41.900001525878906</c:v>
                </c:pt>
                <c:pt idx="9">
                  <c:v>39.439998626708984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F-45DB-907A-A59C0CB47A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4912200"/>
        <c:axId val="324911024"/>
      </c:lineChart>
      <c:catAx>
        <c:axId val="324912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024"/>
        <c:crosses val="autoZero"/>
        <c:auto val="1"/>
        <c:lblAlgn val="ctr"/>
        <c:lblOffset val="100"/>
        <c:noMultiLvlLbl val="1"/>
      </c:catAx>
      <c:valAx>
        <c:axId val="324911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Shares outstanding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Financials!$D$12:$M$12</c:f>
              <c:numCache>
                <c:formatCode>0.00</c:formatCode>
                <c:ptCount val="10"/>
                <c:pt idx="0">
                  <c:v>1113</c:v>
                </c:pt>
                <c:pt idx="1">
                  <c:v>1080</c:v>
                </c:pt>
                <c:pt idx="2">
                  <c:v>1043</c:v>
                </c:pt>
                <c:pt idx="3">
                  <c:v>1021</c:v>
                </c:pt>
                <c:pt idx="4">
                  <c:v>1012</c:v>
                </c:pt>
                <c:pt idx="5">
                  <c:v>990</c:v>
                </c:pt>
                <c:pt idx="6">
                  <c:v>952</c:v>
                </c:pt>
                <c:pt idx="7">
                  <c:v>921</c:v>
                </c:pt>
                <c:pt idx="8">
                  <c:v>923</c:v>
                </c:pt>
                <c:pt idx="9">
                  <c:v>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5-4179-91AC-A4368A515C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1416"/>
        <c:axId val="324916120"/>
      </c:barChart>
      <c:catAx>
        <c:axId val="32491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6120"/>
        <c:crosses val="autoZero"/>
        <c:auto val="1"/>
        <c:lblAlgn val="ctr"/>
        <c:lblOffset val="100"/>
        <c:noMultiLvlLbl val="0"/>
      </c:catAx>
      <c:valAx>
        <c:axId val="32491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291727</xdr:colOff>
      <xdr:row>25</xdr:row>
      <xdr:rowOff>184524</xdr:rowOff>
    </xdr:from>
    <xdr:to>
      <xdr:col>16</xdr:col>
      <xdr:colOff>261472</xdr:colOff>
      <xdr:row>44</xdr:row>
      <xdr:rowOff>134471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433295</xdr:colOff>
      <xdr:row>83</xdr:row>
      <xdr:rowOff>175558</xdr:rowOff>
    </xdr:from>
    <xdr:to>
      <xdr:col>16</xdr:col>
      <xdr:colOff>351866</xdr:colOff>
      <xdr:row>102</xdr:row>
      <xdr:rowOff>125132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310777</xdr:colOff>
      <xdr:row>64</xdr:row>
      <xdr:rowOff>8141</xdr:rowOff>
    </xdr:from>
    <xdr:to>
      <xdr:col>33</xdr:col>
      <xdr:colOff>431427</xdr:colOff>
      <xdr:row>82</xdr:row>
      <xdr:rowOff>40342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291353</xdr:colOff>
      <xdr:row>84</xdr:row>
      <xdr:rowOff>79245</xdr:rowOff>
    </xdr:from>
    <xdr:to>
      <xdr:col>33</xdr:col>
      <xdr:colOff>430508</xdr:colOff>
      <xdr:row>102</xdr:row>
      <xdr:rowOff>162821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320115</xdr:colOff>
      <xdr:row>45</xdr:row>
      <xdr:rowOff>110192</xdr:rowOff>
    </xdr:from>
    <xdr:to>
      <xdr:col>33</xdr:col>
      <xdr:colOff>313766</xdr:colOff>
      <xdr:row>62</xdr:row>
      <xdr:rowOff>135592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288365</xdr:colOff>
      <xdr:row>45</xdr:row>
      <xdr:rowOff>148291</xdr:rowOff>
    </xdr:from>
    <xdr:to>
      <xdr:col>16</xdr:col>
      <xdr:colOff>212166</xdr:colOff>
      <xdr:row>62</xdr:row>
      <xdr:rowOff>154641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399677</xdr:colOff>
      <xdr:row>1</xdr:row>
      <xdr:rowOff>70221</xdr:rowOff>
    </xdr:from>
    <xdr:to>
      <xdr:col>16</xdr:col>
      <xdr:colOff>273051</xdr:colOff>
      <xdr:row>24</xdr:row>
      <xdr:rowOff>37352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294105</xdr:colOff>
      <xdr:row>25</xdr:row>
      <xdr:rowOff>174123</xdr:rowOff>
    </xdr:from>
    <xdr:to>
      <xdr:col>33</xdr:col>
      <xdr:colOff>387349</xdr:colOff>
      <xdr:row>44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413251</xdr:colOff>
      <xdr:row>125</xdr:row>
      <xdr:rowOff>335</xdr:rowOff>
    </xdr:from>
    <xdr:to>
      <xdr:col>16</xdr:col>
      <xdr:colOff>406400</xdr:colOff>
      <xdr:row>143</xdr:row>
      <xdr:rowOff>120650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419100</xdr:colOff>
      <xdr:row>104</xdr:row>
      <xdr:rowOff>161471</xdr:rowOff>
    </xdr:from>
    <xdr:to>
      <xdr:col>16</xdr:col>
      <xdr:colOff>406400</xdr:colOff>
      <xdr:row>123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304799</xdr:colOff>
      <xdr:row>105</xdr:row>
      <xdr:rowOff>33564</xdr:rowOff>
    </xdr:from>
    <xdr:to>
      <xdr:col>33</xdr:col>
      <xdr:colOff>363765</xdr:colOff>
      <xdr:row>123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320674</xdr:colOff>
      <xdr:row>1</xdr:row>
      <xdr:rowOff>82550</xdr:rowOff>
    </xdr:from>
    <xdr:to>
      <xdr:col>33</xdr:col>
      <xdr:colOff>311150</xdr:colOff>
      <xdr:row>24</xdr:row>
      <xdr:rowOff>31750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323281</xdr:colOff>
      <xdr:row>63</xdr:row>
      <xdr:rowOff>138398</xdr:rowOff>
    </xdr:from>
    <xdr:to>
      <xdr:col>16</xdr:col>
      <xdr:colOff>244232</xdr:colOff>
      <xdr:row>82</xdr:row>
      <xdr:rowOff>67571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0EF526C-4CEE-D15C-6E9C-073E5DDA4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19051</xdr:colOff>
      <xdr:row>1</xdr:row>
      <xdr:rowOff>101600</xdr:rowOff>
    </xdr:from>
    <xdr:to>
      <xdr:col>14</xdr:col>
      <xdr:colOff>355601</xdr:colOff>
      <xdr:row>11</xdr:row>
      <xdr:rowOff>184149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3801" y="469900"/>
          <a:ext cx="2774950" cy="2006599"/>
        </a:xfrm>
        <a:prstGeom prst="rect">
          <a:avLst/>
        </a:prstGeom>
      </xdr:spPr>
    </xdr:pic>
    <xdr:clientData/>
  </xdr:twoCellAnchor>
  <xdr:twoCellAnchor editAs="oneCell">
    <xdr:from>
      <xdr:col>15</xdr:col>
      <xdr:colOff>533400</xdr:colOff>
      <xdr:row>2</xdr:row>
      <xdr:rowOff>171450</xdr:rowOff>
    </xdr:from>
    <xdr:to>
      <xdr:col>19</xdr:col>
      <xdr:colOff>464485</xdr:colOff>
      <xdr:row>4</xdr:row>
      <xdr:rowOff>25399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6150" y="793750"/>
          <a:ext cx="2369485" cy="234949"/>
        </a:xfrm>
        <a:prstGeom prst="rect">
          <a:avLst/>
        </a:prstGeom>
      </xdr:spPr>
    </xdr:pic>
    <xdr:clientData/>
  </xdr:twoCellAnchor>
  <xdr:twoCellAnchor editAs="oneCell">
    <xdr:from>
      <xdr:col>9</xdr:col>
      <xdr:colOff>590551</xdr:colOff>
      <xdr:row>15</xdr:row>
      <xdr:rowOff>25400</xdr:rowOff>
    </xdr:from>
    <xdr:to>
      <xdr:col>15</xdr:col>
      <xdr:colOff>304801</xdr:colOff>
      <xdr:row>17</xdr:row>
      <xdr:rowOff>213669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5701" y="3175000"/>
          <a:ext cx="3371850" cy="594669"/>
        </a:xfrm>
        <a:prstGeom prst="rect">
          <a:avLst/>
        </a:prstGeom>
      </xdr:spPr>
    </xdr:pic>
    <xdr:clientData/>
  </xdr:twoCellAnchor>
  <xdr:oneCellAnchor>
    <xdr:from>
      <xdr:col>9</xdr:col>
      <xdr:colOff>600075</xdr:colOff>
      <xdr:row>24</xdr:row>
      <xdr:rowOff>50800</xdr:rowOff>
    </xdr:from>
    <xdr:ext cx="4526945" cy="6383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panose="02040503050406030204" pitchFamily="18" charset="0"/>
                      </a:rPr>
                      <m:t>𝑅𝑑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𝑑𝑒𝑏𝑡</m:t>
                        </m:r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𝐼𝑛𝑡𝑒𝑟𝑒𝑠𝑡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𝐸𝑥𝑝𝑒𝑛𝑠𝑒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𝑁𝑜𝑛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𝑂𝑝𝑒𝑟𝑎𝑡𝑖𝑛𝑔</m:t>
                        </m:r>
                      </m:den>
                    </m:f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000" b="0" i="0">
                  <a:latin typeface="Cambria Math" panose="02040503050406030204" pitchFamily="18" charset="0"/>
                </a:rPr>
                <a:t>𝑅𝑑=  (𝑇𝑜𝑡𝑎𝑙 𝑑𝑒𝑏𝑡)/(𝐼𝑛𝑡𝑒𝑟𝑒𝑠𝑡 𝐸𝑥𝑝𝑒𝑛𝑠𝑒 𝑁𝑜𝑛 𝑂𝑝𝑒𝑟𝑎𝑡𝑖𝑛𝑔)</a:t>
              </a:r>
              <a:endParaRPr lang="en-US" sz="20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882650</xdr:colOff>
      <xdr:row>32</xdr:row>
      <xdr:rowOff>19824</xdr:rowOff>
    </xdr:from>
    <xdr:to>
      <xdr:col>27</xdr:col>
      <xdr:colOff>107950</xdr:colOff>
      <xdr:row>47</xdr:row>
      <xdr:rowOff>243839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76400" y="7849374"/>
          <a:ext cx="8864600" cy="3037065"/>
        </a:xfrm>
        <a:prstGeom prst="rect">
          <a:avLst/>
        </a:prstGeom>
      </xdr:spPr>
    </xdr:pic>
    <xdr:clientData/>
  </xdr:twoCellAnchor>
  <xdr:twoCellAnchor editAs="oneCell">
    <xdr:from>
      <xdr:col>12</xdr:col>
      <xdr:colOff>900945</xdr:colOff>
      <xdr:row>14</xdr:row>
      <xdr:rowOff>82550</xdr:rowOff>
    </xdr:from>
    <xdr:to>
      <xdr:col>27</xdr:col>
      <xdr:colOff>100558</xdr:colOff>
      <xdr:row>37</xdr:row>
      <xdr:rowOff>14307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94695" y="3365500"/>
          <a:ext cx="8838913" cy="43482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1</xdr:row>
      <xdr:rowOff>158750</xdr:rowOff>
    </xdr:from>
    <xdr:to>
      <xdr:col>7</xdr:col>
      <xdr:colOff>361949</xdr:colOff>
      <xdr:row>9</xdr:row>
      <xdr:rowOff>181709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950" y="342900"/>
          <a:ext cx="5492749" cy="149615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fred.stlouisfed.org/series/BAMLC0A2CAAEY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47"/>
  <sheetViews>
    <sheetView showGridLines="0" topLeftCell="A10" zoomScale="75" workbookViewId="0">
      <selection activeCell="F36" sqref="F36"/>
    </sheetView>
  </sheetViews>
  <sheetFormatPr defaultRowHeight="14.5"/>
  <cols>
    <col min="2" max="2" width="16.90625" bestFit="1" customWidth="1"/>
    <col min="3" max="3" width="31.453125" bestFit="1" customWidth="1"/>
    <col min="4" max="4" width="7.08984375" customWidth="1"/>
    <col min="5" max="5" width="22.1796875" bestFit="1" customWidth="1"/>
    <col min="6" max="6" width="19.54296875" customWidth="1"/>
    <col min="20" max="20" width="7.453125" bestFit="1" customWidth="1"/>
  </cols>
  <sheetData>
    <row r="2" spans="2:22" ht="15" thickBot="1"/>
    <row r="3" spans="2:22">
      <c r="B3" s="139" t="s">
        <v>159</v>
      </c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1"/>
    </row>
    <row r="4" spans="2:22">
      <c r="B4" s="142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4"/>
    </row>
    <row r="5" spans="2:22">
      <c r="B5" s="142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4"/>
    </row>
    <row r="6" spans="2:22" ht="15" thickBot="1">
      <c r="B6" s="145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7"/>
    </row>
    <row r="8" spans="2:22" ht="13.5" customHeight="1"/>
    <row r="10" spans="2:22" ht="17.5" thickBot="1">
      <c r="B10" s="2" t="s">
        <v>86</v>
      </c>
      <c r="C10" s="2" t="s">
        <v>66</v>
      </c>
      <c r="D10" s="2"/>
      <c r="E10" s="2" t="s">
        <v>67</v>
      </c>
      <c r="F10" s="2" t="s">
        <v>95</v>
      </c>
      <c r="G10" s="2">
        <v>2013</v>
      </c>
      <c r="H10" s="2">
        <v>2014</v>
      </c>
      <c r="I10" s="2">
        <v>2015</v>
      </c>
      <c r="J10" s="2">
        <v>2016</v>
      </c>
      <c r="K10" s="2">
        <v>2017</v>
      </c>
      <c r="L10" s="2">
        <v>2018</v>
      </c>
      <c r="M10" s="2">
        <v>2019</v>
      </c>
      <c r="N10" s="2">
        <v>2020</v>
      </c>
      <c r="O10" s="2">
        <v>2021</v>
      </c>
      <c r="P10" s="2">
        <v>2022</v>
      </c>
    </row>
    <row r="11" spans="2:22" ht="19" thickTop="1">
      <c r="B11" s="148" t="s">
        <v>87</v>
      </c>
      <c r="C11" s="35"/>
      <c r="D11" s="35"/>
      <c r="E11" s="45"/>
      <c r="F11" s="45"/>
      <c r="G11" s="39"/>
      <c r="H11" s="39"/>
      <c r="I11" s="39"/>
      <c r="J11" s="39"/>
      <c r="K11" s="39"/>
      <c r="L11" s="39"/>
      <c r="M11" s="39"/>
      <c r="N11" s="39"/>
      <c r="O11" s="39"/>
      <c r="P11" s="39"/>
      <c r="T11" s="54" t="s">
        <v>99</v>
      </c>
      <c r="U11" s="55" t="s">
        <v>97</v>
      </c>
      <c r="V11" s="56" t="s">
        <v>98</v>
      </c>
    </row>
    <row r="12" spans="2:22" ht="18.5">
      <c r="B12" s="149"/>
      <c r="C12" s="35" t="s">
        <v>149</v>
      </c>
      <c r="D12" s="54" t="str">
        <f>T11</f>
        <v>J</v>
      </c>
      <c r="E12" s="45" t="s">
        <v>141</v>
      </c>
      <c r="F12" s="123">
        <f>AVERAGE(L12:P12)</f>
        <v>30.422226954730338</v>
      </c>
      <c r="G12" s="119">
        <f>Financials!D76</f>
        <v>11.220825852782765</v>
      </c>
      <c r="H12" s="119">
        <f>Financials!E76</f>
        <v>15.985493898227032</v>
      </c>
      <c r="I12" s="119">
        <f>Financials!F76</f>
        <v>18.398028342575479</v>
      </c>
      <c r="J12" s="119">
        <f>Financials!G76</f>
        <v>21.879374353356461</v>
      </c>
      <c r="K12" s="119">
        <f>Financials!H76</f>
        <v>20.677927672599477</v>
      </c>
      <c r="L12" s="119">
        <f>Financials!I76</f>
        <v>32.31020598704557</v>
      </c>
      <c r="M12" s="119">
        <f>Financials!J76</f>
        <v>27.666777666777666</v>
      </c>
      <c r="N12" s="119">
        <f>Financials!K76</f>
        <v>28.773706785179062</v>
      </c>
      <c r="O12" s="119">
        <f>Financials!L76</f>
        <v>31.35029988652942</v>
      </c>
      <c r="P12" s="119">
        <f>Financials!M76</f>
        <v>32.010144448119966</v>
      </c>
    </row>
    <row r="13" spans="2:22">
      <c r="B13" s="149"/>
      <c r="C13" s="35"/>
      <c r="D13" s="35"/>
      <c r="E13" s="45"/>
      <c r="F13" s="45"/>
      <c r="G13" s="119"/>
      <c r="H13" s="119"/>
      <c r="I13" s="119"/>
      <c r="J13" s="119"/>
      <c r="K13" s="119"/>
      <c r="L13" s="119"/>
      <c r="M13" s="119"/>
      <c r="N13" s="119"/>
      <c r="O13" s="119"/>
      <c r="P13" s="119"/>
    </row>
    <row r="14" spans="2:22" ht="18.5">
      <c r="B14" s="150"/>
      <c r="C14" s="35" t="s">
        <v>150</v>
      </c>
      <c r="D14" s="54" t="str">
        <f>T11</f>
        <v>J</v>
      </c>
      <c r="E14" s="46">
        <v>0.08</v>
      </c>
      <c r="F14" s="124">
        <f>AVERAGE(L14:P14)</f>
        <v>59.180823036300104</v>
      </c>
      <c r="G14" s="40">
        <f>Financials!D77</f>
        <v>19.66318127139817</v>
      </c>
      <c r="H14" s="40">
        <f>Financials!E77</f>
        <v>26.727622714148218</v>
      </c>
      <c r="I14" s="40">
        <f>Financials!F77</f>
        <v>30.022119445003018</v>
      </c>
      <c r="J14" s="40">
        <f>Financials!G77</f>
        <v>34.326363028740573</v>
      </c>
      <c r="K14" s="40">
        <f>Financials!H77</f>
        <v>35.290703298829449</v>
      </c>
      <c r="L14" s="40">
        <f>Financials!I77</f>
        <v>61.563264398487881</v>
      </c>
      <c r="M14" s="40">
        <f>Financials!J77</f>
        <v>55.967216795778604</v>
      </c>
      <c r="N14" s="40">
        <f>Financials!K77</f>
        <v>60.607379993469031</v>
      </c>
      <c r="O14" s="40">
        <f>Financials!L77</f>
        <v>58.021450536263409</v>
      </c>
      <c r="P14" s="40">
        <f>Financials!M77</f>
        <v>59.744803457501547</v>
      </c>
      <c r="R14" s="44"/>
      <c r="S14" s="44"/>
      <c r="T14" s="44"/>
    </row>
    <row r="15" spans="2:22">
      <c r="B15" s="150"/>
      <c r="C15" s="35"/>
      <c r="D15" s="35"/>
      <c r="E15" s="45"/>
      <c r="F15" s="45"/>
      <c r="G15" s="40"/>
      <c r="H15" s="40"/>
      <c r="I15" s="40"/>
      <c r="J15" s="40"/>
      <c r="K15" s="40"/>
      <c r="L15" s="40"/>
      <c r="M15" s="40"/>
      <c r="N15" s="40"/>
      <c r="O15" s="40"/>
      <c r="P15" s="40"/>
      <c r="R15" s="44"/>
      <c r="S15" s="44"/>
      <c r="T15" s="44"/>
    </row>
    <row r="16" spans="2:22" ht="18.5">
      <c r="B16" s="150"/>
      <c r="C16" s="35" t="s">
        <v>151</v>
      </c>
      <c r="D16" s="54" t="str">
        <f>T11</f>
        <v>J</v>
      </c>
      <c r="E16" s="47">
        <f>WACC!$C$25</f>
        <v>0.11456412077430318</v>
      </c>
      <c r="F16" s="124">
        <f>AVERAGE(L16:P16)</f>
        <v>38.708000183105469</v>
      </c>
      <c r="G16" s="40">
        <f>Financials!D78</f>
        <v>13.489999771118164</v>
      </c>
      <c r="H16" s="40">
        <f>Financials!E78</f>
        <v>18.299999237060547</v>
      </c>
      <c r="I16" s="40">
        <f>Financials!F78</f>
        <v>20.600000381469727</v>
      </c>
      <c r="J16" s="40">
        <f>Financials!G78</f>
        <v>25.600000381469727</v>
      </c>
      <c r="K16" s="40">
        <f>Financials!H78</f>
        <v>25.940000534057617</v>
      </c>
      <c r="L16" s="40">
        <f>Financials!I78</f>
        <v>39.619998931884766</v>
      </c>
      <c r="M16" s="40">
        <f>Financials!J78</f>
        <v>35.590000152587891</v>
      </c>
      <c r="N16" s="40">
        <f>Financials!K78</f>
        <v>36.990001678466797</v>
      </c>
      <c r="O16" s="40">
        <f>Financials!L78</f>
        <v>41.900001525878906</v>
      </c>
      <c r="P16" s="40">
        <f>Financials!M78</f>
        <v>39.439998626708984</v>
      </c>
      <c r="R16" s="44"/>
      <c r="S16" s="44"/>
      <c r="T16" s="44"/>
    </row>
    <row r="17" spans="2:20">
      <c r="B17" s="151" t="s">
        <v>63</v>
      </c>
      <c r="C17" s="36"/>
      <c r="D17" s="36"/>
      <c r="E17" s="48"/>
      <c r="F17" s="48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4"/>
      <c r="R17" s="44"/>
      <c r="S17" s="44"/>
      <c r="T17" s="44"/>
    </row>
    <row r="18" spans="2:20" ht="18.5">
      <c r="B18" s="152"/>
      <c r="C18" s="36" t="s">
        <v>152</v>
      </c>
      <c r="D18" s="54" t="str">
        <f>T11</f>
        <v>J</v>
      </c>
      <c r="E18" s="48" t="s">
        <v>68</v>
      </c>
      <c r="F18" s="125">
        <f>AVERAGE(L18:P18)</f>
        <v>4.3415546647133763</v>
      </c>
      <c r="G18" s="42">
        <f>Financials!D59</f>
        <v>2.9191845649799784</v>
      </c>
      <c r="H18" s="42">
        <f>Financials!E59</f>
        <v>2.7919488337095562</v>
      </c>
      <c r="I18" s="42">
        <f>Financials!F59</f>
        <v>2.768688845401174</v>
      </c>
      <c r="J18" s="42">
        <f>Financials!G59</f>
        <v>3.2937279151943462</v>
      </c>
      <c r="K18" s="42">
        <f>Financials!H59</f>
        <v>3.8680248007085916</v>
      </c>
      <c r="L18" s="42">
        <f>Financials!I59</f>
        <v>3.2728375101050928</v>
      </c>
      <c r="M18" s="42">
        <f>Financials!J59</f>
        <v>4.1267074894017899</v>
      </c>
      <c r="N18" s="42">
        <f>Financials!K59</f>
        <v>4.2841004184100422</v>
      </c>
      <c r="O18" s="42">
        <f>Financials!L59</f>
        <v>5.3269754768392374</v>
      </c>
      <c r="P18" s="42">
        <f>Financials!M59</f>
        <v>4.6971524288107203</v>
      </c>
      <c r="Q18" s="44"/>
      <c r="R18" s="44"/>
      <c r="S18" s="44"/>
      <c r="T18" s="44"/>
    </row>
    <row r="19" spans="2:20">
      <c r="B19" s="152"/>
      <c r="C19" s="36"/>
      <c r="D19" s="36"/>
      <c r="E19" s="48"/>
      <c r="F19" s="48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4"/>
      <c r="R19" s="44"/>
      <c r="S19" s="44"/>
      <c r="T19" s="44"/>
    </row>
    <row r="20" spans="2:20" ht="18.5">
      <c r="B20" s="152"/>
      <c r="C20" s="36" t="s">
        <v>156</v>
      </c>
      <c r="D20" s="54" t="str">
        <f>T11</f>
        <v>J</v>
      </c>
      <c r="E20" s="49" t="s">
        <v>137</v>
      </c>
      <c r="F20" s="125">
        <f>AVERAGE(L20:P20)</f>
        <v>0.95036206291400838</v>
      </c>
      <c r="G20" s="42">
        <f>Financials!D58</f>
        <v>0.7523827149070047</v>
      </c>
      <c r="H20" s="42">
        <f>Financials!E58</f>
        <v>0.67199230028873913</v>
      </c>
      <c r="I20" s="42">
        <f>Financials!F58</f>
        <v>0.63181178363161072</v>
      </c>
      <c r="J20" s="42">
        <f>Financials!G58</f>
        <v>0.56889143511887708</v>
      </c>
      <c r="K20" s="42">
        <f>Financials!H58</f>
        <v>0.70668472477507982</v>
      </c>
      <c r="L20" s="42">
        <f>Financials!I58</f>
        <v>0.90538136535468094</v>
      </c>
      <c r="M20" s="42">
        <f>Financials!J58</f>
        <v>1.0229033344560459</v>
      </c>
      <c r="N20" s="42">
        <f>Financials!K58</f>
        <v>1.1063459235876782</v>
      </c>
      <c r="O20" s="42">
        <f>Financials!L58</f>
        <v>0.85074626865671643</v>
      </c>
      <c r="P20" s="42">
        <f>Financials!M58</f>
        <v>0.86643342251492073</v>
      </c>
      <c r="Q20" s="44"/>
      <c r="R20" s="44"/>
      <c r="S20" s="44"/>
      <c r="T20" s="44"/>
    </row>
    <row r="21" spans="2:20">
      <c r="B21" s="132"/>
      <c r="C21" s="36"/>
      <c r="D21" s="137"/>
      <c r="E21" s="49"/>
      <c r="F21" s="125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4"/>
      <c r="R21" s="44"/>
      <c r="S21" s="44"/>
      <c r="T21" s="44"/>
    </row>
    <row r="22" spans="2:20" ht="18.5">
      <c r="B22" s="132"/>
      <c r="C22" s="36" t="s">
        <v>157</v>
      </c>
      <c r="D22" s="54" t="str">
        <f>T11</f>
        <v>J</v>
      </c>
      <c r="E22" s="49" t="s">
        <v>158</v>
      </c>
      <c r="F22" s="125">
        <f>AVERAGE(L22:P22)</f>
        <v>0.74492775447135229</v>
      </c>
      <c r="G22" s="42">
        <f>Financials!D60</f>
        <v>1.0070234923710342</v>
      </c>
      <c r="H22" s="42">
        <f>Financials!E60</f>
        <v>0.70117828858412212</v>
      </c>
      <c r="I22" s="42">
        <f>Financials!F60</f>
        <v>0.57195233730522455</v>
      </c>
      <c r="J22" s="42">
        <f>Financials!G60</f>
        <v>0.51256454388984507</v>
      </c>
      <c r="K22" s="42">
        <f>Financials!H60</f>
        <v>0.51195076570774301</v>
      </c>
      <c r="L22" s="42">
        <f>Financials!I60</f>
        <v>0.56332333376809707</v>
      </c>
      <c r="M22" s="42">
        <f>Financials!J60</f>
        <v>0.78296175992913042</v>
      </c>
      <c r="N22" s="42">
        <f>Financials!K60</f>
        <v>0.90734824281150162</v>
      </c>
      <c r="O22" s="42">
        <f>Financials!L60</f>
        <v>0.73038127899939476</v>
      </c>
      <c r="P22" s="42">
        <f>Financials!M60</f>
        <v>0.74062415684863747</v>
      </c>
      <c r="Q22" s="44"/>
      <c r="R22" s="44"/>
      <c r="S22" s="44"/>
      <c r="T22" s="44"/>
    </row>
    <row r="23" spans="2:20">
      <c r="B23" s="157" t="s">
        <v>94</v>
      </c>
      <c r="C23" s="35"/>
      <c r="D23" s="35"/>
      <c r="E23" s="50"/>
      <c r="F23" s="5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4"/>
      <c r="R23" s="44"/>
      <c r="S23" s="44"/>
      <c r="T23" s="44"/>
    </row>
    <row r="24" spans="2:20" ht="18.5">
      <c r="B24" s="157"/>
      <c r="C24" s="35" t="s">
        <v>142</v>
      </c>
      <c r="D24" s="54" t="str">
        <f>T11</f>
        <v>J</v>
      </c>
      <c r="E24" s="50" t="s">
        <v>69</v>
      </c>
      <c r="F24" s="50"/>
      <c r="G24" s="40">
        <f>Financials!D12</f>
        <v>1113</v>
      </c>
      <c r="H24" s="40">
        <f>Financials!E12</f>
        <v>1080</v>
      </c>
      <c r="I24" s="40">
        <f>Financials!F12</f>
        <v>1043</v>
      </c>
      <c r="J24" s="40">
        <f>Financials!G12</f>
        <v>1021</v>
      </c>
      <c r="K24" s="40">
        <f>Financials!H12</f>
        <v>1012</v>
      </c>
      <c r="L24" s="40">
        <f>Financials!I12</f>
        <v>990</v>
      </c>
      <c r="M24" s="40">
        <f>Financials!J12</f>
        <v>952</v>
      </c>
      <c r="N24" s="40">
        <f>Financials!K12</f>
        <v>921</v>
      </c>
      <c r="O24" s="40">
        <f>Financials!L12</f>
        <v>923</v>
      </c>
      <c r="P24" s="40">
        <f>Financials!M12</f>
        <v>916</v>
      </c>
      <c r="Q24" s="44"/>
      <c r="R24" s="44"/>
      <c r="S24" s="44"/>
      <c r="T24" s="44"/>
    </row>
    <row r="25" spans="2:20">
      <c r="B25" s="155" t="s">
        <v>93</v>
      </c>
      <c r="C25" s="36"/>
      <c r="D25" s="36"/>
      <c r="E25" s="51"/>
      <c r="F25" s="51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4"/>
      <c r="R25" s="44"/>
      <c r="S25" s="44"/>
      <c r="T25" s="44"/>
    </row>
    <row r="26" spans="2:20" ht="18.5">
      <c r="B26" s="156"/>
      <c r="C26" s="36" t="s">
        <v>96</v>
      </c>
      <c r="D26" s="56" t="str">
        <f>V11</f>
        <v>L</v>
      </c>
      <c r="E26" s="51" t="s">
        <v>160</v>
      </c>
      <c r="F26" s="57">
        <f>AVERAGEIF(L26:P26,"&lt;100")</f>
        <v>23.315999984741211</v>
      </c>
      <c r="G26" s="44">
        <f>Financials!D81</f>
        <v>25.979999542236328</v>
      </c>
      <c r="H26" s="44">
        <f>Financials!E81</f>
        <v>23.549999237060547</v>
      </c>
      <c r="I26" s="44">
        <f>Financials!F81</f>
        <v>19.719999313354492</v>
      </c>
      <c r="J26" s="44">
        <f>Financials!G81</f>
        <v>23.239999771118164</v>
      </c>
      <c r="K26" s="44">
        <f>Financials!H81</f>
        <v>24.399999618530273</v>
      </c>
      <c r="L26" s="44">
        <f>Financials!I81</f>
        <v>20.239999771118164</v>
      </c>
      <c r="M26" s="44">
        <f>Financials!J81</f>
        <v>23.799999237060547</v>
      </c>
      <c r="N26" s="44">
        <f>Financials!K81</f>
        <v>31.030000686645508</v>
      </c>
      <c r="O26" s="44">
        <f>Financials!L81</f>
        <v>24.190000534057617</v>
      </c>
      <c r="P26" s="44">
        <f>Financials!M81</f>
        <v>17.319999694824219</v>
      </c>
      <c r="Q26" s="44"/>
      <c r="R26" s="44"/>
      <c r="S26" s="44"/>
      <c r="T26" s="44"/>
    </row>
    <row r="27" spans="2:20">
      <c r="B27" s="156"/>
      <c r="C27" s="36"/>
      <c r="D27" s="36"/>
      <c r="E27" s="51"/>
      <c r="F27" s="57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</row>
    <row r="28" spans="2:20" ht="18.5">
      <c r="B28" s="156"/>
      <c r="C28" s="36" t="s">
        <v>104</v>
      </c>
      <c r="D28" s="56" t="str">
        <f>V11</f>
        <v>L</v>
      </c>
      <c r="E28" s="51" t="s">
        <v>161</v>
      </c>
      <c r="F28" s="57">
        <f>AVERAGEIF(L28:P28, "&lt;100")</f>
        <v>19.06800022125244</v>
      </c>
      <c r="G28" s="44">
        <f>Financials!D82</f>
        <v>15.029999732971191</v>
      </c>
      <c r="H28" s="44">
        <f>Financials!E82</f>
        <v>15.25</v>
      </c>
      <c r="I28" s="44">
        <f>Financials!F82</f>
        <v>14.039999961853027</v>
      </c>
      <c r="J28" s="44">
        <f>Financials!G82</f>
        <v>16.680000305175781</v>
      </c>
      <c r="K28" s="44">
        <f>Financials!H82</f>
        <v>21.989999771118164</v>
      </c>
      <c r="L28" s="44">
        <f>Financials!I82</f>
        <v>13.539999961853027</v>
      </c>
      <c r="M28" s="44">
        <f>Financials!J82</f>
        <v>17.440000534057617</v>
      </c>
      <c r="N28" s="44">
        <f>Financials!K82</f>
        <v>26.659999847412109</v>
      </c>
      <c r="O28" s="44">
        <f>Financials!L82</f>
        <v>20.680000305175781</v>
      </c>
      <c r="P28" s="44">
        <f>Financials!M82</f>
        <v>17.020000457763672</v>
      </c>
      <c r="Q28" s="44"/>
      <c r="R28" s="44"/>
      <c r="S28" s="44"/>
      <c r="T28" s="44"/>
    </row>
    <row r="29" spans="2:20">
      <c r="B29" s="156"/>
      <c r="C29" s="36"/>
      <c r="D29" s="36"/>
      <c r="E29" s="51"/>
      <c r="F29" s="51"/>
      <c r="G29" s="38"/>
      <c r="H29" s="38"/>
      <c r="I29" s="38"/>
      <c r="J29" s="38"/>
      <c r="K29" s="38"/>
      <c r="L29" s="38"/>
      <c r="M29" s="38"/>
      <c r="N29" s="38"/>
      <c r="O29" s="38"/>
      <c r="P29" s="38"/>
    </row>
    <row r="30" spans="2:20" ht="18.5">
      <c r="B30" s="156"/>
      <c r="C30" s="36" t="s">
        <v>71</v>
      </c>
      <c r="D30" s="56" t="str">
        <f>V11</f>
        <v>L</v>
      </c>
      <c r="E30" s="51" t="s">
        <v>70</v>
      </c>
      <c r="F30" s="127">
        <f>Financials!$C$83</f>
        <v>2.9900000095367432</v>
      </c>
      <c r="G30" s="38"/>
      <c r="H30" s="38"/>
      <c r="I30" s="38"/>
      <c r="J30" s="38"/>
      <c r="K30" s="38"/>
      <c r="L30" s="38"/>
      <c r="M30" s="38"/>
      <c r="N30" s="38"/>
      <c r="O30" s="38"/>
      <c r="P30" s="38"/>
    </row>
    <row r="31" spans="2:20">
      <c r="B31" s="153" t="s">
        <v>92</v>
      </c>
      <c r="C31" s="34"/>
      <c r="D31" s="34"/>
      <c r="E31" s="34"/>
      <c r="F31" s="34"/>
    </row>
    <row r="32" spans="2:20" ht="18.5">
      <c r="B32" s="153"/>
      <c r="C32" s="35" t="s">
        <v>76</v>
      </c>
      <c r="D32" s="56" t="str">
        <f>V11</f>
        <v>L</v>
      </c>
      <c r="E32" s="50" t="s">
        <v>77</v>
      </c>
      <c r="F32" s="52">
        <f>Financials!D63</f>
        <v>-4.6919183617391003E-3</v>
      </c>
    </row>
    <row r="33" spans="2:17" ht="18.5">
      <c r="B33" s="154"/>
      <c r="C33" s="35" t="s">
        <v>80</v>
      </c>
      <c r="D33" s="54" t="str">
        <f>T11</f>
        <v>J</v>
      </c>
      <c r="E33" s="50" t="s">
        <v>77</v>
      </c>
      <c r="F33" s="52">
        <f>Financials!D64</f>
        <v>7.0694305867646801E-2</v>
      </c>
    </row>
    <row r="34" spans="2:17">
      <c r="B34" s="154"/>
      <c r="C34" s="35"/>
      <c r="D34" s="35"/>
      <c r="E34" s="50"/>
      <c r="F34" s="52"/>
    </row>
    <row r="35" spans="2:17" ht="18.5">
      <c r="B35" s="154"/>
      <c r="C35" s="35" t="s">
        <v>90</v>
      </c>
      <c r="D35" s="54" t="str">
        <f>T11</f>
        <v>J</v>
      </c>
      <c r="E35" s="50" t="s">
        <v>77</v>
      </c>
      <c r="F35" s="52">
        <f>Financials!D69</f>
        <v>7.7179434804034441E-2</v>
      </c>
    </row>
    <row r="36" spans="2:17" ht="18.5">
      <c r="B36" s="154"/>
      <c r="C36" s="35" t="s">
        <v>91</v>
      </c>
      <c r="D36" s="54" t="str">
        <f>T11</f>
        <v>J</v>
      </c>
      <c r="E36" s="50" t="s">
        <v>77</v>
      </c>
      <c r="F36" s="52">
        <f>Financials!D70</f>
        <v>0.21911358130616465</v>
      </c>
    </row>
    <row r="37" spans="2:17">
      <c r="B37" s="154"/>
      <c r="C37" s="35"/>
      <c r="D37" s="35"/>
      <c r="E37" s="50"/>
      <c r="F37" s="53"/>
      <c r="Q37" s="37"/>
    </row>
    <row r="38" spans="2:17" ht="18.5">
      <c r="B38" s="154"/>
      <c r="C38" s="35" t="s">
        <v>78</v>
      </c>
      <c r="D38" s="54" t="str">
        <f>T11</f>
        <v>J</v>
      </c>
      <c r="E38" s="50" t="s">
        <v>77</v>
      </c>
      <c r="F38" s="52">
        <f>Financials!D65</f>
        <v>9.4809994463398217E-2</v>
      </c>
    </row>
    <row r="39" spans="2:17" ht="18.5">
      <c r="B39" s="154"/>
      <c r="C39" s="35" t="s">
        <v>81</v>
      </c>
      <c r="D39" s="54" t="str">
        <f>T11</f>
        <v>J</v>
      </c>
      <c r="E39" s="50" t="s">
        <v>77</v>
      </c>
      <c r="F39" s="52">
        <f>Financials!D66</f>
        <v>0.15149202802592021</v>
      </c>
    </row>
    <row r="40" spans="2:17">
      <c r="B40" s="154"/>
      <c r="C40" s="35"/>
      <c r="D40" s="35"/>
      <c r="E40" s="50"/>
      <c r="F40" s="53"/>
    </row>
    <row r="41" spans="2:17" ht="18.5">
      <c r="B41" s="154"/>
      <c r="C41" s="35" t="s">
        <v>79</v>
      </c>
      <c r="D41" s="54" t="str">
        <f>T11</f>
        <v>J</v>
      </c>
      <c r="E41" s="50" t="s">
        <v>77</v>
      </c>
      <c r="F41" s="52">
        <f>Financials!D67</f>
        <v>4.8779288168724122E-2</v>
      </c>
    </row>
    <row r="42" spans="2:17" ht="18.5">
      <c r="B42" s="154"/>
      <c r="C42" s="35" t="s">
        <v>82</v>
      </c>
      <c r="D42" s="54" t="str">
        <f>T11</f>
        <v>J</v>
      </c>
      <c r="E42" s="50" t="s">
        <v>77</v>
      </c>
      <c r="F42" s="52">
        <f>Financials!D68</f>
        <v>5.0775600952138955E-2</v>
      </c>
    </row>
    <row r="43" spans="2:17">
      <c r="B43" s="138" t="s">
        <v>61</v>
      </c>
    </row>
    <row r="44" spans="2:17" ht="18.5">
      <c r="B44" s="138"/>
      <c r="C44" s="100" t="s">
        <v>128</v>
      </c>
      <c r="D44" s="55" t="str">
        <f>U11</f>
        <v>K</v>
      </c>
      <c r="E44" s="101">
        <v>0.75</v>
      </c>
      <c r="F44" s="103">
        <f>Financials!$D$73</f>
        <v>0.5791495354642946</v>
      </c>
    </row>
    <row r="45" spans="2:17" ht="18.5">
      <c r="B45" s="138"/>
      <c r="C45" s="100" t="s">
        <v>133</v>
      </c>
      <c r="D45" s="54" t="str">
        <f>T11</f>
        <v>J</v>
      </c>
      <c r="E45" s="101" t="s">
        <v>134</v>
      </c>
      <c r="F45" s="103">
        <f>Financials!D71</f>
        <v>0.10957046973041251</v>
      </c>
    </row>
    <row r="46" spans="2:17" ht="18.5">
      <c r="B46" s="138"/>
      <c r="C46" s="100" t="s">
        <v>130</v>
      </c>
      <c r="D46" s="54" t="str">
        <f>T11</f>
        <v>J</v>
      </c>
      <c r="E46" s="18" t="s">
        <v>77</v>
      </c>
      <c r="F46" s="103">
        <f>Financials!D72</f>
        <v>0.15412948805414889</v>
      </c>
    </row>
    <row r="47" spans="2:17" ht="18.5">
      <c r="B47" s="138"/>
      <c r="C47" s="100" t="s">
        <v>129</v>
      </c>
      <c r="D47" s="54" t="str">
        <f>T11</f>
        <v>J</v>
      </c>
      <c r="E47" s="101">
        <v>0.12</v>
      </c>
      <c r="F47" s="102">
        <f>F45+F46</f>
        <v>0.2636999577845614</v>
      </c>
    </row>
  </sheetData>
  <mergeCells count="7">
    <mergeCell ref="B43:B47"/>
    <mergeCell ref="B3:P6"/>
    <mergeCell ref="B11:B16"/>
    <mergeCell ref="B17:B20"/>
    <mergeCell ref="B31:B42"/>
    <mergeCell ref="B25:B30"/>
    <mergeCell ref="B23:B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topLeftCell="B82" zoomScale="78" zoomScaleNormal="100" workbookViewId="0">
      <selection activeCell="T129" sqref="T129"/>
    </sheetView>
  </sheetViews>
  <sheetFormatPr defaultRowHeight="14.5"/>
  <cols>
    <col min="2" max="2" width="10.179687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P27"/>
  <sheetViews>
    <sheetView showGridLines="0" workbookViewId="0">
      <selection activeCell="C25" sqref="C25"/>
    </sheetView>
  </sheetViews>
  <sheetFormatPr defaultRowHeight="14.5"/>
  <cols>
    <col min="2" max="2" width="61.453125" bestFit="1" customWidth="1"/>
    <col min="3" max="3" width="32.6328125" bestFit="1" customWidth="1"/>
    <col min="4" max="4" width="9.81640625" bestFit="1" customWidth="1"/>
  </cols>
  <sheetData>
    <row r="2" spans="2:16" ht="20" thickBot="1">
      <c r="B2" s="8" t="s">
        <v>1</v>
      </c>
      <c r="C2" s="8"/>
    </row>
    <row r="3" spans="2:16" ht="15" thickTop="1">
      <c r="B3" s="6"/>
      <c r="C3" s="6"/>
      <c r="D3" s="6"/>
      <c r="E3" s="6"/>
      <c r="F3" s="6"/>
      <c r="G3" s="6"/>
      <c r="H3" s="6"/>
    </row>
    <row r="4" spans="2:16" ht="15" thickBot="1">
      <c r="B4" s="1" t="s">
        <v>14</v>
      </c>
      <c r="C4" s="1"/>
      <c r="D4" s="6"/>
      <c r="E4" s="6"/>
      <c r="F4" s="6"/>
      <c r="G4" s="6"/>
      <c r="H4" s="6"/>
      <c r="P4" t="s">
        <v>2</v>
      </c>
    </row>
    <row r="5" spans="2:16">
      <c r="B5" s="7" t="s">
        <v>8</v>
      </c>
      <c r="C5" s="58">
        <v>153.69000244140625</v>
      </c>
    </row>
    <row r="6" spans="2:16">
      <c r="B6" s="4" t="s">
        <v>5</v>
      </c>
      <c r="C6" s="59">
        <v>2985000</v>
      </c>
    </row>
    <row r="7" spans="2:16">
      <c r="B7" s="4" t="s">
        <v>4</v>
      </c>
      <c r="C7" s="59">
        <v>9645000</v>
      </c>
    </row>
    <row r="8" spans="2:16">
      <c r="B8" s="4" t="s">
        <v>3</v>
      </c>
      <c r="C8" s="59">
        <v>214000</v>
      </c>
    </row>
    <row r="9" spans="2:16">
      <c r="B9" s="10" t="s">
        <v>6</v>
      </c>
      <c r="C9" s="59">
        <v>10032000</v>
      </c>
    </row>
    <row r="10" spans="2:16">
      <c r="B10" s="10" t="s">
        <v>7</v>
      </c>
      <c r="C10" s="59">
        <v>1283000</v>
      </c>
    </row>
    <row r="11" spans="2:16">
      <c r="B11" s="10" t="s">
        <v>9</v>
      </c>
      <c r="C11" s="60">
        <v>1.0299999713897705</v>
      </c>
      <c r="G11" s="33"/>
    </row>
    <row r="13" spans="2:16" ht="15" thickBot="1">
      <c r="B13" s="1" t="s">
        <v>15</v>
      </c>
      <c r="C13" s="1"/>
    </row>
    <row r="14" spans="2:16">
      <c r="B14" s="10" t="s">
        <v>16</v>
      </c>
      <c r="C14" s="13">
        <v>3.3000000000000002E-2</v>
      </c>
    </row>
    <row r="15" spans="2:16">
      <c r="B15" s="10" t="s">
        <v>13</v>
      </c>
      <c r="C15" s="14">
        <v>0.12</v>
      </c>
      <c r="K15" t="s">
        <v>10</v>
      </c>
    </row>
    <row r="17" spans="2:15" ht="17.5" thickBot="1">
      <c r="B17" s="2" t="s">
        <v>21</v>
      </c>
      <c r="C17" s="11">
        <f>SUM(C6:C7)</f>
        <v>12630000</v>
      </c>
    </row>
    <row r="18" spans="2:15" ht="18" thickTop="1" thickBot="1">
      <c r="B18" s="2" t="s">
        <v>20</v>
      </c>
      <c r="C18" s="12">
        <f>C8/C17</f>
        <v>1.6943784639746634E-2</v>
      </c>
    </row>
    <row r="19" spans="2:15" ht="18" thickTop="1" thickBot="1">
      <c r="B19" s="2" t="s">
        <v>19</v>
      </c>
      <c r="C19" s="12">
        <f>C14+C11*(C15-C14)</f>
        <v>0.12260999751090999</v>
      </c>
    </row>
    <row r="20" spans="2:15" ht="18" thickTop="1" thickBot="1">
      <c r="B20" s="2" t="s">
        <v>18</v>
      </c>
      <c r="C20" s="12">
        <f>C8/C17</f>
        <v>1.6943784639746634E-2</v>
      </c>
      <c r="K20" t="s">
        <v>17</v>
      </c>
    </row>
    <row r="21" spans="2:15" ht="18" thickTop="1" thickBot="1">
      <c r="B21" s="16" t="s">
        <v>22</v>
      </c>
      <c r="C21" s="11">
        <f>C17+C5*1000000</f>
        <v>166320002.44140601</v>
      </c>
      <c r="K21" t="s">
        <v>11</v>
      </c>
    </row>
    <row r="22" spans="2:15" ht="18" thickTop="1" thickBot="1">
      <c r="B22" s="2" t="s">
        <v>23</v>
      </c>
      <c r="C22" s="12">
        <f>C5*1000000/C21</f>
        <v>0.92406205017673981</v>
      </c>
      <c r="K22" t="s">
        <v>12</v>
      </c>
    </row>
    <row r="23" spans="2:15" ht="18" thickTop="1" thickBot="1">
      <c r="B23" s="16" t="s">
        <v>24</v>
      </c>
      <c r="C23" s="12">
        <f>C17/C21</f>
        <v>7.5937949823260187E-2</v>
      </c>
    </row>
    <row r="24" spans="2:15" ht="14.5" customHeight="1" thickTop="1">
      <c r="K24" s="15"/>
      <c r="L24" s="15"/>
      <c r="M24" s="15"/>
      <c r="N24" s="15"/>
      <c r="O24" s="15"/>
    </row>
    <row r="25" spans="2:15" ht="18" customHeight="1" thickBot="1">
      <c r="B25" s="3" t="s">
        <v>0</v>
      </c>
      <c r="C25" s="17">
        <f>C23*C20*(1-C18)+C22*C19</f>
        <v>0.11456412077430318</v>
      </c>
      <c r="K25" s="15"/>
      <c r="L25" s="15"/>
      <c r="M25" s="15"/>
      <c r="N25" s="15"/>
      <c r="O25" s="15"/>
    </row>
    <row r="26" spans="2:15" ht="14.5" customHeight="1" thickTop="1">
      <c r="K26" s="15"/>
      <c r="L26" s="15"/>
      <c r="M26" s="15"/>
      <c r="N26" s="15"/>
      <c r="O26" s="15"/>
    </row>
    <row r="27" spans="2:15" ht="14.5" customHeight="1">
      <c r="K27" s="15"/>
      <c r="L27" s="15"/>
      <c r="M27" s="15"/>
      <c r="N27" s="15"/>
      <c r="O27" s="1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L74"/>
  <sheetViews>
    <sheetView showGridLines="0" topLeftCell="A31" zoomScale="82" workbookViewId="0">
      <selection activeCell="F40" sqref="F40"/>
    </sheetView>
  </sheetViews>
  <sheetFormatPr defaultRowHeight="14.5"/>
  <cols>
    <col min="2" max="2" width="62.26953125" bestFit="1" customWidth="1"/>
    <col min="3" max="3" width="21.90625" bestFit="1" customWidth="1"/>
    <col min="4" max="5" width="11.81640625" bestFit="1" customWidth="1"/>
    <col min="6" max="6" width="12.1796875" bestFit="1" customWidth="1"/>
    <col min="7" max="7" width="10.81640625" bestFit="1" customWidth="1"/>
    <col min="8" max="8" width="11.453125" bestFit="1" customWidth="1"/>
    <col min="9" max="12" width="10.54296875" bestFit="1" customWidth="1"/>
    <col min="13" max="13" width="15.81640625" bestFit="1" customWidth="1"/>
  </cols>
  <sheetData>
    <row r="3" spans="2:12" ht="20" thickBot="1">
      <c r="B3" s="19" t="s">
        <v>33</v>
      </c>
      <c r="C3" s="19"/>
    </row>
    <row r="4" spans="2:12" ht="15" thickTop="1">
      <c r="B4" s="18" t="s">
        <v>0</v>
      </c>
      <c r="C4" s="20">
        <f>WACC!C25</f>
        <v>0.11456412077430318</v>
      </c>
    </row>
    <row r="5" spans="2:12">
      <c r="B5" s="18" t="s">
        <v>25</v>
      </c>
      <c r="C5" s="20">
        <v>2.5000000000000001E-2</v>
      </c>
    </row>
    <row r="6" spans="2:12">
      <c r="B6" s="18" t="s">
        <v>36</v>
      </c>
      <c r="C6" s="65">
        <v>5.0000000745057997E-2</v>
      </c>
    </row>
    <row r="7" spans="2:12">
      <c r="B7" s="18" t="s">
        <v>31</v>
      </c>
      <c r="C7" s="13">
        <f>AVERAGEIF(C28:L28, "&lt;0.5")</f>
        <v>0.30683824189859077</v>
      </c>
    </row>
    <row r="8" spans="2:12">
      <c r="B8" s="18" t="s">
        <v>112</v>
      </c>
      <c r="C8" s="13">
        <f>AVERAGEIF(C29:L29,"&lt;2")</f>
        <v>1.1288056816872589</v>
      </c>
    </row>
    <row r="9" spans="2:12">
      <c r="B9" s="18" t="s">
        <v>136</v>
      </c>
      <c r="C9" s="66">
        <v>13</v>
      </c>
    </row>
    <row r="10" spans="2:12">
      <c r="B10" s="18" t="s">
        <v>100</v>
      </c>
      <c r="C10" s="67">
        <v>0.05</v>
      </c>
    </row>
    <row r="11" spans="2:12">
      <c r="B11" s="18" t="s">
        <v>44</v>
      </c>
      <c r="C11" s="59">
        <v>906205824</v>
      </c>
    </row>
    <row r="12" spans="2:12">
      <c r="B12" s="18"/>
    </row>
    <row r="13" spans="2:12" ht="20" thickBot="1">
      <c r="B13" s="3" t="s">
        <v>34</v>
      </c>
      <c r="C13" s="3"/>
    </row>
    <row r="14" spans="2:12" ht="15" thickTop="1"/>
    <row r="15" spans="2:12" ht="17.5" thickBot="1">
      <c r="B15" s="2"/>
      <c r="C15" s="2">
        <v>2013</v>
      </c>
      <c r="D15" s="2">
        <v>2014</v>
      </c>
      <c r="E15" s="2">
        <v>2015</v>
      </c>
      <c r="F15" s="2">
        <v>2016</v>
      </c>
      <c r="G15" s="2">
        <v>2017</v>
      </c>
      <c r="H15" s="2">
        <v>2018</v>
      </c>
      <c r="I15" s="2">
        <v>2019</v>
      </c>
      <c r="J15" s="2">
        <v>2020</v>
      </c>
      <c r="K15" s="2">
        <v>2021</v>
      </c>
      <c r="L15" s="2">
        <v>2022</v>
      </c>
    </row>
    <row r="16" spans="2:12" ht="15" thickTop="1">
      <c r="B16" s="18" t="s">
        <v>26</v>
      </c>
      <c r="C16" s="21">
        <f>Financials!D3</f>
        <v>12205</v>
      </c>
      <c r="D16" s="21">
        <f>Financials!E3</f>
        <v>13045</v>
      </c>
      <c r="E16" s="21">
        <f>Financials!F3</f>
        <v>13000</v>
      </c>
      <c r="F16" s="21">
        <f>Financials!G3</f>
        <v>13370</v>
      </c>
      <c r="G16" s="21">
        <f>Financials!H3</f>
        <v>14961</v>
      </c>
      <c r="H16" s="21">
        <f>Financials!I3</f>
        <v>15784</v>
      </c>
      <c r="I16" s="21">
        <f>Financials!J3</f>
        <v>14383</v>
      </c>
      <c r="J16" s="21">
        <f>Financials!K3</f>
        <v>14461</v>
      </c>
      <c r="K16" s="21">
        <f>Financials!L3</f>
        <v>18344</v>
      </c>
      <c r="L16" s="21">
        <f>Financials!M3</f>
        <v>20028</v>
      </c>
    </row>
    <row r="17" spans="2:12">
      <c r="B17" s="18" t="s">
        <v>27</v>
      </c>
      <c r="C17" s="22"/>
      <c r="D17" s="20">
        <f t="shared" ref="D17:L17" si="0">(D16-C16)/C16</f>
        <v>6.8824252355591975E-2</v>
      </c>
      <c r="E17" s="20">
        <f t="shared" si="0"/>
        <v>-3.4495975469528554E-3</v>
      </c>
      <c r="F17" s="20">
        <f t="shared" si="0"/>
        <v>2.8461538461538462E-2</v>
      </c>
      <c r="G17" s="20">
        <f t="shared" si="0"/>
        <v>0.11899775617053104</v>
      </c>
      <c r="H17" s="20">
        <f t="shared" si="0"/>
        <v>5.5009691865517012E-2</v>
      </c>
      <c r="I17" s="20">
        <f t="shared" si="0"/>
        <v>-8.8760770400405475E-2</v>
      </c>
      <c r="J17" s="20">
        <f t="shared" si="0"/>
        <v>5.4230689007856497E-3</v>
      </c>
      <c r="K17" s="20">
        <f t="shared" si="0"/>
        <v>0.26851531705967774</v>
      </c>
      <c r="L17" s="20">
        <f t="shared" si="0"/>
        <v>9.1801133885739211E-2</v>
      </c>
    </row>
    <row r="18" spans="2:12">
      <c r="B18" s="18"/>
      <c r="C18" s="22"/>
      <c r="D18" s="20"/>
      <c r="E18" s="20"/>
      <c r="F18" s="20"/>
      <c r="G18" s="20"/>
      <c r="H18" s="20"/>
      <c r="I18" s="20"/>
      <c r="J18" s="20"/>
      <c r="K18" s="20"/>
      <c r="L18" s="20"/>
    </row>
    <row r="19" spans="2:12">
      <c r="B19" s="18" t="s">
        <v>29</v>
      </c>
      <c r="C19" s="21">
        <f>Financials!D6</f>
        <v>2125</v>
      </c>
      <c r="D19" s="21">
        <f>Financials!E6</f>
        <v>2777</v>
      </c>
      <c r="E19" s="21">
        <f>Financials!F6</f>
        <v>2986</v>
      </c>
      <c r="F19" s="21">
        <f>Financials!G6</f>
        <v>3595</v>
      </c>
      <c r="G19" s="21">
        <f>Financials!H6</f>
        <v>3648</v>
      </c>
      <c r="H19" s="21">
        <f>Financials!I6</f>
        <v>5537</v>
      </c>
      <c r="I19" s="21">
        <f>Financials!J6</f>
        <v>4985</v>
      </c>
      <c r="J19" s="21">
        <f>Financials!K6</f>
        <v>5568</v>
      </c>
      <c r="K19" s="21">
        <f>Financials!L6</f>
        <v>7736</v>
      </c>
      <c r="L19" s="21">
        <f>Financials!M6</f>
        <v>8709</v>
      </c>
    </row>
    <row r="20" spans="2:12">
      <c r="B20" s="18" t="s">
        <v>27</v>
      </c>
      <c r="C20" s="22"/>
      <c r="D20" s="20">
        <f>(D19-C19)/C19</f>
        <v>0.30682352941176472</v>
      </c>
      <c r="E20" s="20">
        <f t="shared" ref="E20:L20" si="1">(E19-D19)/D19</f>
        <v>7.5261073100468132E-2</v>
      </c>
      <c r="F20" s="20">
        <f t="shared" si="1"/>
        <v>0.20395177494976557</v>
      </c>
      <c r="G20" s="20">
        <f t="shared" si="1"/>
        <v>1.474269819193324E-2</v>
      </c>
      <c r="H20" s="20">
        <f t="shared" si="1"/>
        <v>0.5178179824561403</v>
      </c>
      <c r="I20" s="20">
        <f t="shared" si="1"/>
        <v>-9.9692974534946716E-2</v>
      </c>
      <c r="J20" s="20">
        <f t="shared" si="1"/>
        <v>0.11695085255767301</v>
      </c>
      <c r="K20" s="20">
        <f t="shared" si="1"/>
        <v>0.38936781609195403</v>
      </c>
      <c r="L20" s="20">
        <f t="shared" si="1"/>
        <v>0.12577559462254395</v>
      </c>
    </row>
    <row r="22" spans="2:12">
      <c r="B22" s="18" t="s">
        <v>30</v>
      </c>
      <c r="C22" s="25">
        <f>Financials!D20</f>
        <v>2993</v>
      </c>
      <c r="D22" s="25">
        <f>Financials!E20</f>
        <v>3811</v>
      </c>
      <c r="E22" s="25">
        <f>Financials!F20</f>
        <v>3956</v>
      </c>
      <c r="F22" s="25">
        <f>Financials!G20</f>
        <v>4083</v>
      </c>
      <c r="G22" s="25">
        <f>Financials!H20</f>
        <v>4708</v>
      </c>
      <c r="H22" s="25">
        <f>Financials!I20</f>
        <v>6067</v>
      </c>
      <c r="I22" s="25">
        <f>Financials!J20</f>
        <v>5832</v>
      </c>
      <c r="J22" s="25">
        <f>Financials!K20</f>
        <v>5494</v>
      </c>
      <c r="K22" s="25">
        <f>Financials!L20</f>
        <v>6369</v>
      </c>
      <c r="L22" s="25">
        <f>Financials!M20</f>
        <v>5926</v>
      </c>
    </row>
    <row r="23" spans="2:12">
      <c r="B23" s="18" t="s">
        <v>27</v>
      </c>
      <c r="C23" s="26"/>
      <c r="D23" s="26">
        <f>(D22-C22)/C22</f>
        <v>0.27330437687938525</v>
      </c>
      <c r="E23" s="26">
        <f t="shared" ref="E23:L23" si="2">(E22-D22)/D22</f>
        <v>3.8047756494358438E-2</v>
      </c>
      <c r="F23" s="26">
        <f t="shared" si="2"/>
        <v>3.2103134479271989E-2</v>
      </c>
      <c r="G23" s="26">
        <f t="shared" si="2"/>
        <v>0.15307372030369826</v>
      </c>
      <c r="H23" s="26">
        <f t="shared" si="2"/>
        <v>0.28865760407816482</v>
      </c>
      <c r="I23" s="26">
        <f t="shared" si="2"/>
        <v>-3.8734135487061151E-2</v>
      </c>
      <c r="J23" s="26">
        <f t="shared" si="2"/>
        <v>-5.7956104252400546E-2</v>
      </c>
      <c r="K23" s="26">
        <f t="shared" si="2"/>
        <v>0.15926465234801601</v>
      </c>
      <c r="L23" s="26">
        <f t="shared" si="2"/>
        <v>-6.9555660229235358E-2</v>
      </c>
    </row>
    <row r="24" spans="2:12">
      <c r="B24" s="18"/>
      <c r="C24" s="26"/>
      <c r="D24" s="26"/>
      <c r="E24" s="26"/>
      <c r="F24" s="26"/>
      <c r="G24" s="26"/>
      <c r="H24" s="26"/>
      <c r="I24" s="26"/>
      <c r="J24" s="26"/>
      <c r="K24" s="26"/>
      <c r="L24" s="26"/>
    </row>
    <row r="25" spans="2:12">
      <c r="B25" s="18" t="s">
        <v>47</v>
      </c>
      <c r="C25" s="62">
        <f>Financials!D9</f>
        <v>4129</v>
      </c>
      <c r="D25" s="62">
        <f>Financials!E9</f>
        <v>5177</v>
      </c>
      <c r="E25" s="62">
        <f>Financials!F9</f>
        <v>5455</v>
      </c>
      <c r="F25" s="62">
        <f>Financials!G9</f>
        <v>5810</v>
      </c>
      <c r="G25" s="62">
        <f>Financials!H9</f>
        <v>6987</v>
      </c>
      <c r="H25" s="62">
        <f>Financials!I9</f>
        <v>7667</v>
      </c>
      <c r="I25" s="62">
        <f>Financials!J9</f>
        <v>6773</v>
      </c>
      <c r="J25" s="62">
        <f>Financials!K9</f>
        <v>6886</v>
      </c>
      <c r="K25" s="62">
        <f>Financials!L9</f>
        <v>9914</v>
      </c>
      <c r="L25" s="62">
        <f>Financials!M9</f>
        <v>11119</v>
      </c>
    </row>
    <row r="26" spans="2:12">
      <c r="B26" s="18" t="s">
        <v>27</v>
      </c>
      <c r="C26" s="63"/>
      <c r="D26" s="63">
        <f>Financials!E10</f>
        <v>0.25381448292564784</v>
      </c>
      <c r="E26" s="63">
        <f>Financials!F10</f>
        <v>5.3699053505891443E-2</v>
      </c>
      <c r="F26" s="63">
        <f>Financials!G10</f>
        <v>6.5077910174152154E-2</v>
      </c>
      <c r="G26" s="63">
        <f>Financials!H10</f>
        <v>0.20258175559380379</v>
      </c>
      <c r="H26" s="63">
        <f>Financials!I10</f>
        <v>9.7323600973236016E-2</v>
      </c>
      <c r="I26" s="63">
        <f>Financials!J10</f>
        <v>-0.11660362592930743</v>
      </c>
      <c r="J26" s="63">
        <f>Financials!K10</f>
        <v>1.6683891923815149E-2</v>
      </c>
      <c r="K26" s="63">
        <f>Financials!L10</f>
        <v>0.43973279117049086</v>
      </c>
      <c r="L26" s="63">
        <f>Financials!M10</f>
        <v>0.12154528948961066</v>
      </c>
    </row>
    <row r="28" spans="2:12" ht="15" thickBot="1">
      <c r="B28" s="1" t="s">
        <v>31</v>
      </c>
      <c r="C28" s="24">
        <f t="shared" ref="C28:L28" si="3">C19/C16</f>
        <v>0.17410897173289636</v>
      </c>
      <c r="D28" s="24">
        <f t="shared" si="3"/>
        <v>0.212878497508624</v>
      </c>
      <c r="E28" s="24">
        <f t="shared" si="3"/>
        <v>0.2296923076923077</v>
      </c>
      <c r="F28" s="24">
        <f t="shared" si="3"/>
        <v>0.26888556469708302</v>
      </c>
      <c r="G28" s="24">
        <f t="shared" si="3"/>
        <v>0.24383396831762583</v>
      </c>
      <c r="H28" s="24">
        <f t="shared" si="3"/>
        <v>0.35079827673593511</v>
      </c>
      <c r="I28" s="24">
        <f t="shared" si="3"/>
        <v>0.34658972397969823</v>
      </c>
      <c r="J28" s="24">
        <f t="shared" si="3"/>
        <v>0.38503561302814465</v>
      </c>
      <c r="K28" s="24">
        <f t="shared" si="3"/>
        <v>0.4217182730047972</v>
      </c>
      <c r="L28" s="24">
        <f t="shared" si="3"/>
        <v>0.43484122228879568</v>
      </c>
    </row>
    <row r="29" spans="2:12" ht="15" thickBot="1">
      <c r="B29" s="1" t="s">
        <v>32</v>
      </c>
      <c r="C29" s="24">
        <f t="shared" ref="C29:L29" si="4">C22/C19</f>
        <v>1.4084705882352941</v>
      </c>
      <c r="D29" s="24">
        <f t="shared" si="4"/>
        <v>1.3723442563917898</v>
      </c>
      <c r="E29" s="24">
        <f t="shared" si="4"/>
        <v>1.3248492967180174</v>
      </c>
      <c r="F29" s="24">
        <f t="shared" si="4"/>
        <v>1.1357440890125174</v>
      </c>
      <c r="G29" s="24">
        <f t="shared" si="4"/>
        <v>1.2905701754385965</v>
      </c>
      <c r="H29" s="24">
        <f t="shared" si="4"/>
        <v>1.0957197038107278</v>
      </c>
      <c r="I29" s="24">
        <f t="shared" si="4"/>
        <v>1.1699097291875626</v>
      </c>
      <c r="J29" s="24">
        <f t="shared" si="4"/>
        <v>0.98670977011494254</v>
      </c>
      <c r="K29" s="24">
        <f t="shared" si="4"/>
        <v>0.82329369183040335</v>
      </c>
      <c r="L29" s="24">
        <f t="shared" si="4"/>
        <v>0.68044551613273629</v>
      </c>
    </row>
    <row r="32" spans="2:12" ht="20" thickBot="1">
      <c r="B32" s="3" t="s">
        <v>35</v>
      </c>
      <c r="C32" s="3"/>
    </row>
    <row r="33" spans="2:12" ht="15" thickTop="1"/>
    <row r="35" spans="2:12" ht="17.5" thickBot="1">
      <c r="B35" s="2"/>
      <c r="C35" s="2">
        <v>2023</v>
      </c>
      <c r="D35" s="2">
        <v>2024</v>
      </c>
      <c r="E35" s="2">
        <v>2025</v>
      </c>
      <c r="F35" s="2">
        <v>2026</v>
      </c>
      <c r="G35" s="2">
        <v>2027</v>
      </c>
      <c r="H35" s="2">
        <v>2028</v>
      </c>
      <c r="I35" s="2">
        <v>2029</v>
      </c>
      <c r="J35" s="2">
        <v>2030</v>
      </c>
      <c r="K35" s="2">
        <v>2031</v>
      </c>
      <c r="L35" s="2">
        <v>2032</v>
      </c>
    </row>
    <row r="36" spans="2:12" ht="15" thickTop="1">
      <c r="B36" s="18" t="s">
        <v>26</v>
      </c>
      <c r="C36" s="21">
        <f>L16*(C37+1)</f>
        <v>17957.104811221368</v>
      </c>
      <c r="D36" s="21">
        <f>C36*(D37+1)</f>
        <v>19451.135935582304</v>
      </c>
      <c r="E36" s="21">
        <f>D36*(E37+1)</f>
        <v>20758.252223846368</v>
      </c>
      <c r="F36" s="21">
        <f t="shared" ref="F36:L36" si="5">E36*(F37+1)</f>
        <v>21796.164850504789</v>
      </c>
      <c r="G36" s="21">
        <f t="shared" si="5"/>
        <v>22885.973109269438</v>
      </c>
      <c r="H36" s="21">
        <f t="shared" si="5"/>
        <v>24030.271781784289</v>
      </c>
      <c r="I36" s="21">
        <f t="shared" si="5"/>
        <v>25231.785388777451</v>
      </c>
      <c r="J36" s="21">
        <f t="shared" si="5"/>
        <v>26493.374677015468</v>
      </c>
      <c r="K36" s="21">
        <f t="shared" si="5"/>
        <v>27818.043430605343</v>
      </c>
      <c r="L36" s="21">
        <f t="shared" si="5"/>
        <v>29208.945622861669</v>
      </c>
    </row>
    <row r="37" spans="2:12">
      <c r="B37" s="18" t="s">
        <v>27</v>
      </c>
      <c r="C37" s="68">
        <v>-0.10339999943971634</v>
      </c>
      <c r="D37" s="68">
        <v>8.320000022649765E-2</v>
      </c>
      <c r="E37" s="68">
        <v>6.719999760389328E-2</v>
      </c>
      <c r="F37" s="27">
        <f>C6</f>
        <v>5.0000000745057997E-2</v>
      </c>
      <c r="G37" s="27">
        <f>C6</f>
        <v>5.0000000745057997E-2</v>
      </c>
      <c r="H37" s="27">
        <f>C6</f>
        <v>5.0000000745057997E-2</v>
      </c>
      <c r="I37" s="27">
        <f>C6</f>
        <v>5.0000000745057997E-2</v>
      </c>
      <c r="J37" s="27">
        <f>C6</f>
        <v>5.0000000745057997E-2</v>
      </c>
      <c r="K37" s="27">
        <f>C6</f>
        <v>5.0000000745057997E-2</v>
      </c>
      <c r="L37" s="27">
        <f>C6</f>
        <v>5.0000000745057997E-2</v>
      </c>
    </row>
    <row r="38" spans="2:12">
      <c r="B38" s="18"/>
      <c r="C38" s="22"/>
      <c r="D38" s="22"/>
      <c r="E38" s="22"/>
      <c r="F38" s="22"/>
      <c r="G38" s="22"/>
      <c r="H38" s="22"/>
      <c r="I38" s="22"/>
      <c r="J38" s="22"/>
      <c r="K38" s="22"/>
      <c r="L38" s="22"/>
    </row>
    <row r="39" spans="2:12">
      <c r="B39" s="18" t="s">
        <v>28</v>
      </c>
      <c r="C39" s="21">
        <f>C36*C7</f>
        <v>5509.9264698639045</v>
      </c>
      <c r="D39" s="21">
        <f>D36*C7</f>
        <v>5968.352353404578</v>
      </c>
      <c r="E39" s="21">
        <f>E36*C7</f>
        <v>6369.4256172525465</v>
      </c>
      <c r="F39" s="21">
        <f>F36*C7</f>
        <v>6687.8969028607498</v>
      </c>
      <c r="G39" s="21">
        <f>G36*C7</f>
        <v>7022.291752986659</v>
      </c>
      <c r="H39" s="21">
        <f>H36*C7</f>
        <v>7373.4063458680075</v>
      </c>
      <c r="I39" s="21">
        <f>I36*C7</f>
        <v>7742.0766686550232</v>
      </c>
      <c r="J39" s="21">
        <f>J36*C7</f>
        <v>8129.180507856071</v>
      </c>
      <c r="K39" s="21">
        <f>K36*C7</f>
        <v>8535.6395393055864</v>
      </c>
      <c r="L39" s="21">
        <f>L36*C7</f>
        <v>8962.4215226304132</v>
      </c>
    </row>
    <row r="40" spans="2:12">
      <c r="B40" s="18"/>
      <c r="C40" s="20">
        <f>(C39-L19)/L19</f>
        <v>-0.36732960502194284</v>
      </c>
      <c r="D40" s="20">
        <f>(D39-C39)/C39</f>
        <v>8.3200000226499857E-2</v>
      </c>
      <c r="E40" s="20">
        <f t="shared" ref="E40:L40" si="6">(E39-D39)/D39</f>
        <v>6.719999760389167E-2</v>
      </c>
      <c r="F40" s="20">
        <f t="shared" si="6"/>
        <v>5.0000000745055562E-2</v>
      </c>
      <c r="G40" s="20">
        <f t="shared" si="6"/>
        <v>5.0000000745058094E-2</v>
      </c>
      <c r="H40" s="20">
        <f t="shared" si="6"/>
        <v>5.0000000745058122E-2</v>
      </c>
      <c r="I40" s="20">
        <f t="shared" si="6"/>
        <v>5.0000000745057997E-2</v>
      </c>
      <c r="J40" s="20">
        <f t="shared" si="6"/>
        <v>5.000000074505806E-2</v>
      </c>
      <c r="K40" s="20">
        <f t="shared" si="6"/>
        <v>5.0000000745058101E-2</v>
      </c>
      <c r="L40" s="20">
        <f t="shared" si="6"/>
        <v>5.0000000745058115E-2</v>
      </c>
    </row>
    <row r="41" spans="2:12">
      <c r="B41" s="18"/>
      <c r="C41" s="22"/>
      <c r="D41" s="22"/>
      <c r="E41" s="22"/>
      <c r="F41" s="22"/>
      <c r="G41" s="22"/>
      <c r="H41" s="22"/>
      <c r="I41" s="22"/>
      <c r="J41" s="22"/>
      <c r="K41" s="22"/>
      <c r="L41" s="22"/>
    </row>
    <row r="42" spans="2:12">
      <c r="B42" s="18" t="s">
        <v>30</v>
      </c>
      <c r="C42" s="21">
        <f>C39*C8</f>
        <v>6219.6363048613975</v>
      </c>
      <c r="D42" s="21">
        <f>D39*C8</f>
        <v>6737.1100468346194</v>
      </c>
      <c r="E42" s="21">
        <f>E39*C8</f>
        <v>7189.8438258390615</v>
      </c>
      <c r="F42" s="21">
        <f>F39*C8</f>
        <v>7549.3360224878361</v>
      </c>
      <c r="G42" s="21">
        <f>G39*C8</f>
        <v>7926.8028292369218</v>
      </c>
      <c r="H42" s="21">
        <f>H39*C8</f>
        <v>8323.1429766046967</v>
      </c>
      <c r="I42" s="21">
        <f>I39*C8</f>
        <v>8739.3001316361569</v>
      </c>
      <c r="J42" s="21">
        <f>J39*C8</f>
        <v>9176.2651447292501</v>
      </c>
      <c r="K42" s="21">
        <f>K39*C8</f>
        <v>9635.078408802563</v>
      </c>
      <c r="L42" s="21">
        <f>L39*C8</f>
        <v>10116.832336421385</v>
      </c>
    </row>
    <row r="43" spans="2:12">
      <c r="B43" s="18" t="s">
        <v>27</v>
      </c>
      <c r="C43" s="20">
        <f>(C42-L22)/L22</f>
        <v>4.9550507064022614E-2</v>
      </c>
      <c r="D43" s="20">
        <f>(D42-C42)/C42</f>
        <v>8.3200000226500953E-2</v>
      </c>
      <c r="E43" s="20">
        <f t="shared" ref="E43:L43" si="7">(E42-D42)/D42</f>
        <v>6.7199997603891823E-2</v>
      </c>
      <c r="F43" s="20">
        <f t="shared" si="7"/>
        <v>5.0000000745053938E-2</v>
      </c>
      <c r="G43" s="20">
        <f t="shared" si="7"/>
        <v>5.0000000745058087E-2</v>
      </c>
      <c r="H43" s="20">
        <f t="shared" si="7"/>
        <v>5.0000000745058129E-2</v>
      </c>
      <c r="I43" s="20">
        <f t="shared" si="7"/>
        <v>5.0000000745058136E-2</v>
      </c>
      <c r="J43" s="20">
        <f t="shared" si="7"/>
        <v>5.0000000745057976E-2</v>
      </c>
      <c r="K43" s="20">
        <f t="shared" si="7"/>
        <v>5.0000000745058067E-2</v>
      </c>
      <c r="L43" s="20">
        <f t="shared" si="7"/>
        <v>5.0000000745058143E-2</v>
      </c>
    </row>
    <row r="45" spans="2:12">
      <c r="B45" s="18" t="s">
        <v>47</v>
      </c>
      <c r="C45" s="21">
        <v>9106</v>
      </c>
      <c r="D45" s="21">
        <v>10181</v>
      </c>
      <c r="E45" s="21">
        <v>11444</v>
      </c>
      <c r="F45" s="21">
        <f t="shared" ref="E45:L45" si="8">E45*(1+F46)</f>
        <v>12016.2</v>
      </c>
      <c r="G45" s="21">
        <f t="shared" si="8"/>
        <v>12617.010000000002</v>
      </c>
      <c r="H45" s="21">
        <f t="shared" si="8"/>
        <v>13247.860500000003</v>
      </c>
      <c r="I45" s="21">
        <f t="shared" si="8"/>
        <v>13910.253525000004</v>
      </c>
      <c r="J45" s="21">
        <f t="shared" si="8"/>
        <v>14605.766201250004</v>
      </c>
      <c r="K45" s="21">
        <f t="shared" si="8"/>
        <v>15336.054511312504</v>
      </c>
      <c r="L45" s="21">
        <f t="shared" si="8"/>
        <v>16102.85723687813</v>
      </c>
    </row>
    <row r="46" spans="2:12">
      <c r="B46" s="18" t="s">
        <v>27</v>
      </c>
      <c r="C46" s="20">
        <f>C10</f>
        <v>0.05</v>
      </c>
      <c r="D46" s="20">
        <f>C10</f>
        <v>0.05</v>
      </c>
      <c r="E46" s="20">
        <f>C10</f>
        <v>0.05</v>
      </c>
      <c r="F46" s="20">
        <f>C10</f>
        <v>0.05</v>
      </c>
      <c r="G46" s="20">
        <f>C10</f>
        <v>0.05</v>
      </c>
      <c r="H46" s="20">
        <f>C10</f>
        <v>0.05</v>
      </c>
      <c r="I46" s="20">
        <f>C10</f>
        <v>0.05</v>
      </c>
      <c r="J46" s="20">
        <f>C10</f>
        <v>0.05</v>
      </c>
      <c r="K46" s="20">
        <f>C10</f>
        <v>0.05</v>
      </c>
      <c r="L46" s="20">
        <f>C10</f>
        <v>0.05</v>
      </c>
    </row>
    <row r="48" spans="2:12" ht="20" thickBot="1">
      <c r="B48" s="3" t="s">
        <v>103</v>
      </c>
      <c r="C48" s="3"/>
    </row>
    <row r="49" spans="2:12" ht="20" thickTop="1">
      <c r="B49" s="64"/>
      <c r="C49" s="64"/>
    </row>
    <row r="50" spans="2:12" ht="17.5" thickBot="1">
      <c r="B50" s="2"/>
      <c r="C50" s="2">
        <v>2023</v>
      </c>
      <c r="D50" s="2">
        <v>2024</v>
      </c>
      <c r="E50" s="2">
        <v>2025</v>
      </c>
      <c r="F50" s="2">
        <v>2026</v>
      </c>
      <c r="G50" s="2">
        <v>2027</v>
      </c>
      <c r="H50" s="2">
        <v>2028</v>
      </c>
      <c r="I50" s="2">
        <v>2029</v>
      </c>
      <c r="J50" s="2">
        <v>2030</v>
      </c>
      <c r="K50" s="2">
        <v>2031</v>
      </c>
      <c r="L50" s="2">
        <v>2032</v>
      </c>
    </row>
    <row r="51" spans="2:12" ht="15" thickTop="1">
      <c r="B51" s="18" t="s">
        <v>38</v>
      </c>
      <c r="C51" s="61">
        <f>POWER((1+C4),1)</f>
        <v>1.1145641207743031</v>
      </c>
      <c r="D51" s="61">
        <f>POWER((1+C4),2)</f>
        <v>1.2422531793173954</v>
      </c>
      <c r="E51" s="61">
        <f>POWER((1+C4),3)</f>
        <v>1.3845708225849755</v>
      </c>
      <c r="F51" s="61">
        <f>POWER((1+C4),4)</f>
        <v>1.5431929615241768</v>
      </c>
      <c r="G51" s="61">
        <f>POWER((1+C4),5)</f>
        <v>1.7199875063462871</v>
      </c>
      <c r="H51" s="61">
        <f>POWER((1+C4),6)</f>
        <v>1.9170363627536355</v>
      </c>
      <c r="I51" s="61">
        <f>POWER((1+C4),7)</f>
        <v>2.1366599481448736</v>
      </c>
      <c r="J51" s="61">
        <f>POWER((1+C4),8)</f>
        <v>2.3814445164977593</v>
      </c>
      <c r="K51" s="61">
        <f>POWER((1+C4),9)</f>
        <v>2.6542726137031103</v>
      </c>
      <c r="L51" s="61">
        <f>POWER((1+C4),10)</f>
        <v>2.958357021987319</v>
      </c>
    </row>
    <row r="52" spans="2:12">
      <c r="B52" s="18"/>
      <c r="C52" s="22"/>
      <c r="D52" s="22"/>
      <c r="E52" s="22"/>
      <c r="F52" s="22"/>
      <c r="G52" s="22"/>
      <c r="H52" s="22"/>
      <c r="I52" s="22"/>
      <c r="J52" s="22"/>
      <c r="K52" s="22"/>
      <c r="L52" s="22"/>
    </row>
    <row r="53" spans="2:12">
      <c r="B53" s="18" t="s">
        <v>39</v>
      </c>
      <c r="C53" s="21">
        <f t="shared" ref="C53:L53" si="9">C42/C51</f>
        <v>5580.3306323377337</v>
      </c>
      <c r="D53" s="21">
        <f t="shared" si="9"/>
        <v>5423.2986954692788</v>
      </c>
      <c r="E53" s="21">
        <f t="shared" si="9"/>
        <v>5192.8321098199176</v>
      </c>
      <c r="F53" s="21">
        <f t="shared" si="9"/>
        <v>4892.0233637091806</v>
      </c>
      <c r="G53" s="21">
        <f t="shared" si="9"/>
        <v>4608.6397720850709</v>
      </c>
      <c r="H53" s="21">
        <f t="shared" si="9"/>
        <v>4341.6719360760144</v>
      </c>
      <c r="I53" s="21">
        <f t="shared" si="9"/>
        <v>4090.1689289509718</v>
      </c>
      <c r="J53" s="21">
        <f t="shared" si="9"/>
        <v>3853.2349089636596</v>
      </c>
      <c r="K53" s="21">
        <f t="shared" si="9"/>
        <v>3630.0259284068702</v>
      </c>
      <c r="L53" s="21">
        <f t="shared" si="9"/>
        <v>3419.7469275108847</v>
      </c>
    </row>
    <row r="54" spans="2:12">
      <c r="B54" s="18"/>
      <c r="C54" s="21"/>
      <c r="D54" s="21"/>
      <c r="E54" s="21"/>
      <c r="F54" s="21"/>
      <c r="G54" s="21"/>
      <c r="H54" s="21"/>
      <c r="I54" s="21"/>
      <c r="J54" s="21"/>
      <c r="K54" s="21"/>
      <c r="L54" s="21"/>
    </row>
    <row r="55" spans="2:12" ht="15" thickBot="1">
      <c r="B55" s="73" t="s">
        <v>40</v>
      </c>
      <c r="C55" s="74">
        <f>POWER((1+C4),11)</f>
        <v>3.2972785931477819</v>
      </c>
      <c r="D55" s="21"/>
      <c r="E55" s="21"/>
      <c r="F55" s="21"/>
      <c r="G55" s="21"/>
      <c r="H55" s="21"/>
      <c r="I55" s="21"/>
      <c r="J55" s="21"/>
      <c r="K55" s="21"/>
      <c r="L55" s="21"/>
    </row>
    <row r="56" spans="2:12">
      <c r="B56" s="18"/>
      <c r="C56" s="21"/>
      <c r="D56" s="21"/>
      <c r="E56" s="21"/>
      <c r="F56" s="21"/>
      <c r="G56" s="21"/>
      <c r="H56" s="21"/>
      <c r="I56" s="21"/>
      <c r="J56" s="21"/>
      <c r="K56" s="21"/>
      <c r="L56" s="21"/>
    </row>
    <row r="57" spans="2:12">
      <c r="B57" s="158" t="s">
        <v>101</v>
      </c>
      <c r="C57" s="158"/>
      <c r="D57" s="158"/>
      <c r="E57" s="158"/>
      <c r="F57" s="158"/>
      <c r="G57" s="158"/>
      <c r="H57" s="158"/>
      <c r="I57" s="158"/>
      <c r="J57" s="158"/>
      <c r="K57" s="158"/>
      <c r="L57" s="158"/>
    </row>
    <row r="58" spans="2:12">
      <c r="B58" s="158"/>
      <c r="C58" s="158"/>
      <c r="D58" s="158"/>
      <c r="E58" s="158"/>
      <c r="F58" s="158"/>
      <c r="G58" s="158"/>
      <c r="H58" s="158"/>
      <c r="I58" s="158"/>
      <c r="J58" s="158"/>
      <c r="K58" s="158"/>
      <c r="L58" s="158"/>
    </row>
    <row r="59" spans="2:12">
      <c r="B59" s="18" t="s">
        <v>37</v>
      </c>
      <c r="C59" s="25">
        <f>L53*(1+C5)/(C4-C5)</f>
        <v>39136.66064485439</v>
      </c>
    </row>
    <row r="60" spans="2:12" ht="15" thickBot="1">
      <c r="B60" s="5" t="s">
        <v>41</v>
      </c>
      <c r="C60" s="23">
        <f>C59/C55</f>
        <v>11869.382443505376</v>
      </c>
    </row>
    <row r="61" spans="2:12" ht="15" thickTop="1"/>
    <row r="62" spans="2:12" ht="14.5" customHeight="1" thickBot="1">
      <c r="B62" s="3" t="s">
        <v>43</v>
      </c>
      <c r="C62" s="71">
        <f>(SUM(C53:L53)+C59)</f>
        <v>84168.633848183963</v>
      </c>
    </row>
    <row r="63" spans="2:12" ht="15" thickTop="1">
      <c r="F63" s="9"/>
    </row>
    <row r="64" spans="2:12" ht="18.5">
      <c r="B64" s="69" t="s">
        <v>42</v>
      </c>
      <c r="C64" s="70">
        <f>C62/(C11/1000000)</f>
        <v>92.880261436262813</v>
      </c>
      <c r="D64" s="29"/>
      <c r="E64" s="30"/>
    </row>
    <row r="67" spans="2:12">
      <c r="B67" s="158" t="s">
        <v>102</v>
      </c>
      <c r="C67" s="158"/>
      <c r="D67" s="158"/>
      <c r="E67" s="158"/>
      <c r="F67" s="158"/>
      <c r="G67" s="158"/>
      <c r="H67" s="158"/>
      <c r="I67" s="158"/>
      <c r="J67" s="158"/>
      <c r="K67" s="158"/>
      <c r="L67" s="158"/>
    </row>
    <row r="68" spans="2:12">
      <c r="B68" s="158"/>
      <c r="C68" s="158"/>
      <c r="D68" s="158"/>
      <c r="E68" s="158"/>
      <c r="F68" s="158"/>
      <c r="G68" s="158"/>
      <c r="H68" s="158"/>
      <c r="I68" s="158"/>
      <c r="J68" s="158"/>
      <c r="K68" s="158"/>
      <c r="L68" s="158"/>
    </row>
    <row r="69" spans="2:12">
      <c r="B69" s="18" t="s">
        <v>37</v>
      </c>
      <c r="C69" s="25">
        <f>L45*C9</f>
        <v>209337.14407941568</v>
      </c>
    </row>
    <row r="70" spans="2:12" ht="15" thickBot="1">
      <c r="B70" s="5" t="s">
        <v>41</v>
      </c>
      <c r="C70" s="23">
        <f>C69/C55</f>
        <v>63487.854655183917</v>
      </c>
    </row>
    <row r="71" spans="2:12" ht="15" thickTop="1">
      <c r="B71" s="18"/>
      <c r="C71" s="28"/>
    </row>
    <row r="72" spans="2:12" ht="20" thickBot="1">
      <c r="B72" s="3" t="s">
        <v>43</v>
      </c>
      <c r="C72" s="72">
        <f>SUM(C53:L53)+C70</f>
        <v>108519.8278585135</v>
      </c>
    </row>
    <row r="73" spans="2:12" ht="15" thickTop="1"/>
    <row r="74" spans="2:12" ht="18.5">
      <c r="B74" s="69" t="s">
        <v>42</v>
      </c>
      <c r="C74" s="70">
        <f>C72/(C11/1000000)</f>
        <v>119.75185436295926</v>
      </c>
    </row>
  </sheetData>
  <mergeCells count="2">
    <mergeCell ref="B57:L58"/>
    <mergeCell ref="B67:L68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3:E21"/>
  <sheetViews>
    <sheetView showGridLines="0" workbookViewId="0">
      <selection activeCell="C15" sqref="C15"/>
    </sheetView>
  </sheetViews>
  <sheetFormatPr defaultRowHeight="14.5"/>
  <cols>
    <col min="2" max="2" width="29.90625" customWidth="1"/>
  </cols>
  <sheetData>
    <row r="13" spans="2:3" ht="20" thickBot="1">
      <c r="B13" s="8" t="s">
        <v>105</v>
      </c>
      <c r="C13" s="8"/>
    </row>
    <row r="14" spans="2:3" ht="15" thickTop="1"/>
    <row r="15" spans="2:3">
      <c r="B15" s="18" t="s">
        <v>106</v>
      </c>
      <c r="C15" s="78">
        <v>7.5100002288818359</v>
      </c>
    </row>
    <row r="16" spans="2:3">
      <c r="B16" s="18" t="s">
        <v>111</v>
      </c>
      <c r="C16">
        <v>7</v>
      </c>
    </row>
    <row r="17" spans="2:5">
      <c r="B17" s="18" t="s">
        <v>154</v>
      </c>
      <c r="C17" s="78">
        <v>10</v>
      </c>
    </row>
    <row r="18" spans="2:5">
      <c r="B18" s="18" t="s">
        <v>108</v>
      </c>
      <c r="C18">
        <v>4.42</v>
      </c>
      <c r="D18" s="77" t="s">
        <v>110</v>
      </c>
      <c r="E18" s="76" t="s">
        <v>109</v>
      </c>
    </row>
    <row r="20" spans="2:5" ht="15" thickBot="1">
      <c r="B20" s="75" t="s">
        <v>107</v>
      </c>
      <c r="C20" s="79">
        <f>(C15*(C16+C17)*4.4)/C18</f>
        <v>127.09231156569231</v>
      </c>
    </row>
    <row r="21" spans="2:5" ht="15" thickTop="1"/>
  </sheetData>
  <hyperlinks>
    <hyperlink ref="E18" r:id="rId1" xr:uid="{00000000-0004-0000-0400-000000000000}"/>
  </hyperlink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P28"/>
  <sheetViews>
    <sheetView tabSelected="1" workbookViewId="0">
      <selection activeCell="L29" sqref="L29"/>
    </sheetView>
  </sheetViews>
  <sheetFormatPr defaultRowHeight="14.5"/>
  <cols>
    <col min="2" max="2" width="16.1796875" bestFit="1" customWidth="1"/>
    <col min="3" max="3" width="12.6328125" bestFit="1" customWidth="1"/>
    <col min="15" max="15" width="22.54296875" bestFit="1" customWidth="1"/>
    <col min="16" max="16" width="6.81640625" bestFit="1" customWidth="1"/>
  </cols>
  <sheetData>
    <row r="2" spans="2:16" ht="15" thickBot="1">
      <c r="B2" s="1" t="s">
        <v>120</v>
      </c>
      <c r="C2" s="117">
        <v>4.9600000381469727</v>
      </c>
    </row>
    <row r="3" spans="2:16" ht="15" thickBot="1"/>
    <row r="4" spans="2:16" ht="20" thickBot="1">
      <c r="B4" s="161" t="s">
        <v>113</v>
      </c>
      <c r="C4" s="162"/>
    </row>
    <row r="5" spans="2:16" ht="15" thickBot="1">
      <c r="B5" s="80" t="s">
        <v>114</v>
      </c>
      <c r="C5" s="81" t="s">
        <v>115</v>
      </c>
      <c r="D5" s="82"/>
      <c r="E5" s="82"/>
      <c r="F5" s="82"/>
      <c r="G5" s="82"/>
      <c r="H5" s="82"/>
      <c r="I5" s="82"/>
      <c r="J5" s="82"/>
      <c r="K5" s="82"/>
      <c r="L5" s="82"/>
      <c r="M5" s="82"/>
      <c r="N5" s="83"/>
      <c r="O5" s="84" t="s">
        <v>116</v>
      </c>
      <c r="P5" s="85" t="s">
        <v>117</v>
      </c>
    </row>
    <row r="6" spans="2:16" ht="15" thickBot="1">
      <c r="B6" s="86" t="s">
        <v>118</v>
      </c>
      <c r="C6" s="87">
        <v>1</v>
      </c>
      <c r="D6" s="87">
        <v>2</v>
      </c>
      <c r="E6" s="87">
        <v>3</v>
      </c>
      <c r="F6" s="87">
        <v>4</v>
      </c>
      <c r="G6" s="87">
        <v>5</v>
      </c>
      <c r="H6" s="87">
        <v>6</v>
      </c>
      <c r="I6" s="87">
        <v>7</v>
      </c>
      <c r="J6" s="87">
        <v>8</v>
      </c>
      <c r="K6" s="87">
        <v>9</v>
      </c>
      <c r="L6" s="87">
        <v>10</v>
      </c>
      <c r="M6" s="163" t="s">
        <v>119</v>
      </c>
      <c r="N6" s="164"/>
      <c r="O6" s="88" t="s">
        <v>120</v>
      </c>
      <c r="P6" s="106">
        <f>C2</f>
        <v>4.9600000381469727</v>
      </c>
    </row>
    <row r="7" spans="2:16" ht="15" thickBot="1">
      <c r="B7" s="89" t="s">
        <v>121</v>
      </c>
      <c r="C7" s="90">
        <f>P6*(1+P7)</f>
        <v>5.0964000384569221</v>
      </c>
      <c r="D7" s="90">
        <f>C7*(1+P7)</f>
        <v>5.2365510387550707</v>
      </c>
      <c r="E7" s="90">
        <f>D7*(1+P7)</f>
        <v>5.3805561915405358</v>
      </c>
      <c r="F7" s="90">
        <f>E7*(1+P7)</f>
        <v>5.5285214860061478</v>
      </c>
      <c r="G7" s="90">
        <f>F7*(1+P7)</f>
        <v>5.680555826047514</v>
      </c>
      <c r="H7" s="90">
        <f>G7*(1+P7)</f>
        <v>5.8367711104173567</v>
      </c>
      <c r="I7" s="90">
        <f>H7*(1+P7)</f>
        <v>5.9972823150841004</v>
      </c>
      <c r="J7" s="90">
        <f>I7*(1+P7)</f>
        <v>6.1622075778552574</v>
      </c>
      <c r="K7" s="90">
        <f>J7*(1+P7)</f>
        <v>6.3316682853280488</v>
      </c>
      <c r="L7" s="90">
        <f>K7*(1+P7)</f>
        <v>6.5057891622310891</v>
      </c>
      <c r="M7" s="159">
        <f>L7*(1+P7)/(P8-P7)</f>
        <v>76.779025531204013</v>
      </c>
      <c r="N7" s="160"/>
      <c r="O7" s="88" t="s">
        <v>122</v>
      </c>
      <c r="P7" s="104">
        <v>2.7499999850988388E-2</v>
      </c>
    </row>
    <row r="8" spans="2:16" ht="15" thickBot="1">
      <c r="B8" s="89" t="s">
        <v>123</v>
      </c>
      <c r="C8" s="90">
        <f>C7/(1+P8)</f>
        <v>4.5725498815773777</v>
      </c>
      <c r="D8" s="90">
        <f>D7/(1+P8)^2</f>
        <v>4.2153653747398563</v>
      </c>
      <c r="E8" s="90">
        <f>E7/(1+P8)^3</f>
        <v>3.8860823179092385</v>
      </c>
      <c r="F8" s="90">
        <f>F7/(1+P8)^4</f>
        <v>3.5825211907043322</v>
      </c>
      <c r="G8" s="90">
        <f>G7/(1+P8)^5</f>
        <v>3.3026727258702699</v>
      </c>
      <c r="H8" s="90">
        <f>H7/(1+P8)^6</f>
        <v>3.0446846099639941</v>
      </c>
      <c r="I8" s="90">
        <f>I7/(1+P8)^7</f>
        <v>2.8068492229150315</v>
      </c>
      <c r="J8" s="90">
        <f>J7/(1+P8)^8</f>
        <v>2.5875923353098433</v>
      </c>
      <c r="K8" s="90">
        <f>K7/(1+P8)^9</f>
        <v>2.3854626885873711</v>
      </c>
      <c r="L8" s="90">
        <f>L7/(1+P8)^10</f>
        <v>2.1991223891769258</v>
      </c>
      <c r="M8" s="159">
        <f>M7/POWER((1+P8),10)</f>
        <v>25.953265599980408</v>
      </c>
      <c r="N8" s="160"/>
      <c r="O8" s="91" t="s">
        <v>124</v>
      </c>
      <c r="P8" s="105">
        <f>WACC!$C$25</f>
        <v>0.11456412077430318</v>
      </c>
    </row>
    <row r="9" spans="2:16">
      <c r="B9" s="92"/>
      <c r="N9" s="93"/>
    </row>
    <row r="10" spans="2:16" ht="20" thickBot="1">
      <c r="B10" s="94" t="s">
        <v>125</v>
      </c>
      <c r="C10" s="95">
        <f>SUM(C8:N8)*(1-P9)</f>
        <v>58.536168336734598</v>
      </c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7"/>
    </row>
    <row r="11" spans="2:16">
      <c r="B11" s="98"/>
      <c r="C11" s="98"/>
    </row>
    <row r="12" spans="2:16" ht="15" thickBot="1">
      <c r="O12" s="99"/>
    </row>
    <row r="13" spans="2:16" ht="20" thickBot="1">
      <c r="B13" s="161" t="s">
        <v>113</v>
      </c>
      <c r="C13" s="162"/>
    </row>
    <row r="14" spans="2:16" ht="15" thickBot="1">
      <c r="B14" s="80" t="s">
        <v>114</v>
      </c>
      <c r="C14" s="81" t="s">
        <v>126</v>
      </c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3"/>
      <c r="O14" s="84" t="s">
        <v>116</v>
      </c>
      <c r="P14" s="85" t="s">
        <v>117</v>
      </c>
    </row>
    <row r="15" spans="2:16" ht="15" thickBot="1">
      <c r="B15" s="86" t="s">
        <v>118</v>
      </c>
      <c r="C15" s="87">
        <v>1</v>
      </c>
      <c r="D15" s="87">
        <v>2</v>
      </c>
      <c r="E15" s="87">
        <v>3</v>
      </c>
      <c r="F15" s="87">
        <v>4</v>
      </c>
      <c r="G15" s="87">
        <v>5</v>
      </c>
      <c r="H15" s="87">
        <v>6</v>
      </c>
      <c r="I15" s="87">
        <v>7</v>
      </c>
      <c r="J15" s="87">
        <v>8</v>
      </c>
      <c r="K15" s="87">
        <v>9</v>
      </c>
      <c r="L15" s="87">
        <v>10</v>
      </c>
      <c r="M15" s="163" t="s">
        <v>119</v>
      </c>
      <c r="N15" s="164"/>
      <c r="O15" s="88" t="s">
        <v>120</v>
      </c>
      <c r="P15" s="106">
        <f>C2</f>
        <v>4.9600000381469727</v>
      </c>
    </row>
    <row r="16" spans="2:16" ht="15" thickBot="1">
      <c r="B16" s="89" t="s">
        <v>121</v>
      </c>
      <c r="C16" s="90">
        <f>P15*(1+P16)</f>
        <v>5.1088000359654515</v>
      </c>
      <c r="D16" s="90">
        <f>C16*(1+P16)</f>
        <v>5.2620640336187074</v>
      </c>
      <c r="E16" s="90">
        <f>D16*(1+P16)</f>
        <v>5.4199259510987945</v>
      </c>
      <c r="F16" s="90">
        <f>E16*(1+P16)</f>
        <v>5.5825237259974223</v>
      </c>
      <c r="G16" s="90">
        <f>F16*(1+P16)</f>
        <v>5.7499994340339811</v>
      </c>
      <c r="H16" s="90">
        <f>G16*(1+P16)</f>
        <v>5.9224994131993371</v>
      </c>
      <c r="I16" s="90">
        <f>H16*(1+P16)</f>
        <v>6.1001743916239883</v>
      </c>
      <c r="J16" s="90">
        <f>I16*(1+P16)</f>
        <v>6.2831796192822376</v>
      </c>
      <c r="K16" s="90">
        <f>J16*(1+P16)</f>
        <v>6.4716750036475208</v>
      </c>
      <c r="L16" s="90">
        <f>K16*(1+P16)</f>
        <v>6.665825249417364</v>
      </c>
      <c r="M16" s="159">
        <f>L16*(1+P16)/(P17-P16)</f>
        <v>81.19046097945126</v>
      </c>
      <c r="N16" s="160"/>
      <c r="O16" s="88" t="s">
        <v>122</v>
      </c>
      <c r="P16" s="104">
        <v>2.9999999329447746E-2</v>
      </c>
    </row>
    <row r="17" spans="2:16" ht="15" thickBot="1">
      <c r="B17" s="89" t="s">
        <v>123</v>
      </c>
      <c r="C17" s="90">
        <f>C16/(1+P17)</f>
        <v>4.5836753047606722</v>
      </c>
      <c r="D17" s="90">
        <f>D16/(1+P17)^2</f>
        <v>4.2359030519931027</v>
      </c>
      <c r="E17" s="90">
        <f>E16/(1+P17)^3</f>
        <v>3.9145169482770421</v>
      </c>
      <c r="F17" s="90">
        <f>F16/(1+P17)^4</f>
        <v>3.6175150257837334</v>
      </c>
      <c r="G17" s="90">
        <f>G16/(1+P17)^5</f>
        <v>3.3430472098303232</v>
      </c>
      <c r="H17" s="90">
        <f>H16/(1+P17)^6</f>
        <v>3.0894037944550172</v>
      </c>
      <c r="I17" s="90">
        <f>I16/(1+P17)^7</f>
        <v>2.8550047923725042</v>
      </c>
      <c r="J17" s="90">
        <f>J16/(1+P17)^8</f>
        <v>2.6383900929686641</v>
      </c>
      <c r="K17" s="90">
        <f>K16/(1+P17)^9</f>
        <v>2.4382103670272808</v>
      </c>
      <c r="L17" s="90">
        <f>L16/(1+P17)^10</f>
        <v>2.2532186615324385</v>
      </c>
      <c r="M17" s="159">
        <f>M16/POWER((1+P17),10)</f>
        <v>27.44444310677229</v>
      </c>
      <c r="N17" s="160"/>
      <c r="O17" s="91" t="s">
        <v>124</v>
      </c>
      <c r="P17" s="105">
        <f>WACC!$C$25</f>
        <v>0.11456412077430318</v>
      </c>
    </row>
    <row r="18" spans="2:16">
      <c r="B18" s="92"/>
      <c r="N18" s="93"/>
    </row>
    <row r="19" spans="2:16" ht="20" thickBot="1">
      <c r="B19" s="94" t="s">
        <v>125</v>
      </c>
      <c r="C19" s="95">
        <f>SUM(C17:N17)*(1-P18)</f>
        <v>60.413328355773103</v>
      </c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7"/>
    </row>
    <row r="21" spans="2:16" ht="15" thickBot="1"/>
    <row r="22" spans="2:16" ht="20" thickBot="1">
      <c r="B22" s="161" t="s">
        <v>113</v>
      </c>
      <c r="C22" s="162"/>
    </row>
    <row r="23" spans="2:16" ht="15" thickBot="1">
      <c r="B23" s="80" t="s">
        <v>114</v>
      </c>
      <c r="C23" s="81" t="s">
        <v>127</v>
      </c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3"/>
      <c r="O23" s="84" t="s">
        <v>116</v>
      </c>
      <c r="P23" s="85" t="s">
        <v>117</v>
      </c>
    </row>
    <row r="24" spans="2:16" ht="15" thickBot="1">
      <c r="B24" s="86" t="s">
        <v>118</v>
      </c>
      <c r="C24" s="87">
        <v>1</v>
      </c>
      <c r="D24" s="87">
        <v>2</v>
      </c>
      <c r="E24" s="87">
        <v>3</v>
      </c>
      <c r="F24" s="87">
        <v>4</v>
      </c>
      <c r="G24" s="87">
        <v>5</v>
      </c>
      <c r="H24" s="87">
        <v>6</v>
      </c>
      <c r="I24" s="87">
        <v>7</v>
      </c>
      <c r="J24" s="87">
        <v>8</v>
      </c>
      <c r="K24" s="87">
        <v>9</v>
      </c>
      <c r="L24" s="87">
        <v>10</v>
      </c>
      <c r="M24" s="163" t="s">
        <v>119</v>
      </c>
      <c r="N24" s="164"/>
      <c r="O24" s="88" t="s">
        <v>120</v>
      </c>
      <c r="P24" s="106">
        <f>C2</f>
        <v>4.9600000381469727</v>
      </c>
    </row>
    <row r="25" spans="2:16" ht="15" thickBot="1">
      <c r="B25" s="89" t="s">
        <v>121</v>
      </c>
      <c r="C25" s="90">
        <f>P24*(1+P25)</f>
        <v>5.1336000402212036</v>
      </c>
      <c r="D25" s="90">
        <f>C25*(1+P25)</f>
        <v>5.3132760423939001</v>
      </c>
      <c r="E25" s="90">
        <f>D25*(1+P25)</f>
        <v>5.4992407046694174</v>
      </c>
      <c r="F25" s="90">
        <f>E25*(1+P25)</f>
        <v>5.6917141301522918</v>
      </c>
      <c r="G25" s="90">
        <f>F25*(1+P25)</f>
        <v>5.8909241255557427</v>
      </c>
      <c r="H25" s="90">
        <f>G25*(1+P25)</f>
        <v>6.0971064708279972</v>
      </c>
      <c r="I25" s="90">
        <f>H25*(1+P25)</f>
        <v>6.3105051982155098</v>
      </c>
      <c r="J25" s="90">
        <f>I25*(1+P25)</f>
        <v>6.5313728810933815</v>
      </c>
      <c r="K25" s="90">
        <f>J25*(1+P25)</f>
        <v>6.7599709329048885</v>
      </c>
      <c r="L25" s="90">
        <f>K25*(1+P25)</f>
        <v>6.9965699165638648</v>
      </c>
      <c r="M25" s="159">
        <f>L25*(1+P25)/(P26-P25)</f>
        <v>91.014012443999292</v>
      </c>
      <c r="N25" s="160"/>
      <c r="O25" s="88" t="s">
        <v>122</v>
      </c>
      <c r="P25" s="104">
        <v>3.5000000149011612E-2</v>
      </c>
    </row>
    <row r="26" spans="2:16" ht="15" thickBot="1">
      <c r="B26" s="89" t="s">
        <v>123</v>
      </c>
      <c r="C26" s="90">
        <f>C25/(1+P26)</f>
        <v>4.6059261594163212</v>
      </c>
      <c r="D26" s="90">
        <f>D25/(1+P26)^2</f>
        <v>4.2771281497653062</v>
      </c>
      <c r="E26" s="90">
        <f>E25/(1+P26)^3</f>
        <v>3.9718016694894609</v>
      </c>
      <c r="F26" s="90">
        <f>F25/(1+P26)^4</f>
        <v>3.6882711832295429</v>
      </c>
      <c r="G26" s="90">
        <f>G25/(1+P26)^5</f>
        <v>3.4249807651624322</v>
      </c>
      <c r="H26" s="90">
        <f>H25/(1+P26)^6</f>
        <v>3.1804855605712601</v>
      </c>
      <c r="I26" s="90">
        <f>I25/(1+P26)^7</f>
        <v>2.9534438569387387</v>
      </c>
      <c r="J26" s="90">
        <f>J25/(1+P26)^8</f>
        <v>2.7426097210522702</v>
      </c>
      <c r="K26" s="90">
        <f>K25/(1+P26)^9</f>
        <v>2.546826161715813</v>
      </c>
      <c r="L26" s="90">
        <f>L25/(1+P26)^10</f>
        <v>2.3650187805472549</v>
      </c>
      <c r="M26" s="159">
        <f>M25/POWER((1+P26),10)</f>
        <v>30.765053631984991</v>
      </c>
      <c r="N26" s="160"/>
      <c r="O26" s="91" t="s">
        <v>124</v>
      </c>
      <c r="P26" s="105">
        <f>WACC!$C$25</f>
        <v>0.11456412077430318</v>
      </c>
    </row>
    <row r="27" spans="2:16">
      <c r="B27" s="92"/>
      <c r="N27" s="93"/>
    </row>
    <row r="28" spans="2:16" ht="20" thickBot="1">
      <c r="B28" s="94" t="s">
        <v>125</v>
      </c>
      <c r="C28" s="95">
        <f>SUM(C26:N26)*(1-P27)</f>
        <v>64.521545639873395</v>
      </c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7"/>
    </row>
  </sheetData>
  <mergeCells count="12">
    <mergeCell ref="M26:N26"/>
    <mergeCell ref="B4:C4"/>
    <mergeCell ref="M6:N6"/>
    <mergeCell ref="M7:N7"/>
    <mergeCell ref="M8:N8"/>
    <mergeCell ref="B13:C13"/>
    <mergeCell ref="M15:N15"/>
    <mergeCell ref="M16:N16"/>
    <mergeCell ref="M17:N17"/>
    <mergeCell ref="B22:C22"/>
    <mergeCell ref="M24:N24"/>
    <mergeCell ref="M25:N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J83"/>
  <sheetViews>
    <sheetView zoomScale="85" zoomScaleNormal="85" workbookViewId="0">
      <selection activeCell="D60" sqref="D60:M60"/>
    </sheetView>
  </sheetViews>
  <sheetFormatPr defaultRowHeight="14.5"/>
  <cols>
    <col min="2" max="2" width="62.26953125" bestFit="1" customWidth="1"/>
    <col min="3" max="3" width="10" style="110" bestFit="1" customWidth="1"/>
    <col min="4" max="4" width="13.26953125" style="110" bestFit="1" customWidth="1"/>
    <col min="5" max="11" width="11.26953125" style="110" bestFit="1" customWidth="1"/>
    <col min="12" max="13" width="11.6328125" style="110" bestFit="1" customWidth="1"/>
    <col min="19" max="19" width="11.7265625" customWidth="1"/>
  </cols>
  <sheetData>
    <row r="2" spans="2:17" ht="17.5" thickBot="1">
      <c r="B2" s="2" t="s">
        <v>45</v>
      </c>
      <c r="C2" s="109"/>
      <c r="D2" s="109">
        <v>2013</v>
      </c>
      <c r="E2" s="109">
        <v>2014</v>
      </c>
      <c r="F2" s="109">
        <v>2015</v>
      </c>
      <c r="G2" s="109">
        <v>2016</v>
      </c>
      <c r="H2" s="109">
        <v>2017</v>
      </c>
      <c r="I2" s="109">
        <v>2018</v>
      </c>
      <c r="J2" s="109">
        <v>2019</v>
      </c>
      <c r="K2" s="109">
        <v>2020</v>
      </c>
      <c r="L2" s="109">
        <v>2021</v>
      </c>
      <c r="M2" s="109">
        <v>2022</v>
      </c>
    </row>
    <row r="3" spans="2:17" ht="15" thickTop="1">
      <c r="B3" s="18" t="s">
        <v>26</v>
      </c>
      <c r="C3" s="120">
        <v>12825</v>
      </c>
      <c r="D3" s="110">
        <v>12205</v>
      </c>
      <c r="E3" s="110">
        <v>13045</v>
      </c>
      <c r="F3" s="110">
        <v>13000</v>
      </c>
      <c r="G3" s="110">
        <v>13370</v>
      </c>
      <c r="H3" s="110">
        <v>14961</v>
      </c>
      <c r="I3" s="110">
        <v>15784</v>
      </c>
      <c r="J3" s="110">
        <v>14383</v>
      </c>
      <c r="K3" s="110">
        <v>14461</v>
      </c>
      <c r="L3" s="110">
        <v>18344</v>
      </c>
      <c r="M3" s="110">
        <v>20028</v>
      </c>
      <c r="Q3" s="107"/>
    </row>
    <row r="4" spans="2:17">
      <c r="B4" s="18" t="s">
        <v>27</v>
      </c>
      <c r="C4" s="113"/>
      <c r="D4" s="121">
        <f t="shared" ref="D4:M4" si="0">(D3-C3)/C3</f>
        <v>-4.8343079922027292E-2</v>
      </c>
      <c r="E4" s="121">
        <f t="shared" si="0"/>
        <v>6.8824252355591975E-2</v>
      </c>
      <c r="F4" s="121">
        <f t="shared" si="0"/>
        <v>-3.4495975469528554E-3</v>
      </c>
      <c r="G4" s="121">
        <f t="shared" si="0"/>
        <v>2.8461538461538462E-2</v>
      </c>
      <c r="H4" s="121">
        <f t="shared" si="0"/>
        <v>0.11899775617053104</v>
      </c>
      <c r="I4" s="121">
        <f t="shared" si="0"/>
        <v>5.5009691865517012E-2</v>
      </c>
      <c r="J4" s="121">
        <f t="shared" si="0"/>
        <v>-8.8760770400405475E-2</v>
      </c>
      <c r="K4" s="121">
        <f t="shared" si="0"/>
        <v>5.4230689007856497E-3</v>
      </c>
      <c r="L4" s="121">
        <f t="shared" si="0"/>
        <v>0.26851531705967774</v>
      </c>
      <c r="M4" s="121">
        <f t="shared" si="0"/>
        <v>9.1801133885739211E-2</v>
      </c>
      <c r="Q4" s="107"/>
    </row>
    <row r="5" spans="2:17">
      <c r="B5" s="18"/>
      <c r="C5" s="113"/>
      <c r="D5" s="115"/>
      <c r="E5" s="115"/>
      <c r="F5" s="115"/>
      <c r="G5" s="115"/>
      <c r="H5" s="115"/>
      <c r="I5" s="115"/>
      <c r="J5" s="115"/>
      <c r="K5" s="115"/>
      <c r="L5" s="115"/>
      <c r="M5" s="115"/>
      <c r="Q5" s="107"/>
    </row>
    <row r="6" spans="2:17">
      <c r="B6" s="18" t="s">
        <v>29</v>
      </c>
      <c r="C6" s="110">
        <v>1728</v>
      </c>
      <c r="D6" s="110">
        <v>2125</v>
      </c>
      <c r="E6" s="110">
        <v>2777</v>
      </c>
      <c r="F6" s="110">
        <v>2986</v>
      </c>
      <c r="G6" s="110">
        <v>3595</v>
      </c>
      <c r="H6" s="110">
        <v>3648</v>
      </c>
      <c r="I6" s="110">
        <v>5537</v>
      </c>
      <c r="J6" s="110">
        <v>4985</v>
      </c>
      <c r="K6" s="110">
        <v>5568</v>
      </c>
      <c r="L6" s="110">
        <v>7736</v>
      </c>
      <c r="M6" s="110">
        <v>8709</v>
      </c>
      <c r="Q6" s="107"/>
    </row>
    <row r="7" spans="2:17">
      <c r="B7" s="18" t="s">
        <v>27</v>
      </c>
      <c r="C7" s="113"/>
      <c r="D7" s="121">
        <f t="shared" ref="D7" si="1">(D6-C6)/C6</f>
        <v>0.22974537037037038</v>
      </c>
      <c r="E7" s="121">
        <f t="shared" ref="E7" si="2">(E6-D6)/D6</f>
        <v>0.30682352941176472</v>
      </c>
      <c r="F7" s="121">
        <f t="shared" ref="F7" si="3">(F6-E6)/E6</f>
        <v>7.5261073100468132E-2</v>
      </c>
      <c r="G7" s="121">
        <f t="shared" ref="G7" si="4">(G6-F6)/F6</f>
        <v>0.20395177494976557</v>
      </c>
      <c r="H7" s="121">
        <f t="shared" ref="H7" si="5">(H6-G6)/G6</f>
        <v>1.474269819193324E-2</v>
      </c>
      <c r="I7" s="121">
        <f t="shared" ref="I7" si="6">(I6-H6)/H6</f>
        <v>0.5178179824561403</v>
      </c>
      <c r="J7" s="121">
        <f t="shared" ref="J7" si="7">(J6-I6)/I6</f>
        <v>-9.9692974534946716E-2</v>
      </c>
      <c r="K7" s="121">
        <f t="shared" ref="K7" si="8">(K6-J6)/J6</f>
        <v>0.11695085255767301</v>
      </c>
      <c r="L7" s="121">
        <f t="shared" ref="L7" si="9">(L6-K6)/K6</f>
        <v>0.38936781609195403</v>
      </c>
      <c r="M7" s="121">
        <f t="shared" ref="M7" si="10">(M6-L6)/L6</f>
        <v>0.12577559462254395</v>
      </c>
      <c r="Q7" s="107"/>
    </row>
    <row r="8" spans="2:17">
      <c r="D8" s="115"/>
      <c r="E8" s="115"/>
      <c r="F8" s="115"/>
      <c r="G8" s="115"/>
      <c r="H8" s="115"/>
      <c r="I8" s="115"/>
      <c r="J8" s="115"/>
      <c r="K8" s="115"/>
      <c r="L8" s="115"/>
      <c r="M8" s="115"/>
      <c r="Q8" s="107"/>
    </row>
    <row r="9" spans="2:17">
      <c r="B9" s="18" t="s">
        <v>47</v>
      </c>
      <c r="C9" s="110">
        <v>3374</v>
      </c>
      <c r="D9" s="110">
        <v>4129</v>
      </c>
      <c r="E9" s="110">
        <v>5177</v>
      </c>
      <c r="F9" s="110">
        <v>5455</v>
      </c>
      <c r="G9" s="110">
        <v>5810</v>
      </c>
      <c r="H9" s="110">
        <v>6987</v>
      </c>
      <c r="I9" s="110">
        <v>7667</v>
      </c>
      <c r="J9" s="110">
        <v>6773</v>
      </c>
      <c r="K9" s="110">
        <v>6886</v>
      </c>
      <c r="L9" s="110">
        <v>9914</v>
      </c>
      <c r="M9" s="110">
        <v>11119</v>
      </c>
      <c r="Q9" s="107"/>
    </row>
    <row r="10" spans="2:17">
      <c r="B10" s="18" t="s">
        <v>27</v>
      </c>
      <c r="C10" s="113"/>
      <c r="D10" s="121">
        <f t="shared" ref="D10" si="11">(D9-C9)/C9</f>
        <v>0.22377000592768229</v>
      </c>
      <c r="E10" s="121">
        <f t="shared" ref="E10" si="12">(E9-D9)/D9</f>
        <v>0.25381448292564784</v>
      </c>
      <c r="F10" s="121">
        <f t="shared" ref="F10" si="13">(F9-E9)/E9</f>
        <v>5.3699053505891443E-2</v>
      </c>
      <c r="G10" s="121">
        <f t="shared" ref="G10" si="14">(G9-F9)/F9</f>
        <v>6.5077910174152154E-2</v>
      </c>
      <c r="H10" s="121">
        <f t="shared" ref="H10" si="15">(H9-G9)/G9</f>
        <v>0.20258175559380379</v>
      </c>
      <c r="I10" s="121">
        <f t="shared" ref="I10" si="16">(I9-H9)/H9</f>
        <v>9.7323600973236016E-2</v>
      </c>
      <c r="J10" s="121">
        <f t="shared" ref="J10" si="17">(J9-I9)/I9</f>
        <v>-0.11660362592930743</v>
      </c>
      <c r="K10" s="121">
        <f t="shared" ref="K10" si="18">(K9-J9)/J9</f>
        <v>1.6683891923815149E-2</v>
      </c>
      <c r="L10" s="121">
        <f t="shared" ref="L10" si="19">(L9-K9)/K9</f>
        <v>0.43973279117049086</v>
      </c>
      <c r="M10" s="121">
        <f t="shared" ref="M10" si="20">(M9-L9)/L9</f>
        <v>0.12154528948961066</v>
      </c>
      <c r="Q10" s="107"/>
    </row>
    <row r="11" spans="2:17">
      <c r="B11" s="18"/>
      <c r="C11" s="113"/>
      <c r="Q11" s="107"/>
    </row>
    <row r="12" spans="2:17">
      <c r="B12" s="18" t="s">
        <v>143</v>
      </c>
      <c r="C12" s="110">
        <v>1146</v>
      </c>
      <c r="D12" s="110">
        <v>1113</v>
      </c>
      <c r="E12" s="110">
        <v>1080</v>
      </c>
      <c r="F12" s="110">
        <v>1043</v>
      </c>
      <c r="G12" s="110">
        <v>1021</v>
      </c>
      <c r="H12" s="110">
        <v>1012</v>
      </c>
      <c r="I12" s="110">
        <v>990</v>
      </c>
      <c r="J12" s="110">
        <v>952</v>
      </c>
      <c r="K12" s="110">
        <v>921</v>
      </c>
      <c r="L12" s="110">
        <v>923</v>
      </c>
      <c r="M12" s="110">
        <v>916</v>
      </c>
      <c r="Q12" s="107"/>
    </row>
    <row r="13" spans="2:17">
      <c r="B13" s="18" t="s">
        <v>27</v>
      </c>
      <c r="C13" s="113"/>
      <c r="D13" s="121">
        <f t="shared" ref="D13" si="21">(D12-C12)/C12</f>
        <v>-2.8795811518324606E-2</v>
      </c>
      <c r="E13" s="121">
        <f t="shared" ref="E13" si="22">(E12-D12)/D12</f>
        <v>-2.9649595687331536E-2</v>
      </c>
      <c r="F13" s="121">
        <f t="shared" ref="F13" si="23">(F12-E12)/E12</f>
        <v>-3.425925925925926E-2</v>
      </c>
      <c r="G13" s="121">
        <f t="shared" ref="G13" si="24">(G12-F12)/F12</f>
        <v>-2.109300095877277E-2</v>
      </c>
      <c r="H13" s="121">
        <f t="shared" ref="H13" si="25">(H12-G12)/G12</f>
        <v>-8.8148873653281102E-3</v>
      </c>
      <c r="I13" s="121">
        <f t="shared" ref="I13" si="26">(I12-H12)/H12</f>
        <v>-2.1739130434782608E-2</v>
      </c>
      <c r="J13" s="121">
        <f t="shared" ref="J13" si="27">(J12-I12)/I12</f>
        <v>-3.8383838383838381E-2</v>
      </c>
      <c r="K13" s="121">
        <f t="shared" ref="K13" si="28">(K12-J12)/J12</f>
        <v>-3.2563025210084036E-2</v>
      </c>
      <c r="L13" s="121">
        <f t="shared" ref="L13" si="29">(L12-K12)/K12</f>
        <v>2.1715526601520088E-3</v>
      </c>
      <c r="M13" s="121">
        <f t="shared" ref="M13" si="30">(M12-L12)/L12</f>
        <v>-7.5839653304442039E-3</v>
      </c>
      <c r="Q13" s="107"/>
    </row>
    <row r="14" spans="2:17">
      <c r="B14" s="18"/>
      <c r="C14" s="113"/>
      <c r="Q14" s="107"/>
    </row>
    <row r="15" spans="2:17">
      <c r="B15" s="18" t="s">
        <v>144</v>
      </c>
      <c r="C15" s="110">
        <v>1.5099999904632568</v>
      </c>
      <c r="D15" s="110">
        <v>1.9099999666213989</v>
      </c>
      <c r="E15" s="110">
        <v>2.5699999332427979</v>
      </c>
      <c r="F15" s="110">
        <v>2.8199999332427979</v>
      </c>
      <c r="G15" s="110">
        <v>3.4800000190734863</v>
      </c>
      <c r="H15" s="110">
        <v>3.6099998950958252</v>
      </c>
      <c r="I15" s="110">
        <v>5.5900001525878906</v>
      </c>
      <c r="J15" s="110">
        <v>5.2399997711181641</v>
      </c>
      <c r="K15" s="110">
        <v>5.9699997901916504</v>
      </c>
      <c r="L15" s="110">
        <v>8.2600002288818359</v>
      </c>
      <c r="M15" s="110">
        <v>9.4099998474121094</v>
      </c>
      <c r="Q15" s="107"/>
    </row>
    <row r="16" spans="2:17">
      <c r="B16" s="18" t="s">
        <v>27</v>
      </c>
      <c r="D16" s="121">
        <f t="shared" ref="D16" si="31">(D15-C15)/C15</f>
        <v>0.2649006481353845</v>
      </c>
      <c r="E16" s="121">
        <f t="shared" ref="E16" si="32">(E15-D15)/D15</f>
        <v>0.34554972678291368</v>
      </c>
      <c r="F16" s="121">
        <f t="shared" ref="F16" si="33">(F15-E15)/E15</f>
        <v>9.7276267118245607E-2</v>
      </c>
      <c r="G16" s="121">
        <f t="shared" ref="G16" si="34">(G15-F15)/F15</f>
        <v>0.23404258916833898</v>
      </c>
      <c r="H16" s="121">
        <f t="shared" ref="H16" si="35">(H15-G15)/G15</f>
        <v>3.7356286008570189E-2</v>
      </c>
      <c r="I16" s="121">
        <f t="shared" ref="I16" si="36">(I15-H15)/H15</f>
        <v>0.54847654155943115</v>
      </c>
      <c r="J16" s="121">
        <f t="shared" ref="J16" si="37">(J15-I15)/I15</f>
        <v>-6.261187333021706E-2</v>
      </c>
      <c r="K16" s="121">
        <f t="shared" ref="K16" si="38">(K15-J15)/J15</f>
        <v>0.13931298682436999</v>
      </c>
      <c r="L16" s="121">
        <f t="shared" ref="L16" si="39">(L15-K15)/K15</f>
        <v>0.38358467657779866</v>
      </c>
      <c r="M16" s="121">
        <f t="shared" ref="M16" si="40">(M15-L15)/L15</f>
        <v>0.13922513155740504</v>
      </c>
      <c r="Q16" s="107"/>
    </row>
    <row r="17" spans="2:36">
      <c r="B17" s="18"/>
      <c r="Q17" s="107"/>
    </row>
    <row r="19" spans="2:36" ht="17.5" thickBot="1">
      <c r="B19" s="2" t="s">
        <v>46</v>
      </c>
      <c r="C19" s="109"/>
      <c r="D19" s="109">
        <v>2013</v>
      </c>
      <c r="E19" s="109">
        <v>2014</v>
      </c>
      <c r="F19" s="109">
        <v>2015</v>
      </c>
      <c r="G19" s="109">
        <v>2016</v>
      </c>
      <c r="H19" s="109">
        <v>2017</v>
      </c>
      <c r="I19" s="109">
        <v>2018</v>
      </c>
      <c r="J19" s="109">
        <v>2019</v>
      </c>
      <c r="K19" s="109">
        <v>2020</v>
      </c>
      <c r="L19" s="109">
        <v>2021</v>
      </c>
      <c r="M19" s="109">
        <v>2022</v>
      </c>
    </row>
    <row r="20" spans="2:36" ht="15" thickTop="1">
      <c r="B20" s="31" t="s">
        <v>30</v>
      </c>
      <c r="C20" s="110">
        <v>2919</v>
      </c>
      <c r="D20" s="128">
        <v>2993</v>
      </c>
      <c r="E20" s="128">
        <v>3811</v>
      </c>
      <c r="F20" s="128">
        <v>3956</v>
      </c>
      <c r="G20" s="128">
        <v>4083</v>
      </c>
      <c r="H20" s="128">
        <v>4708</v>
      </c>
      <c r="I20" s="128">
        <v>6067</v>
      </c>
      <c r="J20" s="128">
        <v>5832</v>
      </c>
      <c r="K20" s="128">
        <v>5494</v>
      </c>
      <c r="L20" s="128">
        <v>6369</v>
      </c>
      <c r="M20" s="128">
        <v>5926</v>
      </c>
      <c r="O20" s="107"/>
      <c r="P20" s="107"/>
      <c r="Q20" s="107"/>
      <c r="R20" s="107"/>
      <c r="S20" s="107"/>
      <c r="T20" s="108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</row>
    <row r="21" spans="2:36">
      <c r="B21" s="31" t="s">
        <v>27</v>
      </c>
      <c r="D21" s="129"/>
      <c r="E21" s="131">
        <f t="shared" ref="E21" si="41">(E20-D20)/D20</f>
        <v>0.27330437687938525</v>
      </c>
      <c r="F21" s="131">
        <f t="shared" ref="F21" si="42">(F20-E20)/E20</f>
        <v>3.8047756494358438E-2</v>
      </c>
      <c r="G21" s="131">
        <f t="shared" ref="G21" si="43">(G20-F20)/F20</f>
        <v>3.2103134479271989E-2</v>
      </c>
      <c r="H21" s="131">
        <f t="shared" ref="H21" si="44">(H20-G20)/G20</f>
        <v>0.15307372030369826</v>
      </c>
      <c r="I21" s="131">
        <f t="shared" ref="I21" si="45">(I20-H20)/H20</f>
        <v>0.28865760407816482</v>
      </c>
      <c r="J21" s="131">
        <f t="shared" ref="J21" si="46">(J20-I20)/I20</f>
        <v>-3.8734135487061151E-2</v>
      </c>
      <c r="K21" s="131">
        <f t="shared" ref="K21" si="47">(K20-J20)/J20</f>
        <v>-5.7956104252400546E-2</v>
      </c>
      <c r="L21" s="131">
        <f t="shared" ref="L21" si="48">(L20-K20)/K20</f>
        <v>0.15926465234801601</v>
      </c>
      <c r="M21" s="131">
        <f t="shared" ref="M21" si="49">(M20-L20)/L20</f>
        <v>-6.9555660229235358E-2</v>
      </c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</row>
    <row r="22" spans="2:36"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</row>
    <row r="23" spans="2:36">
      <c r="B23" s="18" t="s">
        <v>60</v>
      </c>
      <c r="C23" s="113">
        <v>819</v>
      </c>
      <c r="D23" s="130">
        <v>1175</v>
      </c>
      <c r="E23" s="130">
        <v>1323</v>
      </c>
      <c r="F23" s="130">
        <v>1444</v>
      </c>
      <c r="G23" s="130">
        <v>1646</v>
      </c>
      <c r="H23" s="130">
        <v>2104</v>
      </c>
      <c r="I23" s="130">
        <v>2555</v>
      </c>
      <c r="J23" s="130">
        <v>3008</v>
      </c>
      <c r="K23" s="130">
        <v>3426</v>
      </c>
      <c r="L23" s="130">
        <v>3886</v>
      </c>
      <c r="M23" s="130">
        <v>4297</v>
      </c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</row>
    <row r="24" spans="2:36">
      <c r="D24" s="121">
        <f t="shared" ref="D24" si="50">(D23-C23)/C23</f>
        <v>0.43467643467643469</v>
      </c>
      <c r="E24" s="121">
        <f t="shared" ref="E24" si="51">(E23-D23)/D23</f>
        <v>0.12595744680851065</v>
      </c>
      <c r="F24" s="121">
        <f t="shared" ref="F24" si="52">(F23-E23)/E23</f>
        <v>9.1458805744520033E-2</v>
      </c>
      <c r="G24" s="121">
        <f t="shared" ref="G24" si="53">(G23-F23)/F23</f>
        <v>0.13988919667590027</v>
      </c>
      <c r="H24" s="121">
        <f t="shared" ref="H24" si="54">(H23-G23)/G23</f>
        <v>0.27825030376670717</v>
      </c>
      <c r="I24" s="121">
        <f t="shared" ref="I24" si="55">(I23-H23)/H23</f>
        <v>0.21435361216730037</v>
      </c>
      <c r="J24" s="121">
        <f t="shared" ref="J24" si="56">(J23-I23)/I23</f>
        <v>0.17729941291585127</v>
      </c>
      <c r="K24" s="121">
        <f t="shared" ref="K24" si="57">(K23-J23)/J23</f>
        <v>0.1389627659574468</v>
      </c>
      <c r="L24" s="121">
        <f t="shared" ref="L24" si="58">(L23-K23)/K23</f>
        <v>0.1342673671920607</v>
      </c>
      <c r="M24" s="121">
        <f t="shared" ref="M24" si="59">(M23-L23)/L23</f>
        <v>0.10576428203808544</v>
      </c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</row>
    <row r="25" spans="2:36"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</row>
    <row r="26" spans="2:36"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</row>
    <row r="27" spans="2:36" ht="17.5" thickBot="1">
      <c r="B27" s="2" t="s">
        <v>48</v>
      </c>
      <c r="C27" s="109">
        <v>2012</v>
      </c>
      <c r="D27" s="109">
        <v>2013</v>
      </c>
      <c r="E27" s="109">
        <v>2014</v>
      </c>
      <c r="F27" s="109">
        <v>2015</v>
      </c>
      <c r="G27" s="109">
        <v>2016</v>
      </c>
      <c r="H27" s="109">
        <v>2017</v>
      </c>
      <c r="I27" s="109">
        <v>2018</v>
      </c>
      <c r="J27" s="109">
        <v>2019</v>
      </c>
      <c r="K27" s="109">
        <v>2020</v>
      </c>
      <c r="L27" s="109">
        <v>2021</v>
      </c>
      <c r="M27" s="109">
        <v>2022</v>
      </c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</row>
    <row r="28" spans="2:36" ht="15" thickTop="1">
      <c r="B28" s="18" t="s">
        <v>49</v>
      </c>
      <c r="C28" s="110">
        <v>8230</v>
      </c>
      <c r="D28" s="110">
        <v>8019</v>
      </c>
      <c r="E28" s="110">
        <v>7421</v>
      </c>
      <c r="F28" s="110">
        <v>7074</v>
      </c>
      <c r="G28" s="110">
        <v>7457</v>
      </c>
      <c r="H28" s="110">
        <v>8734</v>
      </c>
      <c r="I28" s="110">
        <v>8097</v>
      </c>
      <c r="J28" s="110">
        <v>8761</v>
      </c>
      <c r="K28" s="110">
        <v>10239</v>
      </c>
      <c r="L28" s="110">
        <v>13685</v>
      </c>
      <c r="M28" s="110">
        <v>14021</v>
      </c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</row>
    <row r="29" spans="2:36">
      <c r="B29" s="18" t="s">
        <v>27</v>
      </c>
      <c r="C29" s="113"/>
      <c r="D29" s="121">
        <f t="shared" ref="D29" si="60">(D28-C28)/C28</f>
        <v>-2.5637910085054678E-2</v>
      </c>
      <c r="E29" s="121">
        <f t="shared" ref="E29" si="61">(E28-D28)/D28</f>
        <v>-7.4572889387704205E-2</v>
      </c>
      <c r="F29" s="121">
        <f t="shared" ref="F29" si="62">(F28-E28)/E28</f>
        <v>-4.675919687373669E-2</v>
      </c>
      <c r="G29" s="121">
        <f t="shared" ref="G29" si="63">(G28-F28)/F28</f>
        <v>5.4141928187729713E-2</v>
      </c>
      <c r="H29" s="121">
        <f t="shared" ref="H29" si="64">(H28-G28)/G28</f>
        <v>0.17124849135040901</v>
      </c>
      <c r="I29" s="121">
        <f t="shared" ref="I29" si="65">(I28-H28)/H28</f>
        <v>-7.293336386535379E-2</v>
      </c>
      <c r="J29" s="121">
        <f t="shared" ref="J29" si="66">(J28-I28)/I28</f>
        <v>8.2005681116462892E-2</v>
      </c>
      <c r="K29" s="121">
        <f t="shared" ref="K29" si="67">(K28-J28)/J28</f>
        <v>0.16870220294486932</v>
      </c>
      <c r="L29" s="121">
        <f t="shared" ref="L29" si="68">(L28-K28)/K28</f>
        <v>0.33655630432659439</v>
      </c>
      <c r="M29" s="121">
        <f t="shared" ref="M29" si="69">(M28-L28)/L28</f>
        <v>2.4552429667519183E-2</v>
      </c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</row>
    <row r="30" spans="2:36"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</row>
    <row r="31" spans="2:36">
      <c r="B31" s="18" t="s">
        <v>53</v>
      </c>
      <c r="C31" s="110">
        <v>11791</v>
      </c>
      <c r="D31" s="110">
        <v>10919</v>
      </c>
      <c r="E31" s="110">
        <v>9951</v>
      </c>
      <c r="F31" s="110">
        <v>9156</v>
      </c>
      <c r="G31" s="110">
        <v>8974</v>
      </c>
      <c r="H31" s="110">
        <v>8908</v>
      </c>
      <c r="I31" s="110">
        <v>9040</v>
      </c>
      <c r="J31" s="110">
        <v>9257</v>
      </c>
      <c r="K31" s="110">
        <v>9112</v>
      </c>
      <c r="L31" s="110">
        <v>10991</v>
      </c>
      <c r="M31" s="110">
        <v>13186</v>
      </c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</row>
    <row r="32" spans="2:36">
      <c r="B32" s="18" t="s">
        <v>27</v>
      </c>
      <c r="C32" s="113"/>
      <c r="D32" s="121">
        <f t="shared" ref="D32" si="70">(D31-C31)/C31</f>
        <v>-7.3954711220422353E-2</v>
      </c>
      <c r="E32" s="121">
        <f t="shared" ref="E32" si="71">(E31-D31)/D31</f>
        <v>-8.8652807033611142E-2</v>
      </c>
      <c r="F32" s="121">
        <f t="shared" ref="F32" si="72">(F31-E31)/E31</f>
        <v>-7.9891468194151341E-2</v>
      </c>
      <c r="G32" s="121">
        <f t="shared" ref="G32" si="73">(G31-F31)/F31</f>
        <v>-1.9877675840978593E-2</v>
      </c>
      <c r="H32" s="121">
        <f t="shared" ref="H32" si="74">(H31-G31)/G31</f>
        <v>-7.3545798974816133E-3</v>
      </c>
      <c r="I32" s="121">
        <f t="shared" ref="I32" si="75">(I31-H31)/H31</f>
        <v>1.4818140996856757E-2</v>
      </c>
      <c r="J32" s="121">
        <f t="shared" ref="J32" si="76">(J31-I31)/I31</f>
        <v>2.4004424778761062E-2</v>
      </c>
      <c r="K32" s="121">
        <f t="shared" ref="K32" si="77">(K31-J31)/J31</f>
        <v>-1.5663821972561304E-2</v>
      </c>
      <c r="L32" s="121">
        <f t="shared" ref="L32" si="78">(L31-K31)/K31</f>
        <v>0.20621158911325724</v>
      </c>
      <c r="M32" s="121">
        <f t="shared" ref="M32" si="79">(M31-L31)/L31</f>
        <v>0.19970885269766173</v>
      </c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</row>
    <row r="33" spans="2:36"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</row>
    <row r="34" spans="2:36">
      <c r="B34" s="32" t="s">
        <v>50</v>
      </c>
      <c r="C34" s="111"/>
      <c r="D34" s="111">
        <f>D28+D31</f>
        <v>18938</v>
      </c>
      <c r="E34" s="111">
        <f t="shared" ref="E34:M34" si="80">E28+E31</f>
        <v>17372</v>
      </c>
      <c r="F34" s="111">
        <f t="shared" si="80"/>
        <v>16230</v>
      </c>
      <c r="G34" s="111">
        <f t="shared" si="80"/>
        <v>16431</v>
      </c>
      <c r="H34" s="111">
        <f t="shared" si="80"/>
        <v>17642</v>
      </c>
      <c r="I34" s="111">
        <f t="shared" si="80"/>
        <v>17137</v>
      </c>
      <c r="J34" s="111">
        <f t="shared" si="80"/>
        <v>18018</v>
      </c>
      <c r="K34" s="111">
        <f t="shared" si="80"/>
        <v>19351</v>
      </c>
      <c r="L34" s="111">
        <f t="shared" si="80"/>
        <v>24676</v>
      </c>
      <c r="M34" s="111">
        <f t="shared" si="80"/>
        <v>27207</v>
      </c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</row>
    <row r="35" spans="2:36"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</row>
    <row r="36" spans="2:36">
      <c r="B36" s="18" t="s">
        <v>51</v>
      </c>
      <c r="C36" s="113">
        <v>3430</v>
      </c>
      <c r="D36" s="118">
        <v>2747</v>
      </c>
      <c r="E36" s="110">
        <v>2658</v>
      </c>
      <c r="F36" s="110">
        <v>2555</v>
      </c>
      <c r="G36" s="110">
        <v>2264</v>
      </c>
      <c r="H36" s="110">
        <v>2258</v>
      </c>
      <c r="I36" s="110">
        <v>2474</v>
      </c>
      <c r="J36" s="110">
        <v>2123</v>
      </c>
      <c r="K36" s="110">
        <v>2390</v>
      </c>
      <c r="L36" s="110">
        <v>2569</v>
      </c>
      <c r="M36" s="110">
        <v>2985</v>
      </c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</row>
    <row r="37" spans="2:36">
      <c r="B37" s="18" t="s">
        <v>27</v>
      </c>
      <c r="C37" s="113"/>
      <c r="D37" s="121">
        <f t="shared" ref="D37" si="81">(D36-C36)/C36</f>
        <v>-0.19912536443148687</v>
      </c>
      <c r="E37" s="121">
        <f t="shared" ref="E37" si="82">(E36-D36)/D36</f>
        <v>-3.2398980706224975E-2</v>
      </c>
      <c r="F37" s="121">
        <f t="shared" ref="F37" si="83">(F36-E36)/E36</f>
        <v>-3.8750940556809631E-2</v>
      </c>
      <c r="G37" s="121">
        <f t="shared" ref="G37" si="84">(G36-F36)/F36</f>
        <v>-0.11389432485322896</v>
      </c>
      <c r="H37" s="121">
        <f t="shared" ref="H37" si="85">(H36-G36)/G36</f>
        <v>-2.6501766784452299E-3</v>
      </c>
      <c r="I37" s="121">
        <f t="shared" ref="I37" si="86">(I36-H36)/H36</f>
        <v>9.5659875996457047E-2</v>
      </c>
      <c r="J37" s="121">
        <f t="shared" ref="J37" si="87">(J36-I36)/I36</f>
        <v>-0.14187550525464834</v>
      </c>
      <c r="K37" s="121">
        <f t="shared" ref="K37" si="88">(K36-J36)/J36</f>
        <v>0.12576542628356099</v>
      </c>
      <c r="L37" s="121">
        <f t="shared" ref="L37" si="89">(L36-K36)/K36</f>
        <v>7.4895397489539745E-2</v>
      </c>
      <c r="M37" s="121">
        <f t="shared" ref="M37" si="90">(M36-L36)/L36</f>
        <v>0.16193071233943168</v>
      </c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</row>
    <row r="38" spans="2:36"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</row>
    <row r="39" spans="2:36">
      <c r="B39" s="18" t="s">
        <v>52</v>
      </c>
      <c r="C39" s="113">
        <v>5630</v>
      </c>
      <c r="D39" s="110">
        <v>5384</v>
      </c>
      <c r="E39" s="110">
        <v>4324</v>
      </c>
      <c r="F39" s="110">
        <v>3729</v>
      </c>
      <c r="G39" s="110">
        <v>3694</v>
      </c>
      <c r="H39" s="110">
        <v>5047</v>
      </c>
      <c r="I39" s="110">
        <v>5669</v>
      </c>
      <c r="J39" s="110">
        <v>6988</v>
      </c>
      <c r="K39" s="110">
        <v>7774</v>
      </c>
      <c r="L39" s="110">
        <v>8774</v>
      </c>
      <c r="M39" s="110">
        <v>9645</v>
      </c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</row>
    <row r="40" spans="2:36">
      <c r="B40" s="18" t="s">
        <v>27</v>
      </c>
      <c r="C40" s="113"/>
      <c r="D40" s="121">
        <f t="shared" ref="D40" si="91">(D39-C39)/C39</f>
        <v>-4.3694493783303728E-2</v>
      </c>
      <c r="E40" s="121">
        <f t="shared" ref="E40" si="92">(E39-D39)/D39</f>
        <v>-0.19687964338781574</v>
      </c>
      <c r="F40" s="121">
        <f t="shared" ref="F40" si="93">(F39-E39)/E39</f>
        <v>-0.13760407030527289</v>
      </c>
      <c r="G40" s="121">
        <f t="shared" ref="G40" si="94">(G39-F39)/F39</f>
        <v>-9.3858943416465536E-3</v>
      </c>
      <c r="H40" s="121">
        <f t="shared" ref="H40" si="95">(H39-G39)/G39</f>
        <v>0.36626962642122363</v>
      </c>
      <c r="I40" s="121">
        <f t="shared" ref="I40" si="96">(I39-H39)/H39</f>
        <v>0.12324152962155736</v>
      </c>
      <c r="J40" s="121">
        <f t="shared" ref="J40" si="97">(J39-I39)/I39</f>
        <v>0.23266890104074792</v>
      </c>
      <c r="K40" s="121">
        <f t="shared" ref="K40" si="98">(K39-J39)/J39</f>
        <v>0.11247853463079564</v>
      </c>
      <c r="L40" s="121">
        <f t="shared" ref="L40" si="99">(L39-K39)/K39</f>
        <v>0.12863390789812196</v>
      </c>
      <c r="M40" s="121">
        <f t="shared" ref="M40" si="100">(M39-L39)/L39</f>
        <v>9.9270572144973784E-2</v>
      </c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</row>
    <row r="41" spans="2:36"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</row>
    <row r="42" spans="2:36">
      <c r="B42" s="31" t="s">
        <v>54</v>
      </c>
      <c r="C42" s="116">
        <v>1</v>
      </c>
      <c r="D42" s="111">
        <f>D36+D39</f>
        <v>8131</v>
      </c>
      <c r="E42" s="111">
        <f t="shared" ref="E42:M42" si="101">E36+E39</f>
        <v>6982</v>
      </c>
      <c r="F42" s="111">
        <f t="shared" si="101"/>
        <v>6284</v>
      </c>
      <c r="G42" s="111">
        <f t="shared" si="101"/>
        <v>5958</v>
      </c>
      <c r="H42" s="111">
        <f t="shared" si="101"/>
        <v>7305</v>
      </c>
      <c r="I42" s="111">
        <f t="shared" si="101"/>
        <v>8143</v>
      </c>
      <c r="J42" s="111">
        <f t="shared" si="101"/>
        <v>9111</v>
      </c>
      <c r="K42" s="111">
        <f t="shared" si="101"/>
        <v>10164</v>
      </c>
      <c r="L42" s="111">
        <f t="shared" si="101"/>
        <v>11343</v>
      </c>
      <c r="M42" s="111">
        <f t="shared" si="101"/>
        <v>12630</v>
      </c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</row>
    <row r="43" spans="2:36">
      <c r="B43" s="18"/>
      <c r="C43" s="113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</row>
    <row r="44" spans="2:36">
      <c r="B44" s="31" t="s">
        <v>55</v>
      </c>
      <c r="C44" s="134">
        <v>1</v>
      </c>
      <c r="D44" s="134">
        <f>D34-D42</f>
        <v>10807</v>
      </c>
      <c r="E44" s="134">
        <f t="shared" ref="E44:M44" si="102">E34-E42</f>
        <v>10390</v>
      </c>
      <c r="F44" s="134">
        <f t="shared" si="102"/>
        <v>9946</v>
      </c>
      <c r="G44" s="134">
        <f t="shared" si="102"/>
        <v>10473</v>
      </c>
      <c r="H44" s="134">
        <f t="shared" si="102"/>
        <v>10337</v>
      </c>
      <c r="I44" s="134">
        <f t="shared" si="102"/>
        <v>8994</v>
      </c>
      <c r="J44" s="134">
        <f t="shared" si="102"/>
        <v>8907</v>
      </c>
      <c r="K44" s="134">
        <f t="shared" si="102"/>
        <v>9187</v>
      </c>
      <c r="L44" s="134">
        <f t="shared" si="102"/>
        <v>13333</v>
      </c>
      <c r="M44" s="134">
        <f t="shared" si="102"/>
        <v>14577</v>
      </c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</row>
    <row r="45" spans="2:36"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</row>
    <row r="46" spans="2:36">
      <c r="B46" s="122" t="s">
        <v>155</v>
      </c>
      <c r="C46" s="133">
        <v>4186</v>
      </c>
      <c r="D46" s="133">
        <v>4158</v>
      </c>
      <c r="E46" s="133">
        <v>3630</v>
      </c>
      <c r="F46" s="133">
        <v>3120</v>
      </c>
      <c r="G46" s="133">
        <v>2978</v>
      </c>
      <c r="H46" s="133">
        <v>3577</v>
      </c>
      <c r="I46" s="133">
        <v>4319</v>
      </c>
      <c r="J46" s="133">
        <v>5303</v>
      </c>
      <c r="K46" s="136">
        <v>6248</v>
      </c>
      <c r="L46" s="133">
        <v>7241</v>
      </c>
      <c r="M46" s="133">
        <v>8235</v>
      </c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</row>
    <row r="47" spans="2:36"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  <c r="AA47" s="107"/>
      <c r="AB47" s="107"/>
      <c r="AC47" s="107"/>
      <c r="AD47" s="107"/>
      <c r="AE47" s="107"/>
      <c r="AF47" s="107"/>
      <c r="AG47" s="107"/>
      <c r="AH47" s="107"/>
      <c r="AI47" s="107"/>
      <c r="AJ47" s="107"/>
    </row>
    <row r="48" spans="2:36"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</row>
    <row r="49" spans="2:36" ht="17.5" thickBot="1">
      <c r="B49" s="2" t="s">
        <v>56</v>
      </c>
      <c r="C49" s="109"/>
      <c r="D49" s="109">
        <v>2013</v>
      </c>
      <c r="E49" s="109">
        <v>2014</v>
      </c>
      <c r="F49" s="109">
        <v>2015</v>
      </c>
      <c r="G49" s="109">
        <v>2016</v>
      </c>
      <c r="H49" s="109">
        <v>2017</v>
      </c>
      <c r="I49" s="109">
        <v>2018</v>
      </c>
      <c r="J49" s="109">
        <v>2019</v>
      </c>
      <c r="K49" s="109">
        <v>2020</v>
      </c>
      <c r="L49" s="109">
        <v>2021</v>
      </c>
      <c r="M49" s="109">
        <v>2022</v>
      </c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</row>
    <row r="50" spans="2:36" ht="15" thickTop="1">
      <c r="B50" s="18" t="s">
        <v>57</v>
      </c>
      <c r="C50" s="113"/>
      <c r="D50" s="126">
        <f t="shared" ref="D50:M50" si="103">D6/D3</f>
        <v>0.17410897173289636</v>
      </c>
      <c r="E50" s="126">
        <f t="shared" si="103"/>
        <v>0.212878497508624</v>
      </c>
      <c r="F50" s="126">
        <f t="shared" si="103"/>
        <v>0.2296923076923077</v>
      </c>
      <c r="G50" s="126">
        <f t="shared" si="103"/>
        <v>0.26888556469708302</v>
      </c>
      <c r="H50" s="126">
        <f t="shared" si="103"/>
        <v>0.24383396831762583</v>
      </c>
      <c r="I50" s="126">
        <f t="shared" si="103"/>
        <v>0.35079827673593511</v>
      </c>
      <c r="J50" s="126">
        <f t="shared" si="103"/>
        <v>0.34658972397969823</v>
      </c>
      <c r="K50" s="126">
        <f t="shared" si="103"/>
        <v>0.38503561302814465</v>
      </c>
      <c r="L50" s="126">
        <f t="shared" si="103"/>
        <v>0.4217182730047972</v>
      </c>
      <c r="M50" s="126">
        <f t="shared" si="103"/>
        <v>0.43484122228879568</v>
      </c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07"/>
    </row>
    <row r="51" spans="2:36">
      <c r="B51" s="18" t="s">
        <v>58</v>
      </c>
      <c r="C51" s="113"/>
      <c r="D51" s="126">
        <f t="shared" ref="D51:M51" si="104">D9/D3</f>
        <v>0.33830397378123722</v>
      </c>
      <c r="E51" s="126">
        <f t="shared" si="104"/>
        <v>0.39685703334610961</v>
      </c>
      <c r="F51" s="126">
        <f t="shared" si="104"/>
        <v>0.41961538461538461</v>
      </c>
      <c r="G51" s="126">
        <f t="shared" si="104"/>
        <v>0.43455497382198954</v>
      </c>
      <c r="H51" s="126">
        <f t="shared" si="104"/>
        <v>0.46701423701624223</v>
      </c>
      <c r="I51" s="126">
        <f t="shared" si="104"/>
        <v>0.48574505828687276</v>
      </c>
      <c r="J51" s="126">
        <f t="shared" si="104"/>
        <v>0.47090314955155393</v>
      </c>
      <c r="K51" s="126">
        <f t="shared" si="104"/>
        <v>0.47617730447410278</v>
      </c>
      <c r="L51" s="126">
        <f t="shared" si="104"/>
        <v>0.54044919319668561</v>
      </c>
      <c r="M51" s="126">
        <f t="shared" si="104"/>
        <v>0.555172758138606</v>
      </c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07"/>
    </row>
    <row r="52" spans="2:36">
      <c r="B52" s="18" t="s">
        <v>59</v>
      </c>
      <c r="C52" s="113"/>
      <c r="D52" s="126">
        <f t="shared" ref="D52:M52" si="105">D20/D3</f>
        <v>0.24522736583367472</v>
      </c>
      <c r="E52" s="126">
        <f t="shared" si="105"/>
        <v>0.29214258336527404</v>
      </c>
      <c r="F52" s="126">
        <f t="shared" si="105"/>
        <v>0.30430769230769233</v>
      </c>
      <c r="G52" s="126">
        <f t="shared" si="105"/>
        <v>0.30538519072550485</v>
      </c>
      <c r="H52" s="126">
        <f t="shared" si="105"/>
        <v>0.31468484726956752</v>
      </c>
      <c r="I52" s="126">
        <f t="shared" si="105"/>
        <v>0.38437658388241258</v>
      </c>
      <c r="J52" s="126">
        <f t="shared" si="105"/>
        <v>0.40547869012028087</v>
      </c>
      <c r="K52" s="126">
        <f t="shared" si="105"/>
        <v>0.3799184012170666</v>
      </c>
      <c r="L52" s="126">
        <f t="shared" si="105"/>
        <v>0.34719799389446143</v>
      </c>
      <c r="M52" s="126">
        <f t="shared" si="105"/>
        <v>0.29588575993608945</v>
      </c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</row>
    <row r="53" spans="2:36"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</row>
    <row r="54" spans="2:36" ht="17.5" thickBot="1">
      <c r="B54" s="2" t="s">
        <v>61</v>
      </c>
      <c r="C54" s="109"/>
      <c r="D54" s="109">
        <v>2013</v>
      </c>
      <c r="E54" s="109">
        <v>2014</v>
      </c>
      <c r="F54" s="109">
        <v>2015</v>
      </c>
      <c r="G54" s="109">
        <v>2016</v>
      </c>
      <c r="H54" s="109">
        <v>2017</v>
      </c>
      <c r="I54" s="109">
        <v>2018</v>
      </c>
      <c r="J54" s="109">
        <v>2019</v>
      </c>
      <c r="K54" s="109">
        <v>2020</v>
      </c>
      <c r="L54" s="109">
        <v>2021</v>
      </c>
      <c r="M54" s="109">
        <v>2022</v>
      </c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07"/>
      <c r="AI54" s="107"/>
      <c r="AJ54" s="107"/>
    </row>
    <row r="55" spans="2:36" ht="15" thickTop="1">
      <c r="B55" s="10" t="s">
        <v>62</v>
      </c>
      <c r="C55" s="114"/>
      <c r="D55" s="126">
        <f>D23/D20</f>
        <v>0.39258269295021719</v>
      </c>
      <c r="E55" s="126">
        <f t="shared" ref="E55:M55" si="106">E23/E20</f>
        <v>0.34715297822093938</v>
      </c>
      <c r="F55" s="126">
        <f t="shared" si="106"/>
        <v>0.36501516683518703</v>
      </c>
      <c r="G55" s="126">
        <f t="shared" si="106"/>
        <v>0.40313494979181974</v>
      </c>
      <c r="H55" s="126">
        <f t="shared" si="106"/>
        <v>0.44689889549702633</v>
      </c>
      <c r="I55" s="126">
        <f t="shared" si="106"/>
        <v>0.4211307071040053</v>
      </c>
      <c r="J55" s="126">
        <f t="shared" si="106"/>
        <v>0.51577503429355276</v>
      </c>
      <c r="K55" s="126">
        <f t="shared" si="106"/>
        <v>0.6235893702220604</v>
      </c>
      <c r="L55" s="126">
        <f t="shared" si="106"/>
        <v>0.61014287957293134</v>
      </c>
      <c r="M55" s="126">
        <f t="shared" si="106"/>
        <v>0.72510968612892335</v>
      </c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</row>
    <row r="56" spans="2:36"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  <c r="AE56" s="107"/>
      <c r="AF56" s="107"/>
      <c r="AG56" s="107"/>
      <c r="AH56" s="107"/>
      <c r="AI56" s="107"/>
      <c r="AJ56" s="107"/>
    </row>
    <row r="57" spans="2:36" ht="17.5" thickBot="1">
      <c r="B57" s="2" t="s">
        <v>63</v>
      </c>
      <c r="C57" s="109"/>
      <c r="D57" s="109">
        <v>2013</v>
      </c>
      <c r="E57" s="109">
        <v>2014</v>
      </c>
      <c r="F57" s="109">
        <v>2015</v>
      </c>
      <c r="G57" s="109">
        <v>2016</v>
      </c>
      <c r="H57" s="109">
        <v>2017</v>
      </c>
      <c r="I57" s="109">
        <v>2018</v>
      </c>
      <c r="J57" s="109">
        <v>2019</v>
      </c>
      <c r="K57" s="109">
        <v>2020</v>
      </c>
      <c r="L57" s="109">
        <v>2021</v>
      </c>
      <c r="M57" s="109">
        <v>2022</v>
      </c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107"/>
      <c r="AJ57" s="107"/>
    </row>
    <row r="58" spans="2:36" ht="15" thickTop="1">
      <c r="B58" s="18" t="s">
        <v>64</v>
      </c>
      <c r="C58" s="113"/>
      <c r="D58" s="112">
        <f>D42/D44</f>
        <v>0.7523827149070047</v>
      </c>
      <c r="E58" s="112">
        <f t="shared" ref="E58:M58" si="107">E42/E44</f>
        <v>0.67199230028873913</v>
      </c>
      <c r="F58" s="112">
        <f t="shared" si="107"/>
        <v>0.63181178363161072</v>
      </c>
      <c r="G58" s="112">
        <f t="shared" si="107"/>
        <v>0.56889143511887708</v>
      </c>
      <c r="H58" s="112">
        <f t="shared" si="107"/>
        <v>0.70668472477507982</v>
      </c>
      <c r="I58" s="112">
        <f t="shared" si="107"/>
        <v>0.90538136535468094</v>
      </c>
      <c r="J58" s="112">
        <f t="shared" si="107"/>
        <v>1.0229033344560459</v>
      </c>
      <c r="K58" s="112">
        <f t="shared" si="107"/>
        <v>1.1063459235876782</v>
      </c>
      <c r="L58" s="112">
        <f t="shared" si="107"/>
        <v>0.85074626865671643</v>
      </c>
      <c r="M58" s="112">
        <f t="shared" si="107"/>
        <v>0.86643342251492073</v>
      </c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07"/>
      <c r="AI58" s="107"/>
      <c r="AJ58" s="107"/>
    </row>
    <row r="59" spans="2:36">
      <c r="B59" s="18" t="s">
        <v>65</v>
      </c>
      <c r="C59" s="113"/>
      <c r="D59" s="112">
        <f>D28/D36</f>
        <v>2.9191845649799784</v>
      </c>
      <c r="E59" s="112">
        <f t="shared" ref="E59:M59" si="108">E28/E36</f>
        <v>2.7919488337095562</v>
      </c>
      <c r="F59" s="112">
        <f t="shared" si="108"/>
        <v>2.768688845401174</v>
      </c>
      <c r="G59" s="112">
        <f t="shared" si="108"/>
        <v>3.2937279151943462</v>
      </c>
      <c r="H59" s="112">
        <f t="shared" si="108"/>
        <v>3.8680248007085916</v>
      </c>
      <c r="I59" s="112">
        <f t="shared" si="108"/>
        <v>3.2728375101050928</v>
      </c>
      <c r="J59" s="112">
        <f t="shared" si="108"/>
        <v>4.1267074894017899</v>
      </c>
      <c r="K59" s="112">
        <f t="shared" si="108"/>
        <v>4.2841004184100422</v>
      </c>
      <c r="L59" s="112">
        <f t="shared" si="108"/>
        <v>5.3269754768392374</v>
      </c>
      <c r="M59" s="112">
        <f t="shared" si="108"/>
        <v>4.6971524288107203</v>
      </c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  <c r="AI59" s="107"/>
      <c r="AJ59" s="107"/>
    </row>
    <row r="60" spans="2:36">
      <c r="B60" s="122" t="s">
        <v>157</v>
      </c>
      <c r="D60" s="112">
        <f>D46/D9</f>
        <v>1.0070234923710342</v>
      </c>
      <c r="E60" s="112">
        <f t="shared" ref="E60:M60" si="109">E46/E9</f>
        <v>0.70117828858412212</v>
      </c>
      <c r="F60" s="112">
        <f t="shared" si="109"/>
        <v>0.57195233730522455</v>
      </c>
      <c r="G60" s="112">
        <f t="shared" si="109"/>
        <v>0.51256454388984507</v>
      </c>
      <c r="H60" s="112">
        <f t="shared" si="109"/>
        <v>0.51195076570774301</v>
      </c>
      <c r="I60" s="112">
        <f t="shared" si="109"/>
        <v>0.56332333376809707</v>
      </c>
      <c r="J60" s="112">
        <f t="shared" si="109"/>
        <v>0.78296175992913042</v>
      </c>
      <c r="K60" s="112">
        <f t="shared" si="109"/>
        <v>0.90734824281150162</v>
      </c>
      <c r="L60" s="112">
        <f t="shared" si="109"/>
        <v>0.73038127899939476</v>
      </c>
      <c r="M60" s="112">
        <f t="shared" si="109"/>
        <v>0.74062415684863747</v>
      </c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07"/>
      <c r="AI60" s="107"/>
      <c r="AJ60" s="107"/>
    </row>
    <row r="61" spans="2:36"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07"/>
      <c r="AI61" s="107"/>
      <c r="AJ61" s="107"/>
    </row>
    <row r="62" spans="2:36" ht="17.5" thickBot="1">
      <c r="B62" s="2" t="s">
        <v>72</v>
      </c>
      <c r="C62" s="109"/>
      <c r="D62" s="109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</row>
    <row r="63" spans="2:36" ht="15" thickTop="1">
      <c r="B63" s="18" t="s">
        <v>73</v>
      </c>
      <c r="C63" s="113"/>
      <c r="D63" s="121">
        <f>(M20/I20)^0.2 - 1</f>
        <v>-4.6919183617391003E-3</v>
      </c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</row>
    <row r="64" spans="2:36">
      <c r="B64" s="18" t="s">
        <v>83</v>
      </c>
      <c r="C64" s="113"/>
      <c r="D64" s="121">
        <f>(M20/D20)^0.1 - 1</f>
        <v>7.0694305867646801E-2</v>
      </c>
    </row>
    <row r="65" spans="2:13">
      <c r="B65" s="10" t="s">
        <v>74</v>
      </c>
      <c r="C65" s="114"/>
      <c r="D65" s="121">
        <f>(M6/I6)^0.2 - 1</f>
        <v>9.4809994463398217E-2</v>
      </c>
    </row>
    <row r="66" spans="2:13">
      <c r="B66" s="10" t="s">
        <v>84</v>
      </c>
      <c r="C66" s="114"/>
      <c r="D66" s="121">
        <f>(M6/D6)^0.1 - 1</f>
        <v>0.15149202802592021</v>
      </c>
    </row>
    <row r="67" spans="2:13">
      <c r="B67" s="10" t="s">
        <v>75</v>
      </c>
      <c r="C67" s="114"/>
      <c r="D67" s="121">
        <f>(M3/I3)^0.2 - 1</f>
        <v>4.8779288168724122E-2</v>
      </c>
    </row>
    <row r="68" spans="2:13">
      <c r="B68" s="10" t="s">
        <v>85</v>
      </c>
      <c r="C68" s="114"/>
      <c r="D68" s="121">
        <f>(M3/D3)^0.1 - 1</f>
        <v>5.0775600952138955E-2</v>
      </c>
    </row>
    <row r="69" spans="2:13">
      <c r="B69" s="10" t="s">
        <v>88</v>
      </c>
      <c r="C69" s="114"/>
      <c r="D69" s="121">
        <f>(M9/I9)^0.2 - 1</f>
        <v>7.7179434804034441E-2</v>
      </c>
    </row>
    <row r="70" spans="2:13">
      <c r="B70" s="10" t="s">
        <v>89</v>
      </c>
      <c r="C70" s="114"/>
      <c r="D70" s="121">
        <f>(M9/D9)^0.2 - 1</f>
        <v>0.21911358130616465</v>
      </c>
    </row>
    <row r="71" spans="2:13">
      <c r="B71" s="10" t="s">
        <v>131</v>
      </c>
      <c r="D71" s="121">
        <f>(M23/I23)^0.2 - 1</f>
        <v>0.10957046973041251</v>
      </c>
    </row>
    <row r="72" spans="2:13">
      <c r="B72" s="10" t="s">
        <v>132</v>
      </c>
      <c r="D72" s="121">
        <f>AVERAGE(I24:M24)</f>
        <v>0.15412948805414889</v>
      </c>
    </row>
    <row r="73" spans="2:13">
      <c r="B73" s="10" t="s">
        <v>135</v>
      </c>
      <c r="D73" s="121">
        <f>AVERAGE(I55:M55)</f>
        <v>0.5791495354642946</v>
      </c>
    </row>
    <row r="75" spans="2:13" ht="17.5" thickBot="1">
      <c r="B75" s="2" t="s">
        <v>145</v>
      </c>
      <c r="C75" s="109"/>
      <c r="D75" s="109">
        <v>2013</v>
      </c>
      <c r="E75" s="109">
        <v>2014</v>
      </c>
      <c r="F75" s="109">
        <v>2015</v>
      </c>
      <c r="G75" s="109">
        <v>2016</v>
      </c>
      <c r="H75" s="109">
        <v>2017</v>
      </c>
      <c r="I75" s="109">
        <v>2018</v>
      </c>
      <c r="J75" s="109">
        <v>2019</v>
      </c>
      <c r="K75" s="109">
        <v>2020</v>
      </c>
      <c r="L75" s="109">
        <v>2021</v>
      </c>
      <c r="M75" s="109">
        <v>2022</v>
      </c>
    </row>
    <row r="76" spans="2:13" ht="15" thickTop="1">
      <c r="B76" s="10" t="s">
        <v>138</v>
      </c>
      <c r="C76" s="110">
        <v>0</v>
      </c>
      <c r="D76" s="110">
        <f t="shared" ref="D76:M76" si="110">100*D6/D34</f>
        <v>11.220825852782765</v>
      </c>
      <c r="E76" s="110">
        <f t="shared" si="110"/>
        <v>15.985493898227032</v>
      </c>
      <c r="F76" s="110">
        <f t="shared" si="110"/>
        <v>18.398028342575479</v>
      </c>
      <c r="G76" s="110">
        <f t="shared" si="110"/>
        <v>21.879374353356461</v>
      </c>
      <c r="H76" s="110">
        <f t="shared" si="110"/>
        <v>20.677927672599477</v>
      </c>
      <c r="I76" s="110">
        <f t="shared" si="110"/>
        <v>32.31020598704557</v>
      </c>
      <c r="J76" s="110">
        <f t="shared" si="110"/>
        <v>27.666777666777666</v>
      </c>
      <c r="K76" s="110">
        <f t="shared" si="110"/>
        <v>28.773706785179062</v>
      </c>
      <c r="L76" s="110">
        <f t="shared" si="110"/>
        <v>31.35029988652942</v>
      </c>
      <c r="M76" s="110">
        <f t="shared" si="110"/>
        <v>32.010144448119966</v>
      </c>
    </row>
    <row r="77" spans="2:13">
      <c r="B77" s="10" t="s">
        <v>139</v>
      </c>
      <c r="C77" s="110">
        <v>0</v>
      </c>
      <c r="D77" s="110">
        <f t="shared" ref="D77:M77" si="111">100*D6/D44</f>
        <v>19.66318127139817</v>
      </c>
      <c r="E77" s="110">
        <f t="shared" si="111"/>
        <v>26.727622714148218</v>
      </c>
      <c r="F77" s="110">
        <f t="shared" si="111"/>
        <v>30.022119445003018</v>
      </c>
      <c r="G77" s="110">
        <f t="shared" si="111"/>
        <v>34.326363028740573</v>
      </c>
      <c r="H77" s="110">
        <f t="shared" si="111"/>
        <v>35.290703298829449</v>
      </c>
      <c r="I77" s="110">
        <f t="shared" si="111"/>
        <v>61.563264398487881</v>
      </c>
      <c r="J77" s="110">
        <f t="shared" si="111"/>
        <v>55.967216795778604</v>
      </c>
      <c r="K77" s="110">
        <f t="shared" si="111"/>
        <v>60.607379993469031</v>
      </c>
      <c r="L77" s="110">
        <f t="shared" si="111"/>
        <v>58.021450536263409</v>
      </c>
      <c r="M77" s="110">
        <f t="shared" si="111"/>
        <v>59.744803457501547</v>
      </c>
    </row>
    <row r="78" spans="2:13">
      <c r="B78" s="10" t="s">
        <v>140</v>
      </c>
      <c r="C78" s="110">
        <v>0</v>
      </c>
      <c r="D78" s="40">
        <v>13.489999771118164</v>
      </c>
      <c r="E78" s="40">
        <v>18.299999237060547</v>
      </c>
      <c r="F78" s="40">
        <v>20.600000381469727</v>
      </c>
      <c r="G78" s="40">
        <v>25.600000381469727</v>
      </c>
      <c r="H78" s="40">
        <v>25.940000534057617</v>
      </c>
      <c r="I78" s="40">
        <v>39.619998931884766</v>
      </c>
      <c r="J78" s="40">
        <v>35.590000152587891</v>
      </c>
      <c r="K78" s="40">
        <v>36.990001678466797</v>
      </c>
      <c r="L78" s="40">
        <v>41.900001525878906</v>
      </c>
      <c r="M78" s="40">
        <v>39.439998626708984</v>
      </c>
    </row>
    <row r="80" spans="2:13" ht="17.5" thickBot="1">
      <c r="B80" s="2" t="s">
        <v>146</v>
      </c>
      <c r="C80" s="109"/>
      <c r="D80" s="109">
        <v>2013</v>
      </c>
      <c r="E80" s="109">
        <v>2014</v>
      </c>
      <c r="F80" s="109">
        <v>2015</v>
      </c>
      <c r="G80" s="109">
        <v>2016</v>
      </c>
      <c r="H80" s="109">
        <v>2017</v>
      </c>
      <c r="I80" s="109">
        <v>2018</v>
      </c>
      <c r="J80" s="109">
        <v>2019</v>
      </c>
      <c r="K80" s="109">
        <v>2020</v>
      </c>
      <c r="L80" s="109">
        <v>2021</v>
      </c>
      <c r="M80" s="109">
        <v>2022</v>
      </c>
    </row>
    <row r="81" spans="2:13" ht="15" thickTop="1">
      <c r="B81" s="122" t="s">
        <v>147</v>
      </c>
      <c r="C81" s="110">
        <v>0</v>
      </c>
      <c r="D81" s="40">
        <v>25.979999542236328</v>
      </c>
      <c r="E81" s="40">
        <v>23.549999237060547</v>
      </c>
      <c r="F81" s="40">
        <v>19.719999313354492</v>
      </c>
      <c r="G81" s="40">
        <v>23.239999771118164</v>
      </c>
      <c r="H81" s="40">
        <v>24.399999618530273</v>
      </c>
      <c r="I81" s="40">
        <v>20.239999771118164</v>
      </c>
      <c r="J81" s="40">
        <v>23.799999237060547</v>
      </c>
      <c r="K81" s="40">
        <v>31.030000686645508</v>
      </c>
      <c r="L81" s="40">
        <v>24.190000534057617</v>
      </c>
      <c r="M81" s="40">
        <v>17.319999694824219</v>
      </c>
    </row>
    <row r="82" spans="2:13">
      <c r="B82" s="122" t="s">
        <v>148</v>
      </c>
      <c r="C82" s="110">
        <v>0</v>
      </c>
      <c r="D82" s="40">
        <v>15.029999732971191</v>
      </c>
      <c r="E82" s="40">
        <v>15.25</v>
      </c>
      <c r="F82" s="40">
        <v>14.039999961853027</v>
      </c>
      <c r="G82" s="40">
        <v>16.680000305175781</v>
      </c>
      <c r="H82" s="40">
        <v>21.989999771118164</v>
      </c>
      <c r="I82" s="40">
        <v>13.539999961853027</v>
      </c>
      <c r="J82" s="40">
        <v>17.440000534057617</v>
      </c>
      <c r="K82" s="40">
        <v>26.659999847412109</v>
      </c>
      <c r="L82" s="40">
        <v>20.680000305175781</v>
      </c>
      <c r="M82" s="40">
        <v>17.020000457763672</v>
      </c>
    </row>
    <row r="83" spans="2:13">
      <c r="B83" s="122" t="s">
        <v>153</v>
      </c>
      <c r="C83" s="110">
        <v>2.9900000095367432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Valuation Metrics</vt:lpstr>
      <vt:lpstr>Graphics</vt:lpstr>
      <vt:lpstr>WACC</vt:lpstr>
      <vt:lpstr>DCF</vt:lpstr>
      <vt:lpstr>Graham</vt:lpstr>
      <vt:lpstr>DDM</vt:lpstr>
      <vt:lpstr>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2023-05-03T14:02:48Z</dcterms:modified>
</cp:coreProperties>
</file>