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FFAEDCF-5648-436D-9A94-2A6272AA5950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<sst xmlns="http://schemas.openxmlformats.org/spreadsheetml/2006/main" count="227" uniqueCount="162">
  <si>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</si>
  <si>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</si>
  <si>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</si>
  <si>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</si>
  <si>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</si>
  <si>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</si>
  <si>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</si>
  <si>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</si>
  <si>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</si>
  <si>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</si>
  <si>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</si>
  <si>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</si>
  <si>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</si>
  <si>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</si>
  <si>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</si>
  <si>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</si>
  <si>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</si>
  <si>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</si>
  <si>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</si>
  <si>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</si>
  <si>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</si>
  <si>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</si>
  <si>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</si>
  <si>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</si>
  <si>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</si>
  <si>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</si>
  <si>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</si>
  <si>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</si>
  <si>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</si>
  <si>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</si>
  <si>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</si>
  <si>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</si>
  <si>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</si>
  <si>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</si>
  <si>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</si>
  <si>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</si>
  <si>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</si>
  <si>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</si>
  <si>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</si>
  <si>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</si>
  <si>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</si>
  <si>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</si>
  <si>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</si>
  <si>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</si>
  <si>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</si>
  <si>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</si>
  <si>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</si>
  <si>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</si>
  <si>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</si>
  <si>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</si>
  <si>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</si>
  <si>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</si>
  <si>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</si>
  <si>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</si>
  <si>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</si>
  <si>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</si>
  <si>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</si>
  <si>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</si>
  <si>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</si>
  <si>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</si>
  <si>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</si>
  <si>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</si>
  <si>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</si>
  <si>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</si>
  <si>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</si>
  <si>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</si>
  <si>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</si>
  <si>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</si>
  <si>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</si>
  <si>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</si>
  <si>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</si>
  <si>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</si>
  <si>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</si>
  <si>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</si>
  <si>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</si>
  <si>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</si>
  <si>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</si>
  <si>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</si>
  <si>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</si>
  <si>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</si>
  <si>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</si>
  <si>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</si>
  <si>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</si>
  <si>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</si>
  <si>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</si>
  <si>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</si>
  <si>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</si>
  <si>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</si>
  <si>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</si>
  <si>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</si>
  <si>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</si>
  <si>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</si>
  <si>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</si>
  <si>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</si>
  <si>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</si>
  <si>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</si>
  <si>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</si>
  <si>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</si>
  <si>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</si>
  <si>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</si>
  <si>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</si>
  <si>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</si>
  <si>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</si>
  <si>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</si>
  <si>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</si>
  <si>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</si>
  <si>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</si>
  <si>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</si>
  <si>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</si>
  <si>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</si>
  <si>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</si>
  <si>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</si>
  <si>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</si>
  <si>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</si>
  <si>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</si>
  <si>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</si>
  <si>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</si>
  <si>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</si>
  <si>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</si>
  <si>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</si>
  <si>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</si>
  <si>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</si>
  <si>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</si>
  <si>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</si>
  <si>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</si>
  <si>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</si>
  <si>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</si>
  <si>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</si>
  <si>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</si>
  <si>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</si>
  <si>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</si>
  <si>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</si>
  <si>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</si>
  <si>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</si>
  <si>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</si>
  <si>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</si>
  <si>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</si>
  <si>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</si>
  <si>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</si>
  <si>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</si>
  <si>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</si>
  <si>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</si>
  <si>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</si>
  <si>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</si>
  <si>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</si>
  <si>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</si>
  <si>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</si>
  <si>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</si>
  <si>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</si>
  <si>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</si>
  <si>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</si>
  <si>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</si>
  <si>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</si>
  <si>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</si>
  <si>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</si>
  <si>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</si>
  <si>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</si>
  <si>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</si>
  <si>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</si>
  <si>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PG_Procter&amp;Gamble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</si>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</sst>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0.13814968295970842</c:v>
                </c:pt>
                <c:pt idx="1">
                  <c:v>0.15308934019704037</c:v>
                </c:pt>
                <c:pt idx="2">
                  <c:v>9.5789339778654115E-2</c:v>
                </c:pt>
                <c:pt idx="3">
                  <c:v>0.15701618707790319</c:v>
                </c:pt>
                <c:pt idx="4">
                  <c:v>0.23177779827231085</c:v>
                </c:pt>
                <c:pt idx="5">
                  <c:v>0.14192303088340916</c:v>
                </c:pt>
                <c:pt idx="6">
                  <c:v>5.369068021984516E-2</c:v>
                </c:pt>
                <c:pt idx="7">
                  <c:v>0.17990133897110641</c:v>
                </c:pt>
                <c:pt idx="8">
                  <c:v>0.18438477101342651</c:v>
                </c:pt>
                <c:pt idx="9">
                  <c:v>0.18034095302231035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0.20968345898447252</c:v>
                </c:pt>
                <c:pt idx="1">
                  <c:v>0.22917702719049476</c:v>
                </c:pt>
                <c:pt idx="2">
                  <c:v>0.20046926458324499</c:v>
                </c:pt>
                <c:pt idx="3">
                  <c:v>0.2529747775616778</c:v>
                </c:pt>
                <c:pt idx="4">
                  <c:v>0.25494174428971073</c:v>
                </c:pt>
                <c:pt idx="5">
                  <c:v>0.24235396217380895</c:v>
                </c:pt>
                <c:pt idx="6">
                  <c:v>0.12279120619348738</c:v>
                </c:pt>
                <c:pt idx="7">
                  <c:v>0.26383368569415083</c:v>
                </c:pt>
                <c:pt idx="8">
                  <c:v>0.27222207625003286</c:v>
                </c:pt>
                <c:pt idx="9">
                  <c:v>0.25714891441256066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0.14290528733336663</c:v>
                </c:pt>
                <c:pt idx="1">
                  <c:v>0.14364054246582708</c:v>
                </c:pt>
                <c:pt idx="2">
                  <c:v>0.21724688688179339</c:v>
                </c:pt>
                <c:pt idx="3">
                  <c:v>0.19223877854178473</c:v>
                </c:pt>
                <c:pt idx="4">
                  <c:v>0.15278674413600171</c:v>
                </c:pt>
                <c:pt idx="5">
                  <c:v>0.17086126406511851</c:v>
                </c:pt>
                <c:pt idx="6">
                  <c:v>0.18156432834938832</c:v>
                </c:pt>
                <c:pt idx="7">
                  <c:v>0.20239605355884427</c:v>
                </c:pt>
                <c:pt idx="8">
                  <c:v>0.20528652881053103</c:v>
                </c:pt>
                <c:pt idx="9">
                  <c:v>0.17056380710090163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20.659999847412109</c:v>
                </c:pt>
                <c:pt idx="1">
                  <c:v>25.090000152587891</c:v>
                </c:pt>
                <c:pt idx="2">
                  <c:v>25.700000762939453</c:v>
                </c:pt>
                <c:pt idx="3">
                  <c:v>23.819999694824219</c:v>
                </c:pt>
                <c:pt idx="4">
                  <c:v>24.5</c:v>
                </c:pt>
                <c:pt idx="5">
                  <c:v>24</c:v>
                </c:pt>
                <c:pt idx="6">
                  <c:v>79.550003051757813</c:v>
                </c:pt>
                <c:pt idx="7">
                  <c:v>26.600000381469727</c:v>
                </c:pt>
                <c:pt idx="8">
                  <c:v>29.850000381469727</c:v>
                </c:pt>
                <c:pt idx="9">
                  <c:v>26.270000457763672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16.850000381469727</c:v>
                </c:pt>
                <c:pt idx="1">
                  <c:v>16.969999313354492</c:v>
                </c:pt>
                <c:pt idx="2">
                  <c:v>15.75</c:v>
                </c:pt>
                <c:pt idx="3">
                  <c:v>15.960000038146973</c:v>
                </c:pt>
                <c:pt idx="4">
                  <c:v>18.620000839233398</c:v>
                </c:pt>
                <c:pt idx="5">
                  <c:v>16.379999160766602</c:v>
                </c:pt>
                <c:pt idx="6">
                  <c:v>20.090000152587891</c:v>
                </c:pt>
                <c:pt idx="7">
                  <c:v>20.290000915527344</c:v>
                </c:pt>
                <c:pt idx="8">
                  <c:v>23.129999160766602</c:v>
                </c:pt>
                <c:pt idx="9">
                  <c:v>23.700000762939453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3.8599998950958252</c:v>
                </c:pt>
                <c:pt idx="1">
                  <c:v>4.0100002288818359</c:v>
                </c:pt>
                <c:pt idx="2">
                  <c:v>2.440000057220459</c:v>
                </c:pt>
                <c:pt idx="3">
                  <c:v>3.690000057220459</c:v>
                </c:pt>
                <c:pt idx="4">
                  <c:v>5.5900001525878906</c:v>
                </c:pt>
                <c:pt idx="5">
                  <c:v>3.6700000762939453</c:v>
                </c:pt>
                <c:pt idx="6">
                  <c:v>1.4299999475479126</c:v>
                </c:pt>
                <c:pt idx="7">
                  <c:v>4.9600000381469727</c:v>
                </c:pt>
                <c:pt idx="8">
                  <c:v>5.5</c:v>
                </c:pt>
                <c:pt idx="9">
                  <c:v>5.809999942779541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80116</c:v>
                </c:pt>
                <c:pt idx="1">
                  <c:v>74401</c:v>
                </c:pt>
                <c:pt idx="2">
                  <c:v>70749</c:v>
                </c:pt>
                <c:pt idx="3">
                  <c:v>65299</c:v>
                </c:pt>
                <c:pt idx="4">
                  <c:v>65058</c:v>
                </c:pt>
                <c:pt idx="5">
                  <c:v>66832</c:v>
                </c:pt>
                <c:pt idx="6">
                  <c:v>67684</c:v>
                </c:pt>
                <c:pt idx="7">
                  <c:v>70950</c:v>
                </c:pt>
                <c:pt idx="8">
                  <c:v>76118</c:v>
                </c:pt>
                <c:pt idx="9">
                  <c:v>80187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19111</c:v>
                </c:pt>
                <c:pt idx="1">
                  <c:v>19811</c:v>
                </c:pt>
                <c:pt idx="2">
                  <c:v>18327</c:v>
                </c:pt>
                <c:pt idx="3">
                  <c:v>18945</c:v>
                </c:pt>
                <c:pt idx="4">
                  <c:v>18038</c:v>
                </c:pt>
                <c:pt idx="5">
                  <c:v>20863</c:v>
                </c:pt>
                <c:pt idx="6">
                  <c:v>20395</c:v>
                </c:pt>
                <c:pt idx="7">
                  <c:v>23537</c:v>
                </c:pt>
                <c:pt idx="8">
                  <c:v>23099</c:v>
                </c:pt>
                <c:pt idx="9">
                  <c:v>22848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16799</c:v>
                </c:pt>
                <c:pt idx="1">
                  <c:v>17051</c:v>
                </c:pt>
                <c:pt idx="2">
                  <c:v>14183</c:v>
                </c:pt>
                <c:pt idx="3">
                  <c:v>16519</c:v>
                </c:pt>
                <c:pt idx="4">
                  <c:v>16586</c:v>
                </c:pt>
                <c:pt idx="5">
                  <c:v>16197</c:v>
                </c:pt>
                <c:pt idx="6">
                  <c:v>8311</c:v>
                </c:pt>
                <c:pt idx="7">
                  <c:v>18719</c:v>
                </c:pt>
                <c:pt idx="8">
                  <c:v>20721</c:v>
                </c:pt>
                <c:pt idx="9">
                  <c:v>20620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1.1376272397166498</c:v>
                </c:pt>
                <c:pt idx="1">
                  <c:v>1.1618673391589935</c:v>
                </c:pt>
                <c:pt idx="2">
                  <c:v>1.292180779806811</c:v>
                </c:pt>
                <c:pt idx="3">
                  <c:v>1.1468611901446819</c:v>
                </c:pt>
                <c:pt idx="4">
                  <c:v>1.0875437115639697</c:v>
                </c:pt>
                <c:pt idx="5">
                  <c:v>1.2880780391430511</c:v>
                </c:pt>
                <c:pt idx="6">
                  <c:v>2.4539766574419444</c:v>
                </c:pt>
                <c:pt idx="7">
                  <c:v>1.257385544099578</c:v>
                </c:pt>
                <c:pt idx="8">
                  <c:v>1.1147628010231165</c:v>
                </c:pt>
                <c:pt idx="9">
                  <c:v>1.1080504364694472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11449</c:v>
                </c:pt>
                <c:pt idx="1">
                  <c:v>10687</c:v>
                </c:pt>
                <c:pt idx="2">
                  <c:v>15370</c:v>
                </c:pt>
                <c:pt idx="3">
                  <c:v>12553</c:v>
                </c:pt>
                <c:pt idx="4">
                  <c:v>9940</c:v>
                </c:pt>
                <c:pt idx="5">
                  <c:v>11419</c:v>
                </c:pt>
                <c:pt idx="6">
                  <c:v>12289</c:v>
                </c:pt>
                <c:pt idx="7">
                  <c:v>14360</c:v>
                </c:pt>
                <c:pt idx="8">
                  <c:v>15626</c:v>
                </c:pt>
                <c:pt idx="9">
                  <c:v>13677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6519</c:v>
                </c:pt>
                <c:pt idx="1">
                  <c:v>6911</c:v>
                </c:pt>
                <c:pt idx="2">
                  <c:v>7287</c:v>
                </c:pt>
                <c:pt idx="3">
                  <c:v>7436</c:v>
                </c:pt>
                <c:pt idx="4">
                  <c:v>7236</c:v>
                </c:pt>
                <c:pt idx="5">
                  <c:v>7310</c:v>
                </c:pt>
                <c:pt idx="6">
                  <c:v>7498</c:v>
                </c:pt>
                <c:pt idx="7">
                  <c:v>7789</c:v>
                </c:pt>
                <c:pt idx="8">
                  <c:v>8263</c:v>
                </c:pt>
                <c:pt idx="9">
                  <c:v>8770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0.56939470696130667</c:v>
                </c:pt>
                <c:pt idx="1">
                  <c:v>0.6466735285861327</c:v>
                </c:pt>
                <c:pt idx="2">
                  <c:v>0.47410540013012364</c:v>
                </c:pt>
                <c:pt idx="3">
                  <c:v>0.59236835816139566</c:v>
                </c:pt>
                <c:pt idx="4">
                  <c:v>0.72796780684104623</c:v>
                </c:pt>
                <c:pt idx="5">
                  <c:v>0.64016113495052107</c:v>
                </c:pt>
                <c:pt idx="6">
                  <c:v>0.61013914883228904</c:v>
                </c:pt>
                <c:pt idx="7">
                  <c:v>0.54240947075208912</c:v>
                </c:pt>
                <c:pt idx="8">
                  <c:v>0.52879815691795728</c:v>
                </c:pt>
                <c:pt idx="9">
                  <c:v>0.64122249031220302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115273</c:v>
                </c:pt>
                <c:pt idx="1">
                  <c:v>112649</c:v>
                </c:pt>
                <c:pt idx="2">
                  <c:v>99849</c:v>
                </c:pt>
                <c:pt idx="3">
                  <c:v>93354</c:v>
                </c:pt>
                <c:pt idx="4">
                  <c:v>93912</c:v>
                </c:pt>
                <c:pt idx="5">
                  <c:v>94990</c:v>
                </c:pt>
                <c:pt idx="6">
                  <c:v>92622</c:v>
                </c:pt>
                <c:pt idx="7">
                  <c:v>92713</c:v>
                </c:pt>
                <c:pt idx="8">
                  <c:v>96216</c:v>
                </c:pt>
                <c:pt idx="9">
                  <c:v>95555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23990</c:v>
                </c:pt>
                <c:pt idx="1">
                  <c:v>31617</c:v>
                </c:pt>
                <c:pt idx="2">
                  <c:v>29646</c:v>
                </c:pt>
                <c:pt idx="3">
                  <c:v>33782</c:v>
                </c:pt>
                <c:pt idx="4">
                  <c:v>26494</c:v>
                </c:pt>
                <c:pt idx="5">
                  <c:v>23320</c:v>
                </c:pt>
                <c:pt idx="6">
                  <c:v>22473</c:v>
                </c:pt>
                <c:pt idx="7">
                  <c:v>27987</c:v>
                </c:pt>
                <c:pt idx="8">
                  <c:v>23091</c:v>
                </c:pt>
                <c:pt idx="9">
                  <c:v>21653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30037</c:v>
                </c:pt>
                <c:pt idx="1">
                  <c:v>33726</c:v>
                </c:pt>
                <c:pt idx="2">
                  <c:v>29790</c:v>
                </c:pt>
                <c:pt idx="3">
                  <c:v>30770</c:v>
                </c:pt>
                <c:pt idx="4">
                  <c:v>30210</c:v>
                </c:pt>
                <c:pt idx="5">
                  <c:v>28237</c:v>
                </c:pt>
                <c:pt idx="6">
                  <c:v>30011</c:v>
                </c:pt>
                <c:pt idx="7">
                  <c:v>32976</c:v>
                </c:pt>
                <c:pt idx="8">
                  <c:v>33132</c:v>
                </c:pt>
                <c:pt idx="9">
                  <c:v>33081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40517</c:v>
                </c:pt>
                <c:pt idx="1">
                  <c:v>40564</c:v>
                </c:pt>
                <c:pt idx="2">
                  <c:v>36655</c:v>
                </c:pt>
                <c:pt idx="3">
                  <c:v>38383</c:v>
                </c:pt>
                <c:pt idx="4">
                  <c:v>34418</c:v>
                </c:pt>
                <c:pt idx="5">
                  <c:v>37190</c:v>
                </c:pt>
                <c:pt idx="6">
                  <c:v>37505</c:v>
                </c:pt>
                <c:pt idx="7">
                  <c:v>40846</c:v>
                </c:pt>
                <c:pt idx="8">
                  <c:v>39521</c:v>
                </c:pt>
                <c:pt idx="9">
                  <c:v>37273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68709</c:v>
                </c:pt>
                <c:pt idx="1">
                  <c:v>69976</c:v>
                </c:pt>
                <c:pt idx="2">
                  <c:v>63050</c:v>
                </c:pt>
                <c:pt idx="3">
                  <c:v>57983</c:v>
                </c:pt>
                <c:pt idx="4">
                  <c:v>55778</c:v>
                </c:pt>
                <c:pt idx="5">
                  <c:v>52883</c:v>
                </c:pt>
                <c:pt idx="6">
                  <c:v>47579</c:v>
                </c:pt>
                <c:pt idx="7">
                  <c:v>46878</c:v>
                </c:pt>
                <c:pt idx="8">
                  <c:v>46654</c:v>
                </c:pt>
                <c:pt idx="9">
                  <c:v>46854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70554</c:v>
                </c:pt>
                <c:pt idx="1">
                  <c:v>74290</c:v>
                </c:pt>
                <c:pt idx="2">
                  <c:v>66445</c:v>
                </c:pt>
                <c:pt idx="3">
                  <c:v>69153</c:v>
                </c:pt>
                <c:pt idx="4">
                  <c:v>64628</c:v>
                </c:pt>
                <c:pt idx="5">
                  <c:v>65427</c:v>
                </c:pt>
                <c:pt idx="6">
                  <c:v>67516</c:v>
                </c:pt>
                <c:pt idx="7">
                  <c:v>73822</c:v>
                </c:pt>
                <c:pt idx="8">
                  <c:v>72653</c:v>
                </c:pt>
                <c:pt idx="9">
                  <c:v>70354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1.0268523774178056</c:v>
                </c:pt>
                <c:pt idx="1">
                  <c:v>1.061649708471476</c:v>
                </c:pt>
                <c:pt idx="2">
                  <c:v>1.0538461538461539</c:v>
                </c:pt>
                <c:pt idx="3">
                  <c:v>1.1926426711277442</c:v>
                </c:pt>
                <c:pt idx="4">
                  <c:v>1.1586647065151134</c:v>
                </c:pt>
                <c:pt idx="5">
                  <c:v>1.2372028818334815</c:v>
                </c:pt>
                <c:pt idx="6">
                  <c:v>1.4190294037285356</c:v>
                </c:pt>
                <c:pt idx="7">
                  <c:v>1.5747685481462519</c:v>
                </c:pt>
                <c:pt idx="8">
                  <c:v>1.5572726883011103</c:v>
                </c:pt>
                <c:pt idx="9">
                  <c:v>1.5015580313313699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23990</c:v>
                </c:pt>
                <c:pt idx="1">
                  <c:v>31617</c:v>
                </c:pt>
                <c:pt idx="2">
                  <c:v>29646</c:v>
                </c:pt>
                <c:pt idx="3">
                  <c:v>33782</c:v>
                </c:pt>
                <c:pt idx="4">
                  <c:v>26494</c:v>
                </c:pt>
                <c:pt idx="5">
                  <c:v>23320</c:v>
                </c:pt>
                <c:pt idx="6">
                  <c:v>22473</c:v>
                </c:pt>
                <c:pt idx="7">
                  <c:v>27987</c:v>
                </c:pt>
                <c:pt idx="8">
                  <c:v>23091</c:v>
                </c:pt>
                <c:pt idx="9">
                  <c:v>21653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30037</c:v>
                </c:pt>
                <c:pt idx="1">
                  <c:v>33726</c:v>
                </c:pt>
                <c:pt idx="2">
                  <c:v>29790</c:v>
                </c:pt>
                <c:pt idx="3">
                  <c:v>30770</c:v>
                </c:pt>
                <c:pt idx="4">
                  <c:v>30210</c:v>
                </c:pt>
                <c:pt idx="5">
                  <c:v>28237</c:v>
                </c:pt>
                <c:pt idx="6">
                  <c:v>30011</c:v>
                </c:pt>
                <c:pt idx="7">
                  <c:v>32976</c:v>
                </c:pt>
                <c:pt idx="8">
                  <c:v>33132</c:v>
                </c:pt>
                <c:pt idx="9">
                  <c:v>33081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0.79868162599460668</c:v>
                </c:pt>
                <c:pt idx="1">
                  <c:v>0.93746664294609505</c:v>
                </c:pt>
                <c:pt idx="2">
                  <c:v>0.99516616314199391</c:v>
                </c:pt>
                <c:pt idx="3">
                  <c:v>1.0978875528111798</c:v>
                </c:pt>
                <c:pt idx="4">
                  <c:v>0.8769943727242635</c:v>
                </c:pt>
                <c:pt idx="5">
                  <c:v>0.82586677054927926</c:v>
                </c:pt>
                <c:pt idx="6">
                  <c:v>0.74882543067541907</c:v>
                </c:pt>
                <c:pt idx="7">
                  <c:v>0.84870815138282385</c:v>
                </c:pt>
                <c:pt idx="8">
                  <c:v>0.69693951466859838</c:v>
                </c:pt>
                <c:pt idx="9">
                  <c:v>0.65454490493032258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16799</c:v>
                </c:pt>
                <c:pt idx="1">
                  <c:v>17051</c:v>
                </c:pt>
                <c:pt idx="2">
                  <c:v>14183</c:v>
                </c:pt>
                <c:pt idx="3">
                  <c:v>16519</c:v>
                </c:pt>
                <c:pt idx="4">
                  <c:v>16586</c:v>
                </c:pt>
                <c:pt idx="5">
                  <c:v>16197</c:v>
                </c:pt>
                <c:pt idx="6">
                  <c:v>8311</c:v>
                </c:pt>
                <c:pt idx="7">
                  <c:v>18719</c:v>
                </c:pt>
                <c:pt idx="8">
                  <c:v>20721</c:v>
                </c:pt>
                <c:pt idx="9">
                  <c:v>20620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11068</c:v>
                </c:pt>
                <c:pt idx="1">
                  <c:v>11390</c:v>
                </c:pt>
                <c:pt idx="2">
                  <c:v>6777</c:v>
                </c:pt>
                <c:pt idx="3">
                  <c:v>10253</c:v>
                </c:pt>
                <c:pt idx="4">
                  <c:v>15079</c:v>
                </c:pt>
                <c:pt idx="5">
                  <c:v>9485</c:v>
                </c:pt>
                <c:pt idx="6">
                  <c:v>3634</c:v>
                </c:pt>
                <c:pt idx="7">
                  <c:v>12764</c:v>
                </c:pt>
                <c:pt idx="8">
                  <c:v>14035</c:v>
                </c:pt>
                <c:pt idx="9">
                  <c:v>14461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11449</c:v>
                </c:pt>
                <c:pt idx="1">
                  <c:v>10687</c:v>
                </c:pt>
                <c:pt idx="2">
                  <c:v>15370</c:v>
                </c:pt>
                <c:pt idx="3">
                  <c:v>12553</c:v>
                </c:pt>
                <c:pt idx="4">
                  <c:v>9940</c:v>
                </c:pt>
                <c:pt idx="5">
                  <c:v>11419</c:v>
                </c:pt>
                <c:pt idx="6">
                  <c:v>12289</c:v>
                </c:pt>
                <c:pt idx="7">
                  <c:v>14360</c:v>
                </c:pt>
                <c:pt idx="8">
                  <c:v>15626</c:v>
                </c:pt>
                <c:pt idx="9">
                  <c:v>13677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7.9475524726596438</c:v>
                </c:pt>
                <c:pt idx="1">
                  <c:v>7.8951381475884821</c:v>
                </c:pt>
                <c:pt idx="2">
                  <c:v>5.2334066952391982</c:v>
                </c:pt>
                <c:pt idx="3">
                  <c:v>8.0645922476717846</c:v>
                </c:pt>
                <c:pt idx="4">
                  <c:v>12.523462285932595</c:v>
                </c:pt>
                <c:pt idx="5">
                  <c:v>8.0170737891978696</c:v>
                </c:pt>
                <c:pt idx="6">
                  <c:v>3.1573917198835746</c:v>
                </c:pt>
                <c:pt idx="7">
                  <c:v>10.574979287489644</c:v>
                </c:pt>
                <c:pt idx="8">
                  <c:v>11.76376909988517</c:v>
                </c:pt>
                <c:pt idx="9">
                  <c:v>12.337895024230429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16.108515623862957</c:v>
                </c:pt>
                <c:pt idx="1">
                  <c:v>16.277009260317822</c:v>
                </c:pt>
                <c:pt idx="2">
                  <c:v>10.748612212529737</c:v>
                </c:pt>
                <c:pt idx="3">
                  <c:v>17.68276908749116</c:v>
                </c:pt>
                <c:pt idx="4">
                  <c:v>27.033956040015777</c:v>
                </c:pt>
                <c:pt idx="5">
                  <c:v>17.935820585065144</c:v>
                </c:pt>
                <c:pt idx="6">
                  <c:v>7.6378234094873791</c:v>
                </c:pt>
                <c:pt idx="7">
                  <c:v>27.228124066726394</c:v>
                </c:pt>
                <c:pt idx="8">
                  <c:v>30.08316543061688</c:v>
                </c:pt>
                <c:pt idx="9">
                  <c:v>30.863960387586971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12.090000152587891</c:v>
                </c:pt>
                <c:pt idx="1">
                  <c:v>11.75</c:v>
                </c:pt>
                <c:pt idx="2">
                  <c:v>7.309999942779541</c:v>
                </c:pt>
                <c:pt idx="3">
                  <c:v>11.819999694824219</c:v>
                </c:pt>
                <c:pt idx="4">
                  <c:v>17.729999542236328</c:v>
                </c:pt>
                <c:pt idx="5">
                  <c:v>11.489999771118164</c:v>
                </c:pt>
                <c:pt idx="6">
                  <c:v>4.809999942779541</c:v>
                </c:pt>
                <c:pt idx="7">
                  <c:v>16.549999237060547</c:v>
                </c:pt>
                <c:pt idx="8">
                  <c:v>18.110000610351563</c:v>
                </c:pt>
                <c:pt idx="9">
                  <c:v>18.930000305175781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2930.60009765625</c:v>
                </c:pt>
                <c:pt idx="1">
                  <c:v>2904.699951171875</c:v>
                </c:pt>
                <c:pt idx="2">
                  <c:v>2883.60009765625</c:v>
                </c:pt>
                <c:pt idx="3">
                  <c:v>2844.39990234375</c:v>
                </c:pt>
                <c:pt idx="4">
                  <c:v>2740.39990234375</c:v>
                </c:pt>
                <c:pt idx="5">
                  <c:v>2656.699951171875</c:v>
                </c:pt>
                <c:pt idx="6">
                  <c:v>2539.5</c:v>
                </c:pt>
                <c:pt idx="7">
                  <c:v>2625.800048828125</c:v>
                </c:pt>
                <c:pt idx="8">
                  <c:v>2601</c:v>
                </c:pt>
                <c:pt idx="9">
                  <c:v>2539.10009765625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F33" sqref="F33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>
        <f>AVERAGE(L12:P12)</f>
        <v>9.1702217841373361</v>
      </c>
      <c r="G12" s="119">
        <f>Financials!D76</f>
        <v>7.9475524726596438</v>
      </c>
      <c r="H12" s="119">
        <f>Financials!E76</f>
        <v>7.8951381475884821</v>
      </c>
      <c r="I12" s="119">
        <f>Financials!F76</f>
        <v>5.2334066952391982</v>
      </c>
      <c r="J12" s="119">
        <f>Financials!G76</f>
        <v>8.0645922476717846</v>
      </c>
      <c r="K12" s="119">
        <f>Financials!H76</f>
        <v>12.523462285932595</v>
      </c>
      <c r="L12" s="119">
        <f>Financials!I76</f>
        <v>8.0170737891978696</v>
      </c>
      <c r="M12" s="119">
        <f>Financials!J76</f>
        <v>3.1573917198835746</v>
      </c>
      <c r="N12" s="119">
        <f>Financials!K76</f>
        <v>10.574979287489644</v>
      </c>
      <c r="O12" s="119">
        <f>Financials!L76</f>
        <v>11.76376909988517</v>
      </c>
      <c r="P12" s="119">
        <f>Financials!M76</f>
        <v>12.337895024230429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22.749778775896552</v>
      </c>
      <c r="G14" s="40">
        <f>Financials!D77</f>
        <v>16.108515623862957</v>
      </c>
      <c r="H14" s="40">
        <f>Financials!E77</f>
        <v>16.277009260317822</v>
      </c>
      <c r="I14" s="40">
        <f>Financials!F77</f>
        <v>10.748612212529737</v>
      </c>
      <c r="J14" s="40">
        <f>Financials!G77</f>
        <v>17.68276908749116</v>
      </c>
      <c r="K14" s="40">
        <f>Financials!H77</f>
        <v>27.033956040015777</v>
      </c>
      <c r="L14" s="40">
        <f>Financials!I77</f>
        <v>17.935820585065144</v>
      </c>
      <c r="M14" s="40">
        <f>Financials!J77</f>
        <v>7.6378234094873791</v>
      </c>
      <c r="N14" s="40">
        <f>Financials!K77</f>
        <v>27.228124066726394</v>
      </c>
      <c r="O14" s="40">
        <f>Financials!L77</f>
        <v>30.08316543061688</v>
      </c>
      <c r="P14" s="40">
        <f>Financials!M77</f>
        <v>30.863960387586971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5.8531001640862369E-2</v>
      </c>
      <c r="F16" s="124">
        <f>AVERAGE(L16:P16)</f>
        <v>13.97799997329712</v>
      </c>
      <c r="G16" s="40">
        <f>Financials!D78</f>
        <v>12.090000152587891</v>
      </c>
      <c r="H16" s="40">
        <f>Financials!E78</f>
        <v>11.75</v>
      </c>
      <c r="I16" s="40">
        <f>Financials!F78</f>
        <v>7.309999942779541</v>
      </c>
      <c r="J16" s="40">
        <f>Financials!G78</f>
        <v>11.819999694824219</v>
      </c>
      <c r="K16" s="40">
        <f>Financials!H78</f>
        <v>17.729999542236328</v>
      </c>
      <c r="L16" s="40">
        <f>Financials!I78</f>
        <v>11.489999771118164</v>
      </c>
      <c r="M16" s="40">
        <f>Financials!J78</f>
        <v>4.809999942779541</v>
      </c>
      <c r="N16" s="40">
        <f>Financials!K78</f>
        <v>16.549999237060547</v>
      </c>
      <c r="O16" s="40">
        <f>Financials!L78</f>
        <v>18.110000610351563</v>
      </c>
      <c r="P16" s="40">
        <f>Financials!M78</f>
        <v>18.930000305175781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>
        <f>AVERAGE(L18:P18)</f>
        <v>0.75497695444128865</v>
      </c>
      <c r="G18" s="42">
        <f>Financials!D59</f>
        <v>0.79868162599460668</v>
      </c>
      <c r="H18" s="42">
        <f>Financials!E59</f>
        <v>0.93746664294609505</v>
      </c>
      <c r="I18" s="42">
        <f>Financials!F59</f>
        <v>0.99516616314199391</v>
      </c>
      <c r="J18" s="42">
        <f>Financials!G59</f>
        <v>1.0978875528111798</v>
      </c>
      <c r="K18" s="42">
        <f>Financials!H59</f>
        <v>0.8769943727242635</v>
      </c>
      <c r="L18" s="42">
        <f>Financials!I59</f>
        <v>0.82586677054927926</v>
      </c>
      <c r="M18" s="42">
        <f>Financials!J59</f>
        <v>0.74882543067541907</v>
      </c>
      <c r="N18" s="42">
        <f>Financials!K59</f>
        <v>0.84870815138282385</v>
      </c>
      <c r="O18" s="42">
        <f>Financials!L59</f>
        <v>0.69693951466859838</v>
      </c>
      <c r="P18" s="42">
        <f>Financials!M59</f>
        <v>0.65454490493032258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5" t="str">
        <f>U11</f>
        <v>K</v>
      </c>
      <c r="E20" s="49" t="s">
        <v>137</v>
      </c>
      <c r="F20" s="125">
        <f>AVERAGE(L20:P20)</f>
        <v>1.4579663106681497</v>
      </c>
      <c r="G20" s="42">
        <f>Financials!D58</f>
        <v>1.0268523774178056</v>
      </c>
      <c r="H20" s="42">
        <f>Financials!E58</f>
        <v>1.061649708471476</v>
      </c>
      <c r="I20" s="42">
        <f>Financials!F58</f>
        <v>1.0538461538461539</v>
      </c>
      <c r="J20" s="42">
        <f>Financials!G58</f>
        <v>1.1926426711277442</v>
      </c>
      <c r="K20" s="42">
        <f>Financials!H58</f>
        <v>1.1586647065151134</v>
      </c>
      <c r="L20" s="42">
        <f>Financials!I58</f>
        <v>1.2372028818334815</v>
      </c>
      <c r="M20" s="42">
        <f>Financials!J58</f>
        <v>1.4190294037285356</v>
      </c>
      <c r="N20" s="42">
        <f>Financials!K58</f>
        <v>1.5747685481462519</v>
      </c>
      <c r="O20" s="42">
        <f>Financials!L58</f>
        <v>1.5572726883011103</v>
      </c>
      <c r="P20" s="42">
        <f>Financials!M58</f>
        <v>1.5015580313313699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1.4444506956354275</v>
      </c>
      <c r="G22" s="42">
        <f>Financials!D60</f>
        <v>1.1376272397166498</v>
      </c>
      <c r="H22" s="42">
        <f>Financials!E60</f>
        <v>1.1618673391589935</v>
      </c>
      <c r="I22" s="42">
        <f>Financials!F60</f>
        <v>1.292180779806811</v>
      </c>
      <c r="J22" s="42">
        <f>Financials!G60</f>
        <v>1.1468611901446819</v>
      </c>
      <c r="K22" s="42">
        <f>Financials!H60</f>
        <v>1.0875437115639697</v>
      </c>
      <c r="L22" s="42">
        <f>Financials!I60</f>
        <v>1.2880780391430511</v>
      </c>
      <c r="M22" s="42">
        <f>Financials!J60</f>
        <v>2.4539766574419444</v>
      </c>
      <c r="N22" s="42">
        <f>Financials!K60</f>
        <v>1.257385544099578</v>
      </c>
      <c r="O22" s="42">
        <f>Financials!L60</f>
        <v>1.1147628010231165</v>
      </c>
      <c r="P22" s="42">
        <f>Financials!M60</f>
        <v>1.1080504364694472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2930.60009765625</v>
      </c>
      <c r="H24" s="40">
        <f>Financials!E12</f>
        <v>2904.699951171875</v>
      </c>
      <c r="I24" s="40">
        <f>Financials!F12</f>
        <v>2883.60009765625</v>
      </c>
      <c r="J24" s="40">
        <f>Financials!G12</f>
        <v>2844.39990234375</v>
      </c>
      <c r="K24" s="40">
        <f>Financials!H12</f>
        <v>2740.39990234375</v>
      </c>
      <c r="L24" s="40">
        <f>Financials!I12</f>
        <v>2656.699951171875</v>
      </c>
      <c r="M24" s="40">
        <f>Financials!J12</f>
        <v>2539.5</v>
      </c>
      <c r="N24" s="40">
        <f>Financials!K12</f>
        <v>2625.800048828125</v>
      </c>
      <c r="O24" s="40">
        <f>Financials!L12</f>
        <v>2601</v>
      </c>
      <c r="P24" s="40">
        <f>Financials!M12</f>
        <v>2539.10009765625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160</v>
      </c>
      <c r="F26" s="57">
        <f>AVERAGEIF(L26:P26,"&lt;100")</f>
        <v>37.25400085449219</v>
      </c>
      <c r="G26" s="44">
        <f>Financials!D81</f>
        <v>20.659999847412109</v>
      </c>
      <c r="H26" s="44">
        <f>Financials!E81</f>
        <v>25.090000152587891</v>
      </c>
      <c r="I26" s="44">
        <f>Financials!F81</f>
        <v>25.700000762939453</v>
      </c>
      <c r="J26" s="44">
        <f>Financials!G81</f>
        <v>23.819999694824219</v>
      </c>
      <c r="K26" s="44">
        <f>Financials!H81</f>
        <v>24.5</v>
      </c>
      <c r="L26" s="44">
        <f>Financials!I81</f>
        <v>24</v>
      </c>
      <c r="M26" s="44">
        <f>Financials!J81</f>
        <v>79.550003051757813</v>
      </c>
      <c r="N26" s="44">
        <f>Financials!K81</f>
        <v>26.600000381469727</v>
      </c>
      <c r="O26" s="44">
        <f>Financials!L81</f>
        <v>29.850000381469727</v>
      </c>
      <c r="P26" s="44">
        <f>Financials!M81</f>
        <v>26.270000457763672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161</v>
      </c>
      <c r="F28" s="57">
        <f>AVERAGEIF(L28:P28, "&lt;100")</f>
        <v>20.71800003051758</v>
      </c>
      <c r="G28" s="44">
        <f>Financials!D82</f>
        <v>16.850000381469727</v>
      </c>
      <c r="H28" s="44">
        <f>Financials!E82</f>
        <v>16.969999313354492</v>
      </c>
      <c r="I28" s="44">
        <f>Financials!F82</f>
        <v>15.75</v>
      </c>
      <c r="J28" s="44">
        <f>Financials!G82</f>
        <v>15.960000038146973</v>
      </c>
      <c r="K28" s="44">
        <f>Financials!H82</f>
        <v>18.620000839233398</v>
      </c>
      <c r="L28" s="44">
        <f>Financials!I82</f>
        <v>16.379999160766602</v>
      </c>
      <c r="M28" s="44">
        <f>Financials!J82</f>
        <v>20.090000152587891</v>
      </c>
      <c r="N28" s="44">
        <f>Financials!K82</f>
        <v>20.290000915527344</v>
      </c>
      <c r="O28" s="44">
        <f>Financials!L82</f>
        <v>23.129999160766602</v>
      </c>
      <c r="P28" s="44">
        <f>Financials!M82</f>
        <v>23.700000762939453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4.5300002098083496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3.6746444877989726E-2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1.7940348848797028E-2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4.9471902593670292E-2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4.18400446687206E-2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8.8008274288201571E-2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2.710044543403245E-2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3.7107802370772491E-2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8.8586176685057083E-5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>
        <f>Financials!$D$73</f>
        <v>0.59254608035301204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3.7089991940914224E-2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3.9393620114729619E-2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7.6483612055643843E-2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B19" zoomScale="78" zoomScaleNormal="100" workbookViewId="0">
      <selection activeCell="AI39" sqref="AI3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355.42999267578125</v>
      </c>
    </row>
    <row r="6" spans="2:16">
      <c r="B6" s="4" t="s">
        <v>5</v>
      </c>
      <c r="C6" s="59">
        <v>33081000</v>
      </c>
    </row>
    <row r="7" spans="2:16">
      <c r="B7" s="4" t="s">
        <v>4</v>
      </c>
      <c r="C7" s="59">
        <v>37273000</v>
      </c>
    </row>
    <row r="8" spans="2:16">
      <c r="B8" s="4" t="s">
        <v>3</v>
      </c>
      <c r="C8" s="59">
        <v>518000</v>
      </c>
    </row>
    <row r="9" spans="2:16">
      <c r="B9" s="10" t="s">
        <v>6</v>
      </c>
      <c r="C9" s="59">
        <v>17553000</v>
      </c>
    </row>
    <row r="10" spans="2:16">
      <c r="B10" s="10" t="s">
        <v>7</v>
      </c>
      <c r="C10" s="59">
        <v>3206000</v>
      </c>
    </row>
    <row r="11" spans="2:16">
      <c r="B11" s="10" t="s">
        <v>9</v>
      </c>
      <c r="C11" s="60">
        <v>0.40999999642372131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70354000</v>
      </c>
    </row>
    <row r="18" spans="2:15" ht="18" thickTop="1" thickBot="1">
      <c r="B18" s="2" t="s">
        <v>20</v>
      </c>
      <c r="C18" s="12">
        <f>C8/C17</f>
        <v>7.3627654433294481E-3</v>
      </c>
    </row>
    <row r="19" spans="2:15" ht="18" thickTop="1" thickBot="1">
      <c r="B19" s="2" t="s">
        <v>19</v>
      </c>
      <c r="C19" s="12">
        <f>C14+C11*(C15-C14)</f>
        <v>6.8669999688863725E-2</v>
      </c>
    </row>
    <row r="20" spans="2:15" ht="18" thickTop="1" thickBot="1">
      <c r="B20" s="2" t="s">
        <v>18</v>
      </c>
      <c r="C20" s="12">
        <f>C8/C17</f>
        <v>7.3627654433294481E-3</v>
      </c>
      <c r="K20" t="s">
        <v>17</v>
      </c>
    </row>
    <row r="21" spans="2:15" ht="18" thickTop="1" thickBot="1">
      <c r="B21" s="16" t="s">
        <v>22</v>
      </c>
      <c r="C21" s="11">
        <f>C17+C5*1000000</f>
        <v>425783992.67578101</v>
      </c>
      <c r="K21" t="s">
        <v>11</v>
      </c>
    </row>
    <row r="22" spans="2:15" ht="18" thickTop="1" thickBot="1">
      <c r="B22" s="2" t="s">
        <v>23</v>
      </c>
      <c r="C22" s="12">
        <f>C5*1000000/C21</f>
        <v>0.83476598178839478</v>
      </c>
      <c r="K22" t="s">
        <v>12</v>
      </c>
    </row>
    <row r="23" spans="2:15" ht="18" thickTop="1" thickBot="1">
      <c r="B23" s="16" t="s">
        <v>24</v>
      </c>
      <c r="C23" s="12">
        <f>C17/C21</f>
        <v>0.16523401821160527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5.8531001640862369E-2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opLeftCell="A28" zoomScale="82" workbookViewId="0">
      <selection activeCell="G8" sqref="G8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5.8531001640862369E-2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2.9999999329447746E-2</v>
      </c>
    </row>
    <row r="7" spans="2:12">
      <c r="B7" s="18" t="s">
        <v>31</v>
      </c>
      <c r="C7" s="13">
        <f>AVERAGEIF(C28:L28, "&lt;0.5")</f>
        <v>0.15160631223957147</v>
      </c>
    </row>
    <row r="8" spans="2:12">
      <c r="B8" s="18" t="s">
        <v>112</v>
      </c>
      <c r="C8" s="13">
        <f>AVERAGEIF(C29:L29,"&lt;2")</f>
        <v>1.030538374147262</v>
      </c>
    </row>
    <row r="9" spans="2:12">
      <c r="B9" s="18" t="s">
        <v>136</v>
      </c>
      <c r="C9" s="66">
        <v>18.739999771118164</v>
      </c>
    </row>
    <row r="10" spans="2:12">
      <c r="B10" s="18" t="s">
        <v>100</v>
      </c>
      <c r="C10" s="67">
        <v>2.9999999329447746E-2</v>
      </c>
    </row>
    <row r="11" spans="2:12">
      <c r="B11" s="18" t="s">
        <v>44</v>
      </c>
      <c r="C11" s="59">
        <v>2389553920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80116</v>
      </c>
      <c r="D16" s="21">
        <f>Financials!E3</f>
        <v>74401</v>
      </c>
      <c r="E16" s="21">
        <f>Financials!F3</f>
        <v>70749</v>
      </c>
      <c r="F16" s="21">
        <f>Financials!G3</f>
        <v>65299</v>
      </c>
      <c r="G16" s="21">
        <f>Financials!H3</f>
        <v>65058</v>
      </c>
      <c r="H16" s="21">
        <f>Financials!I3</f>
        <v>66832</v>
      </c>
      <c r="I16" s="21">
        <f>Financials!J3</f>
        <v>67684</v>
      </c>
      <c r="J16" s="21">
        <f>Financials!K3</f>
        <v>70950</v>
      </c>
      <c r="K16" s="21">
        <f>Financials!L3</f>
        <v>76118</v>
      </c>
      <c r="L16" s="21">
        <f>Financials!M3</f>
        <v>80187</v>
      </c>
    </row>
    <row r="17" spans="2:12">
      <c r="B17" s="18" t="s">
        <v>27</v>
      </c>
      <c r="C17" s="22"/>
      <c r="D17" s="20">
        <f t="shared" ref="D17:L17" si="0">(D16-C16)/C16</f>
        <v>-7.1334065604872932E-2</v>
      </c>
      <c r="E17" s="20">
        <f t="shared" si="0"/>
        <v>-4.9085361755890379E-2</v>
      </c>
      <c r="F17" s="20">
        <f t="shared" si="0"/>
        <v>-7.7032890924253347E-2</v>
      </c>
      <c r="G17" s="20">
        <f t="shared" si="0"/>
        <v>-3.6907150186067167E-3</v>
      </c>
      <c r="H17" s="20">
        <f t="shared" si="0"/>
        <v>2.7267976267330688E-2</v>
      </c>
      <c r="I17" s="20">
        <f t="shared" si="0"/>
        <v>1.2748384007661E-2</v>
      </c>
      <c r="J17" s="20">
        <f t="shared" si="0"/>
        <v>4.8253649311506414E-2</v>
      </c>
      <c r="K17" s="20">
        <f t="shared" si="0"/>
        <v>7.2840028188865397E-2</v>
      </c>
      <c r="L17" s="20">
        <f t="shared" si="0"/>
        <v>5.345647547229302E-2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11068</v>
      </c>
      <c r="D19" s="21">
        <f>Financials!E6</f>
        <v>11390</v>
      </c>
      <c r="E19" s="21">
        <f>Financials!F6</f>
        <v>6777</v>
      </c>
      <c r="F19" s="21">
        <f>Financials!G6</f>
        <v>10253</v>
      </c>
      <c r="G19" s="21">
        <f>Financials!H6</f>
        <v>15079</v>
      </c>
      <c r="H19" s="21">
        <f>Financials!I6</f>
        <v>9485</v>
      </c>
      <c r="I19" s="21">
        <f>Financials!J6</f>
        <v>3634</v>
      </c>
      <c r="J19" s="21">
        <f>Financials!K6</f>
        <v>12764</v>
      </c>
      <c r="K19" s="21">
        <f>Financials!L6</f>
        <v>14035</v>
      </c>
      <c r="L19" s="21">
        <f>Financials!M6</f>
        <v>14461</v>
      </c>
    </row>
    <row r="20" spans="2:12">
      <c r="B20" s="18" t="s">
        <v>27</v>
      </c>
      <c r="C20" s="22"/>
      <c r="D20" s="20">
        <f>(D19-C19)/C19</f>
        <v>2.9092880375858329E-2</v>
      </c>
      <c r="E20" s="20">
        <f t="shared" ref="E20:L20" si="1">(E19-D19)/D19</f>
        <v>-0.40500438981562775</v>
      </c>
      <c r="F20" s="20">
        <f t="shared" si="1"/>
        <v>0.51291131769219422</v>
      </c>
      <c r="G20" s="20">
        <f t="shared" si="1"/>
        <v>0.47069150492538769</v>
      </c>
      <c r="H20" s="20">
        <f t="shared" si="1"/>
        <v>-0.37097950792492873</v>
      </c>
      <c r="I20" s="20">
        <f t="shared" si="1"/>
        <v>-0.61686874011597259</v>
      </c>
      <c r="J20" s="20">
        <f t="shared" si="1"/>
        <v>2.5123830489818384</v>
      </c>
      <c r="K20" s="20">
        <f t="shared" si="1"/>
        <v>9.9576935130053279E-2</v>
      </c>
      <c r="L20" s="20">
        <f t="shared" si="1"/>
        <v>3.0352689704310654E-2</v>
      </c>
    </row>
    <row r="22" spans="2:12">
      <c r="B22" s="18" t="s">
        <v>30</v>
      </c>
      <c r="C22" s="25">
        <f>Financials!D20</f>
        <v>11449</v>
      </c>
      <c r="D22" s="25">
        <f>Financials!E20</f>
        <v>10687</v>
      </c>
      <c r="E22" s="25">
        <f>Financials!F20</f>
        <v>15370</v>
      </c>
      <c r="F22" s="25">
        <f>Financials!G20</f>
        <v>12553</v>
      </c>
      <c r="G22" s="25">
        <f>Financials!H20</f>
        <v>9940</v>
      </c>
      <c r="H22" s="25">
        <f>Financials!I20</f>
        <v>11419</v>
      </c>
      <c r="I22" s="25">
        <f>Financials!J20</f>
        <v>12289</v>
      </c>
      <c r="J22" s="25">
        <f>Financials!K20</f>
        <v>14360</v>
      </c>
      <c r="K22" s="25">
        <f>Financials!L20</f>
        <v>15626</v>
      </c>
      <c r="L22" s="25">
        <f>Financials!M20</f>
        <v>13677</v>
      </c>
    </row>
    <row r="23" spans="2:12">
      <c r="B23" s="18" t="s">
        <v>27</v>
      </c>
      <c r="C23" s="26"/>
      <c r="D23" s="26">
        <f>(D22-C22)/C22</f>
        <v>-6.6556031094418724E-2</v>
      </c>
      <c r="E23" s="26">
        <f t="shared" ref="E23:L23" si="2">(E22-D22)/D22</f>
        <v>0.43819593899129783</v>
      </c>
      <c r="F23" s="26">
        <f t="shared" si="2"/>
        <v>-0.18327911515940143</v>
      </c>
      <c r="G23" s="26">
        <f t="shared" si="2"/>
        <v>-0.20815741257070022</v>
      </c>
      <c r="H23" s="26">
        <f t="shared" si="2"/>
        <v>0.1487927565392354</v>
      </c>
      <c r="I23" s="26">
        <f t="shared" si="2"/>
        <v>7.6188808126806201E-2</v>
      </c>
      <c r="J23" s="26">
        <f t="shared" si="2"/>
        <v>0.16852469688339164</v>
      </c>
      <c r="K23" s="26">
        <f t="shared" si="2"/>
        <v>8.8161559888579391E-2</v>
      </c>
      <c r="L23" s="26">
        <f t="shared" si="2"/>
        <v>-0.12472801740688597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16799</v>
      </c>
      <c r="D25" s="62">
        <f>Financials!E9</f>
        <v>17051</v>
      </c>
      <c r="E25" s="62">
        <f>Financials!F9</f>
        <v>14183</v>
      </c>
      <c r="F25" s="62">
        <f>Financials!G9</f>
        <v>16519</v>
      </c>
      <c r="G25" s="62">
        <f>Financials!H9</f>
        <v>16586</v>
      </c>
      <c r="H25" s="62">
        <f>Financials!I9</f>
        <v>16197</v>
      </c>
      <c r="I25" s="62">
        <f>Financials!J9</f>
        <v>8311</v>
      </c>
      <c r="J25" s="62">
        <f>Financials!K9</f>
        <v>18719</v>
      </c>
      <c r="K25" s="62">
        <f>Financials!L9</f>
        <v>20721</v>
      </c>
      <c r="L25" s="62">
        <f>Financials!M9</f>
        <v>20620</v>
      </c>
    </row>
    <row r="26" spans="2:12">
      <c r="B26" s="18" t="s">
        <v>27</v>
      </c>
      <c r="C26" s="63"/>
      <c r="D26" s="63">
        <f>Financials!E10</f>
        <v>1.5000892910292279E-2</v>
      </c>
      <c r="E26" s="63">
        <f>Financials!F10</f>
        <v>-0.168201278517389</v>
      </c>
      <c r="F26" s="63">
        <f>Financials!G10</f>
        <v>0.16470422336600155</v>
      </c>
      <c r="G26" s="63">
        <f>Financials!H10</f>
        <v>4.0559355893213878E-3</v>
      </c>
      <c r="H26" s="63">
        <f>Financials!I10</f>
        <v>-2.3453515012661279E-2</v>
      </c>
      <c r="I26" s="63">
        <f>Financials!J10</f>
        <v>-0.48688028647280363</v>
      </c>
      <c r="J26" s="63">
        <f>Financials!K10</f>
        <v>1.2523162074359282</v>
      </c>
      <c r="K26" s="63">
        <f>Financials!L10</f>
        <v>0.10695015759388857</v>
      </c>
      <c r="L26" s="63">
        <f>Financials!M10</f>
        <v>-4.8742821292408669E-3</v>
      </c>
    </row>
    <row r="28" spans="2:12" ht="15" thickBot="1">
      <c r="B28" s="1" t="s">
        <v>31</v>
      </c>
      <c r="C28" s="24">
        <f t="shared" ref="C28:L28" si="3">C19/C16</f>
        <v>0.13814968295970842</v>
      </c>
      <c r="D28" s="24">
        <f t="shared" si="3"/>
        <v>0.15308934019704037</v>
      </c>
      <c r="E28" s="24">
        <f t="shared" si="3"/>
        <v>9.5789339778654115E-2</v>
      </c>
      <c r="F28" s="24">
        <f t="shared" si="3"/>
        <v>0.15701618707790319</v>
      </c>
      <c r="G28" s="24">
        <f t="shared" si="3"/>
        <v>0.23177779827231085</v>
      </c>
      <c r="H28" s="24">
        <f t="shared" si="3"/>
        <v>0.14192303088340916</v>
      </c>
      <c r="I28" s="24">
        <f t="shared" si="3"/>
        <v>5.369068021984516E-2</v>
      </c>
      <c r="J28" s="24">
        <f t="shared" si="3"/>
        <v>0.17990133897110641</v>
      </c>
      <c r="K28" s="24">
        <f t="shared" si="3"/>
        <v>0.18438477101342651</v>
      </c>
      <c r="L28" s="24">
        <f t="shared" si="3"/>
        <v>0.18034095302231035</v>
      </c>
    </row>
    <row r="29" spans="2:12" ht="15" thickBot="1">
      <c r="B29" s="1" t="s">
        <v>32</v>
      </c>
      <c r="C29" s="24">
        <f t="shared" ref="C29:L29" si="4">C22/C19</f>
        <v>1.0344235634260932</v>
      </c>
      <c r="D29" s="24">
        <f t="shared" si="4"/>
        <v>0.93827919227392453</v>
      </c>
      <c r="E29" s="24">
        <f t="shared" si="4"/>
        <v>2.2679651763317104</v>
      </c>
      <c r="F29" s="24">
        <f t="shared" si="4"/>
        <v>1.2243245879254852</v>
      </c>
      <c r="G29" s="24">
        <f t="shared" si="4"/>
        <v>0.6591949068240599</v>
      </c>
      <c r="H29" s="24">
        <f t="shared" si="4"/>
        <v>1.2039008961518187</v>
      </c>
      <c r="I29" s="24">
        <f t="shared" si="4"/>
        <v>3.3816730875068797</v>
      </c>
      <c r="J29" s="24">
        <f t="shared" si="4"/>
        <v>1.1250391726731432</v>
      </c>
      <c r="K29" s="24">
        <f t="shared" si="4"/>
        <v>1.1133594584966156</v>
      </c>
      <c r="L29" s="24">
        <f t="shared" si="4"/>
        <v>0.94578521540695659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81085.094367977319</v>
      </c>
      <c r="D36" s="21">
        <f>C36*(D37+1)</f>
        <v>85017.721258751742</v>
      </c>
      <c r="E36" s="21">
        <f>D36*(E37+1)</f>
        <v>88443.935464499125</v>
      </c>
      <c r="F36" s="21">
        <f t="shared" ref="F36:L36" si="5">E36*(F37+1)</f>
        <v>91097.253469127987</v>
      </c>
      <c r="G36" s="21">
        <f t="shared" si="5"/>
        <v>93830.171012116582</v>
      </c>
      <c r="H36" s="21">
        <f t="shared" si="5"/>
        <v>96645.076079562277</v>
      </c>
      <c r="I36" s="21">
        <f t="shared" si="5"/>
        <v>99544.428297143808</v>
      </c>
      <c r="J36" s="21">
        <f t="shared" si="5"/>
        <v>102530.76107930859</v>
      </c>
      <c r="K36" s="21">
        <f t="shared" si="5"/>
        <v>105606.68384293627</v>
      </c>
      <c r="L36" s="21">
        <f t="shared" si="5"/>
        <v>108774.88428740951</v>
      </c>
    </row>
    <row r="37" spans="2:12">
      <c r="B37" s="18" t="s">
        <v>27</v>
      </c>
      <c r="C37" s="68">
        <v>1.119999960064888E-2</v>
      </c>
      <c r="D37" s="68">
        <v>4.8499997705221176E-2</v>
      </c>
      <c r="E37" s="68">
        <v>4.0300000458955765E-2</v>
      </c>
      <c r="F37" s="27">
        <f>C6</f>
        <v>2.9999999329447746E-2</v>
      </c>
      <c r="G37" s="27">
        <f>C6</f>
        <v>2.9999999329447746E-2</v>
      </c>
      <c r="H37" s="27">
        <f>C6</f>
        <v>2.9999999329447746E-2</v>
      </c>
      <c r="I37" s="27">
        <f>C6</f>
        <v>2.9999999329447746E-2</v>
      </c>
      <c r="J37" s="27">
        <f>C6</f>
        <v>2.9999999329447746E-2</v>
      </c>
      <c r="K37" s="27">
        <f>C6</f>
        <v>2.9999999329447746E-2</v>
      </c>
      <c r="L37" s="27">
        <f>C6</f>
        <v>2.9999999329447746E-2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12293.012134726647</v>
      </c>
      <c r="D39" s="21">
        <f>D36*C7</f>
        <v>12889.223195051123</v>
      </c>
      <c r="E39" s="21">
        <f>E36*C7</f>
        <v>13408.658895727318</v>
      </c>
      <c r="F39" s="21">
        <f>F36*C7</f>
        <v>13810.918653607961</v>
      </c>
      <c r="G39" s="21">
        <f>G36*C7</f>
        <v>14225.246203955294</v>
      </c>
      <c r="H39" s="21">
        <f>H36*C7</f>
        <v>14652.003580535216</v>
      </c>
      <c r="I39" s="21">
        <f>I36*C7</f>
        <v>15091.563678126369</v>
      </c>
      <c r="J39" s="21">
        <f>J36*C7</f>
        <v>15544.310578350574</v>
      </c>
      <c r="K39" s="21">
        <f>K36*C7</f>
        <v>16010.639885277813</v>
      </c>
      <c r="L39" s="21">
        <f>L36*C7</f>
        <v>16490.959071100286</v>
      </c>
    </row>
    <row r="40" spans="2:12">
      <c r="B40" s="18"/>
      <c r="C40" s="20">
        <f>(C39-L19)/L19</f>
        <v>-0.14991963662771246</v>
      </c>
      <c r="D40" s="20">
        <f>(D39-C39)/C39</f>
        <v>4.8499997705219539E-2</v>
      </c>
      <c r="E40" s="20">
        <f t="shared" ref="E40:L40" si="6">(E39-D39)/D39</f>
        <v>4.0300000458959831E-2</v>
      </c>
      <c r="F40" s="20">
        <f t="shared" si="6"/>
        <v>2.9999999329450092E-2</v>
      </c>
      <c r="G40" s="20">
        <f t="shared" si="6"/>
        <v>2.9999999329450255E-2</v>
      </c>
      <c r="H40" s="20">
        <f t="shared" si="6"/>
        <v>2.999999932945013E-2</v>
      </c>
      <c r="I40" s="20">
        <f t="shared" si="6"/>
        <v>2.9999999329449863E-2</v>
      </c>
      <c r="J40" s="20">
        <f t="shared" si="6"/>
        <v>2.9999999329454043E-2</v>
      </c>
      <c r="K40" s="20">
        <f t="shared" si="6"/>
        <v>2.9999999329447326E-2</v>
      </c>
      <c r="L40" s="20">
        <f t="shared" si="6"/>
        <v>2.9999999329454595E-2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12668.420738693689</v>
      </c>
      <c r="D42" s="21">
        <f>D39*C8</f>
        <v>13282.839115449113</v>
      </c>
      <c r="E42" s="21">
        <f>E39*C8</f>
        <v>13818.137537898006</v>
      </c>
      <c r="F42" s="21">
        <f>F39*C8</f>
        <v>14232.681654769254</v>
      </c>
      <c r="G42" s="21">
        <f>G39*C8</f>
        <v>14659.662094868578</v>
      </c>
      <c r="H42" s="21">
        <f>H39*C8</f>
        <v>15099.451947884578</v>
      </c>
      <c r="I42" s="21">
        <f>I39*C8</f>
        <v>15552.435496196224</v>
      </c>
      <c r="J42" s="21">
        <f>J39*C8</f>
        <v>16019.008550653482</v>
      </c>
      <c r="K42" s="21">
        <f>K39*C8</f>
        <v>16499.578796431459</v>
      </c>
      <c r="L42" s="21">
        <f>L39*C8</f>
        <v>16994.566149260711</v>
      </c>
    </row>
    <row r="43" spans="2:12">
      <c r="B43" s="18" t="s">
        <v>27</v>
      </c>
      <c r="C43" s="20">
        <f>(C42-L22)/L22</f>
        <v>-7.3742725839461135E-2</v>
      </c>
      <c r="D43" s="20">
        <f>(D42-C42)/C42</f>
        <v>4.8499997705221426E-2</v>
      </c>
      <c r="E43" s="20">
        <f t="shared" ref="E43:L43" si="7">(E42-D42)/D42</f>
        <v>4.0300000458960261E-2</v>
      </c>
      <c r="F43" s="20">
        <f t="shared" si="7"/>
        <v>2.9999999329454352E-2</v>
      </c>
      <c r="G43" s="20">
        <f t="shared" si="7"/>
        <v>2.9999999329447798E-2</v>
      </c>
      <c r="H43" s="20">
        <f t="shared" si="7"/>
        <v>2.9999999329448527E-2</v>
      </c>
      <c r="I43" s="20">
        <f t="shared" si="7"/>
        <v>2.9999999329453013E-2</v>
      </c>
      <c r="J43" s="20">
        <f t="shared" si="7"/>
        <v>2.9999999329453703E-2</v>
      </c>
      <c r="K43" s="20">
        <f t="shared" si="7"/>
        <v>2.9999999329444891E-2</v>
      </c>
      <c r="L43" s="20">
        <f t="shared" si="7"/>
        <v>2.9999999329456035E-2</v>
      </c>
    </row>
    <row r="45" spans="2:12">
      <c r="B45" s="18" t="s">
        <v>47</v>
      </c>
      <c r="C45" s="21">
        <f>L25*(1+C46)</f>
        <v>21238.59998617326</v>
      </c>
      <c r="D45" s="21">
        <f>C45*(1+D46)</f>
        <v>21875.757971516956</v>
      </c>
      <c r="E45" s="21">
        <f t="shared" ref="E45:L45" si="8">D45*(1+E46)</f>
        <v>22532.030695993719</v>
      </c>
      <c r="F45" s="21">
        <f t="shared" si="8"/>
        <v>23207.991601764657</v>
      </c>
      <c r="G45" s="21">
        <f t="shared" si="8"/>
        <v>23904.231334255521</v>
      </c>
      <c r="H45" s="21">
        <f t="shared" si="8"/>
        <v>24621.358258254182</v>
      </c>
      <c r="I45" s="21">
        <f t="shared" si="8"/>
        <v>25359.998989491974</v>
      </c>
      <c r="J45" s="21">
        <f t="shared" si="8"/>
        <v>26120.798942171612</v>
      </c>
      <c r="K45" s="21">
        <f t="shared" si="8"/>
        <v>26904.422892921448</v>
      </c>
      <c r="L45" s="21">
        <f t="shared" si="8"/>
        <v>27711.55556166828</v>
      </c>
    </row>
    <row r="46" spans="2:12">
      <c r="B46" s="18" t="s">
        <v>27</v>
      </c>
      <c r="C46" s="20">
        <f>C10</f>
        <v>2.9999999329447746E-2</v>
      </c>
      <c r="D46" s="20">
        <f>C10</f>
        <v>2.9999999329447746E-2</v>
      </c>
      <c r="E46" s="20">
        <f>C10</f>
        <v>2.9999999329447746E-2</v>
      </c>
      <c r="F46" s="20">
        <f>C10</f>
        <v>2.9999999329447746E-2</v>
      </c>
      <c r="G46" s="20">
        <f>C10</f>
        <v>2.9999999329447746E-2</v>
      </c>
      <c r="H46" s="20">
        <f>C10</f>
        <v>2.9999999329447746E-2</v>
      </c>
      <c r="I46" s="20">
        <f>C10</f>
        <v>2.9999999329447746E-2</v>
      </c>
      <c r="J46" s="20">
        <f>C10</f>
        <v>2.9999999329447746E-2</v>
      </c>
      <c r="K46" s="20">
        <f>C10</f>
        <v>2.9999999329447746E-2</v>
      </c>
      <c r="L46" s="20">
        <f>C10</f>
        <v>2.9999999329447746E-2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1.0585310016408624</v>
      </c>
      <c r="D51" s="61">
        <f>POWER((1+C4),2)</f>
        <v>1.1204878814348076</v>
      </c>
      <c r="E51" s="61">
        <f>POWER((1+C4),3)</f>
        <v>1.1860711594616347</v>
      </c>
      <c r="F51" s="61">
        <f>POWER((1+C4),4)</f>
        <v>1.2554930924422634</v>
      </c>
      <c r="G51" s="61">
        <f>POWER((1+C4),5)</f>
        <v>1.328978360696093</v>
      </c>
      <c r="H51" s="61">
        <f>POWER((1+C4),6)</f>
        <v>1.4067647953066666</v>
      </c>
      <c r="I51" s="61">
        <f>POWER((1+C4),7)</f>
        <v>1.4891041478490685</v>
      </c>
      <c r="J51" s="61">
        <f>POWER((1+C4),8)</f>
        <v>1.5762629051702375</v>
      </c>
      <c r="K51" s="61">
        <f>POWER((1+C4),9)</f>
        <v>1.6685231518591872</v>
      </c>
      <c r="L51" s="61">
        <f>POWER((1+C4),10)</f>
        <v>1.7661834831984744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11967.926040008284</v>
      </c>
      <c r="D53" s="21">
        <f t="shared" si="9"/>
        <v>11854.51385555382</v>
      </c>
      <c r="E53" s="21">
        <f t="shared" si="9"/>
        <v>11650.344439848108</v>
      </c>
      <c r="F53" s="21">
        <f t="shared" si="9"/>
        <v>11336.328125137701</v>
      </c>
      <c r="G53" s="21">
        <f t="shared" si="9"/>
        <v>11030.775615631685</v>
      </c>
      <c r="H53" s="21">
        <f t="shared" si="9"/>
        <v>10733.458783060441</v>
      </c>
      <c r="I53" s="21">
        <f t="shared" si="9"/>
        <v>10444.155647985299</v>
      </c>
      <c r="J53" s="21">
        <f t="shared" si="9"/>
        <v>10162.650214066549</v>
      </c>
      <c r="K53" s="21">
        <f t="shared" si="9"/>
        <v>9888.7323067986599</v>
      </c>
      <c r="L53" s="21">
        <f t="shared" si="9"/>
        <v>9622.1974165925221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1.8695599715516285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294138.31586790812</v>
      </c>
    </row>
    <row r="60" spans="2:12" ht="15" thickBot="1">
      <c r="B60" s="5" t="s">
        <v>41</v>
      </c>
      <c r="C60" s="23">
        <f>C59/C55</f>
        <v>157330.23831473547</v>
      </c>
    </row>
    <row r="61" spans="2:12" ht="15" thickTop="1"/>
    <row r="62" spans="2:12" ht="14.5" customHeight="1" thickBot="1">
      <c r="B62" s="3" t="s">
        <v>43</v>
      </c>
      <c r="C62" s="71">
        <f>(SUM(C53:L53)+C59)</f>
        <v>402829.39831259119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168.57932978243528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519314.54488299321</v>
      </c>
    </row>
    <row r="70" spans="2:12" ht="15" thickBot="1">
      <c r="B70" s="5" t="s">
        <v>41</v>
      </c>
      <c r="C70" s="23">
        <f>C69/C55</f>
        <v>277773.67550931842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386464.75795400148</v>
      </c>
    </row>
    <row r="73" spans="2:12" ht="15" thickTop="1"/>
    <row r="74" spans="2:12" ht="18.5">
      <c r="B74" s="69" t="s">
        <v>42</v>
      </c>
      <c r="C74" s="70">
        <f>C72/(C11/1000000)</f>
        <v>161.73092170860116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5.869999885559082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5.4200000762939453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72.575510343111318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T23" sqref="T23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3.7599999904632568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3.7599999904632568</v>
      </c>
    </row>
    <row r="7" spans="2:16" ht="15" thickBot="1">
      <c r="B7" s="89" t="s">
        <v>121</v>
      </c>
      <c r="C7" s="90">
        <f>P6*(1+P7)</f>
        <v>3.8727999901771546</v>
      </c>
      <c r="D7" s="90">
        <f>C7*(1+P7)</f>
        <v>3.9889839898824695</v>
      </c>
      <c r="E7" s="90">
        <f>D7*(1+P7)</f>
        <v>4.1086535095789438</v>
      </c>
      <c r="F7" s="90">
        <f>E7*(1+P7)</f>
        <v>4.2319131148663125</v>
      </c>
      <c r="G7" s="90">
        <f>F7*(1+P7)</f>
        <v>4.3588705083123021</v>
      </c>
      <c r="H7" s="90">
        <f>G7*(1+P7)</f>
        <v>4.4896366235616716</v>
      </c>
      <c r="I7" s="90">
        <f>H7*(1+P7)</f>
        <v>4.6243257222685221</v>
      </c>
      <c r="J7" s="90">
        <f>I7*(1+P7)</f>
        <v>4.7630554939365783</v>
      </c>
      <c r="K7" s="90">
        <f>J7*(1+P7)</f>
        <v>4.9059471587546755</v>
      </c>
      <c r="L7" s="90">
        <f>K7*(1+P7)</f>
        <v>5.0531255735173159</v>
      </c>
      <c r="M7" s="159">
        <f>L7*(1+P7)/(P8-P7)</f>
        <v>182.42329541170358</v>
      </c>
      <c r="N7" s="160"/>
      <c r="O7" s="88" t="s">
        <v>122</v>
      </c>
      <c r="P7" s="104">
        <v>0.03</v>
      </c>
    </row>
    <row r="8" spans="2:16" ht="15" thickBot="1">
      <c r="B8" s="89" t="s">
        <v>123</v>
      </c>
      <c r="C8" s="90">
        <f>C7/(1+P8)</f>
        <v>3.6586552346353622</v>
      </c>
      <c r="D8" s="90">
        <f>D7/(1+P8)^2</f>
        <v>3.5600420637967938</v>
      </c>
      <c r="E8" s="90">
        <f>E7/(1+P8)^3</f>
        <v>3.4640868524649795</v>
      </c>
      <c r="F8" s="90">
        <f>F7/(1+P8)^4</f>
        <v>3.3707179596138848</v>
      </c>
      <c r="G8" s="90">
        <f>G7/(1+P8)^5</f>
        <v>3.2798656751861714</v>
      </c>
      <c r="H8" s="90">
        <f>H7/(1+P8)^6</f>
        <v>3.1914621680470447</v>
      </c>
      <c r="I8" s="90">
        <f>I7/(1+P8)^7</f>
        <v>3.1054414353409143</v>
      </c>
      <c r="J8" s="90">
        <f>J7/(1+P8)^8</f>
        <v>3.0217392532130702</v>
      </c>
      <c r="K8" s="90">
        <f>K7/(1+P8)^9</f>
        <v>2.9402931288595662</v>
      </c>
      <c r="L8" s="90">
        <f>L7/(1+P8)^10</f>
        <v>2.8610422538695386</v>
      </c>
      <c r="M8" s="159">
        <f>M7/POWER((1+P8),10)</f>
        <v>103.28671802622887</v>
      </c>
      <c r="N8" s="160"/>
      <c r="O8" s="91" t="s">
        <v>124</v>
      </c>
      <c r="P8" s="105">
        <f>WACC!$C$25</f>
        <v>5.8531001640862369E-2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135.74006405125618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3.7599999904632568</v>
      </c>
    </row>
    <row r="16" spans="2:16" ht="15" thickBot="1">
      <c r="B16" s="89" t="s">
        <v>121</v>
      </c>
      <c r="C16" s="90">
        <f>P15*(1+P16)</f>
        <v>3.9009999901056291</v>
      </c>
      <c r="D16" s="90">
        <f>C16*(1+P16)</f>
        <v>4.0472874897345905</v>
      </c>
      <c r="E16" s="90">
        <f>D16*(1+P16)</f>
        <v>4.1990607705996377</v>
      </c>
      <c r="F16" s="90">
        <f>E16*(1+P16)</f>
        <v>4.3565255494971247</v>
      </c>
      <c r="G16" s="90">
        <f>F16*(1+P16)</f>
        <v>4.5198952576032676</v>
      </c>
      <c r="H16" s="90">
        <f>G16*(1+P16)</f>
        <v>4.6893913297633905</v>
      </c>
      <c r="I16" s="90">
        <f>H16*(1+P16)</f>
        <v>4.8652435046295182</v>
      </c>
      <c r="J16" s="90">
        <f>I16*(1+P16)</f>
        <v>5.0476901360531254</v>
      </c>
      <c r="K16" s="90">
        <f>J16*(1+P16)</f>
        <v>5.2369785161551183</v>
      </c>
      <c r="L16" s="90">
        <f>K16*(1+P16)</f>
        <v>5.433365210510936</v>
      </c>
      <c r="M16" s="159">
        <f>L16*(1+P16)/(P17-P16)</f>
        <v>268.03841786367474</v>
      </c>
      <c r="N16" s="160"/>
      <c r="O16" s="88" t="s">
        <v>122</v>
      </c>
      <c r="P16" s="104">
        <v>3.7499999999999999E-2</v>
      </c>
    </row>
    <row r="17" spans="2:16" ht="15" thickBot="1">
      <c r="B17" s="89" t="s">
        <v>123</v>
      </c>
      <c r="C17" s="90">
        <f>C16/(1+P17)</f>
        <v>3.685295928091445</v>
      </c>
      <c r="D17" s="90">
        <f>D16/(1+P17)^2</f>
        <v>3.612076093631603</v>
      </c>
      <c r="E17" s="90">
        <f>E16/(1+P17)^3</f>
        <v>3.5403109982925627</v>
      </c>
      <c r="F17" s="90">
        <f>F16/(1+P17)^4</f>
        <v>3.4699717391694604</v>
      </c>
      <c r="G17" s="90">
        <f>G16/(1+P17)^5</f>
        <v>3.4010299876032852</v>
      </c>
      <c r="H17" s="90">
        <f>H16/(1+P17)^6</f>
        <v>3.3334579777717073</v>
      </c>
      <c r="I17" s="90">
        <f>I16/(1+P17)^7</f>
        <v>3.2672284955065778</v>
      </c>
      <c r="J17" s="90">
        <f>J16/(1+P17)^8</f>
        <v>3.2023148673336133</v>
      </c>
      <c r="K17" s="90">
        <f>K16/(1+P17)^9</f>
        <v>3.1386909497298277</v>
      </c>
      <c r="L17" s="90">
        <f>L16/(1+P17)^10</f>
        <v>3.0763311185944109</v>
      </c>
      <c r="M17" s="159">
        <f>M16/POWER((1+P17),10)</f>
        <v>151.76136591327977</v>
      </c>
      <c r="N17" s="160"/>
      <c r="O17" s="91" t="s">
        <v>124</v>
      </c>
      <c r="P17" s="105">
        <f>WACC!$C$25</f>
        <v>5.8531001640862369E-2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185.48807406900426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3.7599999904632568</v>
      </c>
    </row>
    <row r="25" spans="2:16" ht="15" thickBot="1">
      <c r="B25" s="89" t="s">
        <v>121</v>
      </c>
      <c r="C25" s="90">
        <f>P24*(1+P25)</f>
        <v>3.9291999967575131</v>
      </c>
      <c r="D25" s="90">
        <f>C25*(1+P25)</f>
        <v>4.1060140036375579</v>
      </c>
      <c r="E25" s="90">
        <f>D25*(1+P25)</f>
        <v>4.2907846411433779</v>
      </c>
      <c r="F25" s="90">
        <f>E25*(1+P25)</f>
        <v>4.4838699576673555</v>
      </c>
      <c r="G25" s="90">
        <f>F25*(1+P25)</f>
        <v>4.6856441137801781</v>
      </c>
      <c r="H25" s="90">
        <f>G25*(1+P25)</f>
        <v>4.8964981072788758</v>
      </c>
      <c r="I25" s="90">
        <f>H25*(1+P25)</f>
        <v>5.1168405308620537</v>
      </c>
      <c r="J25" s="90">
        <f>I25*(1+P25)</f>
        <v>5.3470983639004697</v>
      </c>
      <c r="K25" s="90">
        <f>J25*(1+P25)</f>
        <v>5.5877177998373515</v>
      </c>
      <c r="L25" s="90">
        <f>K25*(1+P25)</f>
        <v>5.8391651108216527</v>
      </c>
      <c r="M25" s="159">
        <f>L25*(1+P25)/(P26-P25)</f>
        <v>450.95910262846604</v>
      </c>
      <c r="N25" s="160"/>
      <c r="O25" s="88" t="s">
        <v>122</v>
      </c>
      <c r="P25" s="104">
        <v>4.5000001788139343E-2</v>
      </c>
    </row>
    <row r="26" spans="2:16" ht="15" thickBot="1">
      <c r="B26" s="89" t="s">
        <v>123</v>
      </c>
      <c r="C26" s="90">
        <f>C25/(1+P26)</f>
        <v>3.711936627899175</v>
      </c>
      <c r="D26" s="90">
        <f>D25/(1+P26)^2</f>
        <v>3.6644876501294386</v>
      </c>
      <c r="E26" s="90">
        <f>E25/(1+P26)^3</f>
        <v>3.6176452035904925</v>
      </c>
      <c r="F26" s="90">
        <f>F25/(1+P26)^4</f>
        <v>3.5714015351092603</v>
      </c>
      <c r="G26" s="90">
        <f>G25/(1+P26)^5</f>
        <v>3.5257489906200892</v>
      </c>
      <c r="H26" s="90">
        <f>H25/(1+P26)^6</f>
        <v>3.4806800138977461</v>
      </c>
      <c r="I26" s="90">
        <f>I25/(1+P26)^7</f>
        <v>3.4361871453068265</v>
      </c>
      <c r="J26" s="90">
        <f>J25/(1+P26)^8</f>
        <v>3.3922630205669728</v>
      </c>
      <c r="K26" s="90">
        <f>K25/(1+P26)^9</f>
        <v>3.3489003695340447</v>
      </c>
      <c r="L26" s="90">
        <f>L25/(1+P26)^10</f>
        <v>3.3060920149967736</v>
      </c>
      <c r="M26" s="159">
        <f>M25/POWER((1+P26),10)</f>
        <v>255.32970210535635</v>
      </c>
      <c r="N26" s="160"/>
      <c r="O26" s="91" t="s">
        <v>124</v>
      </c>
      <c r="P26" s="105">
        <f>WACC!$C$25</f>
        <v>5.8531001640862369E-2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290.38504467700699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82006</v>
      </c>
      <c r="D3" s="110">
        <v>80116</v>
      </c>
      <c r="E3" s="110">
        <v>74401</v>
      </c>
      <c r="F3" s="110">
        <v>70749</v>
      </c>
      <c r="G3" s="110">
        <v>65299</v>
      </c>
      <c r="H3" s="110">
        <v>65058</v>
      </c>
      <c r="I3" s="110">
        <v>66832</v>
      </c>
      <c r="J3" s="110">
        <v>67684</v>
      </c>
      <c r="K3" s="110">
        <v>70950</v>
      </c>
      <c r="L3" s="110">
        <v>76118</v>
      </c>
      <c r="M3" s="110">
        <v>80187</v>
      </c>
      <c r="Q3" s="107"/>
    </row>
    <row r="4" spans="2:17">
      <c r="B4" s="18" t="s">
        <v>27</v>
      </c>
      <c r="C4" s="113"/>
      <c r="D4" s="121">
        <f t="shared" ref="D4:M4" si="0">(D3-C3)/C3</f>
        <v>-2.304709411506475E-2</v>
      </c>
      <c r="E4" s="121">
        <f t="shared" si="0"/>
        <v>-7.1334065604872932E-2</v>
      </c>
      <c r="F4" s="121">
        <f t="shared" si="0"/>
        <v>-4.9085361755890379E-2</v>
      </c>
      <c r="G4" s="121">
        <f t="shared" si="0"/>
        <v>-7.7032890924253347E-2</v>
      </c>
      <c r="H4" s="121">
        <f t="shared" si="0"/>
        <v>-3.6907150186067167E-3</v>
      </c>
      <c r="I4" s="121">
        <f t="shared" si="0"/>
        <v>2.7267976267330688E-2</v>
      </c>
      <c r="J4" s="121">
        <f t="shared" si="0"/>
        <v>1.2748384007661E-2</v>
      </c>
      <c r="K4" s="121">
        <f t="shared" si="0"/>
        <v>4.8253649311506414E-2</v>
      </c>
      <c r="L4" s="121">
        <f t="shared" si="0"/>
        <v>7.2840028188865397E-2</v>
      </c>
      <c r="M4" s="121">
        <f t="shared" si="0"/>
        <v>5.345647547229302E-2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10500</v>
      </c>
      <c r="D6" s="110">
        <v>11068</v>
      </c>
      <c r="E6" s="110">
        <v>11390</v>
      </c>
      <c r="F6" s="110">
        <v>6777</v>
      </c>
      <c r="G6" s="110">
        <v>10253</v>
      </c>
      <c r="H6" s="110">
        <v>15079</v>
      </c>
      <c r="I6" s="110">
        <v>9485</v>
      </c>
      <c r="J6" s="110">
        <v>3634</v>
      </c>
      <c r="K6" s="110">
        <v>12764</v>
      </c>
      <c r="L6" s="110">
        <v>14035</v>
      </c>
      <c r="M6" s="110">
        <v>14461</v>
      </c>
      <c r="Q6" s="107"/>
    </row>
    <row r="7" spans="2:17">
      <c r="B7" s="18" t="s">
        <v>27</v>
      </c>
      <c r="C7" s="113"/>
      <c r="D7" s="121">
        <f t="shared" ref="D7" si="1">(D6-C6)/C6</f>
        <v>5.4095238095238092E-2</v>
      </c>
      <c r="E7" s="121">
        <f t="shared" ref="E7" si="2">(E6-D6)/D6</f>
        <v>2.9092880375858329E-2</v>
      </c>
      <c r="F7" s="121">
        <f t="shared" ref="F7" si="3">(F6-E6)/E6</f>
        <v>-0.40500438981562775</v>
      </c>
      <c r="G7" s="121">
        <f t="shared" ref="G7" si="4">(G6-F6)/F6</f>
        <v>0.51291131769219422</v>
      </c>
      <c r="H7" s="121">
        <f t="shared" ref="H7" si="5">(H6-G6)/G6</f>
        <v>0.47069150492538769</v>
      </c>
      <c r="I7" s="121">
        <f t="shared" ref="I7" si="6">(I6-H6)/H6</f>
        <v>-0.37097950792492873</v>
      </c>
      <c r="J7" s="121">
        <f t="shared" ref="J7" si="7">(J6-I6)/I6</f>
        <v>-0.61686874011597259</v>
      </c>
      <c r="K7" s="121">
        <f t="shared" ref="K7" si="8">(K6-J6)/J6</f>
        <v>2.5123830489818384</v>
      </c>
      <c r="L7" s="121">
        <f t="shared" ref="L7" si="9">(L6-K6)/K6</f>
        <v>9.9576935130053279E-2</v>
      </c>
      <c r="M7" s="121">
        <f t="shared" ref="M7" si="10">(M6-L6)/L6</f>
        <v>3.0352689704310654E-2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16239</v>
      </c>
      <c r="D9" s="110">
        <v>16799</v>
      </c>
      <c r="E9" s="110">
        <v>17051</v>
      </c>
      <c r="F9" s="110">
        <v>14183</v>
      </c>
      <c r="G9" s="110">
        <v>16519</v>
      </c>
      <c r="H9" s="110">
        <v>16586</v>
      </c>
      <c r="I9" s="110">
        <v>16197</v>
      </c>
      <c r="J9" s="110">
        <v>8311</v>
      </c>
      <c r="K9" s="110">
        <v>18719</v>
      </c>
      <c r="L9" s="110">
        <v>20721</v>
      </c>
      <c r="M9" s="110">
        <v>20620</v>
      </c>
      <c r="Q9" s="107"/>
    </row>
    <row r="10" spans="2:17">
      <c r="B10" s="18" t="s">
        <v>27</v>
      </c>
      <c r="C10" s="113"/>
      <c r="D10" s="121">
        <f t="shared" ref="D10" si="11">(D9-C9)/C9</f>
        <v>3.4484882074019334E-2</v>
      </c>
      <c r="E10" s="121">
        <f t="shared" ref="E10" si="12">(E9-D9)/D9</f>
        <v>1.5000892910292279E-2</v>
      </c>
      <c r="F10" s="121">
        <f t="shared" ref="F10" si="13">(F9-E9)/E9</f>
        <v>-0.168201278517389</v>
      </c>
      <c r="G10" s="121">
        <f t="shared" ref="G10" si="14">(G9-F9)/F9</f>
        <v>0.16470422336600155</v>
      </c>
      <c r="H10" s="121">
        <f t="shared" ref="H10" si="15">(H9-G9)/G9</f>
        <v>4.0559355893213878E-3</v>
      </c>
      <c r="I10" s="121">
        <f t="shared" ref="I10" si="16">(I9-H9)/H9</f>
        <v>-2.3453515012661279E-2</v>
      </c>
      <c r="J10" s="121">
        <f t="shared" ref="J10" si="17">(J9-I9)/I9</f>
        <v>-0.48688028647280363</v>
      </c>
      <c r="K10" s="121">
        <f t="shared" ref="K10" si="18">(K9-J9)/J9</f>
        <v>1.2523162074359282</v>
      </c>
      <c r="L10" s="121">
        <f t="shared" ref="L10" si="19">(L9-K9)/K9</f>
        <v>0.10695015759388857</v>
      </c>
      <c r="M10" s="121">
        <f t="shared" ref="M10" si="20">(M9-L9)/L9</f>
        <v>-4.8742821292408669E-3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2941.199951171875</v>
      </c>
      <c r="D12" s="110">
        <v>2930.60009765625</v>
      </c>
      <c r="E12" s="110">
        <v>2904.699951171875</v>
      </c>
      <c r="F12" s="110">
        <v>2883.60009765625</v>
      </c>
      <c r="G12" s="110">
        <v>2844.39990234375</v>
      </c>
      <c r="H12" s="110">
        <v>2740.39990234375</v>
      </c>
      <c r="I12" s="110">
        <v>2656.699951171875</v>
      </c>
      <c r="J12" s="110">
        <v>2539.5</v>
      </c>
      <c r="K12" s="110">
        <v>2625.800048828125</v>
      </c>
      <c r="L12" s="110">
        <v>2601</v>
      </c>
      <c r="M12" s="110">
        <v>2539.10009765625</v>
      </c>
      <c r="Q12" s="107"/>
    </row>
    <row r="13" spans="2:17">
      <c r="B13" s="18" t="s">
        <v>27</v>
      </c>
      <c r="C13" s="113"/>
      <c r="D13" s="121">
        <f t="shared" ref="D13" si="21">(D12-C12)/C12</f>
        <v>-3.6039214237718305E-3</v>
      </c>
      <c r="E13" s="121">
        <f t="shared" ref="E13" si="22">(E12-D12)/D12</f>
        <v>-8.8378303491795634E-3</v>
      </c>
      <c r="F13" s="121">
        <f t="shared" ref="F13" si="23">(F12-E12)/E12</f>
        <v>-7.2640389266755137E-3</v>
      </c>
      <c r="G13" s="121">
        <f t="shared" ref="G13" si="24">(G12-F12)/F12</f>
        <v>-1.3594185734825496E-2</v>
      </c>
      <c r="H13" s="121">
        <f t="shared" ref="H13" si="25">(H12-G12)/G12</f>
        <v>-3.6563072553302121E-2</v>
      </c>
      <c r="I13" s="121">
        <f t="shared" ref="I13" si="26">(I12-H12)/H12</f>
        <v>-3.0542969695879028E-2</v>
      </c>
      <c r="J13" s="121">
        <f t="shared" ref="J13" si="27">(J12-I12)/I12</f>
        <v>-4.4114861793172269E-2</v>
      </c>
      <c r="K13" s="121">
        <f t="shared" ref="K13" si="28">(K12-J12)/J12</f>
        <v>3.3983086760435127E-2</v>
      </c>
      <c r="L13" s="121">
        <f t="shared" ref="L13" si="29">(L12-K12)/K12</f>
        <v>-9.4447590703614429E-3</v>
      </c>
      <c r="M13" s="121">
        <f t="shared" ref="M13" si="30">(M12-L12)/L12</f>
        <v>-2.3798501477797E-2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3.6600000858306885</v>
      </c>
      <c r="D15" s="110">
        <v>3.8599998950958252</v>
      </c>
      <c r="E15" s="110">
        <v>4.0100002288818359</v>
      </c>
      <c r="F15" s="110">
        <v>2.440000057220459</v>
      </c>
      <c r="G15" s="110">
        <v>3.690000057220459</v>
      </c>
      <c r="H15" s="110">
        <v>5.5900001525878906</v>
      </c>
      <c r="I15" s="110">
        <v>3.6700000762939453</v>
      </c>
      <c r="J15" s="110">
        <v>1.4299999475479126</v>
      </c>
      <c r="K15" s="110">
        <v>4.9600000381469727</v>
      </c>
      <c r="L15" s="110">
        <v>5.5</v>
      </c>
      <c r="M15" s="110">
        <v>5.809999942779541</v>
      </c>
      <c r="Q15" s="107"/>
    </row>
    <row r="16" spans="2:17">
      <c r="B16" s="18" t="s">
        <v>27</v>
      </c>
      <c r="D16" s="121">
        <f t="shared" ref="D16" si="31">(D15-C15)/C15</f>
        <v>5.4644755348344246E-2</v>
      </c>
      <c r="E16" s="121">
        <f t="shared" ref="E16" si="32">(E15-D15)/D15</f>
        <v>3.8860191156115831E-2</v>
      </c>
      <c r="F16" s="121">
        <f t="shared" ref="F16" si="33">(F15-E15)/E15</f>
        <v>-0.39152121746864921</v>
      </c>
      <c r="G16" s="121">
        <f t="shared" ref="G16" si="34">(G15-F15)/F15</f>
        <v>0.51229506995337726</v>
      </c>
      <c r="H16" s="121">
        <f t="shared" ref="H16" si="35">(H15-G15)/G15</f>
        <v>0.51490516691173971</v>
      </c>
      <c r="I16" s="121">
        <f t="shared" ref="I16" si="36">(I15-H15)/H15</f>
        <v>-0.34347048727808821</v>
      </c>
      <c r="J16" s="121">
        <f t="shared" ref="J16" si="37">(J15-I15)/I15</f>
        <v>-0.61035424582552966</v>
      </c>
      <c r="K16" s="121">
        <f t="shared" ref="K16" si="38">(K15-J15)/J15</f>
        <v>2.4685316224326592</v>
      </c>
      <c r="L16" s="121">
        <f t="shared" ref="L16" si="39">(L15-K15)/K15</f>
        <v>0.10887095921369552</v>
      </c>
      <c r="M16" s="121">
        <f t="shared" ref="M16" si="40">(M15-L15)/L15</f>
        <v>5.6363625959916543E-2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12213</v>
      </c>
      <c r="D20" s="128">
        <v>11449</v>
      </c>
      <c r="E20" s="128">
        <v>10687</v>
      </c>
      <c r="F20" s="128">
        <v>15370</v>
      </c>
      <c r="G20" s="128">
        <v>12553</v>
      </c>
      <c r="H20" s="128">
        <v>9940</v>
      </c>
      <c r="I20" s="128">
        <v>11419</v>
      </c>
      <c r="J20" s="128">
        <v>12289</v>
      </c>
      <c r="K20" s="128">
        <v>14360</v>
      </c>
      <c r="L20" s="128">
        <v>15626</v>
      </c>
      <c r="M20" s="128">
        <v>13677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-6.6556031094418724E-2</v>
      </c>
      <c r="F21" s="131">
        <f t="shared" ref="F21" si="42">(F20-E20)/E20</f>
        <v>0.43819593899129783</v>
      </c>
      <c r="G21" s="131">
        <f t="shared" ref="G21" si="43">(G20-F20)/F20</f>
        <v>-0.18327911515940143</v>
      </c>
      <c r="H21" s="131">
        <f t="shared" ref="H21" si="44">(H20-G20)/G20</f>
        <v>-0.20815741257070022</v>
      </c>
      <c r="I21" s="131">
        <f t="shared" ref="I21" si="45">(I20-H20)/H20</f>
        <v>0.1487927565392354</v>
      </c>
      <c r="J21" s="131">
        <f t="shared" ref="J21" si="46">(J20-I20)/I20</f>
        <v>7.6188808126806201E-2</v>
      </c>
      <c r="K21" s="131">
        <f t="shared" ref="K21" si="47">(K20-J20)/J20</f>
        <v>0.16852469688339164</v>
      </c>
      <c r="L21" s="131">
        <f t="shared" ref="L21" si="48">(L20-K20)/K20</f>
        <v>8.8161559888579391E-2</v>
      </c>
      <c r="M21" s="131">
        <f t="shared" ref="M21" si="49">(M20-L20)/L20</f>
        <v>-0.12472801740688597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6139</v>
      </c>
      <c r="D23" s="130">
        <v>6519</v>
      </c>
      <c r="E23" s="130">
        <v>6911</v>
      </c>
      <c r="F23" s="130">
        <v>7287</v>
      </c>
      <c r="G23" s="130">
        <v>7436</v>
      </c>
      <c r="H23" s="130">
        <v>7236</v>
      </c>
      <c r="I23" s="130">
        <v>7310</v>
      </c>
      <c r="J23" s="130">
        <v>7498</v>
      </c>
      <c r="K23" s="130">
        <v>7789</v>
      </c>
      <c r="L23" s="130">
        <v>8263</v>
      </c>
      <c r="M23" s="130">
        <v>8770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6.1899332138784818E-2</v>
      </c>
      <c r="E24" s="121">
        <f t="shared" ref="E24" si="51">(E23-D23)/D23</f>
        <v>6.0131922073937721E-2</v>
      </c>
      <c r="F24" s="121">
        <f t="shared" ref="F24" si="52">(F23-E23)/E23</f>
        <v>5.4406019389379251E-2</v>
      </c>
      <c r="G24" s="121">
        <f t="shared" ref="G24" si="53">(G23-F23)/F23</f>
        <v>2.0447372032386443E-2</v>
      </c>
      <c r="H24" s="121">
        <f t="shared" ref="H24" si="54">(H23-G23)/G23</f>
        <v>-2.6896180742334588E-2</v>
      </c>
      <c r="I24" s="121">
        <f t="shared" ref="I24" si="55">(I23-H23)/H23</f>
        <v>1.0226644555002764E-2</v>
      </c>
      <c r="J24" s="121">
        <f t="shared" ref="J24" si="56">(J23-I23)/I23</f>
        <v>2.5718194254445964E-2</v>
      </c>
      <c r="K24" s="121">
        <f t="shared" ref="K24" si="57">(K23-J23)/J23</f>
        <v>3.8810349426513735E-2</v>
      </c>
      <c r="L24" s="121">
        <f t="shared" ref="L24" si="58">(L23-K23)/K23</f>
        <v>6.0855051996405188E-2</v>
      </c>
      <c r="M24" s="121">
        <f t="shared" ref="M24" si="59">(M23-L23)/L23</f>
        <v>6.1357860341280407E-2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21910</v>
      </c>
      <c r="D28" s="110">
        <v>23990</v>
      </c>
      <c r="E28" s="110">
        <v>31617</v>
      </c>
      <c r="F28" s="110">
        <v>29646</v>
      </c>
      <c r="G28" s="110">
        <v>33782</v>
      </c>
      <c r="H28" s="110">
        <v>26494</v>
      </c>
      <c r="I28" s="110">
        <v>23320</v>
      </c>
      <c r="J28" s="110">
        <v>22473</v>
      </c>
      <c r="K28" s="110">
        <v>27987</v>
      </c>
      <c r="L28" s="110">
        <v>23091</v>
      </c>
      <c r="M28" s="110">
        <v>21653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9.4933820173436781E-2</v>
      </c>
      <c r="E29" s="121">
        <f t="shared" ref="E29" si="61">(E28-D28)/D28</f>
        <v>0.31792413505627343</v>
      </c>
      <c r="F29" s="121">
        <f t="shared" ref="F29" si="62">(F28-E28)/E28</f>
        <v>-6.2339880444064903E-2</v>
      </c>
      <c r="G29" s="121">
        <f t="shared" ref="G29" si="63">(G28-F28)/F28</f>
        <v>0.13951291911219052</v>
      </c>
      <c r="H29" s="121">
        <f t="shared" ref="H29" si="64">(H28-G28)/G28</f>
        <v>-0.21573619087087798</v>
      </c>
      <c r="I29" s="121">
        <f t="shared" ref="I29" si="65">(I28-H28)/H28</f>
        <v>-0.1198007095946252</v>
      </c>
      <c r="J29" s="121">
        <f t="shared" ref="J29" si="66">(J28-I28)/I28</f>
        <v>-3.6320754716981131E-2</v>
      </c>
      <c r="K29" s="121">
        <f t="shared" ref="K29" si="67">(K28-J28)/J28</f>
        <v>0.24536109998665065</v>
      </c>
      <c r="L29" s="121">
        <f t="shared" ref="L29" si="68">(L28-K28)/K28</f>
        <v>-0.17493836424054024</v>
      </c>
      <c r="M29" s="121">
        <f t="shared" ref="M29" si="69">(M28-L28)/L28</f>
        <v>-6.2275345372656013E-2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110334</v>
      </c>
      <c r="D31" s="110">
        <v>115273</v>
      </c>
      <c r="E31" s="110">
        <v>112649</v>
      </c>
      <c r="F31" s="110">
        <v>99849</v>
      </c>
      <c r="G31" s="110">
        <v>93354</v>
      </c>
      <c r="H31" s="110">
        <v>93912</v>
      </c>
      <c r="I31" s="110">
        <v>94990</v>
      </c>
      <c r="J31" s="110">
        <v>92622</v>
      </c>
      <c r="K31" s="110">
        <v>92713</v>
      </c>
      <c r="L31" s="110">
        <v>96216</v>
      </c>
      <c r="M31" s="110">
        <v>95555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4.4764079975347579E-2</v>
      </c>
      <c r="E32" s="121">
        <f t="shared" ref="E32" si="71">(E31-D31)/D31</f>
        <v>-2.2763353083549487E-2</v>
      </c>
      <c r="F32" s="121">
        <f t="shared" ref="F32" si="72">(F31-E31)/E31</f>
        <v>-0.11362728475175102</v>
      </c>
      <c r="G32" s="121">
        <f t="shared" ref="G32" si="73">(G31-F31)/F31</f>
        <v>-6.5048222816452839E-2</v>
      </c>
      <c r="H32" s="121">
        <f t="shared" ref="H32" si="74">(H31-G31)/G31</f>
        <v>5.9772478951089399E-3</v>
      </c>
      <c r="I32" s="121">
        <f t="shared" ref="I32" si="75">(I31-H31)/H31</f>
        <v>1.1478831246273106E-2</v>
      </c>
      <c r="J32" s="121">
        <f t="shared" ref="J32" si="76">(J31-I31)/I31</f>
        <v>-2.4928939888409305E-2</v>
      </c>
      <c r="K32" s="121">
        <f t="shared" ref="K32" si="77">(K31-J31)/J31</f>
        <v>9.8248796182332497E-4</v>
      </c>
      <c r="L32" s="121">
        <f t="shared" ref="L32" si="78">(L31-K31)/K31</f>
        <v>3.7783266640061264E-2</v>
      </c>
      <c r="M32" s="121">
        <f t="shared" ref="M32" si="79">(M31-L31)/L31</f>
        <v>-6.8699592583354122E-3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139263</v>
      </c>
      <c r="E34" s="111">
        <f t="shared" ref="E34:M34" si="80">E28+E31</f>
        <v>144266</v>
      </c>
      <c r="F34" s="111">
        <f t="shared" si="80"/>
        <v>129495</v>
      </c>
      <c r="G34" s="111">
        <f t="shared" si="80"/>
        <v>127136</v>
      </c>
      <c r="H34" s="111">
        <f t="shared" si="80"/>
        <v>120406</v>
      </c>
      <c r="I34" s="111">
        <f t="shared" si="80"/>
        <v>118310</v>
      </c>
      <c r="J34" s="111">
        <f t="shared" si="80"/>
        <v>115095</v>
      </c>
      <c r="K34" s="111">
        <f t="shared" si="80"/>
        <v>120700</v>
      </c>
      <c r="L34" s="111">
        <f t="shared" si="80"/>
        <v>119307</v>
      </c>
      <c r="M34" s="111">
        <f t="shared" si="80"/>
        <v>117208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24907</v>
      </c>
      <c r="D36" s="118">
        <v>30037</v>
      </c>
      <c r="E36" s="110">
        <v>33726</v>
      </c>
      <c r="F36" s="110">
        <v>29790</v>
      </c>
      <c r="G36" s="110">
        <v>30770</v>
      </c>
      <c r="H36" s="110">
        <v>30210</v>
      </c>
      <c r="I36" s="110">
        <v>28237</v>
      </c>
      <c r="J36" s="110">
        <v>30011</v>
      </c>
      <c r="K36" s="110">
        <v>32976</v>
      </c>
      <c r="L36" s="110">
        <v>33132</v>
      </c>
      <c r="M36" s="110">
        <v>33081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0.20596619424258242</v>
      </c>
      <c r="E37" s="121">
        <f t="shared" ref="E37" si="82">(E36-D36)/D36</f>
        <v>0.12281519459333488</v>
      </c>
      <c r="F37" s="121">
        <f t="shared" ref="F37" si="83">(F36-E36)/E36</f>
        <v>-0.11670521259562355</v>
      </c>
      <c r="G37" s="121">
        <f t="shared" ref="G37" si="84">(G36-F36)/F36</f>
        <v>3.2896945283652231E-2</v>
      </c>
      <c r="H37" s="121">
        <f t="shared" ref="H37" si="85">(H36-G36)/G36</f>
        <v>-1.8199545011374715E-2</v>
      </c>
      <c r="I37" s="121">
        <f t="shared" ref="I37" si="86">(I36-H36)/H36</f>
        <v>-6.5309500165508114E-2</v>
      </c>
      <c r="J37" s="121">
        <f t="shared" ref="J37" si="87">(J36-I36)/I36</f>
        <v>6.2825370967170738E-2</v>
      </c>
      <c r="K37" s="121">
        <f t="shared" ref="K37" si="88">(K36-J36)/J36</f>
        <v>9.8797107727166711E-2</v>
      </c>
      <c r="L37" s="121">
        <f t="shared" ref="L37" si="89">(L36-K36)/K36</f>
        <v>4.7307132459970891E-3</v>
      </c>
      <c r="M37" s="121">
        <f t="shared" ref="M37" si="90">(M36-L36)/L36</f>
        <v>-1.5392973560304237E-3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43302</v>
      </c>
      <c r="D39" s="110">
        <v>40517</v>
      </c>
      <c r="E39" s="110">
        <v>40564</v>
      </c>
      <c r="F39" s="110">
        <v>36655</v>
      </c>
      <c r="G39" s="110">
        <v>38383</v>
      </c>
      <c r="H39" s="110">
        <v>34418</v>
      </c>
      <c r="I39" s="110">
        <v>37190</v>
      </c>
      <c r="J39" s="110">
        <v>37505</v>
      </c>
      <c r="K39" s="110">
        <v>40846</v>
      </c>
      <c r="L39" s="110">
        <v>39521</v>
      </c>
      <c r="M39" s="110">
        <v>37273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-6.4315735993718537E-2</v>
      </c>
      <c r="E40" s="121">
        <f t="shared" ref="E40" si="92">(E39-D39)/D39</f>
        <v>1.1600069106794679E-3</v>
      </c>
      <c r="F40" s="121">
        <f t="shared" ref="F40" si="93">(F39-E39)/E39</f>
        <v>-9.6366236071393357E-2</v>
      </c>
      <c r="G40" s="121">
        <f t="shared" ref="G40" si="94">(G39-F39)/F39</f>
        <v>4.714227254126313E-2</v>
      </c>
      <c r="H40" s="121">
        <f t="shared" ref="H40" si="95">(H39-G39)/G39</f>
        <v>-0.10330094052054295</v>
      </c>
      <c r="I40" s="121">
        <f t="shared" ref="I40" si="96">(I39-H39)/H39</f>
        <v>8.0539252716601784E-2</v>
      </c>
      <c r="J40" s="121">
        <f t="shared" ref="J40" si="97">(J39-I39)/I39</f>
        <v>8.4700188222640495E-3</v>
      </c>
      <c r="K40" s="121">
        <f t="shared" ref="K40" si="98">(K39-J39)/J39</f>
        <v>8.9081455805892551E-2</v>
      </c>
      <c r="L40" s="121">
        <f t="shared" ref="L40" si="99">(L39-K39)/K39</f>
        <v>-3.2438916907408313E-2</v>
      </c>
      <c r="M40" s="121">
        <f t="shared" ref="M40" si="100">(M39-L39)/L39</f>
        <v>-5.6881151792717799E-2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70554</v>
      </c>
      <c r="E42" s="111">
        <f t="shared" ref="E42:M42" si="101">E36+E39</f>
        <v>74290</v>
      </c>
      <c r="F42" s="111">
        <f t="shared" si="101"/>
        <v>66445</v>
      </c>
      <c r="G42" s="111">
        <f t="shared" si="101"/>
        <v>69153</v>
      </c>
      <c r="H42" s="111">
        <f t="shared" si="101"/>
        <v>64628</v>
      </c>
      <c r="I42" s="111">
        <f t="shared" si="101"/>
        <v>65427</v>
      </c>
      <c r="J42" s="111">
        <f t="shared" si="101"/>
        <v>67516</v>
      </c>
      <c r="K42" s="111">
        <f t="shared" si="101"/>
        <v>73822</v>
      </c>
      <c r="L42" s="111">
        <f t="shared" si="101"/>
        <v>72653</v>
      </c>
      <c r="M42" s="111">
        <f t="shared" si="101"/>
        <v>70354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68709</v>
      </c>
      <c r="E44" s="134">
        <f t="shared" ref="E44:M44" si="102">E34-E42</f>
        <v>69976</v>
      </c>
      <c r="F44" s="134">
        <f t="shared" si="102"/>
        <v>63050</v>
      </c>
      <c r="G44" s="134">
        <f t="shared" si="102"/>
        <v>57983</v>
      </c>
      <c r="H44" s="134">
        <f t="shared" si="102"/>
        <v>55778</v>
      </c>
      <c r="I44" s="134">
        <f t="shared" si="102"/>
        <v>52883</v>
      </c>
      <c r="J44" s="134">
        <f t="shared" si="102"/>
        <v>47579</v>
      </c>
      <c r="K44" s="134">
        <f t="shared" si="102"/>
        <v>46878</v>
      </c>
      <c r="L44" s="134">
        <f t="shared" si="102"/>
        <v>46654</v>
      </c>
      <c r="M44" s="134">
        <f t="shared" si="102"/>
        <v>46854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21080</v>
      </c>
      <c r="D46" s="133">
        <v>19111</v>
      </c>
      <c r="E46" s="133">
        <v>19811</v>
      </c>
      <c r="F46" s="133">
        <v>18327</v>
      </c>
      <c r="G46" s="133">
        <v>18945</v>
      </c>
      <c r="H46" s="133">
        <v>18038</v>
      </c>
      <c r="I46" s="133">
        <v>20863</v>
      </c>
      <c r="J46" s="133">
        <v>20395</v>
      </c>
      <c r="K46" s="136">
        <v>23537</v>
      </c>
      <c r="L46" s="133">
        <v>23099</v>
      </c>
      <c r="M46" s="133">
        <v>22848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0.13814968295970842</v>
      </c>
      <c r="E50" s="126">
        <f t="shared" si="103"/>
        <v>0.15308934019704037</v>
      </c>
      <c r="F50" s="126">
        <f t="shared" si="103"/>
        <v>9.5789339778654115E-2</v>
      </c>
      <c r="G50" s="126">
        <f t="shared" si="103"/>
        <v>0.15701618707790319</v>
      </c>
      <c r="H50" s="126">
        <f t="shared" si="103"/>
        <v>0.23177779827231085</v>
      </c>
      <c r="I50" s="126">
        <f t="shared" si="103"/>
        <v>0.14192303088340916</v>
      </c>
      <c r="J50" s="126">
        <f t="shared" si="103"/>
        <v>5.369068021984516E-2</v>
      </c>
      <c r="K50" s="126">
        <f t="shared" si="103"/>
        <v>0.17990133897110641</v>
      </c>
      <c r="L50" s="126">
        <f t="shared" si="103"/>
        <v>0.18438477101342651</v>
      </c>
      <c r="M50" s="126">
        <f t="shared" si="103"/>
        <v>0.18034095302231035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0.20968345898447252</v>
      </c>
      <c r="E51" s="126">
        <f t="shared" si="104"/>
        <v>0.22917702719049476</v>
      </c>
      <c r="F51" s="126">
        <f t="shared" si="104"/>
        <v>0.20046926458324499</v>
      </c>
      <c r="G51" s="126">
        <f t="shared" si="104"/>
        <v>0.2529747775616778</v>
      </c>
      <c r="H51" s="126">
        <f t="shared" si="104"/>
        <v>0.25494174428971073</v>
      </c>
      <c r="I51" s="126">
        <f t="shared" si="104"/>
        <v>0.24235396217380895</v>
      </c>
      <c r="J51" s="126">
        <f t="shared" si="104"/>
        <v>0.12279120619348738</v>
      </c>
      <c r="K51" s="126">
        <f t="shared" si="104"/>
        <v>0.26383368569415083</v>
      </c>
      <c r="L51" s="126">
        <f t="shared" si="104"/>
        <v>0.27222207625003286</v>
      </c>
      <c r="M51" s="126">
        <f t="shared" si="104"/>
        <v>0.25714891441256066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0.14290528733336663</v>
      </c>
      <c r="E52" s="126">
        <f t="shared" si="105"/>
        <v>0.14364054246582708</v>
      </c>
      <c r="F52" s="126">
        <f t="shared" si="105"/>
        <v>0.21724688688179339</v>
      </c>
      <c r="G52" s="126">
        <f t="shared" si="105"/>
        <v>0.19223877854178473</v>
      </c>
      <c r="H52" s="126">
        <f t="shared" si="105"/>
        <v>0.15278674413600171</v>
      </c>
      <c r="I52" s="126">
        <f t="shared" si="105"/>
        <v>0.17086126406511851</v>
      </c>
      <c r="J52" s="126">
        <f t="shared" si="105"/>
        <v>0.18156432834938832</v>
      </c>
      <c r="K52" s="126">
        <f t="shared" si="105"/>
        <v>0.20239605355884427</v>
      </c>
      <c r="L52" s="126">
        <f t="shared" si="105"/>
        <v>0.20528652881053103</v>
      </c>
      <c r="M52" s="126">
        <f t="shared" si="105"/>
        <v>0.17056380710090163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0.56939470696130667</v>
      </c>
      <c r="E55" s="126">
        <f t="shared" ref="E55:M55" si="106">E23/E20</f>
        <v>0.6466735285861327</v>
      </c>
      <c r="F55" s="126">
        <f t="shared" si="106"/>
        <v>0.47410540013012364</v>
      </c>
      <c r="G55" s="126">
        <f t="shared" si="106"/>
        <v>0.59236835816139566</v>
      </c>
      <c r="H55" s="126">
        <f t="shared" si="106"/>
        <v>0.72796780684104623</v>
      </c>
      <c r="I55" s="126">
        <f t="shared" si="106"/>
        <v>0.64016113495052107</v>
      </c>
      <c r="J55" s="126">
        <f t="shared" si="106"/>
        <v>0.61013914883228904</v>
      </c>
      <c r="K55" s="126">
        <f t="shared" si="106"/>
        <v>0.54240947075208912</v>
      </c>
      <c r="L55" s="126">
        <f t="shared" si="106"/>
        <v>0.52879815691795728</v>
      </c>
      <c r="M55" s="126">
        <f t="shared" si="106"/>
        <v>0.64122249031220302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1.0268523774178056</v>
      </c>
      <c r="E58" s="112">
        <f t="shared" ref="E58:M58" si="107">E42/E44</f>
        <v>1.061649708471476</v>
      </c>
      <c r="F58" s="112">
        <f t="shared" si="107"/>
        <v>1.0538461538461539</v>
      </c>
      <c r="G58" s="112">
        <f t="shared" si="107"/>
        <v>1.1926426711277442</v>
      </c>
      <c r="H58" s="112">
        <f t="shared" si="107"/>
        <v>1.1586647065151134</v>
      </c>
      <c r="I58" s="112">
        <f t="shared" si="107"/>
        <v>1.2372028818334815</v>
      </c>
      <c r="J58" s="112">
        <f t="shared" si="107"/>
        <v>1.4190294037285356</v>
      </c>
      <c r="K58" s="112">
        <f t="shared" si="107"/>
        <v>1.5747685481462519</v>
      </c>
      <c r="L58" s="112">
        <f t="shared" si="107"/>
        <v>1.5572726883011103</v>
      </c>
      <c r="M58" s="112">
        <f t="shared" si="107"/>
        <v>1.5015580313313699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0.79868162599460668</v>
      </c>
      <c r="E59" s="112">
        <f t="shared" ref="E59:M59" si="108">E28/E36</f>
        <v>0.93746664294609505</v>
      </c>
      <c r="F59" s="112">
        <f t="shared" si="108"/>
        <v>0.99516616314199391</v>
      </c>
      <c r="G59" s="112">
        <f t="shared" si="108"/>
        <v>1.0978875528111798</v>
      </c>
      <c r="H59" s="112">
        <f t="shared" si="108"/>
        <v>0.8769943727242635</v>
      </c>
      <c r="I59" s="112">
        <f t="shared" si="108"/>
        <v>0.82586677054927926</v>
      </c>
      <c r="J59" s="112">
        <f t="shared" si="108"/>
        <v>0.74882543067541907</v>
      </c>
      <c r="K59" s="112">
        <f t="shared" si="108"/>
        <v>0.84870815138282385</v>
      </c>
      <c r="L59" s="112">
        <f t="shared" si="108"/>
        <v>0.69693951466859838</v>
      </c>
      <c r="M59" s="112">
        <f t="shared" si="108"/>
        <v>0.65454490493032258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1.1376272397166498</v>
      </c>
      <c r="E60" s="112">
        <f t="shared" ref="E60:M60" si="109">E46/E9</f>
        <v>1.1618673391589935</v>
      </c>
      <c r="F60" s="112">
        <f t="shared" si="109"/>
        <v>1.292180779806811</v>
      </c>
      <c r="G60" s="112">
        <f t="shared" si="109"/>
        <v>1.1468611901446819</v>
      </c>
      <c r="H60" s="112">
        <f t="shared" si="109"/>
        <v>1.0875437115639697</v>
      </c>
      <c r="I60" s="112">
        <f t="shared" si="109"/>
        <v>1.2880780391430511</v>
      </c>
      <c r="J60" s="112">
        <f t="shared" si="109"/>
        <v>2.4539766574419444</v>
      </c>
      <c r="K60" s="112">
        <f t="shared" si="109"/>
        <v>1.257385544099578</v>
      </c>
      <c r="L60" s="112">
        <f t="shared" si="109"/>
        <v>1.1147628010231165</v>
      </c>
      <c r="M60" s="112">
        <f t="shared" si="109"/>
        <v>1.1080504364694472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3.6746444877989726E-2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1.7940348848797028E-2</v>
      </c>
    </row>
    <row r="65" spans="2:13">
      <c r="B65" s="10" t="s">
        <v>74</v>
      </c>
      <c r="C65" s="114"/>
      <c r="D65" s="121">
        <f>(M6/I6)^0.2 - 1</f>
        <v>8.8008274288201571E-2</v>
      </c>
    </row>
    <row r="66" spans="2:13">
      <c r="B66" s="10" t="s">
        <v>84</v>
      </c>
      <c r="C66" s="114"/>
      <c r="D66" s="121">
        <f>(M6/D6)^0.1 - 1</f>
        <v>2.710044543403245E-2</v>
      </c>
    </row>
    <row r="67" spans="2:13">
      <c r="B67" s="10" t="s">
        <v>75</v>
      </c>
      <c r="C67" s="114"/>
      <c r="D67" s="121">
        <f>(M3/I3)^0.2 - 1</f>
        <v>3.7107802370772491E-2</v>
      </c>
    </row>
    <row r="68" spans="2:13">
      <c r="B68" s="10" t="s">
        <v>85</v>
      </c>
      <c r="C68" s="114"/>
      <c r="D68" s="121">
        <f>(M3/D3)^0.1 - 1</f>
        <v>8.8586176685057083E-5</v>
      </c>
    </row>
    <row r="69" spans="2:13">
      <c r="B69" s="10" t="s">
        <v>88</v>
      </c>
      <c r="C69" s="114"/>
      <c r="D69" s="121">
        <f>(M9/I9)^0.2 - 1</f>
        <v>4.9471902593670292E-2</v>
      </c>
    </row>
    <row r="70" spans="2:13">
      <c r="B70" s="10" t="s">
        <v>89</v>
      </c>
      <c r="C70" s="114"/>
      <c r="D70" s="121">
        <f>(M9/D9)^0.2 - 1</f>
        <v>4.18400446687206E-2</v>
      </c>
    </row>
    <row r="71" spans="2:13">
      <c r="B71" s="10" t="s">
        <v>131</v>
      </c>
      <c r="D71" s="121">
        <f>(M23/I23)^0.2 - 1</f>
        <v>3.7089991940914224E-2</v>
      </c>
    </row>
    <row r="72" spans="2:13">
      <c r="B72" s="10" t="s">
        <v>132</v>
      </c>
      <c r="D72" s="121">
        <f>AVERAGE(I24:M24)</f>
        <v>3.9393620114729619E-2</v>
      </c>
    </row>
    <row r="73" spans="2:13">
      <c r="B73" s="10" t="s">
        <v>135</v>
      </c>
      <c r="D73" s="121">
        <f>AVERAGE(I55:M55)</f>
        <v>0.59254608035301204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7.9475524726596438</v>
      </c>
      <c r="E76" s="110">
        <f t="shared" si="110"/>
        <v>7.8951381475884821</v>
      </c>
      <c r="F76" s="110">
        <f t="shared" si="110"/>
        <v>5.2334066952391982</v>
      </c>
      <c r="G76" s="110">
        <f t="shared" si="110"/>
        <v>8.0645922476717846</v>
      </c>
      <c r="H76" s="110">
        <f t="shared" si="110"/>
        <v>12.523462285932595</v>
      </c>
      <c r="I76" s="110">
        <f t="shared" si="110"/>
        <v>8.0170737891978696</v>
      </c>
      <c r="J76" s="110">
        <f t="shared" si="110"/>
        <v>3.1573917198835746</v>
      </c>
      <c r="K76" s="110">
        <f t="shared" si="110"/>
        <v>10.574979287489644</v>
      </c>
      <c r="L76" s="110">
        <f t="shared" si="110"/>
        <v>11.76376909988517</v>
      </c>
      <c r="M76" s="110">
        <f t="shared" si="110"/>
        <v>12.337895024230429</v>
      </c>
    </row>
    <row r="77" spans="2:13">
      <c r="B77" s="10" t="s">
        <v>139</v>
      </c>
      <c r="C77" s="110">
        <v>0</v>
      </c>
      <c r="D77" s="110">
        <f t="shared" ref="D77:M77" si="111">100*D6/D44</f>
        <v>16.108515623862957</v>
      </c>
      <c r="E77" s="110">
        <f t="shared" si="111"/>
        <v>16.277009260317822</v>
      </c>
      <c r="F77" s="110">
        <f t="shared" si="111"/>
        <v>10.748612212529737</v>
      </c>
      <c r="G77" s="110">
        <f t="shared" si="111"/>
        <v>17.68276908749116</v>
      </c>
      <c r="H77" s="110">
        <f t="shared" si="111"/>
        <v>27.033956040015777</v>
      </c>
      <c r="I77" s="110">
        <f t="shared" si="111"/>
        <v>17.935820585065144</v>
      </c>
      <c r="J77" s="110">
        <f t="shared" si="111"/>
        <v>7.6378234094873791</v>
      </c>
      <c r="K77" s="110">
        <f t="shared" si="111"/>
        <v>27.228124066726394</v>
      </c>
      <c r="L77" s="110">
        <f t="shared" si="111"/>
        <v>30.08316543061688</v>
      </c>
      <c r="M77" s="110">
        <f t="shared" si="111"/>
        <v>30.863960387586971</v>
      </c>
    </row>
    <row r="78" spans="2:13">
      <c r="B78" s="10" t="s">
        <v>140</v>
      </c>
      <c r="C78" s="110">
        <v>0</v>
      </c>
      <c r="D78" s="40">
        <v>12.090000152587891</v>
      </c>
      <c r="E78" s="40">
        <v>11.75</v>
      </c>
      <c r="F78" s="40">
        <v>7.309999942779541</v>
      </c>
      <c r="G78" s="40">
        <v>11.819999694824219</v>
      </c>
      <c r="H78" s="40">
        <v>17.729999542236328</v>
      </c>
      <c r="I78" s="40">
        <v>11.489999771118164</v>
      </c>
      <c r="J78" s="40">
        <v>4.809999942779541</v>
      </c>
      <c r="K78" s="40">
        <v>16.549999237060547</v>
      </c>
      <c r="L78" s="40">
        <v>18.110000610351563</v>
      </c>
      <c r="M78" s="40">
        <v>18.930000305175781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20.659999847412109</v>
      </c>
      <c r="E81" s="40">
        <v>25.090000152587891</v>
      </c>
      <c r="F81" s="40">
        <v>25.700000762939453</v>
      </c>
      <c r="G81" s="40">
        <v>23.819999694824219</v>
      </c>
      <c r="H81" s="40">
        <v>24.5</v>
      </c>
      <c r="I81" s="40">
        <v>24</v>
      </c>
      <c r="J81" s="40">
        <v>79.550003051757813</v>
      </c>
      <c r="K81" s="40">
        <v>26.600000381469727</v>
      </c>
      <c r="L81" s="40">
        <v>29.850000381469727</v>
      </c>
      <c r="M81" s="40">
        <v>26.270000457763672</v>
      </c>
    </row>
    <row r="82" spans="2:13">
      <c r="B82" s="122" t="s">
        <v>148</v>
      </c>
      <c r="C82" s="110">
        <v>0</v>
      </c>
      <c r="D82" s="40">
        <v>16.850000381469727</v>
      </c>
      <c r="E82" s="40">
        <v>16.969999313354492</v>
      </c>
      <c r="F82" s="40">
        <v>15.75</v>
      </c>
      <c r="G82" s="40">
        <v>15.960000038146973</v>
      </c>
      <c r="H82" s="40">
        <v>18.620000839233398</v>
      </c>
      <c r="I82" s="40">
        <v>16.379999160766602</v>
      </c>
      <c r="J82" s="40">
        <v>20.090000152587891</v>
      </c>
      <c r="K82" s="40">
        <v>20.290000915527344</v>
      </c>
      <c r="L82" s="40">
        <v>23.129999160766602</v>
      </c>
      <c r="M82" s="40">
        <v>23.700000762939453</v>
      </c>
    </row>
    <row r="83" spans="2:13">
      <c r="B83" s="122" t="s">
        <v>153</v>
      </c>
      <c r="C83" s="110">
        <v>4.5300002098083496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2023-04-24T13:11:50Z</dcterms:modified>
</cp:coreProperties>
</file>