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5820" windowHeight="15500" activeTab="1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3" l="1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28" i="5" l="1"/>
  <c r="G26" i="5" l="1"/>
  <c r="H26" i="5"/>
  <c r="I26" i="5"/>
  <c r="J26" i="5"/>
  <c r="K26" i="5"/>
  <c r="L26" i="5"/>
  <c r="F26" i="5" s="1"/>
  <c r="M26" i="5"/>
  <c r="N26" i="5"/>
  <c r="O26" i="5"/>
  <c r="P26" i="5"/>
  <c r="G24" i="5"/>
  <c r="H24" i="5"/>
  <c r="I24" i="5"/>
  <c r="J24" i="5"/>
  <c r="K24" i="5"/>
  <c r="L24" i="5"/>
  <c r="M24" i="5"/>
  <c r="N24" i="5"/>
  <c r="O24" i="5"/>
  <c r="P24" i="5"/>
  <c r="G16" i="5"/>
  <c r="H16" i="5"/>
  <c r="I16" i="5"/>
  <c r="J16" i="5"/>
  <c r="K16" i="5"/>
  <c r="L16" i="5"/>
  <c r="M16" i="5"/>
  <c r="N16" i="5"/>
  <c r="O16" i="5"/>
  <c r="P16" i="5"/>
  <c r="F24" i="5" l="1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2" i="5" l="1"/>
  <c r="H22" i="5"/>
  <c r="I22" i="5"/>
  <c r="J22" i="5"/>
  <c r="K22" i="5"/>
  <c r="L22" i="5"/>
  <c r="M22" i="5"/>
  <c r="N22" i="5"/>
  <c r="O22" i="5"/>
  <c r="P22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0" i="3" l="1"/>
  <c r="F43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6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5" i="3" s="1"/>
  <c r="P12" i="5" s="1"/>
  <c r="L34" i="3"/>
  <c r="L75" i="3" s="1"/>
  <c r="O12" i="5" s="1"/>
  <c r="K34" i="3"/>
  <c r="K75" i="3" s="1"/>
  <c r="N12" i="5" s="1"/>
  <c r="J34" i="3"/>
  <c r="J75" i="3" s="1"/>
  <c r="M12" i="5" s="1"/>
  <c r="I34" i="3"/>
  <c r="I75" i="3" s="1"/>
  <c r="L12" i="5" s="1"/>
  <c r="H34" i="3"/>
  <c r="H75" i="3" s="1"/>
  <c r="K12" i="5" s="1"/>
  <c r="G34" i="3"/>
  <c r="G75" i="3" s="1"/>
  <c r="J12" i="5" s="1"/>
  <c r="F34" i="3"/>
  <c r="F75" i="3" s="1"/>
  <c r="I12" i="5" s="1"/>
  <c r="E34" i="3"/>
  <c r="E75" i="3" s="1"/>
  <c r="H12" i="5" s="1"/>
  <c r="D34" i="3"/>
  <c r="D75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7" i="3"/>
  <c r="F40" i="5" s="1"/>
  <c r="D65" i="3"/>
  <c r="F37" i="5" s="1"/>
  <c r="D66" i="3"/>
  <c r="F39" i="5" s="1"/>
  <c r="D64" i="3"/>
  <c r="F36" i="5" s="1"/>
  <c r="P18" i="5" l="1"/>
  <c r="O18" i="5"/>
  <c r="N18" i="5"/>
  <c r="M18" i="5"/>
  <c r="L18" i="5"/>
  <c r="F18" i="5" s="1"/>
  <c r="K18" i="5"/>
  <c r="J18" i="5"/>
  <c r="I18" i="5"/>
  <c r="H18" i="5"/>
  <c r="G18" i="5"/>
  <c r="D71" i="3"/>
  <c r="F44" i="5" s="1"/>
  <c r="F45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6" i="3"/>
  <c r="H14" i="5" s="1"/>
  <c r="G52" i="3"/>
  <c r="G21" i="3"/>
  <c r="F58" i="3"/>
  <c r="I20" i="5" s="1"/>
  <c r="F76" i="3"/>
  <c r="I14" i="5" s="1"/>
  <c r="H52" i="3"/>
  <c r="H21" i="3"/>
  <c r="I52" i="3"/>
  <c r="I21" i="3"/>
  <c r="L52" i="3"/>
  <c r="L21" i="3"/>
  <c r="E52" i="3"/>
  <c r="E21" i="3"/>
  <c r="D72" i="3"/>
  <c r="F42" i="5" s="1"/>
  <c r="G44" i="3"/>
  <c r="H44" i="3"/>
  <c r="D63" i="3"/>
  <c r="F31" i="5" s="1"/>
  <c r="I44" i="3"/>
  <c r="M44" i="3"/>
  <c r="K17" i="2"/>
  <c r="J17" i="2"/>
  <c r="D17" i="2"/>
  <c r="E17" i="2"/>
  <c r="F17" i="2"/>
  <c r="J44" i="3"/>
  <c r="K44" i="3"/>
  <c r="L44" i="3"/>
  <c r="D62" i="3"/>
  <c r="F30" i="5" s="1"/>
  <c r="L17" i="2"/>
  <c r="I17" i="2"/>
  <c r="H17" i="2"/>
  <c r="G17" i="2"/>
  <c r="G58" i="3" l="1"/>
  <c r="J20" i="5" s="1"/>
  <c r="G76" i="3"/>
  <c r="J14" i="5" s="1"/>
  <c r="K58" i="3"/>
  <c r="N20" i="5" s="1"/>
  <c r="K76" i="3"/>
  <c r="N14" i="5" s="1"/>
  <c r="J58" i="3"/>
  <c r="M20" i="5" s="1"/>
  <c r="J76" i="3"/>
  <c r="M14" i="5" s="1"/>
  <c r="L58" i="3"/>
  <c r="O20" i="5" s="1"/>
  <c r="L76" i="3"/>
  <c r="O14" i="5" s="1"/>
  <c r="M58" i="3"/>
  <c r="P20" i="5" s="1"/>
  <c r="M76" i="3"/>
  <c r="P14" i="5" s="1"/>
  <c r="I58" i="3"/>
  <c r="L20" i="5" s="1"/>
  <c r="I76" i="3"/>
  <c r="L14" i="5" s="1"/>
  <c r="F14" i="5" s="1"/>
  <c r="H58" i="3"/>
  <c r="K20" i="5" s="1"/>
  <c r="H76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7" i="2"/>
  <c r="C39" i="2" s="1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P26" i="7" l="1"/>
  <c r="P8" i="7"/>
  <c r="P17" i="7"/>
  <c r="C4" i="2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8" i="3"/>
  <c r="F33" i="5" s="1"/>
  <c r="D69" i="3"/>
  <c r="F34" i="5" s="1"/>
  <c r="C62" i="2" l="1"/>
  <c r="C64" i="2" s="1"/>
  <c r="C72" i="2"/>
  <c r="C74" i="2" s="1"/>
  <c r="D45" i="5"/>
  <c r="D44" i="5"/>
  <c r="D43" i="5"/>
  <c r="D42" i="5"/>
  <c r="D40" i="5"/>
  <c r="D39" i="5"/>
  <c r="D37" i="5"/>
  <c r="D36" i="5"/>
  <c r="D34" i="5"/>
  <c r="D33" i="5"/>
  <c r="D31" i="5"/>
  <c r="D30" i="5"/>
  <c r="D28" i="5"/>
  <c r="D26" i="5"/>
  <c r="D24" i="5"/>
  <c r="D22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<sst xmlns="http://schemas.openxmlformats.org/spreadsheetml/2006/main" count="223" uniqueCount="159">
  <si>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</si>
  <si>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</si>
  <si>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</si>
  <si>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</si>
  <si>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</si>
  <si>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</si>
  <si>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</si>
  <si>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</si>
  <si>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</si>
  <si>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</si>
  <si>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</si>
  <si>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</si>
  <si>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</si>
  <si>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</si>
  <si>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</si>
  <si>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</si>
  <si>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</si>
  <si>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</si>
  <si>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</si>
  <si>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</si>
  <si>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</si>
  <si>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</si>
  <si>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</si>
  <si>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</si>
  <si>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</si>
  <si>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</si>
  <si>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</si>
  <si>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</si>
  <si>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</si>
  <si>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</si>
  <si>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</si>
  <si>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</si>
  <si>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</si>
  <si>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</si>
  <si>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</si>
  <si>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</si>
  <si>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</si>
  <si>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</si>
  <si>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</si>
  <si>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</si>
  <si>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</si>
  <si>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</si>
  <si>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</si>
  <si>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</si>
  <si>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</si>
  <si>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</si>
  <si>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</si>
  <si>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</si>
  <si>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</si>
  <si>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</si>
  <si>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</si>
  <si>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</si>
  <si>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</si>
  <si>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</si>
  <si>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</si>
  <si>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</si>
  <si>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</si>
  <si>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</si>
  <si>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</si>
  <si>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</si>
  <si>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</si>
  <si>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</si>
  <si>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</si>
  <si>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</si>
  <si>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</si>
  <si>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</si>
  <si>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</si>
  <si>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</si>
  <si>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</si>
  <si>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</si>
  <si>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</si>
  <si>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</si>
  <si>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</si>
  <si>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</si>
  <si>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</si>
  <si>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</si>
  <si>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</si>
  <si>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</si>
  <si>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</si>
  <si>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</si>
  <si>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</si>
  <si>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</si>
  <si>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</si>
  <si>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</si>
  <si>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</si>
  <si>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</si>
  <si>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</si>
  <si>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</si>
  <si>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</si>
  <si>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</si>
  <si>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</si>
  <si>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</si>
  <si>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</si>
  <si>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</si>
  <si>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</si>
  <si>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</si>
  <si>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</si>
  <si>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</si>
  <si>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</si>
  <si>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</si>
  <si>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</si>
  <si>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</si>
  <si>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</si>
  <si>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</si>
  <si>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</si>
  <si>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</si>
  <si>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</si>
  <si>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</si>
  <si>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</si>
  <si>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</si>
  <si>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</si>
  <si>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</si>
  <si>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</si>
  <si>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</si>
  <si>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</si>
  <si>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</si>
  <si>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</si>
  <si>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</si>
  <si>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</si>
  <si>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</si>
  <si>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</si>
  <si>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</si>
  <si>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</si>
  <si>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</si>
  <si>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</si>
  <si>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</si>
  <si>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</si>
  <si>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</si>
  <si>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</si>
  <si>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</si>
  <si>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</si>
  <si>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</si>
  <si>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</si>
  <si>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</si>
  <si>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</si>
  <si>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</si>
  <si>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</si>
  <si>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</si>
  <si>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</si>
  <si>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</si>
  <si>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</si>
  <si>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</si>
  <si>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</si>
  <si>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</si>
  <si>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</si>
  <si>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</si>
  <si>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</si>
  <si>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</si>
  <si>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</si>
  <si>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</si>
  <si>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</si>
  <si>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</si>
  <si>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</si>
  <si>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Debt / Equity (last 5 Y) &lt;=</t>
  </si>
  <si>
    <t>PEG</t>
  </si>
  <si>
    <t>EPS Growth esitmation (%)</t>
  </si>
  <si>
    <t>TSN_TysonFoods</t>
  </si>
  <si>
    <t>sector median (22.41)</t>
  </si>
  <si>
    <t>sector median (16.17)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</si>
</sst>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1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1" fillId="3" borderId="0" xfId="6" applyNumberFormat="1" applyFont="1" applyBorder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0" fillId="0" borderId="0" xfId="0" applyNumberFormat="1"/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2.2633385698493047E-2</c:v>
                </c:pt>
                <c:pt idx="1">
                  <c:v>2.2990952634379988E-2</c:v>
                </c:pt>
                <c:pt idx="2">
                  <c:v>2.9487830227443019E-2</c:v>
                </c:pt>
                <c:pt idx="3">
                  <c:v>4.7937962636587943E-2</c:v>
                </c:pt>
                <c:pt idx="4">
                  <c:v>4.6366962885520127E-2</c:v>
                </c:pt>
                <c:pt idx="5">
                  <c:v>7.4153600319584539E-2</c:v>
                </c:pt>
                <c:pt idx="6">
                  <c:v>4.6692607003891051E-2</c:v>
                </c:pt>
                <c:pt idx="7">
                  <c:v>4.7724904480722474E-2</c:v>
                </c:pt>
                <c:pt idx="8">
                  <c:v>6.4762269123679564E-2</c:v>
                </c:pt>
                <c:pt idx="9">
                  <c:v>6.0770992079876879E-2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5.5099784721010063E-2</c:v>
                </c:pt>
                <c:pt idx="1">
                  <c:v>5.2155401809473124E-2</c:v>
                </c:pt>
                <c:pt idx="2">
                  <c:v>6.9610615618881877E-2</c:v>
                </c:pt>
                <c:pt idx="3">
                  <c:v>9.5930153737696922E-2</c:v>
                </c:pt>
                <c:pt idx="4">
                  <c:v>9.6236278097229483E-2</c:v>
                </c:pt>
                <c:pt idx="5">
                  <c:v>9.7673025067412364E-2</c:v>
                </c:pt>
                <c:pt idx="6">
                  <c:v>9.3432378257280985E-2</c:v>
                </c:pt>
                <c:pt idx="7">
                  <c:v>9.8367488711358114E-2</c:v>
                </c:pt>
                <c:pt idx="8">
                  <c:v>0.12051265701715233</c:v>
                </c:pt>
                <c:pt idx="9">
                  <c:v>0.10596449082241657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2.1993367079769593E-2</c:v>
                </c:pt>
                <c:pt idx="1">
                  <c:v>1.4529004789781799E-2</c:v>
                </c:pt>
                <c:pt idx="2">
                  <c:v>4.1476325139583783E-2</c:v>
                </c:pt>
                <c:pt idx="3">
                  <c:v>5.4797863398497869E-2</c:v>
                </c:pt>
                <c:pt idx="4">
                  <c:v>3.9989545216936748E-2</c:v>
                </c:pt>
                <c:pt idx="5">
                  <c:v>4.4017776890042944E-2</c:v>
                </c:pt>
                <c:pt idx="6">
                  <c:v>2.9571984435797664E-2</c:v>
                </c:pt>
                <c:pt idx="7">
                  <c:v>6.1942804214426307E-2</c:v>
                </c:pt>
                <c:pt idx="8">
                  <c:v>5.5920423388382323E-2</c:v>
                </c:pt>
                <c:pt idx="9">
                  <c:v>1.5014451409481626E-2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Financials!$D$80:$M$80</c:f>
              <c:numCache>
                <c:formatCode>0.00</c:formatCode>
                <c:ptCount val="10"/>
                <c:pt idx="0">
                  <c:v>14.479999542236328</c:v>
                </c:pt>
                <c:pt idx="1">
                  <c:v>16.920000076293945</c:v>
                </c:pt>
                <c:pt idx="2">
                  <c:v>18.079999923706055</c:v>
                </c:pt>
                <c:pt idx="3">
                  <c:v>13.619999885559082</c:v>
                </c:pt>
                <c:pt idx="4">
                  <c:v>16.920000076293945</c:v>
                </c:pt>
                <c:pt idx="5">
                  <c:v>6.5199999809265137</c:v>
                </c:pt>
                <c:pt idx="6">
                  <c:v>16.489999771118164</c:v>
                </c:pt>
                <c:pt idx="7">
                  <c:v>11</c:v>
                </c:pt>
                <c:pt idx="8">
                  <c:v>10.449999809265137</c:v>
                </c:pt>
                <c:pt idx="9">
                  <c:v>6.9800000190734863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9.3500003814697266</c:v>
                </c:pt>
                <c:pt idx="1">
                  <c:v>12.390000343322754</c:v>
                </c:pt>
                <c:pt idx="2">
                  <c:v>8.5699996948242187</c:v>
                </c:pt>
                <c:pt idx="3">
                  <c:v>8.8599996566772461</c:v>
                </c:pt>
                <c:pt idx="4">
                  <c:v>11.539999961853027</c:v>
                </c:pt>
                <c:pt idx="5">
                  <c:v>6.6500000953674316</c:v>
                </c:pt>
                <c:pt idx="6">
                  <c:v>13.260000228881836</c:v>
                </c:pt>
                <c:pt idx="7">
                  <c:v>6.070000171661377</c:v>
                </c:pt>
                <c:pt idx="8">
                  <c:v>8.2799997329711914</c:v>
                </c:pt>
                <c:pt idx="9">
                  <c:v>8.4099998474121094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2.119999885559082</c:v>
                </c:pt>
                <c:pt idx="1">
                  <c:v>2.369999885559082</c:v>
                </c:pt>
                <c:pt idx="2">
                  <c:v>2.9500000476837158</c:v>
                </c:pt>
                <c:pt idx="3">
                  <c:v>4.5300002098083496</c:v>
                </c:pt>
                <c:pt idx="4">
                  <c:v>4.7899999618530273</c:v>
                </c:pt>
                <c:pt idx="5">
                  <c:v>8.0399999618530273</c:v>
                </c:pt>
                <c:pt idx="6">
                  <c:v>5.4000000953674316</c:v>
                </c:pt>
                <c:pt idx="7">
                  <c:v>5.6399998664855957</c:v>
                </c:pt>
                <c:pt idx="8">
                  <c:v>8.3400001525878906</c:v>
                </c:pt>
                <c:pt idx="9">
                  <c:v>8.9200000762939453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34374</c:v>
                </c:pt>
                <c:pt idx="1">
                  <c:v>37580</c:v>
                </c:pt>
                <c:pt idx="2">
                  <c:v>41373</c:v>
                </c:pt>
                <c:pt idx="3">
                  <c:v>36881</c:v>
                </c:pt>
                <c:pt idx="4">
                  <c:v>38260</c:v>
                </c:pt>
                <c:pt idx="5">
                  <c:v>40052</c:v>
                </c:pt>
                <c:pt idx="6">
                  <c:v>42405</c:v>
                </c:pt>
                <c:pt idx="7">
                  <c:v>43185</c:v>
                </c:pt>
                <c:pt idx="8">
                  <c:v>47049</c:v>
                </c:pt>
                <c:pt idx="9">
                  <c:v>53282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756</c:v>
                </c:pt>
                <c:pt idx="1">
                  <c:v>546</c:v>
                </c:pt>
                <c:pt idx="2">
                  <c:v>1716</c:v>
                </c:pt>
                <c:pt idx="3">
                  <c:v>2021</c:v>
                </c:pt>
                <c:pt idx="4">
                  <c:v>1530</c:v>
                </c:pt>
                <c:pt idx="5">
                  <c:v>1763</c:v>
                </c:pt>
                <c:pt idx="6">
                  <c:v>1254</c:v>
                </c:pt>
                <c:pt idx="7">
                  <c:v>2675</c:v>
                </c:pt>
                <c:pt idx="8">
                  <c:v>2631</c:v>
                </c:pt>
                <c:pt idx="9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104</c:v>
                </c:pt>
                <c:pt idx="1">
                  <c:v>104</c:v>
                </c:pt>
                <c:pt idx="2">
                  <c:v>147</c:v>
                </c:pt>
                <c:pt idx="3">
                  <c:v>216</c:v>
                </c:pt>
                <c:pt idx="4">
                  <c:v>319</c:v>
                </c:pt>
                <c:pt idx="5">
                  <c:v>431</c:v>
                </c:pt>
                <c:pt idx="6">
                  <c:v>537</c:v>
                </c:pt>
                <c:pt idx="7">
                  <c:v>601</c:v>
                </c:pt>
                <c:pt idx="8">
                  <c:v>636</c:v>
                </c:pt>
                <c:pt idx="9">
                  <c:v>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0.13756613756613756</c:v>
                </c:pt>
                <c:pt idx="1">
                  <c:v>0.19047619047619047</c:v>
                </c:pt>
                <c:pt idx="2">
                  <c:v>8.5664335664335664E-2</c:v>
                </c:pt>
                <c:pt idx="3">
                  <c:v>0.10687778327560614</c:v>
                </c:pt>
                <c:pt idx="4">
                  <c:v>0.2084967320261438</c:v>
                </c:pt>
                <c:pt idx="5">
                  <c:v>0.24446965399886558</c:v>
                </c:pt>
                <c:pt idx="6">
                  <c:v>0.42822966507177035</c:v>
                </c:pt>
                <c:pt idx="7">
                  <c:v>0.22467289719626168</c:v>
                </c:pt>
                <c:pt idx="8">
                  <c:v>0.24173318129988597</c:v>
                </c:pt>
                <c:pt idx="9">
                  <c:v>0.81625000000000003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6573</c:v>
                </c:pt>
                <c:pt idx="1">
                  <c:v>17735</c:v>
                </c:pt>
                <c:pt idx="2">
                  <c:v>17588</c:v>
                </c:pt>
                <c:pt idx="3">
                  <c:v>17485</c:v>
                </c:pt>
                <c:pt idx="4">
                  <c:v>21808</c:v>
                </c:pt>
                <c:pt idx="5">
                  <c:v>23421</c:v>
                </c:pt>
                <c:pt idx="6">
                  <c:v>25928</c:v>
                </c:pt>
                <c:pt idx="7">
                  <c:v>26858</c:v>
                </c:pt>
                <c:pt idx="8">
                  <c:v>26487</c:v>
                </c:pt>
                <c:pt idx="9">
                  <c:v>27191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5604</c:v>
                </c:pt>
                <c:pt idx="1">
                  <c:v>6221</c:v>
                </c:pt>
                <c:pt idx="2">
                  <c:v>5381</c:v>
                </c:pt>
                <c:pt idx="3">
                  <c:v>4888</c:v>
                </c:pt>
                <c:pt idx="4">
                  <c:v>6258</c:v>
                </c:pt>
                <c:pt idx="5">
                  <c:v>5688</c:v>
                </c:pt>
                <c:pt idx="6">
                  <c:v>6990</c:v>
                </c:pt>
                <c:pt idx="7">
                  <c:v>7598</c:v>
                </c:pt>
                <c:pt idx="8">
                  <c:v>9822</c:v>
                </c:pt>
                <c:pt idx="9">
                  <c:v>9630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3010</c:v>
                </c:pt>
                <c:pt idx="1">
                  <c:v>3797</c:v>
                </c:pt>
                <c:pt idx="2">
                  <c:v>3535</c:v>
                </c:pt>
                <c:pt idx="3">
                  <c:v>2762</c:v>
                </c:pt>
                <c:pt idx="4">
                  <c:v>4032</c:v>
                </c:pt>
                <c:pt idx="5">
                  <c:v>5031</c:v>
                </c:pt>
                <c:pt idx="6">
                  <c:v>5513</c:v>
                </c:pt>
                <c:pt idx="7">
                  <c:v>4234</c:v>
                </c:pt>
                <c:pt idx="8">
                  <c:v>6325</c:v>
                </c:pt>
                <c:pt idx="9">
                  <c:v>5313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2934</c:v>
                </c:pt>
                <c:pt idx="1">
                  <c:v>11255</c:v>
                </c:pt>
                <c:pt idx="2">
                  <c:v>9728</c:v>
                </c:pt>
                <c:pt idx="3">
                  <c:v>9987</c:v>
                </c:pt>
                <c:pt idx="4">
                  <c:v>13475</c:v>
                </c:pt>
                <c:pt idx="5">
                  <c:v>11267</c:v>
                </c:pt>
                <c:pt idx="6">
                  <c:v>13311</c:v>
                </c:pt>
                <c:pt idx="7">
                  <c:v>14836</c:v>
                </c:pt>
                <c:pt idx="8">
                  <c:v>12130</c:v>
                </c:pt>
                <c:pt idx="9">
                  <c:v>11697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6233</c:v>
                </c:pt>
                <c:pt idx="1">
                  <c:v>8904</c:v>
                </c:pt>
                <c:pt idx="2">
                  <c:v>9706</c:v>
                </c:pt>
                <c:pt idx="3">
                  <c:v>9624</c:v>
                </c:pt>
                <c:pt idx="4">
                  <c:v>10559</c:v>
                </c:pt>
                <c:pt idx="5">
                  <c:v>12811</c:v>
                </c:pt>
                <c:pt idx="6">
                  <c:v>14094</c:v>
                </c:pt>
                <c:pt idx="7">
                  <c:v>15386</c:v>
                </c:pt>
                <c:pt idx="8">
                  <c:v>17854</c:v>
                </c:pt>
                <c:pt idx="9">
                  <c:v>19811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5944</c:v>
                </c:pt>
                <c:pt idx="1">
                  <c:v>15052</c:v>
                </c:pt>
                <c:pt idx="2">
                  <c:v>13263</c:v>
                </c:pt>
                <c:pt idx="3">
                  <c:v>12749</c:v>
                </c:pt>
                <c:pt idx="4">
                  <c:v>17507</c:v>
                </c:pt>
                <c:pt idx="5">
                  <c:v>16298</c:v>
                </c:pt>
                <c:pt idx="6">
                  <c:v>18824</c:v>
                </c:pt>
                <c:pt idx="7">
                  <c:v>19070</c:v>
                </c:pt>
                <c:pt idx="8">
                  <c:v>18455</c:v>
                </c:pt>
                <c:pt idx="9">
                  <c:v>17010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0.95363388416492856</c:v>
                </c:pt>
                <c:pt idx="1">
                  <c:v>1.6904761904761905</c:v>
                </c:pt>
                <c:pt idx="2">
                  <c:v>1.366474345765506</c:v>
                </c:pt>
                <c:pt idx="3">
                  <c:v>1.3247090606816292</c:v>
                </c:pt>
                <c:pt idx="4">
                  <c:v>1.6580168576569752</c:v>
                </c:pt>
                <c:pt idx="5">
                  <c:v>1.272187963468894</c:v>
                </c:pt>
                <c:pt idx="6">
                  <c:v>1.3356038030367532</c:v>
                </c:pt>
                <c:pt idx="7">
                  <c:v>1.2394384505394513</c:v>
                </c:pt>
                <c:pt idx="8">
                  <c:v>1.0336619244987117</c:v>
                </c:pt>
                <c:pt idx="9">
                  <c:v>0.85861390136792692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5604</c:v>
                </c:pt>
                <c:pt idx="1">
                  <c:v>6221</c:v>
                </c:pt>
                <c:pt idx="2">
                  <c:v>5381</c:v>
                </c:pt>
                <c:pt idx="3">
                  <c:v>4888</c:v>
                </c:pt>
                <c:pt idx="4">
                  <c:v>6258</c:v>
                </c:pt>
                <c:pt idx="5">
                  <c:v>5688</c:v>
                </c:pt>
                <c:pt idx="6">
                  <c:v>6990</c:v>
                </c:pt>
                <c:pt idx="7">
                  <c:v>7598</c:v>
                </c:pt>
                <c:pt idx="8">
                  <c:v>9822</c:v>
                </c:pt>
                <c:pt idx="9">
                  <c:v>9630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3010</c:v>
                </c:pt>
                <c:pt idx="1">
                  <c:v>3797</c:v>
                </c:pt>
                <c:pt idx="2">
                  <c:v>3535</c:v>
                </c:pt>
                <c:pt idx="3">
                  <c:v>2762</c:v>
                </c:pt>
                <c:pt idx="4">
                  <c:v>4032</c:v>
                </c:pt>
                <c:pt idx="5">
                  <c:v>5031</c:v>
                </c:pt>
                <c:pt idx="6">
                  <c:v>5513</c:v>
                </c:pt>
                <c:pt idx="7">
                  <c:v>4234</c:v>
                </c:pt>
                <c:pt idx="8">
                  <c:v>6325</c:v>
                </c:pt>
                <c:pt idx="9">
                  <c:v>5313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1.8617940199335548</c:v>
                </c:pt>
                <c:pt idx="1">
                  <c:v>1.6383987358440875</c:v>
                </c:pt>
                <c:pt idx="2">
                  <c:v>1.5222065063649222</c:v>
                </c:pt>
                <c:pt idx="3">
                  <c:v>1.7697320782041999</c:v>
                </c:pt>
                <c:pt idx="4">
                  <c:v>1.5520833333333333</c:v>
                </c:pt>
                <c:pt idx="5">
                  <c:v>1.1305903398926656</c:v>
                </c:pt>
                <c:pt idx="6">
                  <c:v>1.267912207509523</c:v>
                </c:pt>
                <c:pt idx="7">
                  <c:v>1.7945205479452055</c:v>
                </c:pt>
                <c:pt idx="8">
                  <c:v>1.5528853754940712</c:v>
                </c:pt>
                <c:pt idx="9">
                  <c:v>1.8125352907961603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1894</c:v>
                </c:pt>
                <c:pt idx="1">
                  <c:v>1960</c:v>
                </c:pt>
                <c:pt idx="2">
                  <c:v>2880</c:v>
                </c:pt>
                <c:pt idx="3">
                  <c:v>3538</c:v>
                </c:pt>
                <c:pt idx="4">
                  <c:v>3682</c:v>
                </c:pt>
                <c:pt idx="5">
                  <c:v>3912</c:v>
                </c:pt>
                <c:pt idx="6">
                  <c:v>3962</c:v>
                </c:pt>
                <c:pt idx="7">
                  <c:v>4248</c:v>
                </c:pt>
                <c:pt idx="8">
                  <c:v>5670</c:v>
                </c:pt>
                <c:pt idx="9">
                  <c:v>5646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778</c:v>
                </c:pt>
                <c:pt idx="1">
                  <c:v>864</c:v>
                </c:pt>
                <c:pt idx="2">
                  <c:v>1220</c:v>
                </c:pt>
                <c:pt idx="3">
                  <c:v>1768</c:v>
                </c:pt>
                <c:pt idx="4">
                  <c:v>1774</c:v>
                </c:pt>
                <c:pt idx="5">
                  <c:v>2970</c:v>
                </c:pt>
                <c:pt idx="6">
                  <c:v>1980</c:v>
                </c:pt>
                <c:pt idx="7">
                  <c:v>2061</c:v>
                </c:pt>
                <c:pt idx="8">
                  <c:v>3047</c:v>
                </c:pt>
                <c:pt idx="9">
                  <c:v>3238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756</c:v>
                </c:pt>
                <c:pt idx="1">
                  <c:v>546</c:v>
                </c:pt>
                <c:pt idx="2">
                  <c:v>1716</c:v>
                </c:pt>
                <c:pt idx="3">
                  <c:v>2021</c:v>
                </c:pt>
                <c:pt idx="4">
                  <c:v>1530</c:v>
                </c:pt>
                <c:pt idx="5">
                  <c:v>1763</c:v>
                </c:pt>
                <c:pt idx="6">
                  <c:v>1254</c:v>
                </c:pt>
                <c:pt idx="7">
                  <c:v>2675</c:v>
                </c:pt>
                <c:pt idx="8">
                  <c:v>2631</c:v>
                </c:pt>
                <c:pt idx="9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Financials!$D$75:$M$75</c:f>
              <c:numCache>
                <c:formatCode>0.00</c:formatCode>
                <c:ptCount val="10"/>
                <c:pt idx="0">
                  <c:v>6.3890941939722428</c:v>
                </c:pt>
                <c:pt idx="1">
                  <c:v>3.6066121222240777</c:v>
                </c:pt>
                <c:pt idx="2">
                  <c:v>5.3115068135312811</c:v>
                </c:pt>
                <c:pt idx="3">
                  <c:v>7.9023823358512493</c:v>
                </c:pt>
                <c:pt idx="4">
                  <c:v>6.3208152212641631</c:v>
                </c:pt>
                <c:pt idx="5">
                  <c:v>10.203029990724518</c:v>
                </c:pt>
                <c:pt idx="6">
                  <c:v>6.0149462300261254</c:v>
                </c:pt>
                <c:pt idx="7">
                  <c:v>5.9815416763408402</c:v>
                </c:pt>
                <c:pt idx="8">
                  <c:v>8.3918587677986167</c:v>
                </c:pt>
                <c:pt idx="9">
                  <c:v>8.7938947883001539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12.481950906465586</c:v>
                </c:pt>
                <c:pt idx="1">
                  <c:v>9.703504043126685</c:v>
                </c:pt>
                <c:pt idx="2">
                  <c:v>12.569544611580465</c:v>
                </c:pt>
                <c:pt idx="3">
                  <c:v>18.370739817123859</c:v>
                </c:pt>
                <c:pt idx="4">
                  <c:v>16.800833412254949</c:v>
                </c:pt>
                <c:pt idx="5">
                  <c:v>23.18320193583639</c:v>
                </c:pt>
                <c:pt idx="6">
                  <c:v>14.048531289910601</c:v>
                </c:pt>
                <c:pt idx="7">
                  <c:v>13.395294423501884</c:v>
                </c:pt>
                <c:pt idx="8">
                  <c:v>17.066203651842724</c:v>
                </c:pt>
                <c:pt idx="9">
                  <c:v>16.34445510070163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10.220000267028809</c:v>
                </c:pt>
                <c:pt idx="1">
                  <c:v>7.4000000953674316</c:v>
                </c:pt>
                <c:pt idx="2">
                  <c:v>8.369999885559082</c:v>
                </c:pt>
                <c:pt idx="3">
                  <c:v>11.970000267028809</c:v>
                </c:pt>
                <c:pt idx="4">
                  <c:v>10.689999580383301</c:v>
                </c:pt>
                <c:pt idx="5">
                  <c:v>15.079999923706055</c:v>
                </c:pt>
                <c:pt idx="6">
                  <c:v>9.8599996566772461</c:v>
                </c:pt>
                <c:pt idx="7">
                  <c:v>9.5</c:v>
                </c:pt>
                <c:pt idx="8">
                  <c:v>12.489999771118164</c:v>
                </c:pt>
                <c:pt idx="9">
                  <c:v>12.739999771118164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367</c:v>
                </c:pt>
                <c:pt idx="1">
                  <c:v>364</c:v>
                </c:pt>
                <c:pt idx="2">
                  <c:v>413</c:v>
                </c:pt>
                <c:pt idx="3">
                  <c:v>390</c:v>
                </c:pt>
                <c:pt idx="4">
                  <c:v>370</c:v>
                </c:pt>
                <c:pt idx="5">
                  <c:v>369</c:v>
                </c:pt>
                <c:pt idx="6">
                  <c:v>366</c:v>
                </c:pt>
                <c:pt idx="7">
                  <c:v>365</c:v>
                </c:pt>
                <c:pt idx="8">
                  <c:v>365</c:v>
                </c:pt>
                <c:pt idx="9">
                  <c:v>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65</xdr:row>
      <xdr:rowOff>8592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291353</xdr:colOff>
      <xdr:row>65</xdr:row>
      <xdr:rowOff>5976</xdr:rowOff>
    </xdr:from>
    <xdr:to>
      <xdr:col>16</xdr:col>
      <xdr:colOff>332816</xdr:colOff>
      <xdr:row>82</xdr:row>
      <xdr:rowOff>21291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337051</xdr:colOff>
      <xdr:row>84</xdr:row>
      <xdr:rowOff>13035</xdr:rowOff>
    </xdr:from>
    <xdr:to>
      <xdr:col>33</xdr:col>
      <xdr:colOff>329532</xdr:colOff>
      <xdr:row>102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5"/>
  <sheetViews>
    <sheetView showGridLines="0" zoomScale="75" workbookViewId="0">
      <selection activeCell="F27" sqref="F27"/>
    </sheetView>
  </sheetViews>
  <sheetFormatPr defaultRowHeight="14.5" x14ac:dyDescent="0.35"/>
  <cols>
    <col min="2" max="2" width="16.90625" bestFit="1" customWidth="1"/>
    <col min="3" max="3" width="31.453125" bestFit="1" customWidth="1"/>
    <col min="4" max="4" width="7.08984375" customWidth="1"/>
    <col min="5" max="5" width="21.26953125" bestFit="1" customWidth="1"/>
    <col min="6" max="6" width="19.54296875" customWidth="1"/>
    <col min="20" max="20" width="7.453125" bestFit="1" customWidth="1"/>
  </cols>
  <sheetData>
    <row r="2" spans="2:22" ht="15" thickBot="1" x14ac:dyDescent="0.4"/>
    <row r="3" spans="2:22" x14ac:dyDescent="0.35">
      <c r="B3" s="135" t="s">
        <v>156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7"/>
    </row>
    <row r="4" spans="2:22" x14ac:dyDescent="0.35">
      <c r="B4" s="138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40"/>
    </row>
    <row r="5" spans="2:22" x14ac:dyDescent="0.35">
      <c r="B5" s="138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40"/>
    </row>
    <row r="6" spans="2:22" ht="15" thickBot="1" x14ac:dyDescent="0.4">
      <c r="B6" s="141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8" spans="2:22" ht="13.5" customHeight="1" x14ac:dyDescent="0.35"/>
    <row r="10" spans="2:22" ht="17.5" thickBot="1" x14ac:dyDescent="0.45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 x14ac:dyDescent="0.35">
      <c r="B11" s="144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 x14ac:dyDescent="0.35">
      <c r="B12" s="145"/>
      <c r="C12" s="35" t="s">
        <v>149</v>
      </c>
      <c r="D12" s="55" t="str">
        <f>U11</f>
        <v>K</v>
      </c>
      <c r="E12" s="45" t="s">
        <v>141</v>
      </c>
      <c r="F12" s="124">
        <f>AVERAGE(L12:P12)</f>
        <v>7.8770542906380516</v>
      </c>
      <c r="G12" s="120">
        <f>Financials!D75</f>
        <v>6.3890941939722428</v>
      </c>
      <c r="H12" s="120">
        <f>Financials!E75</f>
        <v>3.6066121222240777</v>
      </c>
      <c r="I12" s="120">
        <f>Financials!F75</f>
        <v>5.3115068135312811</v>
      </c>
      <c r="J12" s="120">
        <f>Financials!G75</f>
        <v>7.9023823358512493</v>
      </c>
      <c r="K12" s="120">
        <f>Financials!H75</f>
        <v>6.3208152212641631</v>
      </c>
      <c r="L12" s="120">
        <f>Financials!I75</f>
        <v>10.203029990724518</v>
      </c>
      <c r="M12" s="120">
        <f>Financials!J75</f>
        <v>6.0149462300261254</v>
      </c>
      <c r="N12" s="120">
        <f>Financials!K75</f>
        <v>5.9815416763408402</v>
      </c>
      <c r="O12" s="120">
        <f>Financials!L75</f>
        <v>8.3918587677986167</v>
      </c>
      <c r="P12" s="120">
        <f>Financials!M75</f>
        <v>8.7938947883001539</v>
      </c>
    </row>
    <row r="13" spans="2:22" x14ac:dyDescent="0.35">
      <c r="B13" s="145"/>
      <c r="C13" s="35"/>
      <c r="D13" s="35"/>
      <c r="E13" s="45"/>
      <c r="F13" s="45"/>
      <c r="G13" s="120"/>
      <c r="H13" s="120"/>
      <c r="I13" s="120"/>
      <c r="J13" s="120"/>
      <c r="K13" s="120"/>
      <c r="L13" s="120"/>
      <c r="M13" s="120"/>
      <c r="N13" s="120"/>
      <c r="O13" s="120"/>
      <c r="P13" s="120"/>
    </row>
    <row r="14" spans="2:22" ht="18.5" x14ac:dyDescent="0.35">
      <c r="B14" s="146"/>
      <c r="C14" s="35" t="s">
        <v>150</v>
      </c>
      <c r="D14" s="54" t="str">
        <f>T11</f>
        <v>J</v>
      </c>
      <c r="E14" s="46">
        <v>0.08</v>
      </c>
      <c r="F14" s="125">
        <f>AVERAGE(L14:P14)</f>
        <v>16.807537280358645</v>
      </c>
      <c r="G14" s="40">
        <f>Financials!D76</f>
        <v>12.481950906465586</v>
      </c>
      <c r="H14" s="40">
        <f>Financials!E76</f>
        <v>9.703504043126685</v>
      </c>
      <c r="I14" s="40">
        <f>Financials!F76</f>
        <v>12.569544611580465</v>
      </c>
      <c r="J14" s="40">
        <f>Financials!G76</f>
        <v>18.370739817123859</v>
      </c>
      <c r="K14" s="40">
        <f>Financials!H76</f>
        <v>16.800833412254949</v>
      </c>
      <c r="L14" s="40">
        <f>Financials!I76</f>
        <v>23.18320193583639</v>
      </c>
      <c r="M14" s="40">
        <f>Financials!J76</f>
        <v>14.048531289910601</v>
      </c>
      <c r="N14" s="40">
        <f>Financials!K76</f>
        <v>13.395294423501884</v>
      </c>
      <c r="O14" s="40">
        <f>Financials!L76</f>
        <v>17.066203651842724</v>
      </c>
      <c r="P14" s="40">
        <f>Financials!M76</f>
        <v>16.34445510070163</v>
      </c>
      <c r="R14" s="44"/>
      <c r="S14" s="44"/>
      <c r="T14" s="44"/>
    </row>
    <row r="15" spans="2:22" x14ac:dyDescent="0.35">
      <c r="B15" s="146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 x14ac:dyDescent="0.35">
      <c r="B16" s="146"/>
      <c r="C16" s="35" t="s">
        <v>151</v>
      </c>
      <c r="D16" s="54" t="str">
        <f>T11</f>
        <v>J</v>
      </c>
      <c r="E16" s="47">
        <f>WACC!$C$25</f>
        <v>6.3741454847226903E-2</v>
      </c>
      <c r="F16" s="125">
        <f>AVERAGE(L16:P16)</f>
        <v>11.933999824523926</v>
      </c>
      <c r="G16" s="40">
        <f>Financials!D77</f>
        <v>10.220000267028809</v>
      </c>
      <c r="H16" s="40">
        <f>Financials!E77</f>
        <v>7.4000000953674316</v>
      </c>
      <c r="I16" s="40">
        <f>Financials!F77</f>
        <v>8.369999885559082</v>
      </c>
      <c r="J16" s="40">
        <f>Financials!G77</f>
        <v>11.970000267028809</v>
      </c>
      <c r="K16" s="40">
        <f>Financials!H77</f>
        <v>10.689999580383301</v>
      </c>
      <c r="L16" s="40">
        <f>Financials!I77</f>
        <v>15.079999923706055</v>
      </c>
      <c r="M16" s="40">
        <f>Financials!J77</f>
        <v>9.8599996566772461</v>
      </c>
      <c r="N16" s="40">
        <f>Financials!K77</f>
        <v>9.5</v>
      </c>
      <c r="O16" s="40">
        <f>Financials!L77</f>
        <v>12.489999771118164</v>
      </c>
      <c r="P16" s="40">
        <f>Financials!M77</f>
        <v>12.739999771118164</v>
      </c>
      <c r="R16" s="44"/>
      <c r="S16" s="44"/>
      <c r="T16" s="44"/>
    </row>
    <row r="17" spans="2:20" x14ac:dyDescent="0.35">
      <c r="B17" s="147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 x14ac:dyDescent="0.35">
      <c r="B18" s="148"/>
      <c r="C18" s="36" t="s">
        <v>152</v>
      </c>
      <c r="D18" s="54" t="str">
        <f>T11</f>
        <v>J</v>
      </c>
      <c r="E18" s="48" t="s">
        <v>68</v>
      </c>
      <c r="F18" s="126">
        <f>AVERAGE(L18:P18)</f>
        <v>1.5116887523275251</v>
      </c>
      <c r="G18" s="42">
        <f>Financials!D59</f>
        <v>1.8617940199335548</v>
      </c>
      <c r="H18" s="42">
        <f>Financials!E59</f>
        <v>1.6383987358440875</v>
      </c>
      <c r="I18" s="42">
        <f>Financials!F59</f>
        <v>1.5222065063649222</v>
      </c>
      <c r="J18" s="42">
        <f>Financials!G59</f>
        <v>1.7697320782041999</v>
      </c>
      <c r="K18" s="42">
        <f>Financials!H59</f>
        <v>1.5520833333333333</v>
      </c>
      <c r="L18" s="42">
        <f>Financials!I59</f>
        <v>1.1305903398926656</v>
      </c>
      <c r="M18" s="42">
        <f>Financials!J59</f>
        <v>1.267912207509523</v>
      </c>
      <c r="N18" s="42">
        <f>Financials!K59</f>
        <v>1.7945205479452055</v>
      </c>
      <c r="O18" s="42">
        <f>Financials!L59</f>
        <v>1.5528853754940712</v>
      </c>
      <c r="P18" s="42">
        <f>Financials!M59</f>
        <v>1.8125352907961603</v>
      </c>
      <c r="Q18" s="44"/>
      <c r="R18" s="44"/>
      <c r="S18" s="44"/>
      <c r="T18" s="44"/>
    </row>
    <row r="19" spans="2:20" x14ac:dyDescent="0.35">
      <c r="B19" s="148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 x14ac:dyDescent="0.35">
      <c r="B20" s="148"/>
      <c r="C20" s="36" t="s">
        <v>153</v>
      </c>
      <c r="D20" s="55" t="str">
        <f>U11</f>
        <v>K</v>
      </c>
      <c r="E20" s="49" t="s">
        <v>137</v>
      </c>
      <c r="F20" s="126">
        <f>AVERAGE(L20:P20)</f>
        <v>1.1479012085823475</v>
      </c>
      <c r="G20" s="42">
        <f>Financials!D58</f>
        <v>0.95363388416492856</v>
      </c>
      <c r="H20" s="42">
        <f>Financials!E58</f>
        <v>1.6904761904761905</v>
      </c>
      <c r="I20" s="42">
        <f>Financials!F58</f>
        <v>1.366474345765506</v>
      </c>
      <c r="J20" s="42">
        <f>Financials!G58</f>
        <v>1.3247090606816292</v>
      </c>
      <c r="K20" s="42">
        <f>Financials!H58</f>
        <v>1.6580168576569752</v>
      </c>
      <c r="L20" s="42">
        <f>Financials!I58</f>
        <v>1.272187963468894</v>
      </c>
      <c r="M20" s="42">
        <f>Financials!J58</f>
        <v>1.3356038030367532</v>
      </c>
      <c r="N20" s="42">
        <f>Financials!K58</f>
        <v>1.2394384505394513</v>
      </c>
      <c r="O20" s="42">
        <f>Financials!L58</f>
        <v>1.0336619244987117</v>
      </c>
      <c r="P20" s="42">
        <f>Financials!M58</f>
        <v>0.85861390136792692</v>
      </c>
      <c r="Q20" s="44"/>
      <c r="R20" s="44"/>
      <c r="S20" s="44"/>
      <c r="T20" s="44"/>
    </row>
    <row r="21" spans="2:20" x14ac:dyDescent="0.35">
      <c r="B21" s="153" t="s">
        <v>94</v>
      </c>
      <c r="C21" s="35"/>
      <c r="D21" s="35"/>
      <c r="E21" s="50"/>
      <c r="F21" s="5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4"/>
      <c r="R21" s="44"/>
      <c r="S21" s="44"/>
      <c r="T21" s="44"/>
    </row>
    <row r="22" spans="2:20" ht="18.5" x14ac:dyDescent="0.35">
      <c r="B22" s="153"/>
      <c r="C22" s="35" t="s">
        <v>142</v>
      </c>
      <c r="D22" s="54" t="str">
        <f>T11</f>
        <v>J</v>
      </c>
      <c r="E22" s="50" t="s">
        <v>69</v>
      </c>
      <c r="F22" s="50"/>
      <c r="G22" s="40">
        <f>Financials!D12</f>
        <v>367</v>
      </c>
      <c r="H22" s="40">
        <f>Financials!E12</f>
        <v>364</v>
      </c>
      <c r="I22" s="40">
        <f>Financials!F12</f>
        <v>413</v>
      </c>
      <c r="J22" s="40">
        <f>Financials!G12</f>
        <v>390</v>
      </c>
      <c r="K22" s="40">
        <f>Financials!H12</f>
        <v>370</v>
      </c>
      <c r="L22" s="40">
        <f>Financials!I12</f>
        <v>369</v>
      </c>
      <c r="M22" s="40">
        <f>Financials!J12</f>
        <v>366</v>
      </c>
      <c r="N22" s="40">
        <f>Financials!K12</f>
        <v>365</v>
      </c>
      <c r="O22" s="40">
        <f>Financials!L12</f>
        <v>365</v>
      </c>
      <c r="P22" s="40">
        <f>Financials!M12</f>
        <v>363</v>
      </c>
      <c r="Q22" s="44"/>
      <c r="R22" s="44"/>
      <c r="S22" s="44"/>
      <c r="T22" s="44"/>
    </row>
    <row r="23" spans="2:20" x14ac:dyDescent="0.35">
      <c r="B23" s="151" t="s">
        <v>93</v>
      </c>
      <c r="C23" s="36"/>
      <c r="D23" s="36"/>
      <c r="E23" s="51"/>
      <c r="F23" s="51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4"/>
      <c r="R23" s="44"/>
      <c r="S23" s="44"/>
      <c r="T23" s="44"/>
    </row>
    <row r="24" spans="2:20" ht="18.5" x14ac:dyDescent="0.35">
      <c r="B24" s="152"/>
      <c r="C24" s="36" t="s">
        <v>96</v>
      </c>
      <c r="D24" s="54" t="str">
        <f>T11</f>
        <v>J</v>
      </c>
      <c r="E24" s="51" t="s">
        <v>157</v>
      </c>
      <c r="F24" s="57">
        <f>AVERAGEIF(L24:P24,"&lt;100")</f>
        <v>10.287999916076661</v>
      </c>
      <c r="G24" s="44">
        <f>Financials!D80</f>
        <v>14.479999542236328</v>
      </c>
      <c r="H24" s="44">
        <f>Financials!E80</f>
        <v>16.920000076293945</v>
      </c>
      <c r="I24" s="44">
        <f>Financials!F80</f>
        <v>18.079999923706055</v>
      </c>
      <c r="J24" s="44">
        <f>Financials!G80</f>
        <v>13.619999885559082</v>
      </c>
      <c r="K24" s="44">
        <f>Financials!H80</f>
        <v>16.920000076293945</v>
      </c>
      <c r="L24" s="44">
        <f>Financials!I80</f>
        <v>6.5199999809265137</v>
      </c>
      <c r="M24" s="44">
        <f>Financials!J80</f>
        <v>16.489999771118164</v>
      </c>
      <c r="N24" s="44">
        <f>Financials!K80</f>
        <v>11</v>
      </c>
      <c r="O24" s="44">
        <f>Financials!L80</f>
        <v>10.449999809265137</v>
      </c>
      <c r="P24" s="44">
        <f>Financials!M80</f>
        <v>6.9800000190734863</v>
      </c>
      <c r="Q24" s="44"/>
      <c r="R24" s="44"/>
      <c r="S24" s="44"/>
      <c r="T24" s="44"/>
    </row>
    <row r="25" spans="2:20" x14ac:dyDescent="0.35">
      <c r="B25" s="152"/>
      <c r="C25" s="36"/>
      <c r="D25" s="36"/>
      <c r="E25" s="51"/>
      <c r="F25" s="57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2:20" ht="18.5" x14ac:dyDescent="0.35">
      <c r="B26" s="152"/>
      <c r="C26" s="36" t="s">
        <v>104</v>
      </c>
      <c r="D26" s="54" t="str">
        <f>T11</f>
        <v>J</v>
      </c>
      <c r="E26" s="51" t="s">
        <v>158</v>
      </c>
      <c r="F26" s="57">
        <f>AVERAGEIF(L26:P26, "&lt;100")</f>
        <v>8.5340000152587887</v>
      </c>
      <c r="G26" s="44">
        <f>Financials!D81</f>
        <v>9.3500003814697266</v>
      </c>
      <c r="H26" s="44">
        <f>Financials!E81</f>
        <v>12.390000343322754</v>
      </c>
      <c r="I26" s="44">
        <f>Financials!F81</f>
        <v>8.5699996948242187</v>
      </c>
      <c r="J26" s="44">
        <f>Financials!G81</f>
        <v>8.8599996566772461</v>
      </c>
      <c r="K26" s="44">
        <f>Financials!H81</f>
        <v>11.539999961853027</v>
      </c>
      <c r="L26" s="44">
        <f>Financials!I81</f>
        <v>6.6500000953674316</v>
      </c>
      <c r="M26" s="44">
        <f>Financials!J81</f>
        <v>13.260000228881836</v>
      </c>
      <c r="N26" s="44">
        <f>Financials!K81</f>
        <v>6.070000171661377</v>
      </c>
      <c r="O26" s="44">
        <f>Financials!L81</f>
        <v>8.2799997329711914</v>
      </c>
      <c r="P26" s="44">
        <f>Financials!M81</f>
        <v>8.4099998474121094</v>
      </c>
      <c r="Q26" s="44"/>
      <c r="R26" s="44"/>
      <c r="S26" s="44"/>
      <c r="T26" s="44"/>
    </row>
    <row r="27" spans="2:20" x14ac:dyDescent="0.35">
      <c r="B27" s="152"/>
      <c r="C27" s="36"/>
      <c r="D27" s="36"/>
      <c r="E27" s="51"/>
      <c r="F27" s="51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2:20" ht="18.5" x14ac:dyDescent="0.35">
      <c r="B28" s="152"/>
      <c r="C28" s="36" t="s">
        <v>71</v>
      </c>
      <c r="D28" s="56" t="str">
        <f>V11</f>
        <v>L</v>
      </c>
      <c r="E28" s="51" t="s">
        <v>70</v>
      </c>
      <c r="F28" s="128">
        <f>Financials!$C$82</f>
        <v>7.179999828338623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2:20" x14ac:dyDescent="0.35">
      <c r="B29" s="149" t="s">
        <v>92</v>
      </c>
      <c r="C29" s="34"/>
      <c r="D29" s="34"/>
      <c r="E29" s="34"/>
      <c r="F29" s="34"/>
    </row>
    <row r="30" spans="2:20" ht="18.5" x14ac:dyDescent="0.35">
      <c r="B30" s="149"/>
      <c r="C30" s="35" t="s">
        <v>76</v>
      </c>
      <c r="D30" s="56" t="str">
        <f>V11</f>
        <v>L</v>
      </c>
      <c r="E30" s="50" t="s">
        <v>77</v>
      </c>
      <c r="F30" s="52">
        <f>Financials!D62</f>
        <v>-0.14617761843909893</v>
      </c>
    </row>
    <row r="31" spans="2:20" ht="18.5" x14ac:dyDescent="0.35">
      <c r="B31" s="150"/>
      <c r="C31" s="35" t="s">
        <v>80</v>
      </c>
      <c r="D31" s="54" t="str">
        <f>T11</f>
        <v>J</v>
      </c>
      <c r="E31" s="50" t="s">
        <v>77</v>
      </c>
      <c r="F31" s="52">
        <f>Financials!D63</f>
        <v>5.6730663876813914E-3</v>
      </c>
    </row>
    <row r="32" spans="2:20" x14ac:dyDescent="0.35">
      <c r="B32" s="150"/>
      <c r="C32" s="35"/>
      <c r="D32" s="35"/>
      <c r="E32" s="50"/>
      <c r="F32" s="52"/>
    </row>
    <row r="33" spans="2:17" ht="18.5" x14ac:dyDescent="0.35">
      <c r="B33" s="150"/>
      <c r="C33" s="35" t="s">
        <v>90</v>
      </c>
      <c r="D33" s="54" t="str">
        <f>T11</f>
        <v>J</v>
      </c>
      <c r="E33" s="50" t="s">
        <v>77</v>
      </c>
      <c r="F33" s="52">
        <f>Financials!D68</f>
        <v>7.6139086068863548E-2</v>
      </c>
    </row>
    <row r="34" spans="2:17" ht="18.5" x14ac:dyDescent="0.35">
      <c r="B34" s="150"/>
      <c r="C34" s="35" t="s">
        <v>91</v>
      </c>
      <c r="D34" s="54" t="str">
        <f>T11</f>
        <v>J</v>
      </c>
      <c r="E34" s="50" t="s">
        <v>77</v>
      </c>
      <c r="F34" s="52">
        <f>Financials!D69</f>
        <v>0.24414838408334805</v>
      </c>
    </row>
    <row r="35" spans="2:17" x14ac:dyDescent="0.35">
      <c r="B35" s="150"/>
      <c r="C35" s="35"/>
      <c r="D35" s="35"/>
      <c r="E35" s="50"/>
      <c r="F35" s="53"/>
      <c r="Q35" s="37"/>
    </row>
    <row r="36" spans="2:17" ht="18.5" x14ac:dyDescent="0.35">
      <c r="B36" s="150"/>
      <c r="C36" s="35" t="s">
        <v>78</v>
      </c>
      <c r="D36" s="54" t="str">
        <f>T11</f>
        <v>J</v>
      </c>
      <c r="E36" s="50" t="s">
        <v>77</v>
      </c>
      <c r="F36" s="52">
        <f>Financials!D64</f>
        <v>1.7428922123943869E-2</v>
      </c>
    </row>
    <row r="37" spans="2:17" ht="18.5" x14ac:dyDescent="0.35">
      <c r="B37" s="150"/>
      <c r="C37" s="35" t="s">
        <v>81</v>
      </c>
      <c r="D37" s="54" t="str">
        <f>T11</f>
        <v>J</v>
      </c>
      <c r="E37" s="50" t="s">
        <v>77</v>
      </c>
      <c r="F37" s="52">
        <f>Financials!D65</f>
        <v>0.15326662715954398</v>
      </c>
    </row>
    <row r="38" spans="2:17" x14ac:dyDescent="0.35">
      <c r="B38" s="150"/>
      <c r="C38" s="35"/>
      <c r="D38" s="35"/>
      <c r="E38" s="50"/>
      <c r="F38" s="53"/>
    </row>
    <row r="39" spans="2:17" ht="18.5" x14ac:dyDescent="0.35">
      <c r="B39" s="150"/>
      <c r="C39" s="35" t="s">
        <v>79</v>
      </c>
      <c r="D39" s="54" t="str">
        <f>T11</f>
        <v>J</v>
      </c>
      <c r="E39" s="50" t="s">
        <v>77</v>
      </c>
      <c r="F39" s="52">
        <f>Financials!D66</f>
        <v>5.8744731312915022E-2</v>
      </c>
    </row>
    <row r="40" spans="2:17" ht="18.5" x14ac:dyDescent="0.35">
      <c r="B40" s="150"/>
      <c r="C40" s="35" t="s">
        <v>82</v>
      </c>
      <c r="D40" s="54" t="str">
        <f>T11</f>
        <v>J</v>
      </c>
      <c r="E40" s="50" t="s">
        <v>77</v>
      </c>
      <c r="F40" s="52">
        <f>Financials!D67</f>
        <v>4.4804524308318605E-2</v>
      </c>
    </row>
    <row r="41" spans="2:17" x14ac:dyDescent="0.35">
      <c r="B41" s="134" t="s">
        <v>61</v>
      </c>
    </row>
    <row r="42" spans="2:17" ht="18.5" x14ac:dyDescent="0.35">
      <c r="B42" s="134"/>
      <c r="C42" s="100" t="s">
        <v>128</v>
      </c>
      <c r="D42" s="54" t="str">
        <f>T11</f>
        <v>J</v>
      </c>
      <c r="E42" s="101">
        <v>0.75</v>
      </c>
      <c r="F42" s="103">
        <f>Financials!$D$72</f>
        <v>0.39107107951335679</v>
      </c>
    </row>
    <row r="43" spans="2:17" ht="18.5" x14ac:dyDescent="0.35">
      <c r="B43" s="134"/>
      <c r="C43" s="100" t="s">
        <v>133</v>
      </c>
      <c r="D43" s="54" t="str">
        <f>T11</f>
        <v>J</v>
      </c>
      <c r="E43" s="101" t="s">
        <v>134</v>
      </c>
      <c r="F43" s="103">
        <f>Financials!D70</f>
        <v>8.6643739463315939E-2</v>
      </c>
    </row>
    <row r="44" spans="2:17" ht="18.5" x14ac:dyDescent="0.35">
      <c r="B44" s="134"/>
      <c r="C44" s="100" t="s">
        <v>130</v>
      </c>
      <c r="D44" s="54" t="str">
        <f>T11</f>
        <v>J</v>
      </c>
      <c r="E44" s="18" t="s">
        <v>77</v>
      </c>
      <c r="F44" s="103">
        <f>Financials!D71</f>
        <v>0.16023666392629529</v>
      </c>
    </row>
    <row r="45" spans="2:17" ht="18.5" x14ac:dyDescent="0.35">
      <c r="B45" s="134"/>
      <c r="C45" s="100" t="s">
        <v>129</v>
      </c>
      <c r="D45" s="54" t="str">
        <f>T11</f>
        <v>J</v>
      </c>
      <c r="E45" s="101">
        <v>0.12</v>
      </c>
      <c r="F45" s="102">
        <f>F43+F44</f>
        <v>0.24688040338961123</v>
      </c>
    </row>
  </sheetData>
  <mergeCells count="7">
    <mergeCell ref="B41:B45"/>
    <mergeCell ref="B3:P6"/>
    <mergeCell ref="B11:B16"/>
    <mergeCell ref="B17:B20"/>
    <mergeCell ref="B29:B40"/>
    <mergeCell ref="B23:B28"/>
    <mergeCell ref="B21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X128" sqref="X128"/>
    </sheetView>
  </sheetViews>
  <sheetFormatPr defaultRowHeight="14.5" x14ac:dyDescent="0.3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showGridLines="0" workbookViewId="0">
      <selection activeCell="F16" sqref="F16"/>
    </sheetView>
  </sheetViews>
  <sheetFormatPr defaultRowHeight="14.5" x14ac:dyDescent="0.3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 x14ac:dyDescent="0.5">
      <c r="B2" s="8" t="s">
        <v>1</v>
      </c>
      <c r="C2" s="8"/>
    </row>
    <row r="3" spans="2:16" ht="15" thickTop="1" x14ac:dyDescent="0.35">
      <c r="B3" s="6"/>
      <c r="C3" s="6"/>
      <c r="D3" s="6"/>
      <c r="E3" s="6"/>
      <c r="F3" s="6"/>
      <c r="G3" s="6"/>
      <c r="H3" s="6"/>
    </row>
    <row r="4" spans="2:16" ht="15" thickBot="1" x14ac:dyDescent="0.4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 x14ac:dyDescent="0.35">
      <c r="B5" s="7" t="s">
        <v>8</v>
      </c>
      <c r="C5" s="58">
        <v>22.069999694824219</v>
      </c>
    </row>
    <row r="6" spans="2:16" x14ac:dyDescent="0.35">
      <c r="B6" s="4" t="s">
        <v>5</v>
      </c>
      <c r="C6" s="59">
        <v>5313000</v>
      </c>
    </row>
    <row r="7" spans="2:16" x14ac:dyDescent="0.35">
      <c r="B7" s="4" t="s">
        <v>4</v>
      </c>
      <c r="C7" s="59">
        <v>11697000</v>
      </c>
    </row>
    <row r="8" spans="2:16" x14ac:dyDescent="0.35">
      <c r="B8" s="4" t="s">
        <v>3</v>
      </c>
      <c r="C8" s="59">
        <v>349000</v>
      </c>
    </row>
    <row r="9" spans="2:16" x14ac:dyDescent="0.35">
      <c r="B9" s="10" t="s">
        <v>6</v>
      </c>
      <c r="C9" s="59">
        <v>3173000</v>
      </c>
    </row>
    <row r="10" spans="2:16" x14ac:dyDescent="0.35">
      <c r="B10" s="10" t="s">
        <v>7</v>
      </c>
      <c r="C10" s="59">
        <v>730000</v>
      </c>
    </row>
    <row r="11" spans="2:16" x14ac:dyDescent="0.35">
      <c r="B11" s="10" t="s">
        <v>9</v>
      </c>
      <c r="C11" s="60">
        <v>0.74000000953674316</v>
      </c>
      <c r="G11" s="33"/>
    </row>
    <row r="13" spans="2:16" ht="15" thickBot="1" x14ac:dyDescent="0.4">
      <c r="B13" s="1" t="s">
        <v>15</v>
      </c>
      <c r="C13" s="1"/>
    </row>
    <row r="14" spans="2:16" x14ac:dyDescent="0.35">
      <c r="B14" s="10" t="s">
        <v>16</v>
      </c>
      <c r="C14" s="13">
        <v>3.3000000000000002E-2</v>
      </c>
    </row>
    <row r="15" spans="2:16" x14ac:dyDescent="0.35">
      <c r="B15" s="10" t="s">
        <v>13</v>
      </c>
      <c r="C15" s="14">
        <v>0.12</v>
      </c>
      <c r="K15" t="s">
        <v>10</v>
      </c>
    </row>
    <row r="17" spans="2:15" ht="17.5" thickBot="1" x14ac:dyDescent="0.45">
      <c r="B17" s="2" t="s">
        <v>21</v>
      </c>
      <c r="C17" s="11">
        <f>SUM(C6:C7)</f>
        <v>17010000</v>
      </c>
    </row>
    <row r="18" spans="2:15" ht="18" thickTop="1" thickBot="1" x14ac:dyDescent="0.45">
      <c r="B18" s="2" t="s">
        <v>20</v>
      </c>
      <c r="C18" s="12">
        <f>C8/C17</f>
        <v>2.0517342739564962E-2</v>
      </c>
    </row>
    <row r="19" spans="2:15" ht="18" thickTop="1" thickBot="1" x14ac:dyDescent="0.45">
      <c r="B19" s="2" t="s">
        <v>19</v>
      </c>
      <c r="C19" s="12">
        <f>C14+C11*(C15-C14)</f>
        <v>9.7380000829696639E-2</v>
      </c>
    </row>
    <row r="20" spans="2:15" ht="18" thickTop="1" thickBot="1" x14ac:dyDescent="0.45">
      <c r="B20" s="2" t="s">
        <v>18</v>
      </c>
      <c r="C20" s="12">
        <f>C8/C17</f>
        <v>2.0517342739564962E-2</v>
      </c>
      <c r="K20" t="s">
        <v>17</v>
      </c>
    </row>
    <row r="21" spans="2:15" ht="18" thickTop="1" thickBot="1" x14ac:dyDescent="0.45">
      <c r="B21" s="16" t="s">
        <v>22</v>
      </c>
      <c r="C21" s="11">
        <f>C17+C5*1000000</f>
        <v>39079999.694824204</v>
      </c>
      <c r="K21" t="s">
        <v>11</v>
      </c>
    </row>
    <row r="22" spans="2:15" ht="18" thickTop="1" thickBot="1" x14ac:dyDescent="0.45">
      <c r="B22" s="2" t="s">
        <v>23</v>
      </c>
      <c r="C22" s="12">
        <f>C5*1000000/C21</f>
        <v>0.56473899353042156</v>
      </c>
      <c r="K22" t="s">
        <v>12</v>
      </c>
    </row>
    <row r="23" spans="2:15" ht="18" thickTop="1" thickBot="1" x14ac:dyDescent="0.45">
      <c r="B23" s="16" t="s">
        <v>24</v>
      </c>
      <c r="C23" s="12">
        <f>C17/C21</f>
        <v>0.43526100646957844</v>
      </c>
    </row>
    <row r="24" spans="2:15" ht="14.5" customHeight="1" thickTop="1" x14ac:dyDescent="0.35">
      <c r="K24" s="15"/>
      <c r="L24" s="15"/>
      <c r="M24" s="15"/>
      <c r="N24" s="15"/>
      <c r="O24" s="15"/>
    </row>
    <row r="25" spans="2:15" ht="18" customHeight="1" thickBot="1" x14ac:dyDescent="0.5">
      <c r="B25" s="3" t="s">
        <v>0</v>
      </c>
      <c r="C25" s="17">
        <f>C23*C20*(1-C18)+C22*C19</f>
        <v>6.3741454847226903E-2</v>
      </c>
      <c r="K25" s="15"/>
      <c r="L25" s="15"/>
      <c r="M25" s="15"/>
      <c r="N25" s="15"/>
      <c r="O25" s="15"/>
    </row>
    <row r="26" spans="2:15" ht="14.5" customHeight="1" thickTop="1" x14ac:dyDescent="0.35">
      <c r="K26" s="15"/>
      <c r="L26" s="15"/>
      <c r="M26" s="15"/>
      <c r="N26" s="15"/>
      <c r="O26" s="15"/>
    </row>
    <row r="27" spans="2:15" ht="14.5" customHeight="1" x14ac:dyDescent="0.35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4"/>
  <sheetViews>
    <sheetView showGridLines="0" zoomScale="82" workbookViewId="0">
      <selection activeCell="G12" sqref="G12"/>
    </sheetView>
  </sheetViews>
  <sheetFormatPr defaultRowHeight="14.5" x14ac:dyDescent="0.3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 x14ac:dyDescent="0.5">
      <c r="B3" s="19" t="s">
        <v>33</v>
      </c>
      <c r="C3" s="19"/>
    </row>
    <row r="4" spans="2:12" ht="15" thickTop="1" x14ac:dyDescent="0.35">
      <c r="B4" s="18" t="s">
        <v>0</v>
      </c>
      <c r="C4" s="20">
        <f>WACC!C25</f>
        <v>6.3741454847226903E-2</v>
      </c>
    </row>
    <row r="5" spans="2:12" x14ac:dyDescent="0.35">
      <c r="B5" s="18" t="s">
        <v>25</v>
      </c>
      <c r="C5" s="20">
        <v>2.5000000000000001E-2</v>
      </c>
    </row>
    <row r="6" spans="2:12" x14ac:dyDescent="0.35">
      <c r="B6" s="18" t="s">
        <v>36</v>
      </c>
      <c r="C6" s="65">
        <v>1.9999999552965164E-2</v>
      </c>
    </row>
    <row r="7" spans="2:12" x14ac:dyDescent="0.35">
      <c r="B7" s="18" t="s">
        <v>31</v>
      </c>
      <c r="C7" s="13">
        <f>AVERAGE(C28:L28)</f>
        <v>4.6352146709017862E-2</v>
      </c>
    </row>
    <row r="8" spans="2:12" x14ac:dyDescent="0.35">
      <c r="B8" s="18" t="s">
        <v>112</v>
      </c>
      <c r="C8" s="13">
        <f>AVERAGEIF(C29:L29,"&lt;2")</f>
        <v>0.86511694757818736</v>
      </c>
    </row>
    <row r="9" spans="2:12" x14ac:dyDescent="0.35">
      <c r="B9" s="18" t="s">
        <v>136</v>
      </c>
      <c r="C9" s="66">
        <v>7.929999828338623</v>
      </c>
    </row>
    <row r="10" spans="2:12" x14ac:dyDescent="0.35">
      <c r="B10" s="18" t="s">
        <v>100</v>
      </c>
      <c r="C10" s="67">
        <v>0.13629999756813049</v>
      </c>
    </row>
    <row r="11" spans="2:12" x14ac:dyDescent="0.35">
      <c r="B11" s="18" t="s">
        <v>44</v>
      </c>
      <c r="C11" s="59">
        <v>359589312</v>
      </c>
    </row>
    <row r="12" spans="2:12" x14ac:dyDescent="0.35">
      <c r="B12" s="18"/>
    </row>
    <row r="13" spans="2:12" ht="20" thickBot="1" x14ac:dyDescent="0.5">
      <c r="B13" s="3" t="s">
        <v>34</v>
      </c>
      <c r="C13" s="3"/>
    </row>
    <row r="14" spans="2:12" ht="15" thickTop="1" x14ac:dyDescent="0.35"/>
    <row r="15" spans="2:12" ht="17.5" thickBot="1" x14ac:dyDescent="0.45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 x14ac:dyDescent="0.35">
      <c r="B16" s="18" t="s">
        <v>26</v>
      </c>
      <c r="C16" s="21">
        <f>Financials!D3</f>
        <v>34374</v>
      </c>
      <c r="D16" s="21">
        <f>Financials!E3</f>
        <v>37580</v>
      </c>
      <c r="E16" s="21">
        <f>Financials!F3</f>
        <v>41373</v>
      </c>
      <c r="F16" s="21">
        <f>Financials!G3</f>
        <v>36881</v>
      </c>
      <c r="G16" s="21">
        <f>Financials!H3</f>
        <v>38260</v>
      </c>
      <c r="H16" s="21">
        <f>Financials!I3</f>
        <v>40052</v>
      </c>
      <c r="I16" s="21">
        <f>Financials!J3</f>
        <v>42405</v>
      </c>
      <c r="J16" s="21">
        <f>Financials!K3</f>
        <v>43185</v>
      </c>
      <c r="K16" s="21">
        <f>Financials!L3</f>
        <v>47049</v>
      </c>
      <c r="L16" s="21">
        <f>Financials!M3</f>
        <v>53282</v>
      </c>
    </row>
    <row r="17" spans="2:12" x14ac:dyDescent="0.35">
      <c r="B17" s="18" t="s">
        <v>27</v>
      </c>
      <c r="C17" s="22"/>
      <c r="D17" s="20">
        <f t="shared" ref="D17:L17" si="0">(D16-C16)/C16</f>
        <v>9.3268167801245125E-2</v>
      </c>
      <c r="E17" s="20">
        <f t="shared" si="0"/>
        <v>0.10093134646088345</v>
      </c>
      <c r="F17" s="20">
        <f t="shared" si="0"/>
        <v>-0.10857322408333937</v>
      </c>
      <c r="G17" s="20">
        <f t="shared" si="0"/>
        <v>3.7390526287248177E-2</v>
      </c>
      <c r="H17" s="20">
        <f t="shared" si="0"/>
        <v>4.6837428123366442E-2</v>
      </c>
      <c r="I17" s="20">
        <f t="shared" si="0"/>
        <v>5.8748626785179267E-2</v>
      </c>
      <c r="J17" s="20">
        <f t="shared" si="0"/>
        <v>1.839405730456314E-2</v>
      </c>
      <c r="K17" s="20">
        <f t="shared" si="0"/>
        <v>8.9475512330670373E-2</v>
      </c>
      <c r="L17" s="20">
        <f t="shared" si="0"/>
        <v>0.13247890497141279</v>
      </c>
    </row>
    <row r="18" spans="2:12" x14ac:dyDescent="0.35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 x14ac:dyDescent="0.35">
      <c r="B19" s="18" t="s">
        <v>29</v>
      </c>
      <c r="C19" s="21">
        <f>Financials!D6</f>
        <v>778</v>
      </c>
      <c r="D19" s="21">
        <f>Financials!E6</f>
        <v>864</v>
      </c>
      <c r="E19" s="21">
        <f>Financials!F6</f>
        <v>1220</v>
      </c>
      <c r="F19" s="21">
        <f>Financials!G6</f>
        <v>1768</v>
      </c>
      <c r="G19" s="21">
        <f>Financials!H6</f>
        <v>1774</v>
      </c>
      <c r="H19" s="21">
        <f>Financials!I6</f>
        <v>2970</v>
      </c>
      <c r="I19" s="21">
        <f>Financials!J6</f>
        <v>1980</v>
      </c>
      <c r="J19" s="21">
        <f>Financials!K6</f>
        <v>2061</v>
      </c>
      <c r="K19" s="21">
        <f>Financials!L6</f>
        <v>3047</v>
      </c>
      <c r="L19" s="21">
        <f>Financials!M6</f>
        <v>3238</v>
      </c>
    </row>
    <row r="20" spans="2:12" x14ac:dyDescent="0.35">
      <c r="B20" s="18" t="s">
        <v>27</v>
      </c>
      <c r="C20" s="22"/>
      <c r="D20" s="20">
        <f>(D19-C19)/C19</f>
        <v>0.11053984575835475</v>
      </c>
      <c r="E20" s="20">
        <f t="shared" ref="E20:L20" si="1">(E19-D19)/D19</f>
        <v>0.41203703703703703</v>
      </c>
      <c r="F20" s="20">
        <f t="shared" si="1"/>
        <v>0.44918032786885248</v>
      </c>
      <c r="G20" s="20">
        <f t="shared" si="1"/>
        <v>3.3936651583710408E-3</v>
      </c>
      <c r="H20" s="20">
        <f t="shared" si="1"/>
        <v>0.67418263810597523</v>
      </c>
      <c r="I20" s="20">
        <f t="shared" si="1"/>
        <v>-0.33333333333333331</v>
      </c>
      <c r="J20" s="20">
        <f t="shared" si="1"/>
        <v>4.0909090909090909E-2</v>
      </c>
      <c r="K20" s="20">
        <f t="shared" si="1"/>
        <v>0.47840853954391072</v>
      </c>
      <c r="L20" s="20">
        <f t="shared" si="1"/>
        <v>6.2684607810961607E-2</v>
      </c>
    </row>
    <row r="22" spans="2:12" x14ac:dyDescent="0.35">
      <c r="B22" s="18" t="s">
        <v>30</v>
      </c>
      <c r="C22" s="25">
        <f>Financials!D20</f>
        <v>756</v>
      </c>
      <c r="D22" s="25">
        <f>Financials!E20</f>
        <v>546</v>
      </c>
      <c r="E22" s="25">
        <f>Financials!F20</f>
        <v>1716</v>
      </c>
      <c r="F22" s="25">
        <f>Financials!G20</f>
        <v>2021</v>
      </c>
      <c r="G22" s="25">
        <f>Financials!H20</f>
        <v>1530</v>
      </c>
      <c r="H22" s="25">
        <f>Financials!I20</f>
        <v>1763</v>
      </c>
      <c r="I22" s="25">
        <f>Financials!J20</f>
        <v>1254</v>
      </c>
      <c r="J22" s="25">
        <f>Financials!K20</f>
        <v>2675</v>
      </c>
      <c r="K22" s="25">
        <f>Financials!L20</f>
        <v>2631</v>
      </c>
      <c r="L22" s="25">
        <f>Financials!M20</f>
        <v>800</v>
      </c>
    </row>
    <row r="23" spans="2:12" x14ac:dyDescent="0.35">
      <c r="B23" s="18" t="s">
        <v>27</v>
      </c>
      <c r="C23" s="26"/>
      <c r="D23" s="26">
        <f>(D22-C22)/C22</f>
        <v>-0.27777777777777779</v>
      </c>
      <c r="E23" s="26">
        <f t="shared" ref="E23:L23" si="2">(E22-D22)/D22</f>
        <v>2.1428571428571428</v>
      </c>
      <c r="F23" s="26">
        <f t="shared" si="2"/>
        <v>0.17773892773892774</v>
      </c>
      <c r="G23" s="26">
        <f t="shared" si="2"/>
        <v>-0.2429490351311232</v>
      </c>
      <c r="H23" s="26">
        <f t="shared" si="2"/>
        <v>0.15228758169934639</v>
      </c>
      <c r="I23" s="26">
        <f t="shared" si="2"/>
        <v>-0.28871242200794101</v>
      </c>
      <c r="J23" s="26">
        <f t="shared" si="2"/>
        <v>1.1331738437001595</v>
      </c>
      <c r="K23" s="26">
        <f t="shared" si="2"/>
        <v>-1.6448598130841121E-2</v>
      </c>
      <c r="L23" s="26">
        <f t="shared" si="2"/>
        <v>-0.69593310528316232</v>
      </c>
    </row>
    <row r="24" spans="2:12" x14ac:dyDescent="0.35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 x14ac:dyDescent="0.35">
      <c r="B25" s="18" t="s">
        <v>47</v>
      </c>
      <c r="C25" s="62">
        <f>Financials!D9</f>
        <v>1894</v>
      </c>
      <c r="D25" s="62">
        <f>Financials!E9</f>
        <v>1960</v>
      </c>
      <c r="E25" s="62">
        <f>Financials!F9</f>
        <v>2880</v>
      </c>
      <c r="F25" s="62">
        <f>Financials!G9</f>
        <v>3538</v>
      </c>
      <c r="G25" s="62">
        <f>Financials!H9</f>
        <v>3682</v>
      </c>
      <c r="H25" s="62">
        <f>Financials!I9</f>
        <v>3912</v>
      </c>
      <c r="I25" s="62">
        <f>Financials!J9</f>
        <v>3962</v>
      </c>
      <c r="J25" s="62">
        <f>Financials!K9</f>
        <v>4248</v>
      </c>
      <c r="K25" s="62">
        <f>Financials!L9</f>
        <v>5670</v>
      </c>
      <c r="L25" s="62">
        <f>Financials!M9</f>
        <v>5646</v>
      </c>
    </row>
    <row r="26" spans="2:12" x14ac:dyDescent="0.35">
      <c r="B26" s="18" t="s">
        <v>27</v>
      </c>
      <c r="C26" s="63"/>
      <c r="D26" s="63">
        <f>Financials!E10</f>
        <v>3.4846884899683211E-2</v>
      </c>
      <c r="E26" s="63">
        <f>Financials!F10</f>
        <v>0.46938775510204084</v>
      </c>
      <c r="F26" s="63">
        <f>Financials!G10</f>
        <v>0.22847222222222222</v>
      </c>
      <c r="G26" s="63">
        <f>Financials!H10</f>
        <v>4.0700960994912383E-2</v>
      </c>
      <c r="H26" s="63">
        <f>Financials!I10</f>
        <v>6.2466051059206953E-2</v>
      </c>
      <c r="I26" s="63">
        <f>Financials!J10</f>
        <v>1.278118609406953E-2</v>
      </c>
      <c r="J26" s="63">
        <f>Financials!K10</f>
        <v>7.2185764765270069E-2</v>
      </c>
      <c r="K26" s="63">
        <f>Financials!L10</f>
        <v>0.3347457627118644</v>
      </c>
      <c r="L26" s="63">
        <f>Financials!M10</f>
        <v>-4.2328042328042331E-3</v>
      </c>
    </row>
    <row r="28" spans="2:12" ht="15" thickBot="1" x14ac:dyDescent="0.4">
      <c r="B28" s="1" t="s">
        <v>31</v>
      </c>
      <c r="C28" s="24">
        <f t="shared" ref="C28:L28" si="3">C19/C16</f>
        <v>2.2633385698493047E-2</v>
      </c>
      <c r="D28" s="24">
        <f t="shared" si="3"/>
        <v>2.2990952634379988E-2</v>
      </c>
      <c r="E28" s="24">
        <f t="shared" si="3"/>
        <v>2.9487830227443019E-2</v>
      </c>
      <c r="F28" s="24">
        <f t="shared" si="3"/>
        <v>4.7937962636587943E-2</v>
      </c>
      <c r="G28" s="24">
        <f t="shared" si="3"/>
        <v>4.6366962885520127E-2</v>
      </c>
      <c r="H28" s="24">
        <f t="shared" si="3"/>
        <v>7.4153600319584539E-2</v>
      </c>
      <c r="I28" s="24">
        <f t="shared" si="3"/>
        <v>4.6692607003891051E-2</v>
      </c>
      <c r="J28" s="24">
        <f t="shared" si="3"/>
        <v>4.7724904480722474E-2</v>
      </c>
      <c r="K28" s="24">
        <f t="shared" si="3"/>
        <v>6.4762269123679564E-2</v>
      </c>
      <c r="L28" s="24">
        <f t="shared" si="3"/>
        <v>6.0770992079876879E-2</v>
      </c>
    </row>
    <row r="29" spans="2:12" ht="15" thickBot="1" x14ac:dyDescent="0.4">
      <c r="B29" s="1" t="s">
        <v>32</v>
      </c>
      <c r="C29" s="24">
        <f t="shared" ref="C29:L29" si="4">C22/C19</f>
        <v>0.97172236503856046</v>
      </c>
      <c r="D29" s="24">
        <f t="shared" si="4"/>
        <v>0.63194444444444442</v>
      </c>
      <c r="E29" s="24">
        <f t="shared" si="4"/>
        <v>1.4065573770491804</v>
      </c>
      <c r="F29" s="24">
        <f t="shared" si="4"/>
        <v>1.1430995475113122</v>
      </c>
      <c r="G29" s="24">
        <f t="shared" si="4"/>
        <v>0.8624577226606539</v>
      </c>
      <c r="H29" s="24">
        <f t="shared" si="4"/>
        <v>0.59360269360269358</v>
      </c>
      <c r="I29" s="24">
        <f t="shared" si="4"/>
        <v>0.6333333333333333</v>
      </c>
      <c r="J29" s="24">
        <f t="shared" si="4"/>
        <v>1.2979136341581756</v>
      </c>
      <c r="K29" s="24">
        <f t="shared" si="4"/>
        <v>0.86347226780439779</v>
      </c>
      <c r="L29" s="24">
        <f t="shared" si="4"/>
        <v>0.24706609017912293</v>
      </c>
    </row>
    <row r="32" spans="2:12" ht="20" thickBot="1" x14ac:dyDescent="0.5">
      <c r="B32" s="3" t="s">
        <v>35</v>
      </c>
      <c r="C32" s="3"/>
    </row>
    <row r="33" spans="2:12" ht="15" thickTop="1" x14ac:dyDescent="0.35"/>
    <row r="35" spans="2:12" ht="17.5" thickBot="1" x14ac:dyDescent="0.45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 x14ac:dyDescent="0.35">
      <c r="B36" s="18" t="s">
        <v>26</v>
      </c>
      <c r="C36" s="21">
        <f>L16*(C37+1)</f>
        <v>55077.603426359674</v>
      </c>
      <c r="D36" s="21">
        <f>C36*(D37+1)</f>
        <v>56019.430486478966</v>
      </c>
      <c r="E36" s="21">
        <f>D36*(E37+1)</f>
        <v>57111.809403503641</v>
      </c>
      <c r="F36" s="21">
        <f t="shared" ref="F36:L36" si="5">E36*(F37+1)</f>
        <v>58254.04556604298</v>
      </c>
      <c r="G36" s="21">
        <f t="shared" si="5"/>
        <v>59419.126451322554</v>
      </c>
      <c r="H36" s="21">
        <f t="shared" si="5"/>
        <v>60607.508953786921</v>
      </c>
      <c r="I36" s="21">
        <f t="shared" si="5"/>
        <v>61819.659105769264</v>
      </c>
      <c r="J36" s="21">
        <f t="shared" si="5"/>
        <v>63056.052260249446</v>
      </c>
      <c r="K36" s="21">
        <f t="shared" si="5"/>
        <v>64317.17327726644</v>
      </c>
      <c r="L36" s="21">
        <f t="shared" si="5"/>
        <v>65603.516714060024</v>
      </c>
    </row>
    <row r="37" spans="2:12" x14ac:dyDescent="0.35">
      <c r="B37" s="18" t="s">
        <v>27</v>
      </c>
      <c r="C37" s="68">
        <v>3.3700000494718552E-2</v>
      </c>
      <c r="D37" s="68">
        <v>1.7100000753998756E-2</v>
      </c>
      <c r="E37" s="68">
        <v>1.9500000402331352E-2</v>
      </c>
      <c r="F37" s="27">
        <f>C6</f>
        <v>1.9999999552965164E-2</v>
      </c>
      <c r="G37" s="27">
        <f>C6</f>
        <v>1.9999999552965164E-2</v>
      </c>
      <c r="H37" s="27">
        <f>C6</f>
        <v>1.9999999552965164E-2</v>
      </c>
      <c r="I37" s="27">
        <f>C6</f>
        <v>1.9999999552965164E-2</v>
      </c>
      <c r="J37" s="27">
        <f>C6</f>
        <v>1.9999999552965164E-2</v>
      </c>
      <c r="K37" s="27">
        <f>C6</f>
        <v>1.9999999552965164E-2</v>
      </c>
      <c r="L37" s="27">
        <f>C6</f>
        <v>1.9999999552965164E-2</v>
      </c>
    </row>
    <row r="38" spans="2:12" x14ac:dyDescent="0.35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 x14ac:dyDescent="0.35">
      <c r="B39" s="18" t="s">
        <v>28</v>
      </c>
      <c r="C39" s="21">
        <f>C36*C7</f>
        <v>2552.965154399732</v>
      </c>
      <c r="D39" s="21">
        <f>D36*C7</f>
        <v>2596.6208604649046</v>
      </c>
      <c r="E39" s="21">
        <f>E36*C7</f>
        <v>2647.254968288667</v>
      </c>
      <c r="F39" s="21">
        <f>F36*C7</f>
        <v>2700.200066471039</v>
      </c>
      <c r="G39" s="21">
        <f>G36*C7</f>
        <v>2754.2040665933914</v>
      </c>
      <c r="H39" s="21">
        <f>H36*C7</f>
        <v>2809.2881466940462</v>
      </c>
      <c r="I39" s="21">
        <f>I36*C7</f>
        <v>2865.4739083720929</v>
      </c>
      <c r="J39" s="21">
        <f>J36*C7</f>
        <v>2922.78338525858</v>
      </c>
      <c r="K39" s="21">
        <f>K36*C7</f>
        <v>2981.2390516571777</v>
      </c>
      <c r="L39" s="21">
        <f>L36*C7</f>
        <v>3040.8638313576171</v>
      </c>
    </row>
    <row r="40" spans="2:12" x14ac:dyDescent="0.35">
      <c r="B40" s="18"/>
      <c r="C40" s="20">
        <f>(C39-L19)/L19</f>
        <v>-0.21156110117364668</v>
      </c>
      <c r="D40" s="20">
        <f>(D39-C39)/C39</f>
        <v>1.7100000754000585E-2</v>
      </c>
      <c r="E40" s="20">
        <f t="shared" ref="E40:L40" si="6">(E39-D39)/D39</f>
        <v>1.9500000402329375E-2</v>
      </c>
      <c r="F40" s="20">
        <f t="shared" si="6"/>
        <v>1.9999999552970372E-2</v>
      </c>
      <c r="G40" s="20">
        <f t="shared" si="6"/>
        <v>1.9999999552970753E-2</v>
      </c>
      <c r="H40" s="20">
        <f t="shared" si="6"/>
        <v>1.9999999552969581E-2</v>
      </c>
      <c r="I40" s="20">
        <f t="shared" si="6"/>
        <v>1.9999999552970632E-2</v>
      </c>
      <c r="J40" s="20">
        <f t="shared" si="6"/>
        <v>1.9999999552969338E-2</v>
      </c>
      <c r="K40" s="20">
        <f t="shared" si="6"/>
        <v>1.99999995529693E-2</v>
      </c>
      <c r="L40" s="20">
        <f t="shared" si="6"/>
        <v>1.9999999552969695E-2</v>
      </c>
    </row>
    <row r="41" spans="2:12" x14ac:dyDescent="0.35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 x14ac:dyDescent="0.35">
      <c r="B42" s="18" t="s">
        <v>30</v>
      </c>
      <c r="C42" s="21">
        <f>C39*C8</f>
        <v>2208.6134216477694</v>
      </c>
      <c r="D42" s="21">
        <f>D39*C8</f>
        <v>2246.3807128232397</v>
      </c>
      <c r="E42" s="21">
        <f>E39*C8</f>
        <v>2290.1851376270843</v>
      </c>
      <c r="F42" s="21">
        <f>F39*C8</f>
        <v>2335.9888393558435</v>
      </c>
      <c r="G42" s="21">
        <f>G39*C8</f>
        <v>2382.7086150987034</v>
      </c>
      <c r="H42" s="21">
        <f>H39*C8</f>
        <v>2430.3627863355387</v>
      </c>
      <c r="I42" s="21">
        <f>I39*C8</f>
        <v>2478.9700409758002</v>
      </c>
      <c r="J42" s="21">
        <f>J39*C8</f>
        <v>2528.549440687143</v>
      </c>
      <c r="K42" s="21">
        <f>K39*C8</f>
        <v>2579.1204283705483</v>
      </c>
      <c r="L42" s="21">
        <f>L39*C8</f>
        <v>2630.7028357850149</v>
      </c>
    </row>
    <row r="43" spans="2:12" x14ac:dyDescent="0.35">
      <c r="B43" s="18" t="s">
        <v>27</v>
      </c>
      <c r="C43" s="20">
        <f>(C42-L22)/L22</f>
        <v>1.7607667770597124</v>
      </c>
      <c r="D43" s="20">
        <f>(D42-C42)/C42</f>
        <v>1.7100000753999509E-2</v>
      </c>
      <c r="E43" s="20">
        <f t="shared" ref="E43:L43" si="7">(E42-D42)/D42</f>
        <v>1.9500000402332213E-2</v>
      </c>
      <c r="F43" s="20">
        <f t="shared" si="7"/>
        <v>1.9999999552969633E-2</v>
      </c>
      <c r="G43" s="20">
        <f t="shared" si="7"/>
        <v>1.9999999552970039E-2</v>
      </c>
      <c r="H43" s="20">
        <f t="shared" si="7"/>
        <v>1.9999999552971482E-2</v>
      </c>
      <c r="I43" s="20">
        <f t="shared" si="7"/>
        <v>1.9999999552968262E-2</v>
      </c>
      <c r="J43" s="20">
        <f t="shared" si="7"/>
        <v>1.9999999552970313E-2</v>
      </c>
      <c r="K43" s="20">
        <f t="shared" si="7"/>
        <v>1.9999999552969983E-2</v>
      </c>
      <c r="L43" s="20">
        <f t="shared" si="7"/>
        <v>1.9999999552969924E-2</v>
      </c>
    </row>
    <row r="45" spans="2:12" x14ac:dyDescent="0.35">
      <c r="B45" s="18" t="s">
        <v>47</v>
      </c>
      <c r="C45" s="21">
        <f>L25*(1+C46)</f>
        <v>6415.549786269662</v>
      </c>
      <c r="D45" s="21">
        <f>C45*(1+D46)</f>
        <v>7289.989206536432</v>
      </c>
      <c r="E45" s="21">
        <f t="shared" ref="E45:L45" si="8">D45*(1+E46)</f>
        <v>8283.6147176590403</v>
      </c>
      <c r="F45" s="21">
        <f t="shared" si="8"/>
        <v>9412.671383531293</v>
      </c>
      <c r="G45" s="21">
        <f t="shared" si="8"/>
        <v>10695.618470216212</v>
      </c>
      <c r="H45" s="21">
        <f t="shared" si="8"/>
        <v>12153.431241696315</v>
      </c>
      <c r="I45" s="21">
        <f t="shared" si="8"/>
        <v>13809.94389038394</v>
      </c>
      <c r="J45" s="21">
        <f t="shared" si="8"/>
        <v>15692.239209059237</v>
      </c>
      <c r="K45" s="21">
        <f t="shared" si="8"/>
        <v>17831.091375092485</v>
      </c>
      <c r="L45" s="21">
        <f t="shared" si="8"/>
        <v>20261.469086154713</v>
      </c>
    </row>
    <row r="46" spans="2:12" x14ac:dyDescent="0.35">
      <c r="B46" s="18" t="s">
        <v>27</v>
      </c>
      <c r="C46" s="20">
        <f>C10</f>
        <v>0.13629999756813049</v>
      </c>
      <c r="D46" s="20">
        <f>C10</f>
        <v>0.13629999756813049</v>
      </c>
      <c r="E46" s="20">
        <f>C10</f>
        <v>0.13629999756813049</v>
      </c>
      <c r="F46" s="20">
        <f>C10</f>
        <v>0.13629999756813049</v>
      </c>
      <c r="G46" s="20">
        <f>C10</f>
        <v>0.13629999756813049</v>
      </c>
      <c r="H46" s="20">
        <f>C10</f>
        <v>0.13629999756813049</v>
      </c>
      <c r="I46" s="20">
        <f>C10</f>
        <v>0.13629999756813049</v>
      </c>
      <c r="J46" s="20">
        <f>C10</f>
        <v>0.13629999756813049</v>
      </c>
      <c r="K46" s="20">
        <f>C10</f>
        <v>0.13629999756813049</v>
      </c>
      <c r="L46" s="20">
        <f>C10</f>
        <v>0.13629999756813049</v>
      </c>
    </row>
    <row r="48" spans="2:12" ht="20" thickBot="1" x14ac:dyDescent="0.5">
      <c r="B48" s="3" t="s">
        <v>103</v>
      </c>
      <c r="C48" s="3"/>
    </row>
    <row r="49" spans="2:12" ht="20" thickTop="1" x14ac:dyDescent="0.45">
      <c r="B49" s="64"/>
      <c r="C49" s="64"/>
    </row>
    <row r="50" spans="2:12" ht="17.5" thickBot="1" x14ac:dyDescent="0.45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 x14ac:dyDescent="0.35">
      <c r="B51" s="18" t="s">
        <v>38</v>
      </c>
      <c r="C51" s="61">
        <f>POWER((1+C4),1)</f>
        <v>1.0637414548472268</v>
      </c>
      <c r="D51" s="61">
        <f>POWER((1+C4),2)</f>
        <v>1.1315458827604947</v>
      </c>
      <c r="E51" s="61">
        <f>POWER((1+C4),3)</f>
        <v>1.2036722635540382</v>
      </c>
      <c r="F51" s="61">
        <f>POWER((1+C4),4)</f>
        <v>1.2803960847922271</v>
      </c>
      <c r="G51" s="61">
        <f>POWER((1+C4),5)</f>
        <v>1.362010394017577</v>
      </c>
      <c r="H51" s="61">
        <f>POWER((1+C4),6)</f>
        <v>1.4488269180493019</v>
      </c>
      <c r="I51" s="61">
        <f>POWER((1+C4),7)</f>
        <v>1.5411772536275883</v>
      </c>
      <c r="J51" s="61">
        <f>POWER((1+C4),8)</f>
        <v>1.6394141339512642</v>
      </c>
      <c r="K51" s="61">
        <f>POWER((1+C4),9)</f>
        <v>1.7439127759464244</v>
      </c>
      <c r="L51" s="61">
        <f>POWER((1+C4),10)</f>
        <v>1.8550723134119151</v>
      </c>
    </row>
    <row r="52" spans="2:12" x14ac:dyDescent="0.35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 x14ac:dyDescent="0.35">
      <c r="B53" s="18" t="s">
        <v>39</v>
      </c>
      <c r="C53" s="21">
        <f t="shared" ref="C53:L53" si="9">C42/C51</f>
        <v>2076.2690140387181</v>
      </c>
      <c r="D53" s="21">
        <f t="shared" si="9"/>
        <v>1985.2316614356175</v>
      </c>
      <c r="E53" s="21">
        <f t="shared" si="9"/>
        <v>1902.6650417821645</v>
      </c>
      <c r="F53" s="21">
        <f t="shared" si="9"/>
        <v>1824.4267278706191</v>
      </c>
      <c r="G53" s="21">
        <f t="shared" si="9"/>
        <v>1749.4056033378151</v>
      </c>
      <c r="H53" s="21">
        <f t="shared" si="9"/>
        <v>1677.4693761265696</v>
      </c>
      <c r="I53" s="21">
        <f t="shared" si="9"/>
        <v>1608.4911940796255</v>
      </c>
      <c r="J53" s="21">
        <f t="shared" si="9"/>
        <v>1542.34942124899</v>
      </c>
      <c r="K53" s="21">
        <f t="shared" si="9"/>
        <v>1478.9274234033085</v>
      </c>
      <c r="L53" s="21">
        <f t="shared" si="9"/>
        <v>1418.1133623554117</v>
      </c>
    </row>
    <row r="54" spans="2:12" x14ac:dyDescent="0.35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 x14ac:dyDescent="0.4">
      <c r="B55" s="73" t="s">
        <v>40</v>
      </c>
      <c r="C55" s="74">
        <f>POWER((1+C4),11)</f>
        <v>1.9733173215156015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 x14ac:dyDescent="0.35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 x14ac:dyDescent="0.35">
      <c r="B57" s="154" t="s">
        <v>101</v>
      </c>
      <c r="C57" s="154"/>
      <c r="D57" s="154"/>
      <c r="E57" s="154"/>
      <c r="F57" s="154"/>
      <c r="G57" s="154"/>
      <c r="H57" s="154"/>
      <c r="I57" s="154"/>
      <c r="J57" s="154"/>
      <c r="K57" s="154"/>
      <c r="L57" s="154"/>
    </row>
    <row r="58" spans="2:12" x14ac:dyDescent="0.35"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</row>
    <row r="59" spans="2:12" x14ac:dyDescent="0.35">
      <c r="B59" s="18" t="s">
        <v>37</v>
      </c>
      <c r="C59" s="25">
        <f>L53*(1+C5)/(C4-C5)</f>
        <v>37519.659551926859</v>
      </c>
    </row>
    <row r="60" spans="2:12" ht="15" thickBot="1" x14ac:dyDescent="0.4">
      <c r="B60" s="5" t="s">
        <v>41</v>
      </c>
      <c r="C60" s="23">
        <f>C59/C55</f>
        <v>19013.495266493708</v>
      </c>
    </row>
    <row r="61" spans="2:12" ht="15" thickTop="1" x14ac:dyDescent="0.35"/>
    <row r="62" spans="2:12" ht="14.5" customHeight="1" thickBot="1" x14ac:dyDescent="0.5">
      <c r="B62" s="3" t="s">
        <v>43</v>
      </c>
      <c r="C62" s="71">
        <f>(SUM(C53:L53)+C59)</f>
        <v>54783.0083776057</v>
      </c>
    </row>
    <row r="63" spans="2:12" ht="15" thickTop="1" x14ac:dyDescent="0.35">
      <c r="F63" s="9"/>
    </row>
    <row r="64" spans="2:12" ht="18.5" x14ac:dyDescent="0.45">
      <c r="B64" s="69" t="s">
        <v>42</v>
      </c>
      <c r="C64" s="70">
        <f>C62/(C11/1000000)</f>
        <v>152.34882280818653</v>
      </c>
      <c r="D64" s="29"/>
      <c r="E64" s="30"/>
    </row>
    <row r="67" spans="2:12" x14ac:dyDescent="0.35">
      <c r="B67" s="154" t="s">
        <v>102</v>
      </c>
      <c r="C67" s="154"/>
      <c r="D67" s="154"/>
      <c r="E67" s="154"/>
      <c r="F67" s="154"/>
      <c r="G67" s="154"/>
      <c r="H67" s="154"/>
      <c r="I67" s="154"/>
      <c r="J67" s="154"/>
      <c r="K67" s="154"/>
      <c r="L67" s="154"/>
    </row>
    <row r="68" spans="2:12" x14ac:dyDescent="0.35"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</row>
    <row r="69" spans="2:12" x14ac:dyDescent="0.35">
      <c r="B69" s="18" t="s">
        <v>37</v>
      </c>
      <c r="C69" s="25">
        <f>L45*C9</f>
        <v>160673.44637509502</v>
      </c>
    </row>
    <row r="70" spans="2:12" ht="15" thickBot="1" x14ac:dyDescent="0.4">
      <c r="B70" s="5" t="s">
        <v>41</v>
      </c>
      <c r="C70" s="23">
        <f>C69/C55</f>
        <v>81423.015256203333</v>
      </c>
    </row>
    <row r="71" spans="2:12" ht="15" thickTop="1" x14ac:dyDescent="0.35">
      <c r="B71" s="18"/>
      <c r="C71" s="28"/>
    </row>
    <row r="72" spans="2:12" ht="20" thickBot="1" x14ac:dyDescent="0.5">
      <c r="B72" s="3" t="s">
        <v>43</v>
      </c>
      <c r="C72" s="72">
        <f>SUM(C53:L53)+C70</f>
        <v>98686.364081882173</v>
      </c>
    </row>
    <row r="73" spans="2:12" ht="15" thickTop="1" x14ac:dyDescent="0.35"/>
    <row r="74" spans="2:12" ht="18.5" x14ac:dyDescent="0.45">
      <c r="B74" s="69" t="s">
        <v>42</v>
      </c>
      <c r="C74" s="70">
        <f>C72/(C11/1000000)</f>
        <v>274.44187240437839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E21"/>
  <sheetViews>
    <sheetView showGridLines="0" workbookViewId="0">
      <selection activeCell="C15" sqref="C15"/>
    </sheetView>
  </sheetViews>
  <sheetFormatPr defaultRowHeight="14.5" x14ac:dyDescent="0.35"/>
  <cols>
    <col min="2" max="2" width="29.90625" customWidth="1"/>
  </cols>
  <sheetData>
    <row r="13" spans="2:3" ht="20" thickBot="1" x14ac:dyDescent="0.5">
      <c r="B13" s="8" t="s">
        <v>105</v>
      </c>
      <c r="C13" s="8"/>
    </row>
    <row r="14" spans="2:3" ht="15" thickTop="1" x14ac:dyDescent="0.35"/>
    <row r="15" spans="2:3" x14ac:dyDescent="0.35">
      <c r="B15" s="18" t="s">
        <v>106</v>
      </c>
      <c r="C15" s="78">
        <v>6.7300000190734863</v>
      </c>
    </row>
    <row r="16" spans="2:3" x14ac:dyDescent="0.35">
      <c r="B16" s="18" t="s">
        <v>111</v>
      </c>
      <c r="C16" s="129">
        <v>7</v>
      </c>
    </row>
    <row r="17" spans="2:5" x14ac:dyDescent="0.35">
      <c r="B17" s="18" t="s">
        <v>155</v>
      </c>
      <c r="C17" s="78">
        <v>7.5</v>
      </c>
    </row>
    <row r="18" spans="2:5" x14ac:dyDescent="0.3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 x14ac:dyDescent="0.4">
      <c r="B20" s="75" t="s">
        <v>107</v>
      </c>
      <c r="C20" s="79">
        <f>(C15*(C16+C17)*4.4)/C18</f>
        <v>97.143439189341407</v>
      </c>
    </row>
    <row r="21" spans="2:5" ht="15" thickTop="1" x14ac:dyDescent="0.35"/>
  </sheetData>
  <hyperlinks>
    <hyperlink ref="E1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workbookViewId="0">
      <selection activeCell="P7" sqref="P7"/>
    </sheetView>
  </sheetViews>
  <sheetFormatPr defaultRowHeight="14.5" x14ac:dyDescent="0.3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 x14ac:dyDescent="0.4">
      <c r="B2" s="1" t="s">
        <v>120</v>
      </c>
      <c r="C2" s="118">
        <v>1.8600000143051147</v>
      </c>
    </row>
    <row r="3" spans="2:16" ht="15" thickBot="1" x14ac:dyDescent="0.4"/>
    <row r="4" spans="2:16" ht="20" thickBot="1" x14ac:dyDescent="0.5">
      <c r="B4" s="157" t="s">
        <v>113</v>
      </c>
      <c r="C4" s="158"/>
    </row>
    <row r="5" spans="2:16" ht="15" thickBot="1" x14ac:dyDescent="0.4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 x14ac:dyDescent="0.4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59" t="s">
        <v>119</v>
      </c>
      <c r="N6" s="160"/>
      <c r="O6" s="88" t="s">
        <v>120</v>
      </c>
      <c r="P6" s="106">
        <f>C2</f>
        <v>1.8600000143051147</v>
      </c>
    </row>
    <row r="7" spans="2:16" ht="15" thickBot="1" x14ac:dyDescent="0.4">
      <c r="B7" s="89" t="s">
        <v>121</v>
      </c>
      <c r="C7" s="90">
        <f>P6*(1+P7)</f>
        <v>1.911150014421342</v>
      </c>
      <c r="D7" s="90">
        <f>C7*(1+P7)</f>
        <v>1.9637066395331464</v>
      </c>
      <c r="E7" s="90">
        <f>D7*(1+P7)</f>
        <v>2.0177085718276997</v>
      </c>
      <c r="F7" s="90">
        <f>E7*(1+P7)</f>
        <v>2.0731955572523031</v>
      </c>
      <c r="G7" s="90">
        <f>F7*(1+P7)</f>
        <v>2.1302084347678112</v>
      </c>
      <c r="H7" s="90">
        <f>G7*(1+P7)</f>
        <v>2.1887891664065022</v>
      </c>
      <c r="I7" s="90">
        <f>H7*(1+P7)</f>
        <v>2.2489808681565271</v>
      </c>
      <c r="J7" s="90">
        <f>I7*(1+P7)</f>
        <v>2.3108278416957138</v>
      </c>
      <c r="K7" s="90">
        <f>J7*(1+P7)</f>
        <v>2.3743756069980058</v>
      </c>
      <c r="L7" s="90">
        <f>K7*(1+P7)</f>
        <v>2.4396709358366495</v>
      </c>
      <c r="M7" s="155">
        <f>L7*(1+P7)/(P8-P7)</f>
        <v>69.168356691771805</v>
      </c>
      <c r="N7" s="156"/>
      <c r="O7" s="88" t="s">
        <v>122</v>
      </c>
      <c r="P7" s="104">
        <v>2.7499999850988388E-2</v>
      </c>
    </row>
    <row r="8" spans="2:16" ht="15" thickBot="1" x14ac:dyDescent="0.4">
      <c r="B8" s="89" t="s">
        <v>123</v>
      </c>
      <c r="C8" s="90">
        <f>C7/(1+P8)</f>
        <v>1.7966301921511663</v>
      </c>
      <c r="D8" s="90">
        <f>D7/(1+P8)^2</f>
        <v>1.7354193669482869</v>
      </c>
      <c r="E8" s="90">
        <f>E7/(1+P8)^3</f>
        <v>1.6762939821094525</v>
      </c>
      <c r="F8" s="90">
        <f>F7/(1+P8)^4</f>
        <v>1.6191829871056795</v>
      </c>
      <c r="G8" s="90">
        <f>G7/(1+P8)^5</f>
        <v>1.5640177520850216</v>
      </c>
      <c r="H8" s="90">
        <f>H7/(1+P8)^6</f>
        <v>1.5107319854006336</v>
      </c>
      <c r="I8" s="90">
        <f>I7/(1+P8)^7</f>
        <v>1.4592616539485819</v>
      </c>
      <c r="J8" s="90">
        <f>J7/(1+P8)^8</f>
        <v>1.4095449062197796</v>
      </c>
      <c r="K8" s="90">
        <f>K7/(1+P8)^9</f>
        <v>1.3615219979734585</v>
      </c>
      <c r="L8" s="90">
        <f>L7/(1+P8)^10</f>
        <v>1.3151352204429776</v>
      </c>
      <c r="M8" s="155">
        <f>M7/POWER((1+P8),10)</f>
        <v>37.286070301245942</v>
      </c>
      <c r="N8" s="156"/>
      <c r="O8" s="91" t="s">
        <v>124</v>
      </c>
      <c r="P8" s="105">
        <f>WACC!$C$25</f>
        <v>6.3741454847226903E-2</v>
      </c>
    </row>
    <row r="9" spans="2:16" x14ac:dyDescent="0.35">
      <c r="B9" s="92"/>
      <c r="N9" s="93"/>
    </row>
    <row r="10" spans="2:16" ht="20" thickBot="1" x14ac:dyDescent="0.5">
      <c r="B10" s="94" t="s">
        <v>125</v>
      </c>
      <c r="C10" s="95">
        <f>SUM(C8:N8)*(1-P9)</f>
        <v>52.733810345630999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 x14ac:dyDescent="0.35">
      <c r="B11" s="98"/>
      <c r="C11" s="98"/>
    </row>
    <row r="12" spans="2:16" ht="15" thickBot="1" x14ac:dyDescent="0.4">
      <c r="O12" s="99"/>
    </row>
    <row r="13" spans="2:16" ht="20" thickBot="1" x14ac:dyDescent="0.5">
      <c r="B13" s="157" t="s">
        <v>113</v>
      </c>
      <c r="C13" s="158"/>
    </row>
    <row r="14" spans="2:16" ht="15" thickBot="1" x14ac:dyDescent="0.4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 x14ac:dyDescent="0.4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59" t="s">
        <v>119</v>
      </c>
      <c r="N15" s="160"/>
      <c r="O15" s="88" t="s">
        <v>120</v>
      </c>
      <c r="P15" s="106">
        <f>C2</f>
        <v>1.8600000143051147</v>
      </c>
    </row>
    <row r="16" spans="2:16" ht="15" thickBot="1" x14ac:dyDescent="0.4">
      <c r="B16" s="89" t="s">
        <v>121</v>
      </c>
      <c r="C16" s="90">
        <f>P15*(1+P16)</f>
        <v>1.9158000134870403</v>
      </c>
      <c r="D16" s="90">
        <f>C16*(1+P16)</f>
        <v>1.9732740126070114</v>
      </c>
      <c r="E16" s="90">
        <f>D16*(1+P16)</f>
        <v>2.0324722316620414</v>
      </c>
      <c r="F16" s="90">
        <f>E16*(1+P16)</f>
        <v>2.0934463972490271</v>
      </c>
      <c r="G16" s="90">
        <f>F16*(1+P16)</f>
        <v>2.1562497877627402</v>
      </c>
      <c r="H16" s="90">
        <f>G16*(1+P16)</f>
        <v>2.2209372799497489</v>
      </c>
      <c r="I16" s="90">
        <f>H16*(1+P16)</f>
        <v>2.2875653968589931</v>
      </c>
      <c r="J16" s="90">
        <f>I16*(1+P16)</f>
        <v>2.3561923572308325</v>
      </c>
      <c r="K16" s="90">
        <f>J16*(1+P16)</f>
        <v>2.4268781263678103</v>
      </c>
      <c r="L16" s="90">
        <f>K16*(1+P16)</f>
        <v>2.4996844685315014</v>
      </c>
      <c r="M16" s="155">
        <f>L16*(1+P16)/(P17-P16)</f>
        <v>76.305985067971378</v>
      </c>
      <c r="N16" s="156"/>
      <c r="O16" s="88" t="s">
        <v>122</v>
      </c>
      <c r="P16" s="104">
        <v>2.9999999329447746E-2</v>
      </c>
    </row>
    <row r="17" spans="2:16" ht="15" thickBot="1" x14ac:dyDescent="0.4">
      <c r="B17" s="89" t="s">
        <v>123</v>
      </c>
      <c r="C17" s="90">
        <f>C16/(1+P17)</f>
        <v>1.8010015542378002</v>
      </c>
      <c r="D17" s="90">
        <f>D16/(1+P17)^2</f>
        <v>1.7438745018390787</v>
      </c>
      <c r="E17" s="90">
        <f>E16/(1+P17)^3</f>
        <v>1.6885594968025865</v>
      </c>
      <c r="F17" s="90">
        <f>F16/(1+P17)^4</f>
        <v>1.634999061707326</v>
      </c>
      <c r="G17" s="90">
        <f>G16/(1+P17)^5</f>
        <v>1.5831375422931673</v>
      </c>
      <c r="H17" s="90">
        <f>H16/(1+P17)^6</f>
        <v>1.5329210496309795</v>
      </c>
      <c r="I17" s="90">
        <f>I16/(1+P17)^7</f>
        <v>1.4842974041269865</v>
      </c>
      <c r="J17" s="90">
        <f>J16/(1+P17)^8</f>
        <v>1.4372160813033956</v>
      </c>
      <c r="K17" s="90">
        <f>K16/(1+P17)^9</f>
        <v>1.3916281592987041</v>
      </c>
      <c r="L17" s="90">
        <f>L16/(1+P17)^10</f>
        <v>1.3474862680333926</v>
      </c>
      <c r="M17" s="155">
        <f>M16/POWER((1+P17),10)</f>
        <v>41.133698409646634</v>
      </c>
      <c r="N17" s="156"/>
      <c r="O17" s="91" t="s">
        <v>124</v>
      </c>
      <c r="P17" s="105">
        <f>WACC!$C$25</f>
        <v>6.3741454847226903E-2</v>
      </c>
    </row>
    <row r="18" spans="2:16" x14ac:dyDescent="0.35">
      <c r="B18" s="92"/>
      <c r="N18" s="93"/>
    </row>
    <row r="19" spans="2:16" ht="20" thickBot="1" x14ac:dyDescent="0.5">
      <c r="B19" s="94" t="s">
        <v>125</v>
      </c>
      <c r="C19" s="95">
        <f>SUM(C17:N17)*(1-P18)</f>
        <v>56.778819528920103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 x14ac:dyDescent="0.4"/>
    <row r="22" spans="2:16" ht="20" thickBot="1" x14ac:dyDescent="0.5">
      <c r="B22" s="157" t="s">
        <v>113</v>
      </c>
      <c r="C22" s="158"/>
    </row>
    <row r="23" spans="2:16" ht="15" thickBot="1" x14ac:dyDescent="0.4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 x14ac:dyDescent="0.4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59" t="s">
        <v>119</v>
      </c>
      <c r="N24" s="160"/>
      <c r="O24" s="88" t="s">
        <v>120</v>
      </c>
      <c r="P24" s="106">
        <f>C2</f>
        <v>1.8600000143051147</v>
      </c>
    </row>
    <row r="25" spans="2:16" ht="15" thickBot="1" x14ac:dyDescent="0.4">
      <c r="B25" s="89" t="s">
        <v>121</v>
      </c>
      <c r="C25" s="90">
        <f>P24*(1+P25)</f>
        <v>1.9251000150829474</v>
      </c>
      <c r="D25" s="90">
        <f>C25*(1+P25)</f>
        <v>1.9924785158977123</v>
      </c>
      <c r="E25" s="90">
        <f>D25*(1+P25)</f>
        <v>2.0622152642510292</v>
      </c>
      <c r="F25" s="90">
        <f>E25*(1+P25)</f>
        <v>2.1343927988071068</v>
      </c>
      <c r="G25" s="90">
        <f>F25*(1+P25)</f>
        <v>2.2090965470834045</v>
      </c>
      <c r="H25" s="90">
        <f>G25*(1+P25)</f>
        <v>2.2864149265604965</v>
      </c>
      <c r="I25" s="90">
        <f>H25*(1+P25)</f>
        <v>2.3664394493308163</v>
      </c>
      <c r="J25" s="90">
        <f>I25*(1+P25)</f>
        <v>2.449264830410022</v>
      </c>
      <c r="K25" s="90">
        <f>J25*(1+P25)</f>
        <v>2.5349890998393358</v>
      </c>
      <c r="L25" s="90">
        <f>K25*(1+P25)</f>
        <v>2.6237137187114556</v>
      </c>
      <c r="M25" s="155">
        <f>L25*(1+P25)/(P26-P25)</f>
        <v>94.48177650611197</v>
      </c>
      <c r="N25" s="156"/>
      <c r="O25" s="88" t="s">
        <v>122</v>
      </c>
      <c r="P25" s="104">
        <v>3.5000000149011612E-2</v>
      </c>
    </row>
    <row r="26" spans="2:16" ht="15" thickBot="1" x14ac:dyDescent="0.4">
      <c r="B26" s="89" t="s">
        <v>123</v>
      </c>
      <c r="C26" s="90">
        <f>C25/(1+P26)</f>
        <v>1.8097442816679778</v>
      </c>
      <c r="D26" s="90">
        <f>D25/(1+P26)^2</f>
        <v>1.7608464192692841</v>
      </c>
      <c r="E26" s="90">
        <f>E25/(1+P26)^3</f>
        <v>1.7132697385266658</v>
      </c>
      <c r="F26" s="90">
        <f>F25/(1+P26)^4</f>
        <v>1.6669785421543664</v>
      </c>
      <c r="G26" s="90">
        <f>G25/(1+P26)^5</f>
        <v>1.6219380973790765</v>
      </c>
      <c r="H26" s="90">
        <f>H25/(1+P26)^6</f>
        <v>1.5781146098796455</v>
      </c>
      <c r="I26" s="90">
        <f>I25/(1+P26)^7</f>
        <v>1.5354751984307746</v>
      </c>
      <c r="J26" s="90">
        <f>J25/(1+P26)^8</f>
        <v>1.4939878702319624</v>
      </c>
      <c r="K26" s="90">
        <f>K25/(1+P26)^9</f>
        <v>1.4536214969029075</v>
      </c>
      <c r="L26" s="90">
        <f>L25/(1+P26)^10</f>
        <v>1.4143457911275843</v>
      </c>
      <c r="M26" s="155">
        <f>M25/POWER((1+P26),10)</f>
        <v>50.931586775901742</v>
      </c>
      <c r="N26" s="156"/>
      <c r="O26" s="91" t="s">
        <v>124</v>
      </c>
      <c r="P26" s="105">
        <f>WACC!$C$25</f>
        <v>6.3741454847226903E-2</v>
      </c>
    </row>
    <row r="27" spans="2:16" x14ac:dyDescent="0.35">
      <c r="B27" s="92"/>
      <c r="N27" s="93"/>
    </row>
    <row r="28" spans="2:16" ht="20" thickBot="1" x14ac:dyDescent="0.5">
      <c r="B28" s="94" t="s">
        <v>125</v>
      </c>
      <c r="C28" s="95">
        <f>SUM(C26:N26)*(1-P27)</f>
        <v>66.979908821471994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82"/>
  <sheetViews>
    <sheetView zoomScale="85" zoomScaleNormal="85" workbookViewId="0">
      <selection activeCell="P56" sqref="P56"/>
    </sheetView>
  </sheetViews>
  <sheetFormatPr defaultRowHeight="14.5" x14ac:dyDescent="0.3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 x14ac:dyDescent="0.45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 x14ac:dyDescent="0.35">
      <c r="B3" s="18" t="s">
        <v>26</v>
      </c>
      <c r="C3" s="121">
        <v>33055</v>
      </c>
      <c r="D3" s="110">
        <v>34374</v>
      </c>
      <c r="E3" s="110">
        <v>37580</v>
      </c>
      <c r="F3" s="110">
        <v>41373</v>
      </c>
      <c r="G3" s="110">
        <v>36881</v>
      </c>
      <c r="H3" s="110">
        <v>38260</v>
      </c>
      <c r="I3" s="110">
        <v>40052</v>
      </c>
      <c r="J3" s="110">
        <v>42405</v>
      </c>
      <c r="K3" s="110">
        <v>43185</v>
      </c>
      <c r="L3" s="110">
        <v>47049</v>
      </c>
      <c r="M3" s="110">
        <v>53282</v>
      </c>
      <c r="Q3" s="107"/>
    </row>
    <row r="4" spans="2:17" x14ac:dyDescent="0.35">
      <c r="B4" s="18" t="s">
        <v>27</v>
      </c>
      <c r="C4" s="114"/>
      <c r="D4" s="122">
        <f t="shared" ref="D4:M4" si="0">(D3-C3)/C3</f>
        <v>3.9903191650279835E-2</v>
      </c>
      <c r="E4" s="122">
        <f t="shared" si="0"/>
        <v>9.3268167801245125E-2</v>
      </c>
      <c r="F4" s="122">
        <f t="shared" si="0"/>
        <v>0.10093134646088345</v>
      </c>
      <c r="G4" s="122">
        <f t="shared" si="0"/>
        <v>-0.10857322408333937</v>
      </c>
      <c r="H4" s="122">
        <f t="shared" si="0"/>
        <v>3.7390526287248177E-2</v>
      </c>
      <c r="I4" s="122">
        <f t="shared" si="0"/>
        <v>4.6837428123366442E-2</v>
      </c>
      <c r="J4" s="122">
        <f t="shared" si="0"/>
        <v>5.8748626785179267E-2</v>
      </c>
      <c r="K4" s="122">
        <f t="shared" si="0"/>
        <v>1.839405730456314E-2</v>
      </c>
      <c r="L4" s="122">
        <f t="shared" si="0"/>
        <v>8.9475512330670373E-2</v>
      </c>
      <c r="M4" s="122">
        <f t="shared" si="0"/>
        <v>0.13247890497141279</v>
      </c>
      <c r="Q4" s="107"/>
    </row>
    <row r="5" spans="2:17" x14ac:dyDescent="0.35">
      <c r="B5" s="18"/>
      <c r="C5" s="114"/>
      <c r="D5" s="116"/>
      <c r="E5" s="116"/>
      <c r="F5" s="116"/>
      <c r="G5" s="116"/>
      <c r="H5" s="116"/>
      <c r="I5" s="116"/>
      <c r="J5" s="116"/>
      <c r="K5" s="116"/>
      <c r="L5" s="116"/>
      <c r="M5" s="116"/>
      <c r="Q5" s="107"/>
    </row>
    <row r="6" spans="2:17" x14ac:dyDescent="0.35">
      <c r="B6" s="18" t="s">
        <v>29</v>
      </c>
      <c r="C6" s="110">
        <v>583</v>
      </c>
      <c r="D6" s="110">
        <v>778</v>
      </c>
      <c r="E6" s="110">
        <v>864</v>
      </c>
      <c r="F6" s="110">
        <v>1220</v>
      </c>
      <c r="G6" s="110">
        <v>1768</v>
      </c>
      <c r="H6" s="110">
        <v>1774</v>
      </c>
      <c r="I6" s="110">
        <v>2970</v>
      </c>
      <c r="J6" s="110">
        <v>1980</v>
      </c>
      <c r="K6" s="110">
        <v>2061</v>
      </c>
      <c r="L6" s="110">
        <v>3047</v>
      </c>
      <c r="M6" s="110">
        <v>3238</v>
      </c>
      <c r="Q6" s="107"/>
    </row>
    <row r="7" spans="2:17" x14ac:dyDescent="0.35">
      <c r="B7" s="18" t="s">
        <v>27</v>
      </c>
      <c r="C7" s="114"/>
      <c r="D7" s="122">
        <f t="shared" ref="D7" si="1">(D6-C6)/C6</f>
        <v>0.33447684391080618</v>
      </c>
      <c r="E7" s="122">
        <f t="shared" ref="E7" si="2">(E6-D6)/D6</f>
        <v>0.11053984575835475</v>
      </c>
      <c r="F7" s="122">
        <f t="shared" ref="F7" si="3">(F6-E6)/E6</f>
        <v>0.41203703703703703</v>
      </c>
      <c r="G7" s="122">
        <f t="shared" ref="G7" si="4">(G6-F6)/F6</f>
        <v>0.44918032786885248</v>
      </c>
      <c r="H7" s="122">
        <f t="shared" ref="H7" si="5">(H6-G6)/G6</f>
        <v>3.3936651583710408E-3</v>
      </c>
      <c r="I7" s="122">
        <f t="shared" ref="I7" si="6">(I6-H6)/H6</f>
        <v>0.67418263810597523</v>
      </c>
      <c r="J7" s="122">
        <f t="shared" ref="J7" si="7">(J6-I6)/I6</f>
        <v>-0.33333333333333331</v>
      </c>
      <c r="K7" s="122">
        <f t="shared" ref="K7" si="8">(K6-J6)/J6</f>
        <v>4.0909090909090909E-2</v>
      </c>
      <c r="L7" s="122">
        <f t="shared" ref="L7" si="9">(L6-K6)/K6</f>
        <v>0.47840853954391072</v>
      </c>
      <c r="M7" s="122">
        <f t="shared" ref="M7" si="10">(M6-L6)/L6</f>
        <v>6.2684607810961607E-2</v>
      </c>
      <c r="Q7" s="107"/>
    </row>
    <row r="8" spans="2:17" x14ac:dyDescent="0.35">
      <c r="D8" s="116"/>
      <c r="E8" s="116"/>
      <c r="F8" s="116"/>
      <c r="G8" s="116"/>
      <c r="H8" s="116"/>
      <c r="I8" s="116"/>
      <c r="J8" s="116"/>
      <c r="K8" s="116"/>
      <c r="L8" s="116"/>
      <c r="M8" s="116"/>
      <c r="Q8" s="107"/>
    </row>
    <row r="9" spans="2:17" x14ac:dyDescent="0.35">
      <c r="B9" s="18" t="s">
        <v>47</v>
      </c>
      <c r="C9" s="110">
        <v>1785</v>
      </c>
      <c r="D9" s="110">
        <v>1894</v>
      </c>
      <c r="E9" s="110">
        <v>1960</v>
      </c>
      <c r="F9" s="110">
        <v>2880</v>
      </c>
      <c r="G9" s="110">
        <v>3538</v>
      </c>
      <c r="H9" s="110">
        <v>3682</v>
      </c>
      <c r="I9" s="110">
        <v>3912</v>
      </c>
      <c r="J9" s="110">
        <v>3962</v>
      </c>
      <c r="K9" s="110">
        <v>4248</v>
      </c>
      <c r="L9" s="110">
        <v>5670</v>
      </c>
      <c r="M9" s="110">
        <v>5646</v>
      </c>
      <c r="Q9" s="107"/>
    </row>
    <row r="10" spans="2:17" x14ac:dyDescent="0.35">
      <c r="B10" s="18" t="s">
        <v>27</v>
      </c>
      <c r="C10" s="114"/>
      <c r="D10" s="122">
        <f t="shared" ref="D10" si="11">(D9-C9)/C9</f>
        <v>6.1064425770308121E-2</v>
      </c>
      <c r="E10" s="122">
        <f t="shared" ref="E10" si="12">(E9-D9)/D9</f>
        <v>3.4846884899683211E-2</v>
      </c>
      <c r="F10" s="122">
        <f t="shared" ref="F10" si="13">(F9-E9)/E9</f>
        <v>0.46938775510204084</v>
      </c>
      <c r="G10" s="122">
        <f t="shared" ref="G10" si="14">(G9-F9)/F9</f>
        <v>0.22847222222222222</v>
      </c>
      <c r="H10" s="122">
        <f t="shared" ref="H10" si="15">(H9-G9)/G9</f>
        <v>4.0700960994912383E-2</v>
      </c>
      <c r="I10" s="122">
        <f t="shared" ref="I10" si="16">(I9-H9)/H9</f>
        <v>6.2466051059206953E-2</v>
      </c>
      <c r="J10" s="122">
        <f t="shared" ref="J10" si="17">(J9-I9)/I9</f>
        <v>1.278118609406953E-2</v>
      </c>
      <c r="K10" s="122">
        <f t="shared" ref="K10" si="18">(K9-J9)/J9</f>
        <v>7.2185764765270069E-2</v>
      </c>
      <c r="L10" s="122">
        <f t="shared" ref="L10" si="19">(L9-K9)/K9</f>
        <v>0.3347457627118644</v>
      </c>
      <c r="M10" s="122">
        <f t="shared" ref="M10" si="20">(M9-L9)/L9</f>
        <v>-4.2328042328042331E-3</v>
      </c>
      <c r="Q10" s="107"/>
    </row>
    <row r="11" spans="2:17" x14ac:dyDescent="0.35">
      <c r="B11" s="18"/>
      <c r="C11" s="114"/>
      <c r="Q11" s="107"/>
    </row>
    <row r="12" spans="2:17" x14ac:dyDescent="0.35">
      <c r="B12" s="18" t="s">
        <v>143</v>
      </c>
      <c r="C12" s="110">
        <v>370</v>
      </c>
      <c r="D12" s="110">
        <v>367</v>
      </c>
      <c r="E12" s="110">
        <v>364</v>
      </c>
      <c r="F12" s="110">
        <v>413</v>
      </c>
      <c r="G12" s="110">
        <v>390</v>
      </c>
      <c r="H12" s="110">
        <v>370</v>
      </c>
      <c r="I12" s="110">
        <v>369</v>
      </c>
      <c r="J12" s="110">
        <v>366</v>
      </c>
      <c r="K12" s="110">
        <v>365</v>
      </c>
      <c r="L12" s="110">
        <v>365</v>
      </c>
      <c r="M12" s="110">
        <v>363</v>
      </c>
      <c r="Q12" s="107"/>
    </row>
    <row r="13" spans="2:17" x14ac:dyDescent="0.35">
      <c r="B13" s="18" t="s">
        <v>27</v>
      </c>
      <c r="C13" s="114"/>
      <c r="D13" s="122">
        <f t="shared" ref="D13" si="21">(D12-C12)/C12</f>
        <v>-8.1081081081081086E-3</v>
      </c>
      <c r="E13" s="122">
        <f t="shared" ref="E13" si="22">(E12-D12)/D12</f>
        <v>-8.1743869209809257E-3</v>
      </c>
      <c r="F13" s="122">
        <f t="shared" ref="F13" si="23">(F12-E12)/E12</f>
        <v>0.13461538461538461</v>
      </c>
      <c r="G13" s="122">
        <f t="shared" ref="G13" si="24">(G12-F12)/F12</f>
        <v>-5.569007263922518E-2</v>
      </c>
      <c r="H13" s="122">
        <f t="shared" ref="H13" si="25">(H12-G12)/G12</f>
        <v>-5.128205128205128E-2</v>
      </c>
      <c r="I13" s="122">
        <f t="shared" ref="I13" si="26">(I12-H12)/H12</f>
        <v>-2.7027027027027029E-3</v>
      </c>
      <c r="J13" s="122">
        <f t="shared" ref="J13" si="27">(J12-I12)/I12</f>
        <v>-8.130081300813009E-3</v>
      </c>
      <c r="K13" s="122">
        <f t="shared" ref="K13" si="28">(K12-J12)/J12</f>
        <v>-2.7322404371584699E-3</v>
      </c>
      <c r="L13" s="122">
        <f t="shared" ref="L13" si="29">(L12-K12)/K12</f>
        <v>0</v>
      </c>
      <c r="M13" s="122">
        <f t="shared" ref="M13" si="30">(M12-L12)/L12</f>
        <v>-5.4794520547945206E-3</v>
      </c>
      <c r="Q13" s="107"/>
    </row>
    <row r="14" spans="2:17" x14ac:dyDescent="0.35">
      <c r="B14" s="18"/>
      <c r="C14" s="114"/>
      <c r="Q14" s="107"/>
    </row>
    <row r="15" spans="2:17" x14ac:dyDescent="0.35">
      <c r="B15" s="18" t="s">
        <v>144</v>
      </c>
      <c r="C15" s="110">
        <v>1.5800000429153442</v>
      </c>
      <c r="D15" s="110">
        <v>2.119999885559082</v>
      </c>
      <c r="E15" s="110">
        <v>2.369999885559082</v>
      </c>
      <c r="F15" s="110">
        <v>2.9500000476837158</v>
      </c>
      <c r="G15" s="110">
        <v>4.5300002098083496</v>
      </c>
      <c r="H15" s="110">
        <v>4.7899999618530273</v>
      </c>
      <c r="I15" s="110">
        <v>8.0399999618530273</v>
      </c>
      <c r="J15" s="110">
        <v>5.4000000953674316</v>
      </c>
      <c r="K15" s="110">
        <v>5.6399998664855957</v>
      </c>
      <c r="L15" s="110">
        <v>8.3400001525878906</v>
      </c>
      <c r="M15" s="110">
        <v>8.9200000762939453</v>
      </c>
      <c r="Q15" s="107"/>
    </row>
    <row r="16" spans="2:17" x14ac:dyDescent="0.35">
      <c r="B16" s="18" t="s">
        <v>27</v>
      </c>
      <c r="D16" s="122">
        <f t="shared" ref="D16" si="31">(D15-C15)/C15</f>
        <v>0.34177204302308517</v>
      </c>
      <c r="E16" s="122">
        <f t="shared" ref="E16" si="32">(E15-D15)/D15</f>
        <v>0.11792453466763785</v>
      </c>
      <c r="F16" s="122">
        <f t="shared" ref="F16" si="33">(F15-E15)/E15</f>
        <v>0.24472581862079401</v>
      </c>
      <c r="G16" s="122">
        <f t="shared" ref="G16" si="34">(G15-F15)/F15</f>
        <v>0.53559326663916973</v>
      </c>
      <c r="H16" s="122">
        <f t="shared" ref="H16" si="35">(H15-G15)/G15</f>
        <v>5.7395086093313397E-2</v>
      </c>
      <c r="I16" s="122">
        <f t="shared" ref="I16" si="36">(I15-H15)/H15</f>
        <v>0.67849687387945723</v>
      </c>
      <c r="J16" s="122">
        <f t="shared" ref="J16" si="37">(J15-I15)/I15</f>
        <v>-0.3283581939068993</v>
      </c>
      <c r="K16" s="122">
        <f t="shared" ref="K16" si="38">(K15-J15)/J15</f>
        <v>4.4444401274002905E-2</v>
      </c>
      <c r="L16" s="122">
        <f t="shared" ref="L16" si="39">(L15-K15)/K15</f>
        <v>0.47872346631538409</v>
      </c>
      <c r="M16" s="122">
        <f t="shared" ref="M16" si="40">(M15-L15)/L15</f>
        <v>6.9544354088061006E-2</v>
      </c>
      <c r="Q16" s="107"/>
    </row>
    <row r="17" spans="2:36" x14ac:dyDescent="0.35">
      <c r="B17" s="18"/>
      <c r="Q17" s="107"/>
    </row>
    <row r="19" spans="2:36" ht="17.5" thickBot="1" x14ac:dyDescent="0.45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 x14ac:dyDescent="0.35">
      <c r="B20" s="31" t="s">
        <v>30</v>
      </c>
      <c r="C20" s="129">
        <v>497</v>
      </c>
      <c r="D20" s="130">
        <v>756</v>
      </c>
      <c r="E20" s="130">
        <v>546</v>
      </c>
      <c r="F20" s="130">
        <v>1716</v>
      </c>
      <c r="G20" s="130">
        <v>2021</v>
      </c>
      <c r="H20" s="130">
        <v>1530</v>
      </c>
      <c r="I20" s="130">
        <v>1763</v>
      </c>
      <c r="J20" s="130">
        <v>1254</v>
      </c>
      <c r="K20" s="130">
        <v>2675</v>
      </c>
      <c r="L20" s="130">
        <v>2631</v>
      </c>
      <c r="M20" s="130">
        <v>800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 x14ac:dyDescent="0.35">
      <c r="B21" s="31" t="s">
        <v>27</v>
      </c>
      <c r="C21" s="129"/>
      <c r="D21" s="131"/>
      <c r="E21" s="133">
        <f t="shared" ref="E21" si="41">(E20-D20)/D20</f>
        <v>-0.27777777777777779</v>
      </c>
      <c r="F21" s="133">
        <f t="shared" ref="F21" si="42">(F20-E20)/E20</f>
        <v>2.1428571428571428</v>
      </c>
      <c r="G21" s="133">
        <f t="shared" ref="G21" si="43">(G20-F20)/F20</f>
        <v>0.17773892773892774</v>
      </c>
      <c r="H21" s="133">
        <f t="shared" ref="H21" si="44">(H20-G20)/G20</f>
        <v>-0.2429490351311232</v>
      </c>
      <c r="I21" s="133">
        <f t="shared" ref="I21" si="45">(I20-H20)/H20</f>
        <v>0.15228758169934639</v>
      </c>
      <c r="J21" s="133">
        <f t="shared" ref="J21" si="46">(J20-I20)/I20</f>
        <v>-0.28871242200794101</v>
      </c>
      <c r="K21" s="133">
        <f t="shared" ref="K21" si="47">(K20-J20)/J20</f>
        <v>1.1331738437001595</v>
      </c>
      <c r="L21" s="133">
        <f t="shared" ref="L21" si="48">(L20-K20)/K20</f>
        <v>-1.6448598130841121E-2</v>
      </c>
      <c r="M21" s="133">
        <f t="shared" ref="M21" si="49">(M20-L20)/L20</f>
        <v>-0.69593310528316232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 x14ac:dyDescent="0.35"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 x14ac:dyDescent="0.35">
      <c r="B23" s="18" t="s">
        <v>60</v>
      </c>
      <c r="C23" s="114">
        <v>57</v>
      </c>
      <c r="D23" s="132">
        <v>104</v>
      </c>
      <c r="E23" s="132">
        <v>104</v>
      </c>
      <c r="F23" s="132">
        <v>147</v>
      </c>
      <c r="G23" s="132">
        <v>216</v>
      </c>
      <c r="H23" s="132">
        <v>319</v>
      </c>
      <c r="I23" s="132">
        <v>431</v>
      </c>
      <c r="J23" s="132">
        <v>537</v>
      </c>
      <c r="K23" s="132">
        <v>601</v>
      </c>
      <c r="L23" s="132">
        <v>636</v>
      </c>
      <c r="M23" s="132">
        <v>653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 x14ac:dyDescent="0.35">
      <c r="D24" s="122">
        <f t="shared" ref="D24" si="50">(D23-C23)/C23</f>
        <v>0.82456140350877194</v>
      </c>
      <c r="E24" s="122">
        <f t="shared" ref="E24" si="51">(E23-D23)/D23</f>
        <v>0</v>
      </c>
      <c r="F24" s="122">
        <f t="shared" ref="F24" si="52">(F23-E23)/E23</f>
        <v>0.41346153846153844</v>
      </c>
      <c r="G24" s="122">
        <f t="shared" ref="G24" si="53">(G23-F23)/F23</f>
        <v>0.46938775510204084</v>
      </c>
      <c r="H24" s="122">
        <f t="shared" ref="H24" si="54">(H23-G23)/G23</f>
        <v>0.47685185185185186</v>
      </c>
      <c r="I24" s="122">
        <f t="shared" ref="I24" si="55">(I23-H23)/H23</f>
        <v>0.35109717868338558</v>
      </c>
      <c r="J24" s="122">
        <f t="shared" ref="J24" si="56">(J23-I23)/I23</f>
        <v>0.24593967517401391</v>
      </c>
      <c r="K24" s="122">
        <f t="shared" ref="K24" si="57">(K23-J23)/J23</f>
        <v>0.11918063314711359</v>
      </c>
      <c r="L24" s="122">
        <f t="shared" ref="L24" si="58">(L23-K23)/K23</f>
        <v>5.8236272878535771E-2</v>
      </c>
      <c r="M24" s="122">
        <f t="shared" ref="M24" si="59">(M23-L23)/L23</f>
        <v>2.6729559748427674E-2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 x14ac:dyDescent="0.35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 x14ac:dyDescent="0.35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 x14ac:dyDescent="0.45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 x14ac:dyDescent="0.35">
      <c r="B28" s="18" t="s">
        <v>49</v>
      </c>
      <c r="C28" s="110">
        <v>5403</v>
      </c>
      <c r="D28" s="110">
        <v>5604</v>
      </c>
      <c r="E28" s="110">
        <v>6221</v>
      </c>
      <c r="F28" s="110">
        <v>5381</v>
      </c>
      <c r="G28" s="110">
        <v>4888</v>
      </c>
      <c r="H28" s="110">
        <v>6258</v>
      </c>
      <c r="I28" s="110">
        <v>5688</v>
      </c>
      <c r="J28" s="110">
        <v>6990</v>
      </c>
      <c r="K28" s="110">
        <v>7598</v>
      </c>
      <c r="L28" s="110">
        <v>9822</v>
      </c>
      <c r="M28" s="110">
        <v>9630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 x14ac:dyDescent="0.35">
      <c r="B29" s="18" t="s">
        <v>27</v>
      </c>
      <c r="C29" s="114"/>
      <c r="D29" s="122">
        <f t="shared" ref="D29" si="60">(D28-C28)/C28</f>
        <v>3.720155469183787E-2</v>
      </c>
      <c r="E29" s="122">
        <f t="shared" ref="E29" si="61">(E28-D28)/D28</f>
        <v>0.11009992862241257</v>
      </c>
      <c r="F29" s="122">
        <f t="shared" ref="F29" si="62">(F28-E28)/E28</f>
        <v>-0.13502652306703103</v>
      </c>
      <c r="G29" s="122">
        <f t="shared" ref="G29" si="63">(G28-F28)/F28</f>
        <v>-9.1618658241962456E-2</v>
      </c>
      <c r="H29" s="122">
        <f t="shared" ref="H29" si="64">(H28-G28)/G28</f>
        <v>0.280278232405892</v>
      </c>
      <c r="I29" s="122">
        <f t="shared" ref="I29" si="65">(I28-H28)/H28</f>
        <v>-9.1083413231064239E-2</v>
      </c>
      <c r="J29" s="122">
        <f t="shared" ref="J29" si="66">(J28-I28)/I28</f>
        <v>0.2289029535864979</v>
      </c>
      <c r="K29" s="122">
        <f t="shared" ref="K29" si="67">(K28-J28)/J28</f>
        <v>8.6981402002861224E-2</v>
      </c>
      <c r="L29" s="122">
        <f t="shared" ref="L29" si="68">(L28-K28)/K28</f>
        <v>0.29270860752829692</v>
      </c>
      <c r="M29" s="122">
        <f t="shared" ref="M29" si="69">(M28-L28)/L28</f>
        <v>-1.9547953573610263E-2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 x14ac:dyDescent="0.35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 x14ac:dyDescent="0.35">
      <c r="B31" s="18" t="s">
        <v>53</v>
      </c>
      <c r="C31" s="110">
        <v>6493</v>
      </c>
      <c r="D31" s="110">
        <v>6573</v>
      </c>
      <c r="E31" s="110">
        <v>17735</v>
      </c>
      <c r="F31" s="110">
        <v>17588</v>
      </c>
      <c r="G31" s="110">
        <v>17485</v>
      </c>
      <c r="H31" s="110">
        <v>21808</v>
      </c>
      <c r="I31" s="110">
        <v>23421</v>
      </c>
      <c r="J31" s="110">
        <v>25928</v>
      </c>
      <c r="K31" s="110">
        <v>26858</v>
      </c>
      <c r="L31" s="110">
        <v>26487</v>
      </c>
      <c r="M31" s="110">
        <v>27191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 x14ac:dyDescent="0.35">
      <c r="B32" s="18" t="s">
        <v>27</v>
      </c>
      <c r="C32" s="114"/>
      <c r="D32" s="122">
        <f t="shared" ref="D32" si="70">(D31-C31)/C31</f>
        <v>1.2320961034960727E-2</v>
      </c>
      <c r="E32" s="122">
        <f t="shared" ref="E32" si="71">(E31-D31)/D31</f>
        <v>1.6981591358588164</v>
      </c>
      <c r="F32" s="122">
        <f t="shared" ref="F32" si="72">(F31-E31)/E31</f>
        <v>-8.2886946715534249E-3</v>
      </c>
      <c r="G32" s="122">
        <f t="shared" ref="G32" si="73">(G31-F31)/F31</f>
        <v>-5.856265635660678E-3</v>
      </c>
      <c r="H32" s="122">
        <f t="shared" ref="H32" si="74">(H31-G31)/G31</f>
        <v>0.24724049185015728</v>
      </c>
      <c r="I32" s="122">
        <f t="shared" ref="I32" si="75">(I31-H31)/H31</f>
        <v>7.3963683052090973E-2</v>
      </c>
      <c r="J32" s="122">
        <f t="shared" ref="J32" si="76">(J31-I31)/I31</f>
        <v>0.1070406899790786</v>
      </c>
      <c r="K32" s="122">
        <f t="shared" ref="K32" si="77">(K31-J31)/J31</f>
        <v>3.5868559086701633E-2</v>
      </c>
      <c r="L32" s="122">
        <f t="shared" ref="L32" si="78">(L31-K31)/K31</f>
        <v>-1.3813388934395711E-2</v>
      </c>
      <c r="M32" s="122">
        <f t="shared" ref="M32" si="79">(M31-L31)/L31</f>
        <v>2.657907652810813E-2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 x14ac:dyDescent="0.35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 x14ac:dyDescent="0.35">
      <c r="B34" s="32" t="s">
        <v>50</v>
      </c>
      <c r="C34" s="112"/>
      <c r="D34" s="112">
        <f>D28+D31</f>
        <v>12177</v>
      </c>
      <c r="E34" s="112">
        <f t="shared" ref="E34:M34" si="80">E28+E31</f>
        <v>23956</v>
      </c>
      <c r="F34" s="112">
        <f t="shared" si="80"/>
        <v>22969</v>
      </c>
      <c r="G34" s="112">
        <f t="shared" si="80"/>
        <v>22373</v>
      </c>
      <c r="H34" s="112">
        <f t="shared" si="80"/>
        <v>28066</v>
      </c>
      <c r="I34" s="112">
        <f t="shared" si="80"/>
        <v>29109</v>
      </c>
      <c r="J34" s="112">
        <f t="shared" si="80"/>
        <v>32918</v>
      </c>
      <c r="K34" s="112">
        <f t="shared" si="80"/>
        <v>34456</v>
      </c>
      <c r="L34" s="112">
        <f t="shared" si="80"/>
        <v>36309</v>
      </c>
      <c r="M34" s="112">
        <f t="shared" si="80"/>
        <v>36821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 x14ac:dyDescent="0.35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 x14ac:dyDescent="0.35">
      <c r="B36" s="18" t="s">
        <v>51</v>
      </c>
      <c r="C36" s="114">
        <v>2830</v>
      </c>
      <c r="D36" s="119">
        <v>3010</v>
      </c>
      <c r="E36" s="110">
        <v>3797</v>
      </c>
      <c r="F36" s="110">
        <v>3535</v>
      </c>
      <c r="G36" s="110">
        <v>2762</v>
      </c>
      <c r="H36" s="110">
        <v>4032</v>
      </c>
      <c r="I36" s="110">
        <v>5031</v>
      </c>
      <c r="J36" s="110">
        <v>5513</v>
      </c>
      <c r="K36" s="110">
        <v>4234</v>
      </c>
      <c r="L36" s="110">
        <v>6325</v>
      </c>
      <c r="M36" s="110">
        <v>5313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 x14ac:dyDescent="0.35">
      <c r="B37" s="18" t="s">
        <v>27</v>
      </c>
      <c r="C37" s="114"/>
      <c r="D37" s="122">
        <f t="shared" ref="D37" si="81">(D36-C36)/C36</f>
        <v>6.3604240282685506E-2</v>
      </c>
      <c r="E37" s="122">
        <f t="shared" ref="E37" si="82">(E36-D36)/D36</f>
        <v>0.26146179401993358</v>
      </c>
      <c r="F37" s="122">
        <f t="shared" ref="F37" si="83">(F36-E36)/E36</f>
        <v>-6.9001843560705822E-2</v>
      </c>
      <c r="G37" s="122">
        <f t="shared" ref="G37" si="84">(G36-F36)/F36</f>
        <v>-0.21867043847241868</v>
      </c>
      <c r="H37" s="122">
        <f t="shared" ref="H37" si="85">(H36-G36)/G36</f>
        <v>0.45981173062997827</v>
      </c>
      <c r="I37" s="122">
        <f t="shared" ref="I37" si="86">(I36-H36)/H36</f>
        <v>0.24776785714285715</v>
      </c>
      <c r="J37" s="122">
        <f t="shared" ref="J37" si="87">(J36-I36)/I36</f>
        <v>9.5806002782746966E-2</v>
      </c>
      <c r="K37" s="122">
        <f t="shared" ref="K37" si="88">(K36-J36)/J36</f>
        <v>-0.23199709776890984</v>
      </c>
      <c r="L37" s="122">
        <f t="shared" ref="L37" si="89">(L36-K36)/K36</f>
        <v>0.49385923476617855</v>
      </c>
      <c r="M37" s="122">
        <f t="shared" ref="M37" si="90">(M36-L36)/L36</f>
        <v>-0.16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 x14ac:dyDescent="0.35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 x14ac:dyDescent="0.35">
      <c r="B39" s="18" t="s">
        <v>52</v>
      </c>
      <c r="C39" s="114">
        <v>3024</v>
      </c>
      <c r="D39" s="110">
        <v>2934</v>
      </c>
      <c r="E39" s="110">
        <v>11255</v>
      </c>
      <c r="F39" s="110">
        <v>9728</v>
      </c>
      <c r="G39" s="110">
        <v>9987</v>
      </c>
      <c r="H39" s="110">
        <v>13475</v>
      </c>
      <c r="I39" s="110">
        <v>11267</v>
      </c>
      <c r="J39" s="110">
        <v>13311</v>
      </c>
      <c r="K39" s="110">
        <v>14836</v>
      </c>
      <c r="L39" s="110">
        <v>12130</v>
      </c>
      <c r="M39" s="110">
        <v>11697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 x14ac:dyDescent="0.35">
      <c r="B40" s="18" t="s">
        <v>27</v>
      </c>
      <c r="C40" s="114"/>
      <c r="D40" s="122">
        <f t="shared" ref="D40" si="91">(D39-C39)/C39</f>
        <v>-2.976190476190476E-2</v>
      </c>
      <c r="E40" s="122">
        <f t="shared" ref="E40" si="92">(E39-D39)/D39</f>
        <v>2.8360599863667346</v>
      </c>
      <c r="F40" s="122">
        <f t="shared" ref="F40" si="93">(F39-E39)/E39</f>
        <v>-0.13567303420701909</v>
      </c>
      <c r="G40" s="122">
        <f t="shared" ref="G40" si="94">(G39-F39)/F39</f>
        <v>2.6624177631578948E-2</v>
      </c>
      <c r="H40" s="122">
        <f t="shared" ref="H40" si="95">(H39-G39)/G39</f>
        <v>0.34925403023931112</v>
      </c>
      <c r="I40" s="122">
        <f t="shared" ref="I40" si="96">(I39-H39)/H39</f>
        <v>-0.16385899814471244</v>
      </c>
      <c r="J40" s="122">
        <f t="shared" ref="J40" si="97">(J39-I39)/I39</f>
        <v>0.18141475104286856</v>
      </c>
      <c r="K40" s="122">
        <f t="shared" ref="K40" si="98">(K39-J39)/J39</f>
        <v>0.11456689955675757</v>
      </c>
      <c r="L40" s="122">
        <f t="shared" ref="L40" si="99">(L39-K39)/K39</f>
        <v>-0.18239417632785118</v>
      </c>
      <c r="M40" s="122">
        <f t="shared" ref="M40" si="100">(M39-L39)/L39</f>
        <v>-3.5696619950535864E-2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 x14ac:dyDescent="0.35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 x14ac:dyDescent="0.35">
      <c r="B42" s="31" t="s">
        <v>54</v>
      </c>
      <c r="C42" s="117">
        <v>1</v>
      </c>
      <c r="D42" s="112">
        <f>D36+D39</f>
        <v>5944</v>
      </c>
      <c r="E42" s="112">
        <f t="shared" ref="E42:M42" si="101">E36+E39</f>
        <v>15052</v>
      </c>
      <c r="F42" s="112">
        <f t="shared" si="101"/>
        <v>13263</v>
      </c>
      <c r="G42" s="112">
        <f t="shared" si="101"/>
        <v>12749</v>
      </c>
      <c r="H42" s="112">
        <f t="shared" si="101"/>
        <v>17507</v>
      </c>
      <c r="I42" s="112">
        <f t="shared" si="101"/>
        <v>16298</v>
      </c>
      <c r="J42" s="112">
        <f t="shared" si="101"/>
        <v>18824</v>
      </c>
      <c r="K42" s="112">
        <f t="shared" si="101"/>
        <v>19070</v>
      </c>
      <c r="L42" s="112">
        <f t="shared" si="101"/>
        <v>18455</v>
      </c>
      <c r="M42" s="112">
        <f t="shared" si="101"/>
        <v>17010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 x14ac:dyDescent="0.35">
      <c r="B43" s="18"/>
      <c r="C43" s="114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 x14ac:dyDescent="0.35">
      <c r="B44" s="31" t="s">
        <v>55</v>
      </c>
      <c r="C44" s="117">
        <v>1</v>
      </c>
      <c r="D44" s="111">
        <f>D34-D42</f>
        <v>6233</v>
      </c>
      <c r="E44" s="111">
        <f t="shared" ref="E44:M44" si="102">E34-E42</f>
        <v>8904</v>
      </c>
      <c r="F44" s="111">
        <f t="shared" si="102"/>
        <v>9706</v>
      </c>
      <c r="G44" s="111">
        <f t="shared" si="102"/>
        <v>9624</v>
      </c>
      <c r="H44" s="111">
        <f t="shared" si="102"/>
        <v>10559</v>
      </c>
      <c r="I44" s="111">
        <f t="shared" si="102"/>
        <v>12811</v>
      </c>
      <c r="J44" s="111">
        <f t="shared" si="102"/>
        <v>14094</v>
      </c>
      <c r="K44" s="111">
        <f t="shared" si="102"/>
        <v>15386</v>
      </c>
      <c r="L44" s="111">
        <f t="shared" si="102"/>
        <v>17854</v>
      </c>
      <c r="M44" s="111">
        <f t="shared" si="102"/>
        <v>19811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 x14ac:dyDescent="0.35"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 x14ac:dyDescent="0.35"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 x14ac:dyDescent="0.35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 x14ac:dyDescent="0.35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 x14ac:dyDescent="0.45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 x14ac:dyDescent="0.35">
      <c r="B50" s="18" t="s">
        <v>57</v>
      </c>
      <c r="C50" s="114"/>
      <c r="D50" s="127">
        <f t="shared" ref="D50:M50" si="103">D6/D3</f>
        <v>2.2633385698493047E-2</v>
      </c>
      <c r="E50" s="127">
        <f t="shared" si="103"/>
        <v>2.2990952634379988E-2</v>
      </c>
      <c r="F50" s="127">
        <f t="shared" si="103"/>
        <v>2.9487830227443019E-2</v>
      </c>
      <c r="G50" s="127">
        <f t="shared" si="103"/>
        <v>4.7937962636587943E-2</v>
      </c>
      <c r="H50" s="127">
        <f t="shared" si="103"/>
        <v>4.6366962885520127E-2</v>
      </c>
      <c r="I50" s="127">
        <f t="shared" si="103"/>
        <v>7.4153600319584539E-2</v>
      </c>
      <c r="J50" s="127">
        <f t="shared" si="103"/>
        <v>4.6692607003891051E-2</v>
      </c>
      <c r="K50" s="127">
        <f t="shared" si="103"/>
        <v>4.7724904480722474E-2</v>
      </c>
      <c r="L50" s="127">
        <f t="shared" si="103"/>
        <v>6.4762269123679564E-2</v>
      </c>
      <c r="M50" s="127">
        <f t="shared" si="103"/>
        <v>6.0770992079876879E-2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 x14ac:dyDescent="0.35">
      <c r="B51" s="18" t="s">
        <v>58</v>
      </c>
      <c r="C51" s="114"/>
      <c r="D51" s="127">
        <f t="shared" ref="D51:M51" si="104">D9/D3</f>
        <v>5.5099784721010063E-2</v>
      </c>
      <c r="E51" s="127">
        <f t="shared" si="104"/>
        <v>5.2155401809473124E-2</v>
      </c>
      <c r="F51" s="127">
        <f t="shared" si="104"/>
        <v>6.9610615618881877E-2</v>
      </c>
      <c r="G51" s="127">
        <f t="shared" si="104"/>
        <v>9.5930153737696922E-2</v>
      </c>
      <c r="H51" s="127">
        <f t="shared" si="104"/>
        <v>9.6236278097229483E-2</v>
      </c>
      <c r="I51" s="127">
        <f t="shared" si="104"/>
        <v>9.7673025067412364E-2</v>
      </c>
      <c r="J51" s="127">
        <f t="shared" si="104"/>
        <v>9.3432378257280985E-2</v>
      </c>
      <c r="K51" s="127">
        <f t="shared" si="104"/>
        <v>9.8367488711358114E-2</v>
      </c>
      <c r="L51" s="127">
        <f t="shared" si="104"/>
        <v>0.12051265701715233</v>
      </c>
      <c r="M51" s="127">
        <f t="shared" si="104"/>
        <v>0.10596449082241657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 x14ac:dyDescent="0.35">
      <c r="B52" s="18" t="s">
        <v>59</v>
      </c>
      <c r="C52" s="114"/>
      <c r="D52" s="127">
        <f t="shared" ref="D52:M52" si="105">D20/D3</f>
        <v>2.1993367079769593E-2</v>
      </c>
      <c r="E52" s="127">
        <f t="shared" si="105"/>
        <v>1.4529004789781799E-2</v>
      </c>
      <c r="F52" s="127">
        <f t="shared" si="105"/>
        <v>4.1476325139583783E-2</v>
      </c>
      <c r="G52" s="127">
        <f t="shared" si="105"/>
        <v>5.4797863398497869E-2</v>
      </c>
      <c r="H52" s="127">
        <f t="shared" si="105"/>
        <v>3.9989545216936748E-2</v>
      </c>
      <c r="I52" s="127">
        <f t="shared" si="105"/>
        <v>4.4017776890042944E-2</v>
      </c>
      <c r="J52" s="127">
        <f t="shared" si="105"/>
        <v>2.9571984435797664E-2</v>
      </c>
      <c r="K52" s="127">
        <f t="shared" si="105"/>
        <v>6.1942804214426307E-2</v>
      </c>
      <c r="L52" s="127">
        <f t="shared" si="105"/>
        <v>5.5920423388382323E-2</v>
      </c>
      <c r="M52" s="127">
        <f t="shared" si="105"/>
        <v>1.5014451409481626E-2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 x14ac:dyDescent="0.35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 x14ac:dyDescent="0.45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 x14ac:dyDescent="0.35">
      <c r="B55" s="10" t="s">
        <v>62</v>
      </c>
      <c r="C55" s="115"/>
      <c r="D55" s="127">
        <f>D23/D20</f>
        <v>0.13756613756613756</v>
      </c>
      <c r="E55" s="127">
        <f t="shared" ref="E55:M55" si="106">E23/E20</f>
        <v>0.19047619047619047</v>
      </c>
      <c r="F55" s="127">
        <f t="shared" si="106"/>
        <v>8.5664335664335664E-2</v>
      </c>
      <c r="G55" s="127">
        <f t="shared" si="106"/>
        <v>0.10687778327560614</v>
      </c>
      <c r="H55" s="127">
        <f t="shared" si="106"/>
        <v>0.2084967320261438</v>
      </c>
      <c r="I55" s="127">
        <f t="shared" si="106"/>
        <v>0.24446965399886558</v>
      </c>
      <c r="J55" s="127">
        <f t="shared" si="106"/>
        <v>0.42822966507177035</v>
      </c>
      <c r="K55" s="127">
        <f t="shared" si="106"/>
        <v>0.22467289719626168</v>
      </c>
      <c r="L55" s="127">
        <f t="shared" si="106"/>
        <v>0.24173318129988597</v>
      </c>
      <c r="M55" s="127">
        <f t="shared" si="106"/>
        <v>0.81625000000000003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 x14ac:dyDescent="0.35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 x14ac:dyDescent="0.45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 x14ac:dyDescent="0.35">
      <c r="B58" s="18" t="s">
        <v>64</v>
      </c>
      <c r="C58" s="114"/>
      <c r="D58" s="113">
        <f>D42/D44</f>
        <v>0.95363388416492856</v>
      </c>
      <c r="E58" s="113">
        <f t="shared" ref="E58:M58" si="107">E42/E44</f>
        <v>1.6904761904761905</v>
      </c>
      <c r="F58" s="113">
        <f t="shared" si="107"/>
        <v>1.366474345765506</v>
      </c>
      <c r="G58" s="113">
        <f t="shared" si="107"/>
        <v>1.3247090606816292</v>
      </c>
      <c r="H58" s="113">
        <f t="shared" si="107"/>
        <v>1.6580168576569752</v>
      </c>
      <c r="I58" s="113">
        <f t="shared" si="107"/>
        <v>1.272187963468894</v>
      </c>
      <c r="J58" s="113">
        <f t="shared" si="107"/>
        <v>1.3356038030367532</v>
      </c>
      <c r="K58" s="113">
        <f t="shared" si="107"/>
        <v>1.2394384505394513</v>
      </c>
      <c r="L58" s="113">
        <f t="shared" si="107"/>
        <v>1.0336619244987117</v>
      </c>
      <c r="M58" s="113">
        <f t="shared" si="107"/>
        <v>0.85861390136792692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 x14ac:dyDescent="0.35">
      <c r="B59" s="18" t="s">
        <v>65</v>
      </c>
      <c r="C59" s="114"/>
      <c r="D59" s="113">
        <f>D28/D36</f>
        <v>1.8617940199335548</v>
      </c>
      <c r="E59" s="113">
        <f t="shared" ref="E59:M59" si="108">E28/E36</f>
        <v>1.6383987358440875</v>
      </c>
      <c r="F59" s="113">
        <f t="shared" si="108"/>
        <v>1.5222065063649222</v>
      </c>
      <c r="G59" s="113">
        <f t="shared" si="108"/>
        <v>1.7697320782041999</v>
      </c>
      <c r="H59" s="113">
        <f t="shared" si="108"/>
        <v>1.5520833333333333</v>
      </c>
      <c r="I59" s="113">
        <f t="shared" si="108"/>
        <v>1.1305903398926656</v>
      </c>
      <c r="J59" s="113">
        <f t="shared" si="108"/>
        <v>1.267912207509523</v>
      </c>
      <c r="K59" s="113">
        <f t="shared" si="108"/>
        <v>1.7945205479452055</v>
      </c>
      <c r="L59" s="113">
        <f t="shared" si="108"/>
        <v>1.5528853754940712</v>
      </c>
      <c r="M59" s="113">
        <f t="shared" si="108"/>
        <v>1.8125352907961603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 x14ac:dyDescent="0.35"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 ht="17.5" thickBot="1" x14ac:dyDescent="0.45">
      <c r="B61" s="2" t="s">
        <v>72</v>
      </c>
      <c r="C61" s="109"/>
      <c r="D61" s="109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5" thickTop="1" x14ac:dyDescent="0.35">
      <c r="B62" s="18" t="s">
        <v>73</v>
      </c>
      <c r="C62" s="114"/>
      <c r="D62" s="122">
        <f>(M20/I20)^0.2 - 1</f>
        <v>-0.14617761843909893</v>
      </c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x14ac:dyDescent="0.35">
      <c r="B63" s="18" t="s">
        <v>83</v>
      </c>
      <c r="C63" s="114"/>
      <c r="D63" s="122">
        <f>(M20/D20)^0.1 - 1</f>
        <v>5.6730663876813914E-3</v>
      </c>
    </row>
    <row r="64" spans="2:36" x14ac:dyDescent="0.35">
      <c r="B64" s="10" t="s">
        <v>74</v>
      </c>
      <c r="C64" s="115"/>
      <c r="D64" s="122">
        <f>(M6/I6)^0.2 - 1</f>
        <v>1.7428922123943869E-2</v>
      </c>
    </row>
    <row r="65" spans="2:13" x14ac:dyDescent="0.35">
      <c r="B65" s="10" t="s">
        <v>84</v>
      </c>
      <c r="C65" s="115"/>
      <c r="D65" s="122">
        <f>(M6/D6)^0.1 - 1</f>
        <v>0.15326662715954398</v>
      </c>
    </row>
    <row r="66" spans="2:13" x14ac:dyDescent="0.35">
      <c r="B66" s="10" t="s">
        <v>75</v>
      </c>
      <c r="C66" s="115"/>
      <c r="D66" s="122">
        <f>(M3/I3)^0.2 - 1</f>
        <v>5.8744731312915022E-2</v>
      </c>
    </row>
    <row r="67" spans="2:13" x14ac:dyDescent="0.35">
      <c r="B67" s="10" t="s">
        <v>85</v>
      </c>
      <c r="C67" s="115"/>
      <c r="D67" s="122">
        <f>(M3/D3)^0.1 - 1</f>
        <v>4.4804524308318605E-2</v>
      </c>
    </row>
    <row r="68" spans="2:13" x14ac:dyDescent="0.35">
      <c r="B68" s="10" t="s">
        <v>88</v>
      </c>
      <c r="C68" s="115"/>
      <c r="D68" s="122">
        <f>(M9/I9)^0.2 - 1</f>
        <v>7.6139086068863548E-2</v>
      </c>
    </row>
    <row r="69" spans="2:13" x14ac:dyDescent="0.35">
      <c r="B69" s="10" t="s">
        <v>89</v>
      </c>
      <c r="C69" s="115"/>
      <c r="D69" s="122">
        <f>(M9/D9)^0.2 - 1</f>
        <v>0.24414838408334805</v>
      </c>
    </row>
    <row r="70" spans="2:13" x14ac:dyDescent="0.35">
      <c r="B70" s="10" t="s">
        <v>131</v>
      </c>
      <c r="D70" s="122">
        <f>(M23/I23)^0.2 - 1</f>
        <v>8.6643739463315939E-2</v>
      </c>
    </row>
    <row r="71" spans="2:13" x14ac:dyDescent="0.35">
      <c r="B71" s="10" t="s">
        <v>132</v>
      </c>
      <c r="D71" s="122">
        <f>AVERAGE(I24:M24)</f>
        <v>0.16023666392629529</v>
      </c>
    </row>
    <row r="72" spans="2:13" x14ac:dyDescent="0.35">
      <c r="B72" s="10" t="s">
        <v>135</v>
      </c>
      <c r="D72" s="122">
        <f>AVERAGE(I55:M55)</f>
        <v>0.39107107951335679</v>
      </c>
    </row>
    <row r="74" spans="2:13" ht="17.5" thickBot="1" x14ac:dyDescent="0.45">
      <c r="B74" s="2" t="s">
        <v>145</v>
      </c>
      <c r="C74" s="109"/>
      <c r="D74" s="109">
        <v>2013</v>
      </c>
      <c r="E74" s="109">
        <v>2014</v>
      </c>
      <c r="F74" s="109">
        <v>2015</v>
      </c>
      <c r="G74" s="109">
        <v>2016</v>
      </c>
      <c r="H74" s="109">
        <v>2017</v>
      </c>
      <c r="I74" s="109">
        <v>2018</v>
      </c>
      <c r="J74" s="109">
        <v>2019</v>
      </c>
      <c r="K74" s="109">
        <v>2020</v>
      </c>
      <c r="L74" s="109">
        <v>2021</v>
      </c>
      <c r="M74" s="109">
        <v>2022</v>
      </c>
    </row>
    <row r="75" spans="2:13" ht="15" thickTop="1" x14ac:dyDescent="0.35">
      <c r="B75" s="10" t="s">
        <v>138</v>
      </c>
      <c r="C75" s="110">
        <v>0</v>
      </c>
      <c r="D75" s="110">
        <f t="shared" ref="D75:M75" si="109">100*D6/D34</f>
        <v>6.3890941939722428</v>
      </c>
      <c r="E75" s="110">
        <f t="shared" si="109"/>
        <v>3.6066121222240777</v>
      </c>
      <c r="F75" s="110">
        <f t="shared" si="109"/>
        <v>5.3115068135312811</v>
      </c>
      <c r="G75" s="110">
        <f t="shared" si="109"/>
        <v>7.9023823358512493</v>
      </c>
      <c r="H75" s="110">
        <f t="shared" si="109"/>
        <v>6.3208152212641631</v>
      </c>
      <c r="I75" s="110">
        <f t="shared" si="109"/>
        <v>10.203029990724518</v>
      </c>
      <c r="J75" s="110">
        <f t="shared" si="109"/>
        <v>6.0149462300261254</v>
      </c>
      <c r="K75" s="110">
        <f t="shared" si="109"/>
        <v>5.9815416763408402</v>
      </c>
      <c r="L75" s="110">
        <f t="shared" si="109"/>
        <v>8.3918587677986167</v>
      </c>
      <c r="M75" s="110">
        <f t="shared" si="109"/>
        <v>8.7938947883001539</v>
      </c>
    </row>
    <row r="76" spans="2:13" x14ac:dyDescent="0.35">
      <c r="B76" s="10" t="s">
        <v>139</v>
      </c>
      <c r="C76" s="110">
        <v>0</v>
      </c>
      <c r="D76" s="110">
        <f t="shared" ref="D76:M76" si="110">100*D6/D44</f>
        <v>12.481950906465586</v>
      </c>
      <c r="E76" s="110">
        <f t="shared" si="110"/>
        <v>9.703504043126685</v>
      </c>
      <c r="F76" s="110">
        <f t="shared" si="110"/>
        <v>12.569544611580465</v>
      </c>
      <c r="G76" s="110">
        <f t="shared" si="110"/>
        <v>18.370739817123859</v>
      </c>
      <c r="H76" s="110">
        <f t="shared" si="110"/>
        <v>16.800833412254949</v>
      </c>
      <c r="I76" s="110">
        <f t="shared" si="110"/>
        <v>23.18320193583639</v>
      </c>
      <c r="J76" s="110">
        <f t="shared" si="110"/>
        <v>14.048531289910601</v>
      </c>
      <c r="K76" s="110">
        <f t="shared" si="110"/>
        <v>13.395294423501884</v>
      </c>
      <c r="L76" s="110">
        <f t="shared" si="110"/>
        <v>17.066203651842724</v>
      </c>
      <c r="M76" s="110">
        <f t="shared" si="110"/>
        <v>16.34445510070163</v>
      </c>
    </row>
    <row r="77" spans="2:13" x14ac:dyDescent="0.35">
      <c r="B77" s="10" t="s">
        <v>140</v>
      </c>
      <c r="C77" s="110">
        <v>0</v>
      </c>
      <c r="D77" s="40">
        <v>10.220000267028809</v>
      </c>
      <c r="E77" s="40">
        <v>7.4000000953674316</v>
      </c>
      <c r="F77" s="40">
        <v>8.369999885559082</v>
      </c>
      <c r="G77" s="40">
        <v>11.970000267028809</v>
      </c>
      <c r="H77" s="40">
        <v>10.689999580383301</v>
      </c>
      <c r="I77" s="40">
        <v>15.079999923706055</v>
      </c>
      <c r="J77" s="40">
        <v>9.8599996566772461</v>
      </c>
      <c r="K77" s="40">
        <v>9.5</v>
      </c>
      <c r="L77" s="40">
        <v>12.489999771118164</v>
      </c>
      <c r="M77" s="40">
        <v>12.739999771118164</v>
      </c>
    </row>
    <row r="79" spans="2:13" ht="17.5" thickBot="1" x14ac:dyDescent="0.45">
      <c r="B79" s="2" t="s">
        <v>146</v>
      </c>
      <c r="C79" s="109"/>
      <c r="D79" s="109">
        <v>2013</v>
      </c>
      <c r="E79" s="109">
        <v>2014</v>
      </c>
      <c r="F79" s="109">
        <v>2015</v>
      </c>
      <c r="G79" s="109">
        <v>2016</v>
      </c>
      <c r="H79" s="109">
        <v>2017</v>
      </c>
      <c r="I79" s="109">
        <v>2018</v>
      </c>
      <c r="J79" s="109">
        <v>2019</v>
      </c>
      <c r="K79" s="109">
        <v>2020</v>
      </c>
      <c r="L79" s="109">
        <v>2021</v>
      </c>
      <c r="M79" s="109">
        <v>2022</v>
      </c>
    </row>
    <row r="80" spans="2:13" ht="15" thickTop="1" x14ac:dyDescent="0.35">
      <c r="B80" s="123" t="s">
        <v>147</v>
      </c>
      <c r="C80" s="110">
        <v>0</v>
      </c>
      <c r="D80" s="40">
        <v>14.479999542236328</v>
      </c>
      <c r="E80" s="40">
        <v>16.920000076293945</v>
      </c>
      <c r="F80" s="40">
        <v>18.079999923706055</v>
      </c>
      <c r="G80" s="40">
        <v>13.619999885559082</v>
      </c>
      <c r="H80" s="40">
        <v>16.920000076293945</v>
      </c>
      <c r="I80" s="40">
        <v>6.5199999809265137</v>
      </c>
      <c r="J80" s="40">
        <v>16.489999771118164</v>
      </c>
      <c r="K80" s="40">
        <v>11</v>
      </c>
      <c r="L80" s="40">
        <v>10.449999809265137</v>
      </c>
      <c r="M80" s="40">
        <v>6.9800000190734863</v>
      </c>
    </row>
    <row r="81" spans="2:13" x14ac:dyDescent="0.35">
      <c r="B81" s="123" t="s">
        <v>148</v>
      </c>
      <c r="C81" s="110">
        <v>0</v>
      </c>
      <c r="D81" s="40">
        <v>9.3500003814697266</v>
      </c>
      <c r="E81" s="40">
        <v>12.390000343322754</v>
      </c>
      <c r="F81" s="40">
        <v>8.5699996948242187</v>
      </c>
      <c r="G81" s="40">
        <v>8.8599996566772461</v>
      </c>
      <c r="H81" s="40">
        <v>11.539999961853027</v>
      </c>
      <c r="I81" s="40">
        <v>6.6500000953674316</v>
      </c>
      <c r="J81" s="40">
        <v>13.260000228881836</v>
      </c>
      <c r="K81" s="40">
        <v>6.070000171661377</v>
      </c>
      <c r="L81" s="40">
        <v>8.2799997329711914</v>
      </c>
      <c r="M81" s="40">
        <v>8.4099998474121094</v>
      </c>
    </row>
    <row r="82" spans="2:13" x14ac:dyDescent="0.35">
      <c r="B82" s="123" t="s">
        <v>154</v>
      </c>
      <c r="C82" s="110">
        <v>7.179999828338623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2023-04-13T19:03:52Z</dcterms:modified>
</cp:coreProperties>
</file>