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D2C41D-A74C-45FB-8ED9-E98810C6307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<sst xmlns="http://schemas.openxmlformats.org/spreadsheetml/2006/main" count="231" uniqueCount="165">
  <si>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</si>
  <si>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</si>
  <si>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</si>
  <si>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</si>
  <si>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</si>
  <si>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</si>
  <si>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</si>
  <si>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</si>
  <si>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</si>
  <si>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</si>
  <si>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</si>
  <si>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</si>
  <si>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</si>
  <si>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</si>
  <si>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</si>
  <si>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</si>
  <si>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</si>
  <si>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</si>
  <si>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</si>
  <si>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</si>
  <si>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</si>
  <si>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</si>
  <si>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</si>
  <si>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</si>
  <si>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</si>
  <si>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</si>
  <si>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</si>
  <si>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</si>
  <si>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</si>
  <si>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</si>
  <si>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</si>
  <si>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</si>
  <si>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</si>
  <si>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</si>
  <si>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</si>
  <si>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</si>
  <si>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</si>
  <si>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</si>
  <si>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</si>
  <si>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</si>
  <si>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</si>
  <si>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</si>
  <si>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</si>
  <si>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</si>
  <si>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</si>
  <si>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</si>
  <si>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</si>
  <si>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</si>
  <si>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</si>
  <si>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</si>
  <si>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</si>
  <si>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</si>
  <si>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</si>
  <si>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</si>
  <si>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</si>
  <si>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</si>
  <si>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</si>
  <si>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</si>
  <si>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</si>
  <si>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</si>
  <si>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</si>
  <si>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</si>
  <si>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</si>
  <si>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</si>
  <si>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</si>
  <si>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</si>
  <si>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</si>
  <si>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</si>
  <si>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</si>
  <si>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</si>
  <si>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</si>
  <si>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</si>
  <si>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</si>
  <si>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</si>
  <si>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</si>
  <si>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</si>
  <si>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</si>
  <si>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</si>
  <si>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</si>
  <si>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</si>
  <si>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</si>
  <si>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</si>
  <si>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</si>
  <si>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</si>
  <si>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</si>
  <si>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</si>
  <si>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</si>
  <si>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</si>
  <si>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</si>
  <si>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</si>
  <si>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</si>
  <si>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</si>
  <si>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</si>
  <si>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</si>
  <si>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</si>
  <si>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</si>
  <si>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</si>
  <si>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</si>
  <si>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</si>
  <si>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</si>
  <si>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</si>
  <si>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</si>
  <si>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</si>
  <si>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</si>
  <si>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</si>
  <si>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</si>
  <si>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</si>
  <si>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</si>
  <si>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</si>
  <si>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</si>
  <si>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</si>
  <si>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</si>
  <si>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</si>
  <si>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</si>
  <si>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</si>
  <si>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</si>
  <si>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</si>
  <si>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</si>
  <si>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</si>
  <si>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</si>
  <si>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</si>
  <si>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</si>
  <si>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</si>
  <si>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</si>
  <si>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</si>
  <si>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</si>
  <si>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</si>
  <si>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</si>
  <si>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</si>
  <si>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</si>
  <si>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</si>
  <si>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</si>
  <si>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</si>
  <si>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</si>
  <si>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</si>
  <si>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</si>
  <si>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</si>
  <si>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</si>
  <si>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</si>
  <si>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</si>
  <si>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</si>
  <si>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</si>
  <si>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</si>
  <si>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</si>
  <si>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</si>
  <si>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</si>
  <si>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</si>
  <si>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</si>
  <si>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</si>
  <si>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</si>
  <si>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</si>
  <si>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</si>
  <si>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</si>
  <si>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</si>
  <si>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</si>
  <si>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</si>
  <si>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</si>
  <si>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</si>
  <si>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</si>
  <si>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</si>
  <si>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</si>
  <si>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</si>
  <si>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UGI_UGICorp</t>
  </si>
  <si>
    <t>sector median (20.47)</t>
  </si>
  <si>
    <t>sector median (10.31)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</si>
</sst>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5.3201882287392035</v>
      </c>
      <c r="G12" s="119" t="n">
        <f>Financials!D76</f>
        <v>2.778554919139162</v>
      </c>
      <c r="H12" s="119" t="n">
        <f>Financials!E76</f>
        <v>3.340929477925602</v>
      </c>
      <c r="I12" s="119" t="n">
        <f>Financials!F76</f>
        <v>2.672576271657933</v>
      </c>
      <c r="J12" s="119" t="n">
        <f>Financials!G76</f>
        <v>3.36215795257692</v>
      </c>
      <c r="K12" s="119" t="n">
        <f>Financials!H76</f>
        <v>3.7695774441907415</v>
      </c>
      <c r="L12" s="119" t="n">
        <f>Financials!I76</f>
        <v>6.001218716342461</v>
      </c>
      <c r="M12" s="119" t="n">
        <f>Financials!J76</f>
        <v>1.9180340151344872</v>
      </c>
      <c r="N12" s="119" t="n">
        <f>Financials!K76</f>
        <v>3.8040757954951734</v>
      </c>
      <c r="O12" s="119" t="n">
        <f>Financials!L76</f>
        <v>8.772349458829158</v>
      </c>
      <c r="P12" s="119" t="n">
        <f>Financials!M76</f>
        <v>6.105263157894737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16.25483004690424</v>
      </c>
      <c r="G14" s="40" t="n">
        <f>Financials!D77</f>
        <v>7.838439758443998</v>
      </c>
      <c r="H14" s="40" t="n">
        <f>Financials!E77</f>
        <v>9.205066757617343</v>
      </c>
      <c r="I14" s="40" t="n">
        <f>Financials!F77</f>
        <v>7.865861776089851</v>
      </c>
      <c r="J14" s="40" t="n">
        <f>Financials!G77</f>
        <v>10.144644991372205</v>
      </c>
      <c r="K14" s="40" t="n">
        <f>Financials!H77</f>
        <v>11.67098835184458</v>
      </c>
      <c r="L14" s="40" t="n">
        <f>Financials!I77</f>
        <v>17.536585365853657</v>
      </c>
      <c r="M14" s="40" t="n">
        <f>Financials!J77</f>
        <v>6.68931277763261</v>
      </c>
      <c r="N14" s="40" t="n">
        <f>Financials!K77</f>
        <v>12.859560067681896</v>
      </c>
      <c r="O14" s="40" t="n">
        <f>Financials!L77</f>
        <v>26.523232688483095</v>
      </c>
      <c r="P14" s="40" t="n">
        <f>Financials!M77</f>
        <v>17.665459334869936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0.0678766699911302</v>
      </c>
      <c r="F16" s="124" t="n">
        <f>AVERAGE(L16:P16)</f>
        <v>9.805999851226806</v>
      </c>
      <c r="G16" s="40" t="n">
        <f>Financials!D78</f>
        <v>7.110000133514404</v>
      </c>
      <c r="H16" s="40" t="n">
        <f>Financials!E78</f>
        <v>7.670000076293945</v>
      </c>
      <c r="I16" s="40" t="n">
        <f>Financials!F78</f>
        <v>6.800000190734863</v>
      </c>
      <c r="J16" s="40" t="n">
        <f>Financials!G78</f>
        <v>7.570000171661377</v>
      </c>
      <c r="K16" s="40" t="n">
        <f>Financials!H78</f>
        <v>8.0</v>
      </c>
      <c r="L16" s="40" t="n">
        <f>Financials!I78</f>
        <v>11.529999732971191</v>
      </c>
      <c r="M16" s="40" t="n">
        <f>Financials!J78</f>
        <v>4.679999828338623</v>
      </c>
      <c r="N16" s="40" t="n">
        <f>Financials!K78</f>
        <v>7.460000038146973</v>
      </c>
      <c r="O16" s="40" t="n">
        <f>Financials!L78</f>
        <v>14.869999885559082</v>
      </c>
      <c r="P16" s="40" t="n">
        <f>Financials!M78</f>
        <v>10.489999771118164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 t="n">
        <f>AVERAGE(L18:P18)</f>
        <v>1.1441396379196334</v>
      </c>
      <c r="G18" s="42" t="n">
        <f>Financials!D59</f>
        <v>1.1420450704934895</v>
      </c>
      <c r="H18" s="42" t="n">
        <f>Financials!E59</f>
        <v>1.162205585034484</v>
      </c>
      <c r="I18" s="42" t="n">
        <f>Financials!F59</f>
        <v>0.8695496821358382</v>
      </c>
      <c r="J18" s="42" t="n">
        <f>Financials!G59</f>
        <v>0.9873786746380929</v>
      </c>
      <c r="K18" s="42" t="n">
        <f>Financials!H59</f>
        <v>1.0043784536541955</v>
      </c>
      <c r="L18" s="42" t="n">
        <f>Financials!I59</f>
        <v>1.090064085329271</v>
      </c>
      <c r="M18" s="42" t="n">
        <f>Financials!J59</f>
        <v>0.772189349112426</v>
      </c>
      <c r="N18" s="42" t="n">
        <f>Financials!K59</f>
        <v>0.8792022792022792</v>
      </c>
      <c r="O18" s="42" t="n">
        <f>Financials!L59</f>
        <v>1.4235959947757946</v>
      </c>
      <c r="P18" s="42" t="n">
        <f>Financials!M59</f>
        <v>1.555646481178396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2.1414424203242355</v>
      </c>
      <c r="G20" s="42" t="n">
        <f>Financials!D58</f>
        <v>1.8210490656317424</v>
      </c>
      <c r="H20" s="42" t="n">
        <f>Financials!E58</f>
        <v>1.755241263976877</v>
      </c>
      <c r="I20" s="42" t="n">
        <f>Financials!F58</f>
        <v>1.9431757886596388</v>
      </c>
      <c r="J20" s="42" t="n">
        <f>Financials!G58</f>
        <v>2.017301725398383</v>
      </c>
      <c r="K20" s="42" t="n">
        <f>Financials!H58</f>
        <v>2.096099901019576</v>
      </c>
      <c r="L20" s="42" t="n">
        <f>Financials!I58</f>
        <v>1.9221706781154733</v>
      </c>
      <c r="M20" s="42" t="n">
        <f>Financials!J58</f>
        <v>2.487588189182127</v>
      </c>
      <c r="N20" s="42" t="n">
        <f>Financials!K58</f>
        <v>2.3804689388445732</v>
      </c>
      <c r="O20" s="42" t="n">
        <f>Financials!L58</f>
        <v>2.0235038871813416</v>
      </c>
      <c r="P20" s="42" t="n">
        <f>Financials!M58</f>
        <v>1.8934804082976622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tr">
        <f>U11</f>
        <v>K</v>
      </c>
      <c r="E22" s="49" t="s">
        <v>161</v>
      </c>
      <c r="F22" s="125" t="n">
        <f>AVERAGE(L22:P22)</f>
        <v>3.4852113884304017</v>
      </c>
      <c r="G22" s="42" t="n">
        <f>Financials!D60</f>
        <v>2.9661699011927483</v>
      </c>
      <c r="H22" s="42" t="n">
        <f>Financials!E60</f>
        <v>2.509024550717026</v>
      </c>
      <c r="I22" s="42" t="n">
        <f>Financials!F60</f>
        <v>2.8200992555831266</v>
      </c>
      <c r="J22" s="42" t="n">
        <f>Financials!G60</f>
        <v>2.7114963538452783</v>
      </c>
      <c r="K22" s="42" t="n">
        <f>Financials!H60</f>
        <v>2.8006730427712423</v>
      </c>
      <c r="L22" s="42" t="n">
        <f>Financials!I60</f>
        <v>2.7279605263157896</v>
      </c>
      <c r="M22" s="42" t="n">
        <f>Financials!J60</f>
        <v>5.427230046948357</v>
      </c>
      <c r="N22" s="42" t="n">
        <f>Financials!K60</f>
        <v>4.07980900409277</v>
      </c>
      <c r="O22" s="42" t="n">
        <f>Financials!L60</f>
        <v>2.222650771388499</v>
      </c>
      <c r="P22" s="42" t="n">
        <f>Financials!M60</f>
        <v>2.9684065934065935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 t="n">
        <f>Financials!D12</f>
        <v>173.28199768066406</v>
      </c>
      <c r="H24" s="40" t="n">
        <f>Financials!E12</f>
        <v>175.2310028076172</v>
      </c>
      <c r="I24" s="40" t="n">
        <f>Financials!F12</f>
        <v>175.66700744628906</v>
      </c>
      <c r="J24" s="40" t="n">
        <f>Financials!G12</f>
        <v>175.57200622558594</v>
      </c>
      <c r="K24" s="40" t="n">
        <f>Financials!H12</f>
        <v>177.15899658203125</v>
      </c>
      <c r="L24" s="40" t="n">
        <f>Financials!I12</f>
        <v>176.90499877929688</v>
      </c>
      <c r="M24" s="40" t="n">
        <f>Financials!J12</f>
        <v>181.11099243164062</v>
      </c>
      <c r="N24" s="40" t="n">
        <f>Financials!K12</f>
        <v>209.86900329589844</v>
      </c>
      <c r="O24" s="40" t="n">
        <f>Financials!L12</f>
        <v>212.12600708007812</v>
      </c>
      <c r="P24" s="40" t="n">
        <f>Financials!M12</f>
        <v>215.8209991455078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163</v>
      </c>
      <c r="F26" s="57" t="n">
        <f>AVERAGEIF(L26:P26,"&lt;100")</f>
        <v>14.603999900817872</v>
      </c>
      <c r="G26" s="44" t="n">
        <f>Financials!D81</f>
        <v>17.200000762939453</v>
      </c>
      <c r="H26" s="44" t="n">
        <f>Financials!E81</f>
        <v>19.780000686645508</v>
      </c>
      <c r="I26" s="44" t="n">
        <f>Financials!F81</f>
        <v>21.100000381469727</v>
      </c>
      <c r="J26" s="44" t="n">
        <f>Financials!G81</f>
        <v>22.149999618530273</v>
      </c>
      <c r="K26" s="44" t="n">
        <f>Financials!H81</f>
        <v>19.09000015258789</v>
      </c>
      <c r="L26" s="44" t="n">
        <f>Financials!I81</f>
        <v>13.140000343322754</v>
      </c>
      <c r="M26" s="44" t="n">
        <f>Financials!J81</f>
        <v>32.029998779296875</v>
      </c>
      <c r="N26" s="44" t="n">
        <f>Financials!K81</f>
        <v>13.760000228881836</v>
      </c>
      <c r="O26" s="44" t="n">
        <f>Financials!L81</f>
        <v>6.630000114440918</v>
      </c>
      <c r="P26" s="44" t="n">
        <f>Financials!M81</f>
        <v>7.460000038146973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164</v>
      </c>
      <c r="F28" s="57" t="n">
        <f>AVERAGEIF(L28:P28, "&lt;100")</f>
        <v>8.139999961853027</v>
      </c>
      <c r="G28" s="44" t="n">
        <f>Financials!D82</f>
        <v>5.980000019073486</v>
      </c>
      <c r="H28" s="44" t="n">
        <f>Financials!E82</f>
        <v>6.619999885559082</v>
      </c>
      <c r="I28" s="44" t="n">
        <f>Financials!F82</f>
        <v>5.099999904632568</v>
      </c>
      <c r="J28" s="44" t="n">
        <f>Financials!G82</f>
        <v>8.34000015258789</v>
      </c>
      <c r="K28" s="44" t="n">
        <f>Financials!H82</f>
        <v>8.619999885559082</v>
      </c>
      <c r="L28" s="44" t="n">
        <f>Financials!I82</f>
        <v>8.699999809265137</v>
      </c>
      <c r="M28" s="44" t="n">
        <f>Financials!J82</f>
        <v>7.590000152587891</v>
      </c>
      <c r="N28" s="44" t="n">
        <f>Financials!K82</f>
        <v>6.659999847412109</v>
      </c>
      <c r="O28" s="44" t="n">
        <f>Financials!L82</f>
        <v>6.579999923706055</v>
      </c>
      <c r="P28" s="44" t="n">
        <f>Financials!M82</f>
        <v>11.170000076293945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1.9900000095367432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 t="n">
        <f>Financials!D63</f>
        <v>-1.7034161810570312</v>
      </c>
    </row>
    <row r="33" spans="2:17" ht="18.5">
      <c r="B33" s="154"/>
      <c r="C33" s="35" t="s">
        <v>80</v>
      </c>
      <c r="D33" s="56" t="str">
        <f>V11</f>
        <v>L</v>
      </c>
      <c r="E33" s="50" t="s">
        <v>77</v>
      </c>
      <c r="F33" s="52" t="n">
        <f>Financials!D64</f>
        <v>-1.880133052645942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0.07518156458332026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0.12832735434671894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0.08336341716846185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0.1445634477271316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0.057236670649805754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0.034562325727179655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-0.3027629370942805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0.10831621959108628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0.1251026669916562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0.23341888658274249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7.409999847412109</v>
      </c>
    </row>
    <row r="6" spans="2:16">
      <c r="B6" s="4" t="s">
        <v>5</v>
      </c>
      <c r="C6" s="59" t="n">
        <v>2444000.0</v>
      </c>
    </row>
    <row r="7" spans="2:16">
      <c r="B7" s="4" t="s">
        <v>4</v>
      </c>
      <c r="C7" s="59" t="n">
        <v>9057000.0</v>
      </c>
    </row>
    <row r="8" spans="2:16">
      <c r="B8" s="4" t="s">
        <v>3</v>
      </c>
      <c r="C8" s="59" t="n">
        <v>340000.0</v>
      </c>
    </row>
    <row r="9" spans="2:16">
      <c r="B9" s="10" t="s">
        <v>6</v>
      </c>
      <c r="C9" s="59" t="n">
        <v>206000.0</v>
      </c>
    </row>
    <row r="10" spans="2:16">
      <c r="B10" s="10" t="s">
        <v>7</v>
      </c>
      <c r="C10" s="59" t="n">
        <v>-10000.0</v>
      </c>
    </row>
    <row r="11" spans="2:16">
      <c r="B11" s="10" t="s">
        <v>9</v>
      </c>
      <c r="C11" s="60" t="n">
        <v>1.100000023841858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1.1501E7</v>
      </c>
    </row>
    <row r="18" spans="2:15" ht="18" thickTop="1" thickBot="1">
      <c r="B18" s="2" t="s">
        <v>20</v>
      </c>
      <c r="C18" s="12" t="n">
        <f>C8/C17</f>
        <v>0.02956264672637162</v>
      </c>
    </row>
    <row r="19" spans="2:15" ht="18" thickTop="1" thickBot="1">
      <c r="B19" s="2" t="s">
        <v>19</v>
      </c>
      <c r="C19" s="12" t="n">
        <f>C14+C11*(C15-C14)</f>
        <v>0.12870000207424181</v>
      </c>
    </row>
    <row r="20" spans="2:15" ht="18" thickTop="1" thickBot="1">
      <c r="B20" s="2" t="s">
        <v>18</v>
      </c>
      <c r="C20" s="12" t="n">
        <f>C8/C17</f>
        <v>0.02956264672637162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1.891099984741211E7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0.39183543478406513</v>
      </c>
      <c r="K22" t="s" s="0">
        <v>12</v>
      </c>
    </row>
    <row r="23" spans="2:15" ht="18" thickTop="1" thickBot="1">
      <c r="B23" s="16" t="s">
        <v>24</v>
      </c>
      <c r="C23" s="12" t="n">
        <f>C17/C21</f>
        <v>0.6081645652159354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0.0678766699911302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8" sqref="G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0.0678766699911302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</v>
      </c>
    </row>
    <row r="7" spans="2:12">
      <c r="B7" s="18" t="s">
        <v>31</v>
      </c>
      <c r="C7" s="13" t="n">
        <f>AVERAGEIF(C28:L28, "&lt;0.5")</f>
        <v>0.07700864211754613</v>
      </c>
    </row>
    <row r="8" spans="2:12">
      <c r="B8" s="18" t="s">
        <v>112</v>
      </c>
      <c r="C8" s="13" t="n">
        <f>AVERAGEIF(C29:L29,"&lt;2")</f>
        <v>0.89834037476185</v>
      </c>
    </row>
    <row r="9" spans="2:12">
      <c r="B9" s="18" t="s">
        <v>136</v>
      </c>
      <c r="C9" s="66" t="n">
        <v>11.529999732971191</v>
      </c>
    </row>
    <row r="10" spans="2:12">
      <c r="B10" s="18" t="s">
        <v>100</v>
      </c>
      <c r="C10" s="67" t="n">
        <v>0.009999999776482582</v>
      </c>
    </row>
    <row r="11" spans="2:12">
      <c r="B11" s="18" t="s">
        <v>44</v>
      </c>
      <c r="C11" s="59" t="n">
        <v>2.0969032E8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7194.7001953125</v>
      </c>
      <c r="D16" s="21" t="n">
        <f>Financials!E3</f>
        <v>8277.2998046875</v>
      </c>
      <c r="E16" s="21" t="n">
        <f>Financials!F3</f>
        <v>6691.10009765625</v>
      </c>
      <c r="F16" s="21" t="n">
        <f>Financials!G3</f>
        <v>5685.7001953125</v>
      </c>
      <c r="G16" s="21" t="n">
        <f>Financials!H3</f>
        <v>6120.7001953125</v>
      </c>
      <c r="H16" s="21" t="n">
        <f>Financials!I3</f>
        <v>7651.0</v>
      </c>
      <c r="I16" s="21" t="n">
        <f>Financials!J3</f>
        <v>7320.0</v>
      </c>
      <c r="J16" s="21" t="n">
        <f>Financials!K3</f>
        <v>6559.0</v>
      </c>
      <c r="K16" s="21" t="n">
        <f>Financials!L3</f>
        <v>7447.0</v>
      </c>
      <c r="L16" s="21" t="n">
        <f>Financials!M3</f>
        <v>10106.0</v>
      </c>
    </row>
    <row r="17" spans="2:12">
      <c r="B17" s="18" t="s">
        <v>27</v>
      </c>
      <c r="C17" s="22"/>
      <c r="D17" s="20" t="n">
        <f t="shared" ref="D17:L17" si="0">(D16-C16)/C16</f>
        <v>0.15047181675204988</v>
      </c>
      <c r="E17" s="20" t="n">
        <f t="shared" si="0"/>
        <v>-0.19163250630754883</v>
      </c>
      <c r="F17" s="20" t="n">
        <f t="shared" si="0"/>
        <v>-0.15025928287874818</v>
      </c>
      <c r="G17" s="20" t="n">
        <f t="shared" si="0"/>
        <v>0.07650772729076183</v>
      </c>
      <c r="H17" s="20" t="n">
        <f t="shared" si="0"/>
        <v>0.25002038261234727</v>
      </c>
      <c r="I17" s="20" t="n">
        <f t="shared" si="0"/>
        <v>-0.04326231865115671</v>
      </c>
      <c r="J17" s="20" t="n">
        <f t="shared" si="0"/>
        <v>-0.10396174863387977</v>
      </c>
      <c r="K17" s="20" t="n">
        <f t="shared" si="0"/>
        <v>0.13538649184326879</v>
      </c>
      <c r="L17" s="20" t="n">
        <f t="shared" si="0"/>
        <v>0.3570565328320129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278.1000061035156</v>
      </c>
      <c r="D19" s="21" t="n">
        <f>Financials!E6</f>
        <v>337.20001220703125</v>
      </c>
      <c r="E19" s="21" t="n">
        <f>Financials!F6</f>
        <v>281.0</v>
      </c>
      <c r="F19" s="21" t="n">
        <f>Financials!G6</f>
        <v>364.70001220703125</v>
      </c>
      <c r="G19" s="21" t="n">
        <f>Financials!H6</f>
        <v>436.6000061035156</v>
      </c>
      <c r="H19" s="21" t="n">
        <f>Financials!I6</f>
        <v>719.0</v>
      </c>
      <c r="I19" s="21" t="n">
        <f>Financials!J6</f>
        <v>256.0</v>
      </c>
      <c r="J19" s="21" t="n">
        <f>Financials!K6</f>
        <v>532.0</v>
      </c>
      <c r="K19" s="21" t="n">
        <f>Financials!L6</f>
        <v>1467.0</v>
      </c>
      <c r="L19" s="21" t="n">
        <f>Financials!M6</f>
        <v>1073.0</v>
      </c>
    </row>
    <row r="20" spans="2:12">
      <c r="B20" s="18" t="s">
        <v>27</v>
      </c>
      <c r="C20" s="22"/>
      <c r="D20" s="20" t="n">
        <f>(D19-C19)/C19</f>
        <v>0.2125135016412659</v>
      </c>
      <c r="E20" s="20" t="n">
        <f t="shared" ref="E20:L20" si="1">(E19-D19)/D19</f>
        <v>-0.1666666968342994</v>
      </c>
      <c r="F20" s="20" t="n">
        <f t="shared" si="1"/>
        <v>0.29786481212466653</v>
      </c>
      <c r="G20" s="20" t="n">
        <f t="shared" si="1"/>
        <v>0.19714831776772354</v>
      </c>
      <c r="H20" s="20" t="n">
        <f t="shared" si="1"/>
        <v>0.6468162848113387</v>
      </c>
      <c r="I20" s="20" t="n">
        <f t="shared" si="1"/>
        <v>-0.6439499304589708</v>
      </c>
      <c r="J20" s="20" t="n">
        <f t="shared" si="1"/>
        <v>1.078125</v>
      </c>
      <c r="K20" s="20" t="n">
        <f t="shared" si="1"/>
        <v>1.7575187969924813</v>
      </c>
      <c r="L20" s="20" t="n">
        <f t="shared" si="1"/>
        <v>-0.2685753237900477</v>
      </c>
    </row>
    <row r="22" spans="2:12">
      <c r="B22" s="18" t="s">
        <v>30</v>
      </c>
      <c r="C22" s="25" t="n">
        <f>Financials!D20</f>
        <v>315.5</v>
      </c>
      <c r="D22" s="25" t="n">
        <f>Financials!E20</f>
        <v>548.5999755859375</v>
      </c>
      <c r="E22" s="25" t="n">
        <f>Financials!F20</f>
        <v>673.2000122070312</v>
      </c>
      <c r="F22" s="25" t="n">
        <f>Financials!G20</f>
        <v>405.8999938964844</v>
      </c>
      <c r="G22" s="25" t="n">
        <f>Financials!H20</f>
        <v>325.5</v>
      </c>
      <c r="H22" s="25" t="n">
        <f>Financials!I20</f>
        <v>511.0</v>
      </c>
      <c r="I22" s="25" t="n">
        <f>Financials!J20</f>
        <v>373.0</v>
      </c>
      <c r="J22" s="25" t="n">
        <f>Financials!K20</f>
        <v>447.0</v>
      </c>
      <c r="K22" s="25" t="n">
        <f>Financials!L20</f>
        <v>791.0</v>
      </c>
      <c r="L22" s="25" t="n">
        <f>Financials!M20</f>
        <v>-88.0</v>
      </c>
    </row>
    <row r="23" spans="2:12">
      <c r="B23" s="18" t="s">
        <v>27</v>
      </c>
      <c r="C23" s="26"/>
      <c r="D23" s="26" t="n">
        <f>(D22-C22)/C22</f>
        <v>0.7388271809379968</v>
      </c>
      <c r="E23" s="26" t="n">
        <f t="shared" ref="E23:L23" si="2">(E22-D22)/D22</f>
        <v>0.22712366417445357</v>
      </c>
      <c r="F23" s="26" t="n">
        <f t="shared" si="2"/>
        <v>-0.3970588435288731</v>
      </c>
      <c r="G23" s="26" t="n">
        <f t="shared" si="2"/>
        <v>-0.19807833236131725</v>
      </c>
      <c r="H23" s="26" t="n">
        <f t="shared" si="2"/>
        <v>0.5698924731182796</v>
      </c>
      <c r="I23" s="26" t="n">
        <f t="shared" si="2"/>
        <v>-0.2700587084148728</v>
      </c>
      <c r="J23" s="26" t="n">
        <f t="shared" si="2"/>
        <v>0.19839142091152814</v>
      </c>
      <c r="K23" s="26" t="n">
        <f t="shared" si="2"/>
        <v>0.7695749440715883</v>
      </c>
      <c r="L23" s="26" t="n">
        <f t="shared" si="2"/>
        <v>-1.1112515802781289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1194.199951171875</v>
      </c>
      <c r="D25" s="62" t="n">
        <f>Financials!E9</f>
        <v>1368.5</v>
      </c>
      <c r="E25" s="62" t="n">
        <f>Financials!F9</f>
        <v>1209.0</v>
      </c>
      <c r="F25" s="62" t="n">
        <f>Financials!G9</f>
        <v>1388.9010009765625</v>
      </c>
      <c r="G25" s="62" t="n">
        <f>Financials!H9</f>
        <v>1426.300048828125</v>
      </c>
      <c r="H25" s="62" t="n">
        <f>Financials!I9</f>
        <v>1520.0</v>
      </c>
      <c r="I25" s="62" t="n">
        <f>Financials!J9</f>
        <v>1065.0</v>
      </c>
      <c r="J25" s="62" t="n">
        <f>Financials!K9</f>
        <v>1466.0</v>
      </c>
      <c r="K25" s="62" t="n">
        <f>Financials!L9</f>
        <v>2852.0</v>
      </c>
      <c r="L25" s="62" t="n">
        <f>Financials!M9</f>
        <v>2184.0</v>
      </c>
    </row>
    <row r="26" spans="2:12">
      <c r="B26" s="18" t="s">
        <v>27</v>
      </c>
      <c r="C26" s="63"/>
      <c r="D26" s="63" t="n">
        <f>Financials!E10</f>
        <v>0.14595549820369919</v>
      </c>
      <c r="E26" s="63" t="n">
        <f>Financials!F10</f>
        <v>-0.11655096821337231</v>
      </c>
      <c r="F26" s="63" t="n">
        <f>Financials!G10</f>
        <v>0.1488014896414913</v>
      </c>
      <c r="G26" s="63" t="n">
        <f>Financials!H10</f>
        <v>0.02692707963005757</v>
      </c>
      <c r="H26" s="63" t="n">
        <f>Financials!I10</f>
        <v>0.06569441769903908</v>
      </c>
      <c r="I26" s="63" t="n">
        <f>Financials!J10</f>
        <v>-0.2993421052631579</v>
      </c>
      <c r="J26" s="63" t="n">
        <f>Financials!K10</f>
        <v>0.37652582159624415</v>
      </c>
      <c r="K26" s="63" t="n">
        <f>Financials!L10</f>
        <v>0.9454297407912687</v>
      </c>
      <c r="L26" s="63" t="n">
        <f>Financials!M10</f>
        <v>-0.23422159887798036</v>
      </c>
    </row>
    <row r="28" spans="2:12" ht="15" thickBot="1">
      <c r="B28" s="1" t="s">
        <v>31</v>
      </c>
      <c r="C28" s="24" t="n">
        <f t="shared" ref="C28:L28" si="3">C19/C16</f>
        <v>0.038653453035430725</v>
      </c>
      <c r="D28" s="24" t="n">
        <f t="shared" si="3"/>
        <v>0.04073792422210828</v>
      </c>
      <c r="E28" s="24" t="n">
        <f t="shared" si="3"/>
        <v>0.041996083737923504</v>
      </c>
      <c r="F28" s="24" t="n">
        <f t="shared" si="3"/>
        <v>0.06414337718821388</v>
      </c>
      <c r="G28" s="24" t="n">
        <f t="shared" si="3"/>
        <v>0.07133170914626458</v>
      </c>
      <c r="H28" s="24" t="n">
        <f t="shared" si="3"/>
        <v>0.09397464383740688</v>
      </c>
      <c r="I28" s="24" t="n">
        <f t="shared" si="3"/>
        <v>0.034972677595628415</v>
      </c>
      <c r="J28" s="24" t="n">
        <f t="shared" si="3"/>
        <v>0.08110992529348986</v>
      </c>
      <c r="K28" s="24" t="n">
        <f t="shared" si="3"/>
        <v>0.19699207734658253</v>
      </c>
      <c r="L28" s="24" t="n">
        <f t="shared" si="3"/>
        <v>0.10617454977241243</v>
      </c>
    </row>
    <row r="29" spans="2:12" ht="15" thickBot="1">
      <c r="B29" s="1" t="s">
        <v>32</v>
      </c>
      <c r="C29" s="24" t="n">
        <f t="shared" ref="C29:L29" si="4">C22/C19</f>
        <v>1.134483973662923</v>
      </c>
      <c r="D29" s="24" t="n">
        <f t="shared" si="4"/>
        <v>1.626927508084174</v>
      </c>
      <c r="E29" s="24" t="n">
        <f t="shared" si="4"/>
        <v>2.3957295808079393</v>
      </c>
      <c r="F29" s="24" t="n">
        <f t="shared" si="4"/>
        <v>1.1129695100368266</v>
      </c>
      <c r="G29" s="24" t="n">
        <f t="shared" si="4"/>
        <v>0.7455336588401819</v>
      </c>
      <c r="H29" s="24" t="n">
        <f t="shared" si="4"/>
        <v>0.7107093184979137</v>
      </c>
      <c r="I29" s="24" t="n">
        <f t="shared" si="4"/>
        <v>1.45703125</v>
      </c>
      <c r="J29" s="24" t="n">
        <f t="shared" si="4"/>
        <v>0.8402255639097744</v>
      </c>
      <c r="K29" s="24" t="n">
        <f t="shared" si="4"/>
        <v>0.5391956373551465</v>
      </c>
      <c r="L29" s="24" t="n">
        <f t="shared" si="4"/>
        <v>-0.08201304753028892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9978.664399834353</v>
      </c>
      <c r="D36" s="21" t="n">
        <f>C36*(D37+1)</f>
        <v>10509.529373443658</v>
      </c>
      <c r="E36" s="21" t="n">
        <f>D36*(E37+1)</f>
        <v>10666.121359369736</v>
      </c>
      <c r="F36" s="21" t="n">
        <f t="shared" ref="F36:L36" si="5">E36*(F37+1)</f>
        <v>10666.1213593697</v>
      </c>
      <c r="G36" s="21" t="n">
        <f t="shared" si="5"/>
        <v>10666.1213593697</v>
      </c>
      <c r="H36" s="21" t="n">
        <f t="shared" si="5"/>
        <v>10666.1213593697</v>
      </c>
      <c r="I36" s="21" t="n">
        <f t="shared" si="5"/>
        <v>10666.1213593697</v>
      </c>
      <c r="J36" s="21" t="n">
        <f t="shared" si="5"/>
        <v>10666.1213593697</v>
      </c>
      <c r="K36" s="21" t="n">
        <f t="shared" si="5"/>
        <v>10666.1213593697</v>
      </c>
      <c r="L36" s="21" t="n">
        <f t="shared" si="5"/>
        <v>10666.1213593697</v>
      </c>
    </row>
    <row r="37" spans="2:12">
      <c r="B37" s="18" t="s">
        <v>27</v>
      </c>
      <c r="C37" s="68" t="n">
        <v>-0.012600000016391277</v>
      </c>
      <c r="D37" s="68" t="n">
        <v>0.05320000275969505</v>
      </c>
      <c r="E37" s="68" t="n">
        <v>0.01489999983459711</v>
      </c>
      <c r="F37" s="27" t="n">
        <f>C6</f>
        <v>0.0</v>
      </c>
      <c r="G37" s="27" t="n">
        <f>C6</f>
        <v>0.0</v>
      </c>
      <c r="H37" s="27" t="n">
        <f>C6</f>
        <v>0.0</v>
      </c>
      <c r="I37" s="27" t="n">
        <f>C6</f>
        <v>0.0</v>
      </c>
      <c r="J37" s="27" t="n">
        <f>C6</f>
        <v>0.0</v>
      </c>
      <c r="K37" s="27" t="n">
        <f>C6</f>
        <v>0.0</v>
      </c>
      <c r="L37" s="27" t="n">
        <f>C6</f>
        <v>0.0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768.4433955779414</v>
      </c>
      <c r="D39" s="21" t="n">
        <f>D36*C7</f>
        <v>809.3245863433644</v>
      </c>
      <c r="E39" s="21" t="n">
        <f>E36*C7</f>
        <v>821.3835225460156</v>
      </c>
      <c r="F39" s="21" t="n">
        <f>F36*C7</f>
        <v>821.3835225460156</v>
      </c>
      <c r="G39" s="21" t="n">
        <f>G36*C7</f>
        <v>821.3835225460156</v>
      </c>
      <c r="H39" s="21" t="n">
        <f>H36*C7</f>
        <v>821.3835225460156</v>
      </c>
      <c r="I39" s="21" t="n">
        <f>I36*C7</f>
        <v>821.3835225460156</v>
      </c>
      <c r="J39" s="21" t="n">
        <f>J36*C7</f>
        <v>821.3835225460156</v>
      </c>
      <c r="K39" s="21" t="n">
        <f>K36*C7</f>
        <v>821.3835225460156</v>
      </c>
      <c r="L39" s="21" t="n">
        <f>L36*C7</f>
        <v>821.3835225460156</v>
      </c>
    </row>
    <row r="40" spans="2:12">
      <c r="B40" s="18"/>
      <c r="C40" s="20" t="n">
        <f>(C39-L19)/L19</f>
        <v>-0.2838365372060196</v>
      </c>
      <c r="D40" s="20" t="n">
        <f>(D39-C39)/C39</f>
        <v>0.05320000275970443</v>
      </c>
      <c r="E40" s="20" t="n">
        <f t="shared" ref="E40:L40" si="6">(E39-D39)/D39</f>
        <v>0.014899999834596618</v>
      </c>
      <c r="F40" s="20" t="n">
        <f t="shared" si="6"/>
        <v>0.0</v>
      </c>
      <c r="G40" s="20" t="n">
        <f t="shared" si="6"/>
        <v>0.0</v>
      </c>
      <c r="H40" s="20" t="n">
        <f t="shared" si="6"/>
        <v>0.0</v>
      </c>
      <c r="I40" s="20" t="n">
        <f t="shared" si="6"/>
        <v>0.0</v>
      </c>
      <c r="J40" s="20" t="n">
        <f t="shared" si="6"/>
        <v>0.0</v>
      </c>
      <c r="K40" s="20" t="n">
        <f t="shared" si="6"/>
        <v>0.0</v>
      </c>
      <c r="L40" s="20" t="n">
        <f t="shared" si="6"/>
        <v>0.0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690.3237279667561</v>
      </c>
      <c r="D42" s="21" t="n">
        <f>D39*C8</f>
        <v>727.0489521996768</v>
      </c>
      <c r="E42" s="21" t="n">
        <f>E39*C8</f>
        <v>737.8819814671965</v>
      </c>
      <c r="F42" s="21" t="n">
        <f>F39*C8</f>
        <v>737.8819814671965</v>
      </c>
      <c r="G42" s="21" t="n">
        <f>G39*C8</f>
        <v>737.8819814671965</v>
      </c>
      <c r="H42" s="21" t="n">
        <f>H39*C8</f>
        <v>737.8819814671965</v>
      </c>
      <c r="I42" s="21" t="n">
        <f>I39*C8</f>
        <v>737.8819814671965</v>
      </c>
      <c r="J42" s="21" t="n">
        <f>J39*C8</f>
        <v>737.8819814671965</v>
      </c>
      <c r="K42" s="21" t="n">
        <f>K39*C8</f>
        <v>737.8819814671965</v>
      </c>
      <c r="L42" s="21" t="n">
        <f>L39*C8</f>
        <v>737.8819814671965</v>
      </c>
    </row>
    <row r="43" spans="2:12">
      <c r="B43" s="18" t="s">
        <v>27</v>
      </c>
      <c r="C43" s="20" t="n">
        <f>(C42-L22)/L22</f>
        <v>-8.844587817804046</v>
      </c>
      <c r="D43" s="20" t="n">
        <f>(D42-C42)/C42</f>
        <v>0.053200002759704185</v>
      </c>
      <c r="E43" s="20" t="n">
        <f t="shared" ref="E43:L43" si="7">(E42-D42)/D42</f>
        <v>0.014899999834597812</v>
      </c>
      <c r="F43" s="20" t="n">
        <f t="shared" si="7"/>
        <v>0.0</v>
      </c>
      <c r="G43" s="20" t="n">
        <f t="shared" si="7"/>
        <v>0.0</v>
      </c>
      <c r="H43" s="20" t="n">
        <f t="shared" si="7"/>
        <v>0.0</v>
      </c>
      <c r="I43" s="20" t="n">
        <f t="shared" si="7"/>
        <v>0.0</v>
      </c>
      <c r="J43" s="20" t="n">
        <f t="shared" si="7"/>
        <v>0.0</v>
      </c>
      <c r="K43" s="20" t="n">
        <f t="shared" si="7"/>
        <v>0.0</v>
      </c>
      <c r="L43" s="20" t="n">
        <f t="shared" si="7"/>
        <v>0.0</v>
      </c>
    </row>
    <row r="45" spans="2:12">
      <c r="B45" s="18" t="s">
        <v>47</v>
      </c>
      <c r="C45" s="21" t="n">
        <f>L25*(1+C46)</f>
        <v>2205.8399995118325</v>
      </c>
      <c r="D45" s="21" t="n">
        <f>C45*(1+D46)</f>
        <v>2227.898399013899</v>
      </c>
      <c r="E45" s="21" t="n">
        <f t="shared" ref="E45:L45" si="8">D45*(1+E46)</f>
        <v>2250.177382506059</v>
      </c>
      <c r="F45" s="21" t="n">
        <f t="shared" si="8"/>
        <v>2272.679155828161</v>
      </c>
      <c r="G45" s="21" t="n">
        <f t="shared" si="8"/>
        <v>2295.405946878452</v>
      </c>
      <c r="H45" s="21" t="n">
        <f t="shared" si="8"/>
        <v>2318.3600058341653</v>
      </c>
      <c r="I45" s="21" t="n">
        <f t="shared" si="8"/>
        <v>2341.543605374312</v>
      </c>
      <c r="J45" s="21" t="n">
        <f t="shared" si="8"/>
        <v>2364.9590409046714</v>
      </c>
      <c r="K45" s="21" t="n">
        <f t="shared" si="8"/>
        <v>2388.608630785101</v>
      </c>
      <c r="L45" s="21" t="n">
        <f t="shared" si="8"/>
        <v>2412.4947165590493</v>
      </c>
    </row>
    <row r="46" spans="2:12">
      <c r="B46" s="18" t="s">
        <v>27</v>
      </c>
      <c r="C46" s="20" t="n">
        <f>C10</f>
        <v>0.009999999776482582</v>
      </c>
      <c r="D46" s="20" t="n">
        <f>C10</f>
        <v>0.009999999776482582</v>
      </c>
      <c r="E46" s="20" t="n">
        <f>C10</f>
        <v>0.009999999776482582</v>
      </c>
      <c r="F46" s="20" t="n">
        <f>C10</f>
        <v>0.009999999776482582</v>
      </c>
      <c r="G46" s="20" t="n">
        <f>C10</f>
        <v>0.009999999776482582</v>
      </c>
      <c r="H46" s="20" t="n">
        <f>C10</f>
        <v>0.009999999776482582</v>
      </c>
      <c r="I46" s="20" t="n">
        <f>C10</f>
        <v>0.009999999776482582</v>
      </c>
      <c r="J46" s="20" t="n">
        <f>C10</f>
        <v>0.009999999776482582</v>
      </c>
      <c r="K46" s="20" t="n">
        <f>C10</f>
        <v>0.009999999776482582</v>
      </c>
      <c r="L46" s="20" t="n">
        <f>C10</f>
        <v>0.009999999776482582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1.0678766699911302</v>
      </c>
      <c r="D51" s="61" t="n">
        <f>POWER((1+C4),2)</f>
        <v>1.1403605823113452</v>
      </c>
      <c r="E51" s="61" t="n">
        <f>POWER((1+C4),3)</f>
        <v>1.2177644612277854</v>
      </c>
      <c r="F51" s="61" t="n">
        <f>POWER((1+C4),4)</f>
        <v>1.3004222576894702</v>
      </c>
      <c r="G51" s="61" t="n">
        <f>POWER((1+C4),5)</f>
        <v>1.3886905901237787</v>
      </c>
      <c r="H51" s="61" t="n">
        <f>POWER((1+C4),6)</f>
        <v>1.4829502830293984</v>
      </c>
      <c r="I51" s="61" t="n">
        <f>POWER((1+C4),7)</f>
        <v>1.5836080100038379</v>
      </c>
      <c r="J51" s="61" t="n">
        <f>POWER((1+C4),8)</f>
        <v>1.6910980482941789</v>
      </c>
      <c r="K51" s="61" t="n">
        <f>POWER((1+C4),9)</f>
        <v>1.805884152440887</v>
      </c>
      <c r="L51" s="61" t="n">
        <f>POWER((1+C4),10)</f>
        <v>1.928461555098329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646.445181701076</v>
      </c>
      <c r="D53" s="21" t="n">
        <f t="shared" si="9"/>
        <v>637.5605781866393</v>
      </c>
      <c r="E53" s="21" t="n">
        <f t="shared" si="9"/>
        <v>605.9316107182502</v>
      </c>
      <c r="F53" s="21" t="n">
        <f t="shared" si="9"/>
        <v>567.4172193716767</v>
      </c>
      <c r="G53" s="21" t="n">
        <f t="shared" si="9"/>
        <v>531.3508903386653</v>
      </c>
      <c r="H53" s="21" t="n">
        <f t="shared" si="9"/>
        <v>497.57701921054104</v>
      </c>
      <c r="I53" s="21" t="n">
        <f t="shared" si="9"/>
        <v>465.94989214875704</v>
      </c>
      <c r="J53" s="21" t="n">
        <f t="shared" si="9"/>
        <v>436.3330572177661</v>
      </c>
      <c r="K53" s="21" t="n">
        <f t="shared" si="9"/>
        <v>408.59873567739794</v>
      </c>
      <c r="L53" s="21" t="n">
        <f t="shared" si="9"/>
        <v>382.62727069483805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2.05935910366432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9147.001214024807</v>
      </c>
    </row>
    <row r="60" spans="2:12" ht="15" thickBot="1">
      <c r="B60" s="5" t="s">
        <v>41</v>
      </c>
      <c r="C60" s="23" t="n">
        <f>C59/C55</f>
        <v>4441.673721571481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14326.792669290415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68.32357673587603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27816.063437720277</v>
      </c>
    </row>
    <row r="70" spans="2:12" ht="15" thickBot="1">
      <c r="B70" s="5" t="s">
        <v>41</v>
      </c>
      <c r="C70" s="23" t="n">
        <f>C69/C55</f>
        <v>13507.145688299723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18686.93714356533</v>
      </c>
    </row>
    <row r="73" spans="2:12" ht="15" thickTop="1"/>
    <row r="74" spans="2:12" ht="18.5">
      <c r="B74" s="69" t="s">
        <v>42</v>
      </c>
      <c r="C74" s="70" t="n">
        <f>C72/(C11/1000000)</f>
        <v>89.11683259182064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1.0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6.0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12.941176470588236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1.4299999475479126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1.4299999475479126</v>
      </c>
    </row>
    <row r="7" spans="2:16" ht="15" thickBot="1">
      <c r="B7" s="89" t="s">
        <v>121</v>
      </c>
      <c r="C7" s="90" t="n">
        <f>P6*(1+P7)</f>
        <v>1.4800499459251713</v>
      </c>
      <c r="D7" s="90" t="n">
        <f>C7*(1+P7)</f>
        <v>1.531851694253093</v>
      </c>
      <c r="E7" s="90" t="n">
        <f>D7*(1+P7)</f>
        <v>1.5854665037802094</v>
      </c>
      <c r="F7" s="90" t="n">
        <f>E7*(1+P7)</f>
        <v>1.6409578316487676</v>
      </c>
      <c r="G7" s="90" t="n">
        <f>F7*(1+P7)</f>
        <v>1.698391356000996</v>
      </c>
      <c r="H7" s="90" t="n">
        <f>G7*(1+P7)</f>
        <v>1.7578350537141123</v>
      </c>
      <c r="I7" s="90" t="n">
        <f>H7*(1+P7)</f>
        <v>1.8193592808560388</v>
      </c>
      <c r="J7" s="90" t="n">
        <f>I7*(1+P7)</f>
        <v>1.883036855957104</v>
      </c>
      <c r="K7" s="90" t="n">
        <f>J7*(1+P7)</f>
        <v>1.94894314619619</v>
      </c>
      <c r="L7" s="90" t="n">
        <f>K7*(1+P7)</f>
        <v>2.017156156603469</v>
      </c>
      <c r="M7" s="159" t="n">
        <f>L7*(1+P7)/(P8-P7)</f>
        <v>63.502679328869434</v>
      </c>
      <c r="N7" s="160"/>
      <c r="O7" s="88" t="s">
        <v>122</v>
      </c>
      <c r="P7" s="104" t="n">
        <v>0.03500000014901161</v>
      </c>
    </row>
    <row r="8" spans="2:16" ht="15" thickBot="1">
      <c r="B8" s="89" t="s">
        <v>123</v>
      </c>
      <c r="C8" s="90" t="n">
        <f>C7/(1+P8)</f>
        <v>1.3859746050426063</v>
      </c>
      <c r="D8" s="90" t="n">
        <f>D7/(1+P8)^2</f>
        <v>1.3433046687287653</v>
      </c>
      <c r="E8" s="90" t="n">
        <f>E7/(1+P8)^3</f>
        <v>1.3019484097784317</v>
      </c>
      <c r="F8" s="90" t="n">
        <f>F7/(1+P8)^4</f>
        <v>1.2618653840671321</v>
      </c>
      <c r="G8" s="90" t="n">
        <f>G7/(1+P8)^5</f>
        <v>1.2230163926217827</v>
      </c>
      <c r="H8" s="90" t="n">
        <f>H7/(1+P8)^6</f>
        <v>1.1853634432862914</v>
      </c>
      <c r="I8" s="90" t="n">
        <f>I7/(1+P8)^7</f>
        <v>1.1488697135673294</v>
      </c>
      <c r="J8" s="90" t="n">
        <f>J7/(1+P8)^8</f>
        <v>1.1134995146239626</v>
      </c>
      <c r="K8" s="90" t="n">
        <f>K7/(1+P8)^9</f>
        <v>1.0792182563659674</v>
      </c>
      <c r="L8" s="90" t="n">
        <f>L7/(1+P8)^10</f>
        <v>1.0459924136266319</v>
      </c>
      <c r="M8" s="159" t="n">
        <f>M7/POWER((1+P8),10)</f>
        <v>32.92919123069139</v>
      </c>
      <c r="N8" s="160"/>
      <c r="O8" s="91" t="s">
        <v>124</v>
      </c>
      <c r="P8" s="105" t="n">
        <f>WACC!$C$25</f>
        <v>0.0678766699911302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45.0182440324003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1.4299999475479126</v>
      </c>
    </row>
    <row r="16" spans="2:16" ht="15" thickBot="1">
      <c r="B16" s="89" t="s">
        <v>121</v>
      </c>
      <c r="C16" s="90" t="n">
        <f>P15*(1+P16)</f>
        <v>1.4871999441713064</v>
      </c>
      <c r="D16" s="90" t="n">
        <f>C16*(1+P16)</f>
        <v>1.5466879406085015</v>
      </c>
      <c r="E16" s="90" t="n">
        <f>D16*(1+P16)</f>
        <v>1.6085554568499927</v>
      </c>
      <c r="F16" s="90" t="n">
        <f>E16*(1+P16)</f>
        <v>1.6728976736858283</v>
      </c>
      <c r="G16" s="90" t="n">
        <f>F16*(1+P16)</f>
        <v>1.7398135791375755</v>
      </c>
      <c r="H16" s="90" t="n">
        <f>G16*(1+P16)</f>
        <v>1.809406120747568</v>
      </c>
      <c r="I16" s="90" t="n">
        <f>H16*(1+P16)</f>
        <v>1.881782363959737</v>
      </c>
      <c r="J16" s="90" t="n">
        <f>I16*(1+P16)</f>
        <v>1.9570536568356844</v>
      </c>
      <c r="K16" s="90" t="n">
        <f>J16*(1+P16)</f>
        <v>2.035335801359364</v>
      </c>
      <c r="L16" s="90" t="n">
        <f>K16*(1+P16)</f>
        <v>2.1167492315940017</v>
      </c>
      <c r="M16" s="159" t="n">
        <f>L16*(1+P16)/(P17-P16)</f>
        <v>78.96994616146948</v>
      </c>
      <c r="N16" s="160"/>
      <c r="O16" s="88" t="s">
        <v>122</v>
      </c>
      <c r="P16" s="104" t="n">
        <v>0.03999999910593033</v>
      </c>
    </row>
    <row r="17" spans="2:16" ht="15" thickBot="1">
      <c r="B17" s="89" t="s">
        <v>123</v>
      </c>
      <c r="C17" s="90" t="n">
        <f>C16/(1+P17)</f>
        <v>1.3926701331378117</v>
      </c>
      <c r="D17" s="90" t="n">
        <f>D16/(1+P17)^2</f>
        <v>1.3563148048081264</v>
      </c>
      <c r="E17" s="90" t="n">
        <f>E16/(1+P17)^3</f>
        <v>1.3209085238274991</v>
      </c>
      <c r="F17" s="90" t="n">
        <f>F16/(1+P17)^4</f>
        <v>1.2864265155366974</v>
      </c>
      <c r="G17" s="90" t="n">
        <f>G16/(1+P17)^5</f>
        <v>1.2528446520131622</v>
      </c>
      <c r="H17" s="90" t="n">
        <f>H16/(1+P17)^6</f>
        <v>1.2201394351881303</v>
      </c>
      <c r="I17" s="90" t="n">
        <f>I16/(1+P17)^7</f>
        <v>1.188287980404429</v>
      </c>
      <c r="J17" s="90" t="n">
        <f>J16/(1+P17)^8</f>
        <v>1.1572680004035076</v>
      </c>
      <c r="K17" s="90" t="n">
        <f>K16/(1+P17)^9</f>
        <v>1.1270577897304963</v>
      </c>
      <c r="L17" s="90" t="n">
        <f>L16/(1+P17)^10</f>
        <v>1.097636209546355</v>
      </c>
      <c r="M17" s="159" t="n">
        <f>M16/POWER((1+P17),10)</f>
        <v>40.94971245482927</v>
      </c>
      <c r="N17" s="160"/>
      <c r="O17" s="91" t="s">
        <v>124</v>
      </c>
      <c r="P17" s="105" t="n">
        <f>WACC!$C$25</f>
        <v>0.0678766699911302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53.3492664994255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1.4299999475479126</v>
      </c>
    </row>
    <row r="25" spans="2:16" ht="15" thickBot="1">
      <c r="B25" s="89" t="s">
        <v>121</v>
      </c>
      <c r="C25" s="90" t="n">
        <f>P24*(1+P25)</f>
        <v>1.494349947744606</v>
      </c>
      <c r="D25" s="90" t="n">
        <f>C25*(1+P25)</f>
        <v>1.5615956980652244</v>
      </c>
      <c r="E25" s="90" t="n">
        <f>D25*(1+P25)</f>
        <v>1.6318675072705067</v>
      </c>
      <c r="F25" s="90" t="n">
        <f>E25*(1+P25)</f>
        <v>1.7053015480156906</v>
      </c>
      <c r="G25" s="90" t="n">
        <f>F25*(1+P25)</f>
        <v>1.782040120725714</v>
      </c>
      <c r="H25" s="90" t="n">
        <f>G25*(1+P25)</f>
        <v>1.8622319293449041</v>
      </c>
      <c r="I25" s="90" t="n">
        <f>H25*(1+P25)</f>
        <v>1.9460323694953519</v>
      </c>
      <c r="J25" s="90" t="n">
        <f>I25*(1+P25)</f>
        <v>2.033603829602419</v>
      </c>
      <c r="K25" s="90" t="n">
        <f>J25*(1+P25)</f>
        <v>2.1251160055708973</v>
      </c>
      <c r="L25" s="90" t="n">
        <f>K25*(1+P25)</f>
        <v>2.2207462296215956</v>
      </c>
      <c r="M25" s="159" t="n">
        <f>L25*(1+P25)/(P26-P25)</f>
        <v>101.4430857384282</v>
      </c>
      <c r="N25" s="160"/>
      <c r="O25" s="88" t="s">
        <v>122</v>
      </c>
      <c r="P25" s="104" t="n">
        <v>0.04500000178813934</v>
      </c>
    </row>
    <row r="26" spans="2:16" ht="15" thickBot="1">
      <c r="B26" s="89" t="s">
        <v>123</v>
      </c>
      <c r="C26" s="90" t="n">
        <f>C25/(1+P26)</f>
        <v>1.3993656662215708</v>
      </c>
      <c r="D26" s="90" t="n">
        <f>D25/(1+P26)^2</f>
        <v>1.3693876500887867</v>
      </c>
      <c r="E26" s="90" t="n">
        <f>E25/(1+P26)^3</f>
        <v>1.3400518402591646</v>
      </c>
      <c r="F26" s="90" t="n">
        <f>F25/(1+P26)^4</f>
        <v>1.3113444790199076</v>
      </c>
      <c r="G26" s="90" t="n">
        <f>G25/(1+P26)^5</f>
        <v>1.2832521033838569</v>
      </c>
      <c r="H26" s="90" t="n">
        <f>H25/(1+P26)^6</f>
        <v>1.2557615387757275</v>
      </c>
      <c r="I26" s="90" t="n">
        <f>I25/(1+P26)^7</f>
        <v>1.2288598928535548</v>
      </c>
      <c r="J26" s="90" t="n">
        <f>J25/(1+P26)^8</f>
        <v>1.2025345494625386</v>
      </c>
      <c r="K26" s="90" t="n">
        <f>K25/(1+P26)^9</f>
        <v>1.1767731627183982</v>
      </c>
      <c r="L26" s="90" t="n">
        <f>L25/(1+P26)^10</f>
        <v>1.1515636512174943</v>
      </c>
      <c r="M26" s="159" t="n">
        <f>M25/POWER((1+P26),10)</f>
        <v>52.60311540576993</v>
      </c>
      <c r="N26" s="160"/>
      <c r="O26" s="91" t="s">
        <v>124</v>
      </c>
      <c r="P26" s="105" t="n">
        <f>WACC!$C$25</f>
        <v>0.0678766699911302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65.3220099397709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6521.2998046875</v>
      </c>
      <c r="D3" s="110" t="n">
        <v>7194.7001953125</v>
      </c>
      <c r="E3" s="110" t="n">
        <v>8277.2998046875</v>
      </c>
      <c r="F3" s="110" t="n">
        <v>6691.10009765625</v>
      </c>
      <c r="G3" s="110" t="n">
        <v>5685.7001953125</v>
      </c>
      <c r="H3" s="110" t="n">
        <v>6120.7001953125</v>
      </c>
      <c r="I3" s="110" t="n">
        <v>7651.0</v>
      </c>
      <c r="J3" s="110" t="n">
        <v>7320.0</v>
      </c>
      <c r="K3" s="110" t="n">
        <v>6559.0</v>
      </c>
      <c r="L3" s="110" t="n">
        <v>7447.0</v>
      </c>
      <c r="M3" s="110" t="n">
        <v>10106.0</v>
      </c>
      <c r="Q3" s="107"/>
    </row>
    <row r="4" spans="2:17">
      <c r="B4" s="18" t="s">
        <v>27</v>
      </c>
      <c r="C4" s="113"/>
      <c r="D4" s="121" t="n">
        <f t="shared" ref="D4:M4" si="0">(D3-C3)/C3</f>
        <v>0.10326168260826789</v>
      </c>
      <c r="E4" s="121" t="n">
        <f t="shared" si="0"/>
        <v>0.15047181675204988</v>
      </c>
      <c r="F4" s="121" t="n">
        <f t="shared" si="0"/>
        <v>-0.19163250630754883</v>
      </c>
      <c r="G4" s="121" t="n">
        <f t="shared" si="0"/>
        <v>-0.15025928287874818</v>
      </c>
      <c r="H4" s="121" t="n">
        <f t="shared" si="0"/>
        <v>0.07650772729076183</v>
      </c>
      <c r="I4" s="121" t="n">
        <f t="shared" si="0"/>
        <v>0.25002038261234727</v>
      </c>
      <c r="J4" s="121" t="n">
        <f t="shared" si="0"/>
        <v>-0.04326231865115671</v>
      </c>
      <c r="K4" s="121" t="n">
        <f t="shared" si="0"/>
        <v>-0.10396174863387977</v>
      </c>
      <c r="L4" s="121" t="n">
        <f t="shared" si="0"/>
        <v>0.13538649184326879</v>
      </c>
      <c r="M4" s="121" t="n">
        <f t="shared" si="0"/>
        <v>0.3570565328320129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210.1999969482422</v>
      </c>
      <c r="D6" s="110" t="n">
        <v>278.1000061035156</v>
      </c>
      <c r="E6" s="110" t="n">
        <v>337.20001220703125</v>
      </c>
      <c r="F6" s="110" t="n">
        <v>281.0</v>
      </c>
      <c r="G6" s="110" t="n">
        <v>364.70001220703125</v>
      </c>
      <c r="H6" s="110" t="n">
        <v>436.6000061035156</v>
      </c>
      <c r="I6" s="110" t="n">
        <v>719.0</v>
      </c>
      <c r="J6" s="110" t="n">
        <v>256.0</v>
      </c>
      <c r="K6" s="110" t="n">
        <v>532.0</v>
      </c>
      <c r="L6" s="110" t="n">
        <v>1467.0</v>
      </c>
      <c r="M6" s="110" t="n">
        <v>1073.0</v>
      </c>
      <c r="Q6" s="107"/>
    </row>
    <row r="7" spans="2:17">
      <c r="B7" s="18" t="s">
        <v>27</v>
      </c>
      <c r="C7" s="113"/>
      <c r="D7" s="121" t="n">
        <f t="shared" ref="D7" si="1">(D6-C6)/C6</f>
        <v>0.3230257380640808</v>
      </c>
      <c r="E7" s="121" t="n">
        <f t="shared" ref="E7" si="2">(E6-D6)/D6</f>
        <v>0.2125135016412659</v>
      </c>
      <c r="F7" s="121" t="n">
        <f t="shared" ref="F7" si="3">(F6-E6)/E6</f>
        <v>-0.1666666968342994</v>
      </c>
      <c r="G7" s="121" t="n">
        <f t="shared" ref="G7" si="4">(G6-F6)/F6</f>
        <v>0.29786481212466653</v>
      </c>
      <c r="H7" s="121" t="n">
        <f t="shared" ref="H7" si="5">(H6-G6)/G6</f>
        <v>0.19714831776772354</v>
      </c>
      <c r="I7" s="121" t="n">
        <f t="shared" ref="I7" si="6">(I6-H6)/H6</f>
        <v>0.6468162848113387</v>
      </c>
      <c r="J7" s="121" t="n">
        <f t="shared" ref="J7" si="7">(J6-I6)/I6</f>
        <v>-0.6439499304589708</v>
      </c>
      <c r="K7" s="121" t="n">
        <f t="shared" ref="K7" si="8">(K6-J6)/J6</f>
        <v>1.078125</v>
      </c>
      <c r="L7" s="121" t="n">
        <f t="shared" ref="L7" si="9">(L6-K6)/K6</f>
        <v>1.7575187969924813</v>
      </c>
      <c r="M7" s="121" t="n">
        <f t="shared" ref="M7" si="10">(M6-L6)/L6</f>
        <v>-0.2685753237900477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853.599609375</v>
      </c>
      <c r="D9" s="110" t="n">
        <v>1194.199951171875</v>
      </c>
      <c r="E9" s="110" t="n">
        <v>1368.5</v>
      </c>
      <c r="F9" s="110" t="n">
        <v>1209.0</v>
      </c>
      <c r="G9" s="110" t="n">
        <v>1388.9010009765625</v>
      </c>
      <c r="H9" s="110" t="n">
        <v>1426.300048828125</v>
      </c>
      <c r="I9" s="110" t="n">
        <v>1520.0</v>
      </c>
      <c r="J9" s="110" t="n">
        <v>1065.0</v>
      </c>
      <c r="K9" s="110" t="n">
        <v>1466.0</v>
      </c>
      <c r="L9" s="110" t="n">
        <v>2852.0</v>
      </c>
      <c r="M9" s="110" t="n">
        <v>2184.0</v>
      </c>
      <c r="Q9" s="107"/>
    </row>
    <row r="10" spans="2:17">
      <c r="B10" s="18" t="s">
        <v>27</v>
      </c>
      <c r="C10" s="113"/>
      <c r="D10" s="121" t="n">
        <f t="shared" ref="D10" si="11">(D9-C9)/C9</f>
        <v>0.3990165155373728</v>
      </c>
      <c r="E10" s="121" t="n">
        <f t="shared" ref="E10" si="12">(E9-D9)/D9</f>
        <v>0.14595549820369919</v>
      </c>
      <c r="F10" s="121" t="n">
        <f t="shared" ref="F10" si="13">(F9-E9)/E9</f>
        <v>-0.11655096821337231</v>
      </c>
      <c r="G10" s="121" t="n">
        <f t="shared" ref="G10" si="14">(G9-F9)/F9</f>
        <v>0.1488014896414913</v>
      </c>
      <c r="H10" s="121" t="n">
        <f t="shared" ref="H10" si="15">(H9-G9)/G9</f>
        <v>0.02692707963005757</v>
      </c>
      <c r="I10" s="121" t="n">
        <f t="shared" ref="I10" si="16">(I9-H9)/H9</f>
        <v>0.06569441769903908</v>
      </c>
      <c r="J10" s="121" t="n">
        <f t="shared" ref="J10" si="17">(J9-I9)/I9</f>
        <v>-0.2993421052631579</v>
      </c>
      <c r="K10" s="121" t="n">
        <f t="shared" ref="K10" si="18">(K9-J9)/J9</f>
        <v>0.37652582159624415</v>
      </c>
      <c r="L10" s="121" t="n">
        <f t="shared" ref="L10" si="19">(L9-K9)/K9</f>
        <v>0.9454297407912687</v>
      </c>
      <c r="M10" s="121" t="n">
        <f t="shared" ref="M10" si="20">(M9-L9)/L9</f>
        <v>-0.23422159887798036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170.1479949951172</v>
      </c>
      <c r="D12" s="110" t="n">
        <v>173.28199768066406</v>
      </c>
      <c r="E12" s="110" t="n">
        <v>175.2310028076172</v>
      </c>
      <c r="F12" s="110" t="n">
        <v>175.66700744628906</v>
      </c>
      <c r="G12" s="110" t="n">
        <v>175.57200622558594</v>
      </c>
      <c r="H12" s="110" t="n">
        <v>177.15899658203125</v>
      </c>
      <c r="I12" s="110" t="n">
        <v>176.90499877929688</v>
      </c>
      <c r="J12" s="110" t="n">
        <v>181.11099243164062</v>
      </c>
      <c r="K12" s="110" t="n">
        <v>209.86900329589844</v>
      </c>
      <c r="L12" s="110" t="n">
        <v>212.12600708007812</v>
      </c>
      <c r="M12" s="110" t="n">
        <v>215.8209991455078</v>
      </c>
      <c r="Q12" s="107"/>
    </row>
    <row r="13" spans="2:17">
      <c r="B13" s="18" t="s">
        <v>27</v>
      </c>
      <c r="C13" s="113"/>
      <c r="D13" s="121" t="n">
        <f t="shared" ref="D13" si="21">(D12-C12)/C12</f>
        <v>0.01841927485326419</v>
      </c>
      <c r="E13" s="121" t="n">
        <f t="shared" ref="E13" si="22">(E12-D12)/D12</f>
        <v>0.01124759151579549</v>
      </c>
      <c r="F13" s="121" t="n">
        <f t="shared" ref="F13" si="23">(F12-E12)/E12</f>
        <v>0.002488170652944084</v>
      </c>
      <c r="G13" s="121" t="n">
        <f t="shared" ref="G13" si="24">(G12-F12)/F12</f>
        <v>-5.408028638056697E-4</v>
      </c>
      <c r="H13" s="121" t="n">
        <f t="shared" ref="H13" si="25">(H12-G12)/G12</f>
        <v>0.009038971477071604</v>
      </c>
      <c r="I13" s="121" t="n">
        <f t="shared" ref="I13" si="26">(I12-H12)/H12</f>
        <v>-0.0014337279372474028</v>
      </c>
      <c r="J13" s="121" t="n">
        <f t="shared" ref="J13" si="27">(J12-I12)/I12</f>
        <v>0.02377543699367738</v>
      </c>
      <c r="K13" s="121" t="n">
        <f t="shared" ref="K13" si="28">(K12-J12)/J12</f>
        <v>0.15878666710477166</v>
      </c>
      <c r="L13" s="121" t="n">
        <f t="shared" ref="L13" si="29">(L12-K12)/K12</f>
        <v>0.010754345561919407</v>
      </c>
      <c r="M13" s="121" t="n">
        <f t="shared" ref="M13" si="30">(M12-L12)/L12</f>
        <v>0.017418854558624786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1.2400000095367432</v>
      </c>
      <c r="D15" s="110" t="n">
        <v>1.600000023841858</v>
      </c>
      <c r="E15" s="110" t="n">
        <v>1.9199999570846558</v>
      </c>
      <c r="F15" s="110" t="n">
        <v>1.600000023841858</v>
      </c>
      <c r="G15" s="110" t="n">
        <v>2.0799999237060547</v>
      </c>
      <c r="H15" s="110" t="n">
        <v>2.4600000381469727</v>
      </c>
      <c r="I15" s="110" t="n">
        <v>4.059999942779541</v>
      </c>
      <c r="J15" s="110" t="n">
        <v>1.409999966621399</v>
      </c>
      <c r="K15" s="110" t="n">
        <v>2.5399999618530273</v>
      </c>
      <c r="L15" s="110" t="n">
        <v>6.920000076293945</v>
      </c>
      <c r="M15" s="110" t="n">
        <v>4.96999979019165</v>
      </c>
      <c r="Q15" s="107"/>
    </row>
    <row r="16" spans="2:17">
      <c r="B16" s="18" t="s">
        <v>27</v>
      </c>
      <c r="D16" s="121" t="n">
        <f t="shared" ref="D16" si="31">(D15-C15)/C15</f>
        <v>0.29032258994869675</v>
      </c>
      <c r="E16" s="121" t="n">
        <f t="shared" ref="E16" si="32">(E15-D15)/D15</f>
        <v>0.19999995529651693</v>
      </c>
      <c r="F16" s="121" t="n">
        <f t="shared" ref="F16" si="33">(F15-E15)/E15</f>
        <v>-0.16666663562257986</v>
      </c>
      <c r="G16" s="121" t="n">
        <f t="shared" ref="G16" si="34">(G15-F15)/F15</f>
        <v>0.2999999329447754</v>
      </c>
      <c r="H16" s="121" t="n">
        <f t="shared" ref="H16" si="35">(H15-G15)/G15</f>
        <v>0.18269236941309638</v>
      </c>
      <c r="I16" s="121" t="n">
        <f t="shared" ref="I16" si="36">(I15-H15)/H15</f>
        <v>0.6504064552120059</v>
      </c>
      <c r="J16" s="121" t="n">
        <f t="shared" ref="J16" si="37">(J15-I15)/I15</f>
        <v>-0.652709362932628</v>
      </c>
      <c r="K16" s="121" t="n">
        <f t="shared" ref="K16" si="38">(K15-J15)/J15</f>
        <v>0.8014184553062809</v>
      </c>
      <c r="L16" s="121" t="n">
        <f t="shared" ref="L16" si="39">(L15-K15)/K15</f>
        <v>1.7244095197724087</v>
      </c>
      <c r="M16" s="121" t="n">
        <f t="shared" ref="M16" si="40">(M15-L15)/L15</f>
        <v>-0.2817919457519175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368.29998779296875</v>
      </c>
      <c r="D20" s="128" t="n">
        <v>315.5</v>
      </c>
      <c r="E20" s="128" t="n">
        <v>548.5999755859375</v>
      </c>
      <c r="F20" s="128" t="n">
        <v>673.2000122070312</v>
      </c>
      <c r="G20" s="128" t="n">
        <v>405.8999938964844</v>
      </c>
      <c r="H20" s="128" t="n">
        <v>325.5</v>
      </c>
      <c r="I20" s="128" t="n">
        <v>511.0</v>
      </c>
      <c r="J20" s="128" t="n">
        <v>373.0</v>
      </c>
      <c r="K20" s="128" t="n">
        <v>447.0</v>
      </c>
      <c r="L20" s="128" t="n">
        <v>791.0</v>
      </c>
      <c r="M20" s="128" t="n">
        <v>-88.0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0.7388271809379968</v>
      </c>
      <c r="F21" s="131" t="n">
        <f t="shared" ref="F21" si="42">(F20-E20)/E20</f>
        <v>0.22712366417445357</v>
      </c>
      <c r="G21" s="131" t="n">
        <f t="shared" ref="G21" si="43">(G20-F20)/F20</f>
        <v>-0.3970588435288731</v>
      </c>
      <c r="H21" s="131" t="n">
        <f t="shared" ref="H21" si="44">(H20-G20)/G20</f>
        <v>-0.19807833236131725</v>
      </c>
      <c r="I21" s="131" t="n">
        <f t="shared" ref="I21" si="45">(I20-H20)/H20</f>
        <v>0.5698924731182796</v>
      </c>
      <c r="J21" s="131" t="n">
        <f t="shared" ref="J21" si="46">(J20-I20)/I20</f>
        <v>-0.2700587084148728</v>
      </c>
      <c r="K21" s="131" t="n">
        <f t="shared" ref="K21" si="47">(K20-J20)/J20</f>
        <v>0.19839142091152814</v>
      </c>
      <c r="L21" s="131" t="n">
        <f t="shared" ref="L21" si="48">(L20-K20)/K20</f>
        <v>0.7695749440715883</v>
      </c>
      <c r="M21" s="131" t="n">
        <f t="shared" ref="M21" si="49">(M20-L20)/L20</f>
        <v>-1.1112515802781289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119.0999984741211</v>
      </c>
      <c r="D23" s="130" t="n">
        <v>125.80000305175781</v>
      </c>
      <c r="E23" s="130" t="n">
        <v>136.10000610351562</v>
      </c>
      <c r="F23" s="130" t="n">
        <v>153.5</v>
      </c>
      <c r="G23" s="130" t="n">
        <v>160.6999969482422</v>
      </c>
      <c r="H23" s="130" t="n">
        <v>168.89999389648438</v>
      </c>
      <c r="I23" s="130" t="n">
        <v>177.0</v>
      </c>
      <c r="J23" s="130" t="n">
        <v>200.0</v>
      </c>
      <c r="K23" s="130" t="n">
        <v>273.0</v>
      </c>
      <c r="L23" s="130" t="n">
        <v>282.0</v>
      </c>
      <c r="M23" s="130" t="n">
        <v>296.0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0.05625528684698137</v>
      </c>
      <c r="E24" s="121" t="n">
        <f t="shared" ref="E24" si="51">(E23-D23)/D23</f>
        <v>0.08187601591329105</v>
      </c>
      <c r="F24" s="121" t="n">
        <f t="shared" ref="F24" si="52">(F23-E23)/E23</f>
        <v>0.12784712061842363</v>
      </c>
      <c r="G24" s="121" t="n">
        <f t="shared" ref="G24" si="53">(G23-F23)/F23</f>
        <v>0.046905517578125014</v>
      </c>
      <c r="H24" s="121" t="n">
        <f t="shared" ref="H24" si="54">(H23-G23)/G23</f>
        <v>0.05102673991265371</v>
      </c>
      <c r="I24" s="121" t="n">
        <f t="shared" ref="I24" si="55">(I23-H23)/H23</f>
        <v>0.0479574090954674</v>
      </c>
      <c r="J24" s="121" t="n">
        <f t="shared" ref="J24" si="56">(J23-I23)/I23</f>
        <v>0.12994350282485875</v>
      </c>
      <c r="K24" s="121" t="n">
        <f t="shared" ref="K24" si="57">(K23-J23)/J23</f>
        <v>0.365</v>
      </c>
      <c r="L24" s="121" t="n">
        <f t="shared" ref="L24" si="58">(L23-K23)/K23</f>
        <v>0.03296703296703297</v>
      </c>
      <c r="M24" s="121" t="n">
        <f t="shared" ref="M24" si="59">(M23-L23)/L23</f>
        <v>0.04964539007092199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1470.4000244140625</v>
      </c>
      <c r="D28" s="110" t="n">
        <v>1627.300048828125</v>
      </c>
      <c r="E28" s="110" t="n">
        <v>1663.0</v>
      </c>
      <c r="F28" s="110" t="n">
        <v>1459.800048828125</v>
      </c>
      <c r="G28" s="110" t="n">
        <v>1423.800048828125</v>
      </c>
      <c r="H28" s="110" t="n">
        <v>1697.5</v>
      </c>
      <c r="I28" s="110" t="n">
        <v>1888.0999755859375</v>
      </c>
      <c r="J28" s="110" t="n">
        <v>1566.0</v>
      </c>
      <c r="K28" s="110" t="n">
        <v>1543.0</v>
      </c>
      <c r="L28" s="110" t="n">
        <v>3270.0</v>
      </c>
      <c r="M28" s="110" t="n">
        <v>3802.0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0.10670567315624611</v>
      </c>
      <c r="E29" s="121" t="n">
        <f t="shared" ref="E29" si="61">(E28-D28)/D28</f>
        <v>0.021938149143167333</v>
      </c>
      <c r="F29" s="121" t="n">
        <f t="shared" ref="F29" si="62">(F28-E28)/E28</f>
        <v>-0.12218878603239627</v>
      </c>
      <c r="G29" s="121" t="n">
        <f t="shared" ref="G29" si="63">(G28-F28)/F28</f>
        <v>-0.02466091162889012</v>
      </c>
      <c r="H29" s="121" t="n">
        <f t="shared" ref="H29" si="64">(H28-G28)/G28</f>
        <v>0.19223201417723362</v>
      </c>
      <c r="I29" s="121" t="n">
        <f t="shared" ref="I29" si="65">(I28-H28)/H28</f>
        <v>0.11228275439525066</v>
      </c>
      <c r="J29" s="121" t="n">
        <f t="shared" ref="J29" si="66">(J28-I28)/I28</f>
        <v>-0.1705947670943535</v>
      </c>
      <c r="K29" s="121" t="n">
        <f t="shared" ref="K29" si="67">(K28-J28)/J28</f>
        <v>-0.014687100893997445</v>
      </c>
      <c r="L29" s="121" t="n">
        <f t="shared" ref="L29" si="68">(L28-K28)/K28</f>
        <v>1.119248217757615</v>
      </c>
      <c r="M29" s="121" t="n">
        <f t="shared" ref="M29" si="69">(M28-L28)/L28</f>
        <v>0.16269113149847095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8206.5</v>
      </c>
      <c r="D31" s="110" t="n">
        <v>8381.5</v>
      </c>
      <c r="E31" s="110" t="n">
        <v>8430.0</v>
      </c>
      <c r="F31" s="110" t="n">
        <v>9054.3994140625</v>
      </c>
      <c r="G31" s="110" t="n">
        <v>9423.400390625</v>
      </c>
      <c r="H31" s="110" t="n">
        <v>9884.7001953125</v>
      </c>
      <c r="I31" s="110" t="n">
        <v>10092.7998046875</v>
      </c>
      <c r="J31" s="110" t="n">
        <v>11781.0</v>
      </c>
      <c r="K31" s="110" t="n">
        <v>12442.0</v>
      </c>
      <c r="L31" s="110" t="n">
        <v>13453.0</v>
      </c>
      <c r="M31" s="110" t="n">
        <v>13773.0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0.02132455980015841</v>
      </c>
      <c r="E32" s="121" t="n">
        <f t="shared" ref="E32" si="71">(E31-D31)/D31</f>
        <v>0.005786553719501282</v>
      </c>
      <c r="F32" s="121" t="n">
        <f t="shared" ref="F32" si="72">(F31-E31)/E31</f>
        <v>0.07406873239175564</v>
      </c>
      <c r="G32" s="121" t="n">
        <f t="shared" ref="G32" si="73">(G31-F31)/F31</f>
        <v>0.04075377721789034</v>
      </c>
      <c r="H32" s="121" t="n">
        <f t="shared" ref="H32" si="74">(H31-G31)/G31</f>
        <v>0.04895258458363188</v>
      </c>
      <c r="I32" s="121" t="n">
        <f t="shared" ref="I32" si="75">(I31-H31)/H31</f>
        <v>0.0210526981358205</v>
      </c>
      <c r="J32" s="121" t="n">
        <f t="shared" ref="J32" si="76">(J31-I31)/I31</f>
        <v>0.1672677778200289</v>
      </c>
      <c r="K32" s="121" t="n">
        <f t="shared" ref="K32" si="77">(K31-J31)/J31</f>
        <v>0.05610729140140905</v>
      </c>
      <c r="L32" s="121" t="n">
        <f t="shared" ref="L32" si="78">(L31-K31)/K31</f>
        <v>0.08125703263140974</v>
      </c>
      <c r="M32" s="121" t="n">
        <f t="shared" ref="M32" si="79">(M31-L31)/L31</f>
        <v>0.02378651601873188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10008.800048828125</v>
      </c>
      <c r="E34" s="111" t="n">
        <f t="shared" ref="E34:M34" si="80">E28+E31</f>
        <v>10093.0</v>
      </c>
      <c r="F34" s="111" t="n">
        <f t="shared" si="80"/>
        <v>10514.199462890625</v>
      </c>
      <c r="G34" s="111" t="n">
        <f t="shared" si="80"/>
        <v>10847.200439453125</v>
      </c>
      <c r="H34" s="111" t="n">
        <f t="shared" si="80"/>
        <v>11582.2001953125</v>
      </c>
      <c r="I34" s="111" t="n">
        <f t="shared" si="80"/>
        <v>11980.899780273438</v>
      </c>
      <c r="J34" s="111" t="n">
        <f t="shared" si="80"/>
        <v>13347.0</v>
      </c>
      <c r="K34" s="111" t="n">
        <f t="shared" si="80"/>
        <v>13985.0</v>
      </c>
      <c r="L34" s="111" t="n">
        <f t="shared" si="80"/>
        <v>16723.0</v>
      </c>
      <c r="M34" s="111" t="n">
        <f t="shared" si="80"/>
        <v>17575.0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1482.300048828125</v>
      </c>
      <c r="D36" s="118" t="n">
        <v>1424.9000244140625</v>
      </c>
      <c r="E36" s="110" t="n">
        <v>1430.9000244140625</v>
      </c>
      <c r="F36" s="110" t="n">
        <v>1678.800048828125</v>
      </c>
      <c r="G36" s="110" t="n">
        <v>1442.0</v>
      </c>
      <c r="H36" s="110" t="n">
        <v>1690.0999755859375</v>
      </c>
      <c r="I36" s="110" t="n">
        <v>1732.0999755859375</v>
      </c>
      <c r="J36" s="110" t="n">
        <v>2028.0</v>
      </c>
      <c r="K36" s="110" t="n">
        <v>1755.0</v>
      </c>
      <c r="L36" s="110" t="n">
        <v>2297.0</v>
      </c>
      <c r="M36" s="110" t="n">
        <v>2444.0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-0.03872362040292824</v>
      </c>
      <c r="E37" s="121" t="n">
        <f t="shared" ref="E37" si="82">(E36-D36)/D36</f>
        <v>0.004210821739909288</v>
      </c>
      <c r="F37" s="121" t="n">
        <f t="shared" ref="F37" si="83">(F36-E36)/E36</f>
        <v>0.17324762050764217</v>
      </c>
      <c r="G37" s="121" t="n">
        <f t="shared" ref="G37" si="84">(G36-F36)/F36</f>
        <v>-0.1410531581729587</v>
      </c>
      <c r="H37" s="121" t="n">
        <f t="shared" ref="H37" si="85">(H36-G36)/G36</f>
        <v>0.17205268764628157</v>
      </c>
      <c r="I37" s="121" t="n">
        <f t="shared" ref="I37" si="86">(I36-H36)/H36</f>
        <v>0.02485060091515535</v>
      </c>
      <c r="J37" s="121" t="n">
        <f t="shared" ref="J37" si="87">(J36-I36)/I36</f>
        <v>0.17083310928052237</v>
      </c>
      <c r="K37" s="121" t="n">
        <f t="shared" ref="K37" si="88">(K36-J36)/J36</f>
        <v>-0.1346153846153846</v>
      </c>
      <c r="L37" s="121" t="n">
        <f t="shared" ref="L37" si="89">(L36-K36)/K36</f>
        <v>0.3088319088319088</v>
      </c>
      <c r="M37" s="121" t="n">
        <f t="shared" ref="M37" si="90">(M36-L36)/L36</f>
        <v>0.06399651719634306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4879.2001953125</v>
      </c>
      <c r="D39" s="110" t="n">
        <v>5036.0</v>
      </c>
      <c r="E39" s="110" t="n">
        <v>4998.89990234375</v>
      </c>
      <c r="F39" s="110" t="n">
        <v>5263.0</v>
      </c>
      <c r="G39" s="110" t="n">
        <v>5810.2001953125</v>
      </c>
      <c r="H39" s="110" t="n">
        <v>6151.2001953125</v>
      </c>
      <c r="I39" s="110" t="n">
        <v>6148.7998046875</v>
      </c>
      <c r="J39" s="110" t="n">
        <v>7492.0</v>
      </c>
      <c r="K39" s="110" t="n">
        <v>8093.0</v>
      </c>
      <c r="L39" s="110" t="n">
        <v>8895.0</v>
      </c>
      <c r="M39" s="110" t="n">
        <v>9057.0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0.03213637448984759</v>
      </c>
      <c r="E40" s="121" t="n">
        <f t="shared" ref="E40" si="92">(E39-D39)/D39</f>
        <v>-0.007366977294727958</v>
      </c>
      <c r="F40" s="121" t="n">
        <f t="shared" ref="F40" si="93">(F39-E39)/E39</f>
        <v>0.05283164352469347</v>
      </c>
      <c r="G40" s="121" t="n">
        <f t="shared" ref="G40" si="94">(G39-F39)/F39</f>
        <v>0.10397115624406232</v>
      </c>
      <c r="H40" s="121" t="n">
        <f t="shared" ref="H40" si="95">(H39-G39)/G39</f>
        <v>0.058689888220221545</v>
      </c>
      <c r="I40" s="121" t="n">
        <f t="shared" ref="I40" si="96">(I39-H39)/H39</f>
        <v>-3.9023126362058727E-4</v>
      </c>
      <c r="J40" s="121" t="n">
        <f t="shared" ref="J40" si="97">(J39-I39)/I39</f>
        <v>0.21844916698841285</v>
      </c>
      <c r="K40" s="121" t="n">
        <f t="shared" ref="K40" si="98">(K39-J39)/J39</f>
        <v>0.08021890016017084</v>
      </c>
      <c r="L40" s="121" t="n">
        <f t="shared" ref="L40" si="99">(L39-K39)/K39</f>
        <v>0.09909798591375263</v>
      </c>
      <c r="M40" s="121" t="n">
        <f t="shared" ref="M40" si="100">(M39-L39)/L39</f>
        <v>0.01821247892074199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6460.9000244140625</v>
      </c>
      <c r="E42" s="111" t="n">
        <f t="shared" ref="E42:M42" si="101">E36+E39</f>
        <v>6429.7999267578125</v>
      </c>
      <c r="F42" s="111" t="n">
        <f t="shared" si="101"/>
        <v>6941.800048828125</v>
      </c>
      <c r="G42" s="111" t="n">
        <f t="shared" si="101"/>
        <v>7252.2001953125</v>
      </c>
      <c r="H42" s="111" t="n">
        <f t="shared" si="101"/>
        <v>7841.3001708984375</v>
      </c>
      <c r="I42" s="111" t="n">
        <f t="shared" si="101"/>
        <v>7880.8997802734375</v>
      </c>
      <c r="J42" s="111" t="n">
        <f t="shared" si="101"/>
        <v>9520.0</v>
      </c>
      <c r="K42" s="111" t="n">
        <f t="shared" si="101"/>
        <v>9848.0</v>
      </c>
      <c r="L42" s="111" t="n">
        <f t="shared" si="101"/>
        <v>11192.0</v>
      </c>
      <c r="M42" s="111" t="n">
        <f t="shared" si="101"/>
        <v>11501.0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3547.9000244140625</v>
      </c>
      <c r="E44" s="134" t="n">
        <f t="shared" ref="E44:M44" si="102">E34-E42</f>
        <v>3663.2000732421875</v>
      </c>
      <c r="F44" s="134" t="n">
        <f t="shared" si="102"/>
        <v>3572.3994140625</v>
      </c>
      <c r="G44" s="134" t="n">
        <f t="shared" si="102"/>
        <v>3595.000244140625</v>
      </c>
      <c r="H44" s="134" t="n">
        <f t="shared" si="102"/>
        <v>3740.9000244140625</v>
      </c>
      <c r="I44" s="134" t="n">
        <f t="shared" si="102"/>
        <v>4100.0</v>
      </c>
      <c r="J44" s="134" t="n">
        <f t="shared" si="102"/>
        <v>3827.0</v>
      </c>
      <c r="K44" s="134" t="n">
        <f t="shared" si="102"/>
        <v>4137.0</v>
      </c>
      <c r="L44" s="134" t="n">
        <f t="shared" si="102"/>
        <v>5531.0</v>
      </c>
      <c r="M44" s="134" t="n">
        <f t="shared" si="102"/>
        <v>6074.0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3347.60009765625</v>
      </c>
      <c r="D46" s="133" t="n">
        <v>3542.199951171875</v>
      </c>
      <c r="E46" s="133" t="n">
        <v>3433.60009765625</v>
      </c>
      <c r="F46" s="133" t="n">
        <v>3409.5</v>
      </c>
      <c r="G46" s="133" t="n">
        <v>3766.0</v>
      </c>
      <c r="H46" s="133" t="n">
        <v>3994.60009765625</v>
      </c>
      <c r="I46" s="133" t="n">
        <v>4146.5</v>
      </c>
      <c r="J46" s="133" t="n">
        <v>5780.0</v>
      </c>
      <c r="K46" s="136" t="n">
        <v>5981.0</v>
      </c>
      <c r="L46" s="133" t="n">
        <v>6339.0</v>
      </c>
      <c r="M46" s="133" t="n">
        <v>6483.0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0.038653453035430725</v>
      </c>
      <c r="E50" s="126" t="n">
        <f t="shared" si="103"/>
        <v>0.04073792422210828</v>
      </c>
      <c r="F50" s="126" t="n">
        <f t="shared" si="103"/>
        <v>0.041996083737923504</v>
      </c>
      <c r="G50" s="126" t="n">
        <f t="shared" si="103"/>
        <v>0.06414337718821388</v>
      </c>
      <c r="H50" s="126" t="n">
        <f t="shared" si="103"/>
        <v>0.07133170914626458</v>
      </c>
      <c r="I50" s="126" t="n">
        <f t="shared" si="103"/>
        <v>0.09397464383740688</v>
      </c>
      <c r="J50" s="126" t="n">
        <f t="shared" si="103"/>
        <v>0.034972677595628415</v>
      </c>
      <c r="K50" s="126" t="n">
        <f t="shared" si="103"/>
        <v>0.08110992529348986</v>
      </c>
      <c r="L50" s="126" t="n">
        <f t="shared" si="103"/>
        <v>0.19699207734658253</v>
      </c>
      <c r="M50" s="126" t="n">
        <f t="shared" si="103"/>
        <v>0.10617454977241243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0.16598328196495618</v>
      </c>
      <c r="E51" s="126" t="n">
        <f t="shared" si="104"/>
        <v>0.16533169418667276</v>
      </c>
      <c r="F51" s="126" t="n">
        <f t="shared" si="104"/>
        <v>0.18068777665177763</v>
      </c>
      <c r="G51" s="126" t="n">
        <f t="shared" si="104"/>
        <v>0.2442796759001857</v>
      </c>
      <c r="H51" s="126" t="n">
        <f t="shared" si="104"/>
        <v>0.23302890246453387</v>
      </c>
      <c r="I51" s="126" t="n">
        <f t="shared" si="104"/>
        <v>0.19866684093582537</v>
      </c>
      <c r="J51" s="126" t="n">
        <f t="shared" si="104"/>
        <v>0.14549180327868852</v>
      </c>
      <c r="K51" s="126" t="n">
        <f t="shared" si="104"/>
        <v>0.22350968135386493</v>
      </c>
      <c r="L51" s="126" t="n">
        <f t="shared" si="104"/>
        <v>0.382973009265476</v>
      </c>
      <c r="M51" s="126" t="n">
        <f t="shared" si="104"/>
        <v>0.216109242034435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0.04385172299542863</v>
      </c>
      <c r="E52" s="126" t="n">
        <f t="shared" si="105"/>
        <v>0.06627764953919653</v>
      </c>
      <c r="F52" s="126" t="n">
        <f t="shared" si="105"/>
        <v>0.1006112600890306</v>
      </c>
      <c r="G52" s="126" t="n">
        <f t="shared" si="105"/>
        <v>0.07138962308127376</v>
      </c>
      <c r="H52" s="126" t="n">
        <f t="shared" si="105"/>
        <v>0.05318019011113829</v>
      </c>
      <c r="I52" s="126" t="n">
        <f t="shared" si="105"/>
        <v>0.06678865507776761</v>
      </c>
      <c r="J52" s="126" t="n">
        <f t="shared" si="105"/>
        <v>0.05095628415300547</v>
      </c>
      <c r="K52" s="126" t="n">
        <f t="shared" si="105"/>
        <v>0.0681506327184022</v>
      </c>
      <c r="L52" s="126" t="n">
        <f t="shared" si="105"/>
        <v>0.10621726869880489</v>
      </c>
      <c r="M52" s="126" t="n">
        <f t="shared" si="105"/>
        <v>-0.008707698396991885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0.39873218082966083</v>
      </c>
      <c r="E55" s="126" t="n">
        <f t="shared" ref="E55:M55" si="106">E23/E20</f>
        <v>0.2480860593516304</v>
      </c>
      <c r="F55" s="126" t="n">
        <f t="shared" si="106"/>
        <v>0.22801544446911526</v>
      </c>
      <c r="G55" s="126" t="n">
        <f t="shared" si="106"/>
        <v>0.3959103211743951</v>
      </c>
      <c r="H55" s="126" t="n">
        <f t="shared" si="106"/>
        <v>0.5188939904653886</v>
      </c>
      <c r="I55" s="126" t="n">
        <f t="shared" si="106"/>
        <v>0.34637964774951074</v>
      </c>
      <c r="J55" s="126" t="n">
        <f t="shared" si="106"/>
        <v>0.5361930294906166</v>
      </c>
      <c r="K55" s="126" t="n">
        <f t="shared" si="106"/>
        <v>0.610738255033557</v>
      </c>
      <c r="L55" s="126" t="n">
        <f t="shared" si="106"/>
        <v>0.35651074589127685</v>
      </c>
      <c r="M55" s="126" t="n">
        <f t="shared" si="106"/>
        <v>-3.3636363636363638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1.8210490656317424</v>
      </c>
      <c r="E58" s="112" t="n">
        <f t="shared" ref="E58:M58" si="107">E42/E44</f>
        <v>1.755241263976877</v>
      </c>
      <c r="F58" s="112" t="n">
        <f t="shared" si="107"/>
        <v>1.9431757886596388</v>
      </c>
      <c r="G58" s="112" t="n">
        <f t="shared" si="107"/>
        <v>2.017301725398383</v>
      </c>
      <c r="H58" s="112" t="n">
        <f t="shared" si="107"/>
        <v>2.096099901019576</v>
      </c>
      <c r="I58" s="112" t="n">
        <f t="shared" si="107"/>
        <v>1.9221706781154733</v>
      </c>
      <c r="J58" s="112" t="n">
        <f t="shared" si="107"/>
        <v>2.487588189182127</v>
      </c>
      <c r="K58" s="112" t="n">
        <f t="shared" si="107"/>
        <v>2.3804689388445732</v>
      </c>
      <c r="L58" s="112" t="n">
        <f t="shared" si="107"/>
        <v>2.0235038871813416</v>
      </c>
      <c r="M58" s="112" t="n">
        <f t="shared" si="107"/>
        <v>1.8934804082976622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1.1420450704934895</v>
      </c>
      <c r="E59" s="112" t="n">
        <f t="shared" ref="E59:M59" si="108">E28/E36</f>
        <v>1.162205585034484</v>
      </c>
      <c r="F59" s="112" t="n">
        <f t="shared" si="108"/>
        <v>0.8695496821358382</v>
      </c>
      <c r="G59" s="112" t="n">
        <f t="shared" si="108"/>
        <v>0.9873786746380929</v>
      </c>
      <c r="H59" s="112" t="n">
        <f t="shared" si="108"/>
        <v>1.0043784536541955</v>
      </c>
      <c r="I59" s="112" t="n">
        <f t="shared" si="108"/>
        <v>1.090064085329271</v>
      </c>
      <c r="J59" s="112" t="n">
        <f t="shared" si="108"/>
        <v>0.772189349112426</v>
      </c>
      <c r="K59" s="112" t="n">
        <f t="shared" si="108"/>
        <v>0.8792022792022792</v>
      </c>
      <c r="L59" s="112" t="n">
        <f t="shared" si="108"/>
        <v>1.4235959947757946</v>
      </c>
      <c r="M59" s="112" t="n">
        <f t="shared" si="108"/>
        <v>1.555646481178396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2.9661699011927483</v>
      </c>
      <c r="E60" s="112" t="n">
        <f t="shared" ref="E60:M60" si="109">E46/E9</f>
        <v>2.509024550717026</v>
      </c>
      <c r="F60" s="112" t="n">
        <f t="shared" si="109"/>
        <v>2.8200992555831266</v>
      </c>
      <c r="G60" s="112" t="n">
        <f t="shared" si="109"/>
        <v>2.7114963538452783</v>
      </c>
      <c r="H60" s="112" t="n">
        <f t="shared" si="109"/>
        <v>2.8006730427712423</v>
      </c>
      <c r="I60" s="112" t="n">
        <f t="shared" si="109"/>
        <v>2.7279605263157896</v>
      </c>
      <c r="J60" s="112" t="n">
        <f t="shared" si="109"/>
        <v>5.427230046948357</v>
      </c>
      <c r="K60" s="112" t="n">
        <f t="shared" si="109"/>
        <v>4.07980900409277</v>
      </c>
      <c r="L60" s="112" t="n">
        <f t="shared" si="109"/>
        <v>2.222650771388499</v>
      </c>
      <c r="M60" s="112" t="n">
        <f t="shared" si="109"/>
        <v>2.9684065934065935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-1.7034161810570312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-1.880133052645942</v>
      </c>
    </row>
    <row r="65" spans="2:13">
      <c r="B65" s="10" t="s">
        <v>74</v>
      </c>
      <c r="C65" s="114"/>
      <c r="D65" s="121" t="n">
        <f>(M6/I6)^0.2 - 1</f>
        <v>0.08336341716846185</v>
      </c>
    </row>
    <row r="66" spans="2:13">
      <c r="B66" s="10" t="s">
        <v>84</v>
      </c>
      <c r="C66" s="114"/>
      <c r="D66" s="121" t="n">
        <f>(M6/D6)^0.1 - 1</f>
        <v>0.1445634477271316</v>
      </c>
    </row>
    <row r="67" spans="2:13">
      <c r="B67" s="10" t="s">
        <v>75</v>
      </c>
      <c r="C67" s="114"/>
      <c r="D67" s="121" t="n">
        <f>(M3/I3)^0.2 - 1</f>
        <v>0.057236670649805754</v>
      </c>
    </row>
    <row r="68" spans="2:13">
      <c r="B68" s="10" t="s">
        <v>85</v>
      </c>
      <c r="C68" s="114"/>
      <c r="D68" s="121" t="n">
        <f>(M3/D3)^0.1 - 1</f>
        <v>0.034562325727179655</v>
      </c>
    </row>
    <row r="69" spans="2:13">
      <c r="B69" s="10" t="s">
        <v>88</v>
      </c>
      <c r="C69" s="114"/>
      <c r="D69" s="121" t="n">
        <f>(M9/I9)^0.2 - 1</f>
        <v>0.07518156458332026</v>
      </c>
    </row>
    <row r="70" spans="2:13">
      <c r="B70" s="10" t="s">
        <v>89</v>
      </c>
      <c r="C70" s="114"/>
      <c r="D70" s="121" t="n">
        <f>(M9/D9)^0.2 - 1</f>
        <v>0.12832735434671894</v>
      </c>
    </row>
    <row r="71" spans="2:13">
      <c r="B71" s="10" t="s">
        <v>131</v>
      </c>
      <c r="D71" s="121" t="n">
        <f>(M23/I23)^0.2 - 1</f>
        <v>0.10831621959108628</v>
      </c>
    </row>
    <row r="72" spans="2:13">
      <c r="B72" s="10" t="s">
        <v>132</v>
      </c>
      <c r="D72" s="121" t="n">
        <f>AVERAGE(I24:M24)</f>
        <v>0.1251026669916562</v>
      </c>
    </row>
    <row r="73" spans="2:13">
      <c r="B73" s="10" t="s">
        <v>135</v>
      </c>
      <c r="D73" s="121" t="n">
        <f>AVERAGE(I55:M55)</f>
        <v>-0.3027629370942805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2.778554919139162</v>
      </c>
      <c r="E76" s="110" t="n">
        <f t="shared" si="110"/>
        <v>3.340929477925602</v>
      </c>
      <c r="F76" s="110" t="n">
        <f t="shared" si="110"/>
        <v>2.672576271657933</v>
      </c>
      <c r="G76" s="110" t="n">
        <f t="shared" si="110"/>
        <v>3.36215795257692</v>
      </c>
      <c r="H76" s="110" t="n">
        <f t="shared" si="110"/>
        <v>3.7695774441907415</v>
      </c>
      <c r="I76" s="110" t="n">
        <f t="shared" si="110"/>
        <v>6.001218716342461</v>
      </c>
      <c r="J76" s="110" t="n">
        <f t="shared" si="110"/>
        <v>1.9180340151344872</v>
      </c>
      <c r="K76" s="110" t="n">
        <f t="shared" si="110"/>
        <v>3.8040757954951734</v>
      </c>
      <c r="L76" s="110" t="n">
        <f t="shared" si="110"/>
        <v>8.772349458829158</v>
      </c>
      <c r="M76" s="110" t="n">
        <f t="shared" si="110"/>
        <v>6.105263157894737</v>
      </c>
    </row>
    <row r="77" spans="2:13">
      <c r="B77" s="10" t="s">
        <v>139</v>
      </c>
      <c r="C77" s="110">
        <v>0</v>
      </c>
      <c r="D77" s="110" t="n">
        <f t="shared" ref="D77:M77" si="111">100*D6/D44</f>
        <v>7.838439758443998</v>
      </c>
      <c r="E77" s="110" t="n">
        <f t="shared" si="111"/>
        <v>9.205066757617343</v>
      </c>
      <c r="F77" s="110" t="n">
        <f t="shared" si="111"/>
        <v>7.865861776089851</v>
      </c>
      <c r="G77" s="110" t="n">
        <f t="shared" si="111"/>
        <v>10.144644991372205</v>
      </c>
      <c r="H77" s="110" t="n">
        <f t="shared" si="111"/>
        <v>11.67098835184458</v>
      </c>
      <c r="I77" s="110" t="n">
        <f t="shared" si="111"/>
        <v>17.536585365853657</v>
      </c>
      <c r="J77" s="110" t="n">
        <f t="shared" si="111"/>
        <v>6.68931277763261</v>
      </c>
      <c r="K77" s="110" t="n">
        <f t="shared" si="111"/>
        <v>12.859560067681896</v>
      </c>
      <c r="L77" s="110" t="n">
        <f t="shared" si="111"/>
        <v>26.523232688483095</v>
      </c>
      <c r="M77" s="110" t="n">
        <f t="shared" si="111"/>
        <v>17.665459334869936</v>
      </c>
    </row>
    <row r="78" spans="2:13">
      <c r="B78" s="10" t="s">
        <v>140</v>
      </c>
      <c r="C78" s="110" t="n">
        <v>0.0</v>
      </c>
      <c r="D78" s="40" t="n">
        <v>7.110000133514404</v>
      </c>
      <c r="E78" s="40" t="n">
        <v>7.670000076293945</v>
      </c>
      <c r="F78" s="40" t="n">
        <v>6.800000190734863</v>
      </c>
      <c r="G78" s="40" t="n">
        <v>7.570000171661377</v>
      </c>
      <c r="H78" s="40" t="n">
        <v>8.0</v>
      </c>
      <c r="I78" s="40" t="n">
        <v>11.529999732971191</v>
      </c>
      <c r="J78" s="40" t="n">
        <v>4.679999828338623</v>
      </c>
      <c r="K78" s="40" t="n">
        <v>7.460000038146973</v>
      </c>
      <c r="L78" s="40" t="n">
        <v>14.869999885559082</v>
      </c>
      <c r="M78" s="40" t="n">
        <v>10.489999771118164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17.200000762939453</v>
      </c>
      <c r="E81" s="40" t="n">
        <v>19.780000686645508</v>
      </c>
      <c r="F81" s="40" t="n">
        <v>21.100000381469727</v>
      </c>
      <c r="G81" s="40" t="n">
        <v>22.149999618530273</v>
      </c>
      <c r="H81" s="40" t="n">
        <v>19.09000015258789</v>
      </c>
      <c r="I81" s="40" t="n">
        <v>13.140000343322754</v>
      </c>
      <c r="J81" s="40" t="n">
        <v>32.029998779296875</v>
      </c>
      <c r="K81" s="40" t="n">
        <v>13.760000228881836</v>
      </c>
      <c r="L81" s="40" t="n">
        <v>6.630000114440918</v>
      </c>
      <c r="M81" s="40" t="n">
        <v>7.460000038146973</v>
      </c>
    </row>
    <row r="82" spans="2:13">
      <c r="B82" s="122" t="s">
        <v>148</v>
      </c>
      <c r="C82" s="110" t="n">
        <v>0.0</v>
      </c>
      <c r="D82" s="40" t="n">
        <v>5.980000019073486</v>
      </c>
      <c r="E82" s="40" t="n">
        <v>6.619999885559082</v>
      </c>
      <c r="F82" s="40" t="n">
        <v>5.099999904632568</v>
      </c>
      <c r="G82" s="40" t="n">
        <v>8.34000015258789</v>
      </c>
      <c r="H82" s="40" t="n">
        <v>8.619999885559082</v>
      </c>
      <c r="I82" s="40" t="n">
        <v>8.699999809265137</v>
      </c>
      <c r="J82" s="40" t="n">
        <v>7.590000152587891</v>
      </c>
      <c r="K82" s="40" t="n">
        <v>6.659999847412109</v>
      </c>
      <c r="L82" s="40" t="n">
        <v>6.579999923706055</v>
      </c>
      <c r="M82" s="40" t="n">
        <v>11.170000076293945</v>
      </c>
    </row>
    <row r="83" spans="2:13">
      <c r="B83" s="122" t="s">
        <v>153</v>
      </c>
      <c r="C83" s="110" t="n">
        <v>1.9900000095367432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2023-04-20T18:46:10Z</dcterms:modified>
</cp:coreProperties>
</file>