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filterPrivacy="1" defaultThemeVersion="124226"/>
  <xr:revisionPtr revIDLastSave="0" documentId="13_ncr:1_{78DEEC4D-EF3A-437F-98C4-604DD4A11E52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Valuation Metrics" sheetId="5" r:id="rId1"/>
    <sheet name="Graphics" sheetId="4" r:id="rId2"/>
    <sheet name="WACC" sheetId="1" r:id="rId3"/>
    <sheet name="DCF" sheetId="2" r:id="rId4"/>
    <sheet name="Graham" sheetId="6" r:id="rId5"/>
    <sheet name="DDM" sheetId="7" r:id="rId6"/>
    <sheet name="Financials" sheetId="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2" l="1"/>
  <c r="C7" i="2"/>
  <c r="F22" i="5"/>
  <c r="G22" i="5"/>
  <c r="H22" i="5"/>
  <c r="I22" i="5"/>
  <c r="J22" i="5"/>
  <c r="K22" i="5"/>
  <c r="L22" i="5"/>
  <c r="M22" i="5"/>
  <c r="N22" i="5"/>
  <c r="O22" i="5"/>
  <c r="P22" i="5"/>
  <c r="M60" i="3"/>
  <c r="L60" i="3"/>
  <c r="K60" i="3"/>
  <c r="J60" i="3"/>
  <c r="I60" i="3"/>
  <c r="H60" i="3"/>
  <c r="G60" i="3"/>
  <c r="F60" i="3"/>
  <c r="E60" i="3"/>
  <c r="D60" i="3"/>
  <c r="M55" i="3"/>
  <c r="L55" i="3"/>
  <c r="K55" i="3"/>
  <c r="J55" i="3"/>
  <c r="I55" i="3"/>
  <c r="H55" i="3"/>
  <c r="G55" i="3"/>
  <c r="F55" i="3"/>
  <c r="E55" i="3"/>
  <c r="D55" i="3"/>
  <c r="C22" i="2" l="1"/>
  <c r="D22" i="2"/>
  <c r="E22" i="2"/>
  <c r="F22" i="2"/>
  <c r="G22" i="2"/>
  <c r="H22" i="2"/>
  <c r="I22" i="2"/>
  <c r="J22" i="2"/>
  <c r="K22" i="2"/>
  <c r="L22" i="2"/>
  <c r="F30" i="5" l="1"/>
  <c r="G28" i="5" l="1"/>
  <c r="H28" i="5"/>
  <c r="I28" i="5"/>
  <c r="J28" i="5"/>
  <c r="K28" i="5"/>
  <c r="L28" i="5"/>
  <c r="M28" i="5"/>
  <c r="N28" i="5"/>
  <c r="O28" i="5"/>
  <c r="P28" i="5"/>
  <c r="G26" i="5"/>
  <c r="H26" i="5"/>
  <c r="I26" i="5"/>
  <c r="J26" i="5"/>
  <c r="K26" i="5"/>
  <c r="L26" i="5"/>
  <c r="M26" i="5"/>
  <c r="N26" i="5"/>
  <c r="O26" i="5"/>
  <c r="P26" i="5"/>
  <c r="G16" i="5"/>
  <c r="H16" i="5"/>
  <c r="I16" i="5"/>
  <c r="J16" i="5"/>
  <c r="K16" i="5"/>
  <c r="L16" i="5"/>
  <c r="M16" i="5"/>
  <c r="N16" i="5"/>
  <c r="O16" i="5"/>
  <c r="P16" i="5"/>
  <c r="F28" i="5" l="1"/>
  <c r="F26" i="5"/>
  <c r="F16" i="5"/>
  <c r="D50" i="3"/>
  <c r="E50" i="3"/>
  <c r="F50" i="3"/>
  <c r="G50" i="3"/>
  <c r="H50" i="3"/>
  <c r="I50" i="3"/>
  <c r="J50" i="3"/>
  <c r="K50" i="3"/>
  <c r="L50" i="3"/>
  <c r="M50" i="3"/>
  <c r="D51" i="3"/>
  <c r="E51" i="3"/>
  <c r="F51" i="3"/>
  <c r="G51" i="3"/>
  <c r="H51" i="3"/>
  <c r="I51" i="3"/>
  <c r="J51" i="3"/>
  <c r="K51" i="3"/>
  <c r="L51" i="3"/>
  <c r="M51" i="3"/>
  <c r="M40" i="3" l="1"/>
  <c r="L40" i="3"/>
  <c r="K40" i="3"/>
  <c r="J40" i="3"/>
  <c r="I40" i="3"/>
  <c r="H40" i="3"/>
  <c r="G40" i="3"/>
  <c r="F40" i="3"/>
  <c r="E40" i="3"/>
  <c r="D40" i="3"/>
  <c r="M37" i="3"/>
  <c r="L37" i="3"/>
  <c r="K37" i="3"/>
  <c r="J37" i="3"/>
  <c r="I37" i="3"/>
  <c r="H37" i="3"/>
  <c r="G37" i="3"/>
  <c r="F37" i="3"/>
  <c r="E37" i="3"/>
  <c r="D37" i="3"/>
  <c r="M32" i="3"/>
  <c r="L32" i="3"/>
  <c r="K32" i="3"/>
  <c r="J32" i="3"/>
  <c r="I32" i="3"/>
  <c r="H32" i="3"/>
  <c r="G32" i="3"/>
  <c r="F32" i="3"/>
  <c r="E32" i="3"/>
  <c r="D32" i="3"/>
  <c r="M29" i="3"/>
  <c r="L29" i="3"/>
  <c r="K29" i="3"/>
  <c r="J29" i="3"/>
  <c r="I29" i="3"/>
  <c r="H29" i="3"/>
  <c r="G29" i="3"/>
  <c r="F29" i="3"/>
  <c r="E29" i="3"/>
  <c r="D29" i="3"/>
  <c r="M24" i="3"/>
  <c r="L24" i="3"/>
  <c r="K24" i="3"/>
  <c r="J24" i="3"/>
  <c r="I24" i="3"/>
  <c r="H24" i="3"/>
  <c r="G24" i="3"/>
  <c r="F24" i="3"/>
  <c r="E24" i="3"/>
  <c r="D24" i="3"/>
  <c r="M16" i="3"/>
  <c r="L16" i="3"/>
  <c r="K16" i="3"/>
  <c r="J16" i="3"/>
  <c r="I16" i="3"/>
  <c r="H16" i="3"/>
  <c r="G16" i="3"/>
  <c r="F16" i="3"/>
  <c r="E16" i="3"/>
  <c r="D16" i="3"/>
  <c r="M13" i="3"/>
  <c r="L13" i="3"/>
  <c r="K13" i="3"/>
  <c r="J13" i="3"/>
  <c r="I13" i="3"/>
  <c r="H13" i="3"/>
  <c r="G13" i="3"/>
  <c r="F13" i="3"/>
  <c r="E13" i="3"/>
  <c r="D13" i="3"/>
  <c r="M10" i="3"/>
  <c r="L10" i="3"/>
  <c r="K10" i="3"/>
  <c r="J10" i="3"/>
  <c r="I10" i="3"/>
  <c r="H10" i="3"/>
  <c r="G10" i="3"/>
  <c r="F10" i="3"/>
  <c r="E10" i="3"/>
  <c r="D10" i="3"/>
  <c r="M7" i="3"/>
  <c r="L7" i="3"/>
  <c r="K7" i="3"/>
  <c r="J7" i="3"/>
  <c r="I7" i="3"/>
  <c r="H7" i="3"/>
  <c r="G7" i="3"/>
  <c r="F7" i="3"/>
  <c r="E7" i="3"/>
  <c r="D7" i="3"/>
  <c r="D4" i="3" l="1"/>
  <c r="G24" i="5" l="1"/>
  <c r="H24" i="5"/>
  <c r="I24" i="5"/>
  <c r="J24" i="5"/>
  <c r="K24" i="5"/>
  <c r="L24" i="5"/>
  <c r="M24" i="5"/>
  <c r="N24" i="5"/>
  <c r="O24" i="5"/>
  <c r="P24" i="5"/>
  <c r="P24" i="7" l="1"/>
  <c r="P15" i="7"/>
  <c r="P6" i="7"/>
  <c r="L46" i="2" l="1"/>
  <c r="K46" i="2"/>
  <c r="J46" i="2"/>
  <c r="I46" i="2"/>
  <c r="H46" i="2"/>
  <c r="G46" i="2"/>
  <c r="F46" i="2"/>
  <c r="D46" i="2"/>
  <c r="E46" i="2"/>
  <c r="C46" i="2"/>
  <c r="D71" i="3" l="1"/>
  <c r="F45" i="5" s="1"/>
  <c r="C25" i="7"/>
  <c r="C16" i="7"/>
  <c r="C7" i="7"/>
  <c r="D7" i="7" l="1"/>
  <c r="D16" i="7"/>
  <c r="D25" i="7"/>
  <c r="E25" i="7" l="1"/>
  <c r="E16" i="7"/>
  <c r="E7" i="7"/>
  <c r="F7" i="7" l="1"/>
  <c r="F16" i="7"/>
  <c r="F25" i="7"/>
  <c r="G25" i="7" l="1"/>
  <c r="G16" i="7"/>
  <c r="G7" i="7"/>
  <c r="H7" i="7" l="1"/>
  <c r="H16" i="7"/>
  <c r="H25" i="7"/>
  <c r="I25" i="7" l="1"/>
  <c r="I16" i="7"/>
  <c r="I7" i="7"/>
  <c r="J7" i="7" l="1"/>
  <c r="J16" i="7"/>
  <c r="J25" i="7"/>
  <c r="K25" i="7" l="1"/>
  <c r="K7" i="7"/>
  <c r="K16" i="7"/>
  <c r="L16" i="7" l="1"/>
  <c r="L7" i="7"/>
  <c r="L25" i="7"/>
  <c r="M59" i="3" l="1"/>
  <c r="L59" i="3"/>
  <c r="K59" i="3"/>
  <c r="J59" i="3"/>
  <c r="I59" i="3"/>
  <c r="H59" i="3"/>
  <c r="G59" i="3"/>
  <c r="F59" i="3"/>
  <c r="E59" i="3"/>
  <c r="D59" i="3"/>
  <c r="D44" i="3"/>
  <c r="D77" i="3" s="1"/>
  <c r="G14" i="5" s="1"/>
  <c r="M42" i="3"/>
  <c r="L42" i="3"/>
  <c r="K42" i="3"/>
  <c r="J42" i="3"/>
  <c r="I42" i="3"/>
  <c r="H42" i="3"/>
  <c r="G42" i="3"/>
  <c r="F42" i="3"/>
  <c r="E42" i="3"/>
  <c r="D42" i="3"/>
  <c r="M34" i="3"/>
  <c r="M76" i="3" s="1"/>
  <c r="P12" i="5" s="1"/>
  <c r="L34" i="3"/>
  <c r="L76" i="3" s="1"/>
  <c r="O12" i="5" s="1"/>
  <c r="K34" i="3"/>
  <c r="K76" i="3" s="1"/>
  <c r="N12" i="5" s="1"/>
  <c r="J34" i="3"/>
  <c r="J76" i="3" s="1"/>
  <c r="M12" i="5" s="1"/>
  <c r="I34" i="3"/>
  <c r="I76" i="3" s="1"/>
  <c r="L12" i="5" s="1"/>
  <c r="H34" i="3"/>
  <c r="H76" i="3" s="1"/>
  <c r="K12" i="5" s="1"/>
  <c r="G34" i="3"/>
  <c r="G76" i="3" s="1"/>
  <c r="J12" i="5" s="1"/>
  <c r="F34" i="3"/>
  <c r="F76" i="3" s="1"/>
  <c r="I12" i="5" s="1"/>
  <c r="E34" i="3"/>
  <c r="E76" i="3" s="1"/>
  <c r="H12" i="5" s="1"/>
  <c r="D34" i="3"/>
  <c r="D76" i="3" s="1"/>
  <c r="G12" i="5" s="1"/>
  <c r="F12" i="5" l="1"/>
  <c r="C20" i="6"/>
  <c r="C25" i="2" l="1"/>
  <c r="D25" i="2"/>
  <c r="E25" i="2"/>
  <c r="F25" i="2"/>
  <c r="G25" i="2"/>
  <c r="H25" i="2"/>
  <c r="I25" i="2"/>
  <c r="J25" i="2"/>
  <c r="K25" i="2"/>
  <c r="L25" i="2"/>
  <c r="C45" i="2" s="1"/>
  <c r="D45" i="2" s="1"/>
  <c r="E45" i="2" s="1"/>
  <c r="F45" i="2" s="1"/>
  <c r="G45" i="2" s="1"/>
  <c r="H45" i="2" s="1"/>
  <c r="I45" i="2" s="1"/>
  <c r="J45" i="2" s="1"/>
  <c r="K45" i="2" s="1"/>
  <c r="L45" i="2" s="1"/>
  <c r="C69" i="2" s="1"/>
  <c r="D26" i="2"/>
  <c r="E26" i="2"/>
  <c r="F26" i="2"/>
  <c r="G26" i="2"/>
  <c r="H26" i="2"/>
  <c r="I26" i="2"/>
  <c r="J26" i="2"/>
  <c r="K26" i="2"/>
  <c r="L26" i="2"/>
  <c r="D68" i="3"/>
  <c r="F42" i="5" s="1"/>
  <c r="D66" i="3"/>
  <c r="F39" i="5" s="1"/>
  <c r="D67" i="3"/>
  <c r="F41" i="5" s="1"/>
  <c r="D65" i="3"/>
  <c r="F38" i="5" s="1"/>
  <c r="P18" i="5" l="1"/>
  <c r="O18" i="5"/>
  <c r="N18" i="5"/>
  <c r="M18" i="5"/>
  <c r="L18" i="5"/>
  <c r="F18" i="5" s="1"/>
  <c r="K18" i="5"/>
  <c r="J18" i="5"/>
  <c r="I18" i="5"/>
  <c r="H18" i="5"/>
  <c r="G18" i="5"/>
  <c r="D72" i="3"/>
  <c r="F46" i="5" s="1"/>
  <c r="F47" i="5" s="1"/>
  <c r="C19" i="2"/>
  <c r="D19" i="2"/>
  <c r="E19" i="2"/>
  <c r="F19" i="2"/>
  <c r="G19" i="2"/>
  <c r="H19" i="2"/>
  <c r="I19" i="2"/>
  <c r="J19" i="2"/>
  <c r="K19" i="2"/>
  <c r="L19" i="2"/>
  <c r="C16" i="2"/>
  <c r="D16" i="2"/>
  <c r="E16" i="2"/>
  <c r="F16" i="2"/>
  <c r="G16" i="2"/>
  <c r="H16" i="2"/>
  <c r="I16" i="2"/>
  <c r="J16" i="2"/>
  <c r="K16" i="2"/>
  <c r="L16" i="2"/>
  <c r="F44" i="3"/>
  <c r="E44" i="3"/>
  <c r="D58" i="3"/>
  <c r="G20" i="5" s="1"/>
  <c r="D52" i="3"/>
  <c r="M4" i="3"/>
  <c r="L4" i="3"/>
  <c r="K4" i="3"/>
  <c r="J4" i="3"/>
  <c r="I4" i="3"/>
  <c r="H4" i="3"/>
  <c r="G4" i="3"/>
  <c r="F4" i="3"/>
  <c r="E4" i="3"/>
  <c r="F52" i="3" l="1"/>
  <c r="F21" i="3"/>
  <c r="M52" i="3"/>
  <c r="M21" i="3"/>
  <c r="J52" i="3"/>
  <c r="J21" i="3"/>
  <c r="K52" i="3"/>
  <c r="K21" i="3"/>
  <c r="E58" i="3"/>
  <c r="H20" i="5" s="1"/>
  <c r="E77" i="3"/>
  <c r="H14" i="5" s="1"/>
  <c r="G52" i="3"/>
  <c r="G21" i="3"/>
  <c r="F58" i="3"/>
  <c r="I20" i="5" s="1"/>
  <c r="F77" i="3"/>
  <c r="I14" i="5" s="1"/>
  <c r="H52" i="3"/>
  <c r="H21" i="3"/>
  <c r="I52" i="3"/>
  <c r="I21" i="3"/>
  <c r="L52" i="3"/>
  <c r="L21" i="3"/>
  <c r="E52" i="3"/>
  <c r="E21" i="3"/>
  <c r="D73" i="3"/>
  <c r="F44" i="5" s="1"/>
  <c r="G44" i="3"/>
  <c r="H44" i="3"/>
  <c r="D64" i="3"/>
  <c r="F33" i="5" s="1"/>
  <c r="I44" i="3"/>
  <c r="M44" i="3"/>
  <c r="K17" i="2"/>
  <c r="J17" i="2"/>
  <c r="D17" i="2"/>
  <c r="E17" i="2"/>
  <c r="F17" i="2"/>
  <c r="J44" i="3"/>
  <c r="K44" i="3"/>
  <c r="L44" i="3"/>
  <c r="D63" i="3"/>
  <c r="F32" i="5" s="1"/>
  <c r="L17" i="2"/>
  <c r="I17" i="2"/>
  <c r="H17" i="2"/>
  <c r="G17" i="2"/>
  <c r="G58" i="3" l="1"/>
  <c r="J20" i="5" s="1"/>
  <c r="G77" i="3"/>
  <c r="J14" i="5" s="1"/>
  <c r="K58" i="3"/>
  <c r="N20" i="5" s="1"/>
  <c r="K77" i="3"/>
  <c r="N14" i="5" s="1"/>
  <c r="J58" i="3"/>
  <c r="M20" i="5" s="1"/>
  <c r="J77" i="3"/>
  <c r="M14" i="5" s="1"/>
  <c r="L58" i="3"/>
  <c r="O20" i="5" s="1"/>
  <c r="L77" i="3"/>
  <c r="O14" i="5" s="1"/>
  <c r="M58" i="3"/>
  <c r="P20" i="5" s="1"/>
  <c r="M77" i="3"/>
  <c r="P14" i="5" s="1"/>
  <c r="I58" i="3"/>
  <c r="L20" i="5" s="1"/>
  <c r="I77" i="3"/>
  <c r="L14" i="5" s="1"/>
  <c r="F14" i="5" s="1"/>
  <c r="H58" i="3"/>
  <c r="K20" i="5" s="1"/>
  <c r="H77" i="3"/>
  <c r="K14" i="5" s="1"/>
  <c r="L37" i="2"/>
  <c r="K37" i="2"/>
  <c r="J37" i="2"/>
  <c r="I37" i="2"/>
  <c r="H37" i="2"/>
  <c r="G37" i="2"/>
  <c r="F37" i="2"/>
  <c r="C36" i="2"/>
  <c r="L28" i="2"/>
  <c r="K28" i="2"/>
  <c r="J28" i="2"/>
  <c r="I28" i="2"/>
  <c r="H28" i="2"/>
  <c r="G28" i="2"/>
  <c r="F28" i="2"/>
  <c r="E28" i="2"/>
  <c r="D28" i="2"/>
  <c r="C28" i="2"/>
  <c r="L29" i="2"/>
  <c r="K29" i="2"/>
  <c r="I29" i="2"/>
  <c r="H29" i="2"/>
  <c r="G29" i="2"/>
  <c r="F29" i="2"/>
  <c r="C29" i="2"/>
  <c r="L20" i="2"/>
  <c r="K20" i="2"/>
  <c r="J20" i="2"/>
  <c r="I20" i="2"/>
  <c r="H20" i="2"/>
  <c r="G20" i="2"/>
  <c r="F20" i="2"/>
  <c r="E20" i="2"/>
  <c r="D20" i="2"/>
  <c r="C19" i="1"/>
  <c r="C17" i="1"/>
  <c r="C18" i="1" s="1"/>
  <c r="F20" i="5" l="1"/>
  <c r="C39" i="2"/>
  <c r="C40" i="2" s="1"/>
  <c r="H23" i="2"/>
  <c r="J23" i="2"/>
  <c r="D23" i="2"/>
  <c r="F23" i="2"/>
  <c r="E23" i="2"/>
  <c r="D29" i="2"/>
  <c r="G23" i="2"/>
  <c r="E29" i="2"/>
  <c r="L23" i="2"/>
  <c r="K23" i="2"/>
  <c r="J29" i="2"/>
  <c r="D36" i="2"/>
  <c r="I23" i="2"/>
  <c r="C20" i="1"/>
  <c r="C21" i="1"/>
  <c r="C22" i="1" s="1"/>
  <c r="C42" i="2" l="1"/>
  <c r="C23" i="1"/>
  <c r="C25" i="1" s="1"/>
  <c r="E36" i="2"/>
  <c r="D39" i="2"/>
  <c r="C4" i="2" l="1"/>
  <c r="E16" i="5"/>
  <c r="C43" i="2"/>
  <c r="E39" i="2"/>
  <c r="F36" i="2"/>
  <c r="D42" i="2"/>
  <c r="D40" i="2"/>
  <c r="C55" i="2" l="1"/>
  <c r="C70" i="2" s="1"/>
  <c r="I51" i="2"/>
  <c r="H51" i="2"/>
  <c r="F51" i="2"/>
  <c r="D51" i="2"/>
  <c r="D53" i="2" s="1"/>
  <c r="L51" i="2"/>
  <c r="J51" i="2"/>
  <c r="G51" i="2"/>
  <c r="C51" i="2"/>
  <c r="C53" i="2" s="1"/>
  <c r="K51" i="2"/>
  <c r="E51" i="2"/>
  <c r="C17" i="7"/>
  <c r="D17" i="7"/>
  <c r="E17" i="7"/>
  <c r="F17" i="7"/>
  <c r="G17" i="7"/>
  <c r="H17" i="7"/>
  <c r="I17" i="7"/>
  <c r="J17" i="7"/>
  <c r="K17" i="7"/>
  <c r="M16" i="7"/>
  <c r="M17" i="7" s="1"/>
  <c r="L17" i="7"/>
  <c r="C8" i="7"/>
  <c r="D8" i="7"/>
  <c r="E8" i="7"/>
  <c r="F8" i="7"/>
  <c r="G8" i="7"/>
  <c r="H8" i="7"/>
  <c r="I8" i="7"/>
  <c r="J8" i="7"/>
  <c r="K8" i="7"/>
  <c r="M7" i="7"/>
  <c r="M8" i="7" s="1"/>
  <c r="L8" i="7"/>
  <c r="C26" i="7"/>
  <c r="D26" i="7"/>
  <c r="E26" i="7"/>
  <c r="F26" i="7"/>
  <c r="G26" i="7"/>
  <c r="H26" i="7"/>
  <c r="I26" i="7"/>
  <c r="J26" i="7"/>
  <c r="K26" i="7"/>
  <c r="M25" i="7"/>
  <c r="M26" i="7" s="1"/>
  <c r="L26" i="7"/>
  <c r="D43" i="2"/>
  <c r="G36" i="2"/>
  <c r="F39" i="2"/>
  <c r="E40" i="2"/>
  <c r="E42" i="2"/>
  <c r="C10" i="7" l="1"/>
  <c r="C28" i="7"/>
  <c r="C19" i="7"/>
  <c r="E43" i="2"/>
  <c r="E53" i="2"/>
  <c r="F42" i="2"/>
  <c r="F40" i="2"/>
  <c r="H36" i="2"/>
  <c r="G39" i="2"/>
  <c r="F43" i="2" l="1"/>
  <c r="F53" i="2"/>
  <c r="G40" i="2"/>
  <c r="G42" i="2"/>
  <c r="I36" i="2"/>
  <c r="H39" i="2"/>
  <c r="G43" i="2" l="1"/>
  <c r="G53" i="2"/>
  <c r="H40" i="2"/>
  <c r="H42" i="2"/>
  <c r="J36" i="2"/>
  <c r="I39" i="2"/>
  <c r="H43" i="2" l="1"/>
  <c r="H53" i="2"/>
  <c r="I40" i="2"/>
  <c r="I42" i="2"/>
  <c r="K36" i="2"/>
  <c r="J39" i="2"/>
  <c r="I43" i="2" l="1"/>
  <c r="I53" i="2"/>
  <c r="J40" i="2"/>
  <c r="J42" i="2"/>
  <c r="L36" i="2"/>
  <c r="L39" i="2" s="1"/>
  <c r="K39" i="2"/>
  <c r="J43" i="2" l="1"/>
  <c r="J53" i="2"/>
  <c r="K42" i="2"/>
  <c r="K40" i="2"/>
  <c r="L42" i="2"/>
  <c r="L53" i="2" s="1"/>
  <c r="L40" i="2"/>
  <c r="C59" i="2" l="1"/>
  <c r="C60" i="2" s="1"/>
  <c r="K43" i="2"/>
  <c r="K53" i="2"/>
  <c r="L43" i="2"/>
  <c r="D69" i="3"/>
  <c r="F35" i="5" s="1"/>
  <c r="D70" i="3"/>
  <c r="F36" i="5" s="1"/>
  <c r="C62" i="2" l="1"/>
  <c r="C64" i="2" s="1"/>
  <c r="C72" i="2"/>
  <c r="C74" i="2" s="1"/>
  <c r="D47" i="5"/>
  <c r="D46" i="5"/>
  <c r="D45" i="5"/>
  <c r="D44" i="5"/>
  <c r="D42" i="5"/>
  <c r="D41" i="5"/>
  <c r="D39" i="5"/>
  <c r="D38" i="5"/>
  <c r="D36" i="5"/>
  <c r="D35" i="5"/>
  <c r="D33" i="5"/>
  <c r="D32" i="5"/>
  <c r="D30" i="5"/>
  <c r="D28" i="5"/>
  <c r="D26" i="5"/>
  <c r="D24" i="5"/>
  <c r="D20" i="5"/>
  <c r="D18" i="5"/>
  <c r="D16" i="5"/>
  <c r="D14" i="5"/>
  <c r="D12" i="5"/>
  <c r="D22" i="5"/>
</calcChain>
</file>

<file path=xl/sharedStrings.xml><?xml version="1.0" encoding="utf-8"?>
<sst xmlns="http://schemas.openxmlformats.org/spreadsheetml/2006/main" count="227" uniqueCount="162">
  <si>
    <t>WACC</t>
  </si>
  <si>
    <t>WACC (Weight Average Cost of Capital) computation</t>
  </si>
  <si>
    <t>&lt;=&gt;</t>
  </si>
  <si>
    <t>Interest Expense Non Operating (Income statement)</t>
  </si>
  <si>
    <t>Total Non Current Liabilities         (Balance sheet)</t>
  </si>
  <si>
    <t>Current Liabilities                            (Balance sheet)</t>
  </si>
  <si>
    <t>Pretax Income                                 (Income statement)</t>
  </si>
  <si>
    <t>Tax Provision                                   (Income statement)</t>
  </si>
  <si>
    <t>Market cap (billions)</t>
  </si>
  <si>
    <t>Beta (5Y Monthly)</t>
  </si>
  <si>
    <t>Cost of equity</t>
  </si>
  <si>
    <t>B = Beta</t>
  </si>
  <si>
    <t>Rm = Return of the market (on ETF would be 12%)</t>
  </si>
  <si>
    <t>Rm ( Return of the market )</t>
  </si>
  <si>
    <t>Balancesheet data</t>
  </si>
  <si>
    <t>Assumed macro constants</t>
  </si>
  <si>
    <t>Rf ( Treasury yeld 10 years )</t>
  </si>
  <si>
    <t>Rf = Risk free rate ( Treasury Yield )</t>
  </si>
  <si>
    <t>Cost of debt ( Rd )</t>
  </si>
  <si>
    <t>Cost of equity ( Re )</t>
  </si>
  <si>
    <t>Corporate tax rate ( Tc )</t>
  </si>
  <si>
    <t>Total deb ( D )</t>
  </si>
  <si>
    <t>E = Market cap + Total debt</t>
  </si>
  <si>
    <t xml:space="preserve">Weight of equity (We) =  V/E </t>
  </si>
  <si>
    <t xml:space="preserve">Weight of debt (Wd) =  D/E </t>
  </si>
  <si>
    <t>Growth rate</t>
  </si>
  <si>
    <t>Revenue</t>
  </si>
  <si>
    <t>(%)</t>
  </si>
  <si>
    <t>Net Income</t>
  </si>
  <si>
    <t>Net Income Available to Common Stockholders</t>
  </si>
  <si>
    <t>Free Cash Flow</t>
  </si>
  <si>
    <t>Net Income Margin</t>
  </si>
  <si>
    <t>Free Cash Flow Ratio (FCF / Net Income)</t>
  </si>
  <si>
    <t>1. Assumptions</t>
  </si>
  <si>
    <t>2. Historichal data</t>
  </si>
  <si>
    <t>3. Estimations</t>
  </si>
  <si>
    <t>Revenue growth YoY</t>
  </si>
  <si>
    <t>Terminal Value (TV)</t>
  </si>
  <si>
    <t>Discout factor</t>
  </si>
  <si>
    <t>PV to FCF</t>
  </si>
  <si>
    <t>Discout factor for TV</t>
  </si>
  <si>
    <t>PV to Terminal Value</t>
  </si>
  <si>
    <t>Fair Value</t>
  </si>
  <si>
    <t>Enterprise Value (USD millions)</t>
  </si>
  <si>
    <t>Number of shares</t>
  </si>
  <si>
    <t>Income Statement</t>
  </si>
  <si>
    <t>Cash Flow</t>
  </si>
  <si>
    <t>EBIDTA</t>
  </si>
  <si>
    <t>Balance Sheet</t>
  </si>
  <si>
    <t>Total Current Assets</t>
  </si>
  <si>
    <t>Total Assets</t>
  </si>
  <si>
    <t>Total Current Liabilities</t>
  </si>
  <si>
    <t>Total Non-Current Liabilities</t>
  </si>
  <si>
    <t>Total Non-Current Assets</t>
  </si>
  <si>
    <t>Total Liabilities</t>
  </si>
  <si>
    <t>Total Equity</t>
  </si>
  <si>
    <t>Margins</t>
  </si>
  <si>
    <t>Net margin</t>
  </si>
  <si>
    <t>EBITDA margin</t>
  </si>
  <si>
    <t>FCF maring</t>
  </si>
  <si>
    <t>Cash Dividends Paid</t>
  </si>
  <si>
    <t>Dividends</t>
  </si>
  <si>
    <t>Payout Ratio</t>
  </si>
  <si>
    <t>Debt</t>
  </si>
  <si>
    <t>Debt / Equity</t>
  </si>
  <si>
    <t>Current ratio (Current Assets / Current liabilites)</t>
  </si>
  <si>
    <t>Metric Indicator</t>
  </si>
  <si>
    <t>Condition</t>
  </si>
  <si>
    <t>1.0 - 1.5</t>
  </si>
  <si>
    <t>yes</t>
  </si>
  <si>
    <t>1 - 1.5</t>
  </si>
  <si>
    <t>PEG Ratio (5 yr expected) &lt;=</t>
  </si>
  <si>
    <t>Metrics</t>
  </si>
  <si>
    <t>FCF CAGR 5Y</t>
  </si>
  <si>
    <t>Net Income CAGR 5Y</t>
  </si>
  <si>
    <t>Revenue CAGR 5Y</t>
  </si>
  <si>
    <t xml:space="preserve">FCF (CARG 5y) </t>
  </si>
  <si>
    <t>increase</t>
  </si>
  <si>
    <t xml:space="preserve">Net income (CARG 5y) </t>
  </si>
  <si>
    <t xml:space="preserve">Revenue (CARG 5y) </t>
  </si>
  <si>
    <t xml:space="preserve">FCF (CARG 10y) </t>
  </si>
  <si>
    <t xml:space="preserve">Net income (CARG 10y) </t>
  </si>
  <si>
    <t xml:space="preserve">Revenue (CARG 10y) </t>
  </si>
  <si>
    <t>FCF CAGR 10Y</t>
  </si>
  <si>
    <t>Net Income CAGR 10Y</t>
  </si>
  <si>
    <t>Revenue CAGR 10Y</t>
  </si>
  <si>
    <t>Group</t>
  </si>
  <si>
    <t>Eficiency</t>
  </si>
  <si>
    <t>EBIDTA CAGR 5Y</t>
  </si>
  <si>
    <t>EBIDTA CAGR 10Y</t>
  </si>
  <si>
    <t xml:space="preserve">EBIDTA (CARG 5y) </t>
  </si>
  <si>
    <t xml:space="preserve">EBIDTA (CARG 10y) </t>
  </si>
  <si>
    <t>Profitability</t>
  </si>
  <si>
    <t>Evaluation</t>
  </si>
  <si>
    <t>Shares</t>
  </si>
  <si>
    <t>Value</t>
  </si>
  <si>
    <t>PE (last 5 Y) &lt;=</t>
  </si>
  <si>
    <t>K</t>
  </si>
  <si>
    <t>L</t>
  </si>
  <si>
    <t>J</t>
  </si>
  <si>
    <t>EBITDA estiamted growth rate</t>
  </si>
  <si>
    <t>DCF Perpetual Growth</t>
  </si>
  <si>
    <t>DCF Multiples</t>
  </si>
  <si>
    <t>4. Discounted FCF</t>
  </si>
  <si>
    <t>P/FCF (last 5Y) &lt;=</t>
  </si>
  <si>
    <t>Graham Revised Formula</t>
  </si>
  <si>
    <t>EPS (Diluted)</t>
  </si>
  <si>
    <t>Intrinsic value</t>
  </si>
  <si>
    <t>Y ( 20yr AA corp bond rate)</t>
  </si>
  <si>
    <t>https://fred.stlouisfed.org/series/BAMLC0A2CAAEY</t>
  </si>
  <si>
    <t>---&gt;</t>
  </si>
  <si>
    <t>P/E of company no growth [7, 8.5]</t>
  </si>
  <si>
    <t>Free Cash Flow Ratio</t>
  </si>
  <si>
    <t>Dividend Discout Model</t>
  </si>
  <si>
    <t>Scenariu</t>
  </si>
  <si>
    <t>CONSERVATIV</t>
  </si>
  <si>
    <t>Ratele de crestere</t>
  </si>
  <si>
    <t>Inputs</t>
  </si>
  <si>
    <t>Year</t>
  </si>
  <si>
    <t>Terminal Value</t>
  </si>
  <si>
    <t>Dividend / share</t>
  </si>
  <si>
    <t>Dividend Value [$]</t>
  </si>
  <si>
    <t>Estimated growth YOY[%]</t>
  </si>
  <si>
    <t>PV</t>
  </si>
  <si>
    <t xml:space="preserve">WACC [%] </t>
  </si>
  <si>
    <t>Fair value</t>
  </si>
  <si>
    <t>NORMAL</t>
  </si>
  <si>
    <t>HIGH</t>
  </si>
  <si>
    <t>Net Payout Ratio (last 5y) &lt;=</t>
  </si>
  <si>
    <t xml:space="preserve">CHOWDER (5y) &gt; </t>
  </si>
  <si>
    <t>CAGR 5y</t>
  </si>
  <si>
    <t>Dividend CAGR 5y</t>
  </si>
  <si>
    <t>Dividend Increase Average 5y</t>
  </si>
  <si>
    <t xml:space="preserve">Average Increasing 5 y &gt; </t>
  </si>
  <si>
    <t>positive</t>
  </si>
  <si>
    <t>Net Payout Ratio Average 5y</t>
  </si>
  <si>
    <t>EV/EBIDTA Multiple (stock median)</t>
  </si>
  <si>
    <t>&lt;1 Excelent, [1,2] Good</t>
  </si>
  <si>
    <t>ROA</t>
  </si>
  <si>
    <t>ROE</t>
  </si>
  <si>
    <t>ROIC</t>
  </si>
  <si>
    <t>5% good, 20% excelent</t>
  </si>
  <si>
    <t>Number of shares decrease</t>
  </si>
  <si>
    <t>Shares outstanding</t>
  </si>
  <si>
    <t>EPS</t>
  </si>
  <si>
    <t>Efficiency</t>
  </si>
  <si>
    <t>Other metrics</t>
  </si>
  <si>
    <t>Price to Earnings</t>
  </si>
  <si>
    <t>Price to FCF</t>
  </si>
  <si>
    <t>ROA (last 5 Y) &gt;=</t>
  </si>
  <si>
    <t>ROE (last 5 Y) &gt;=</t>
  </si>
  <si>
    <t>ROIC (last 5 Y) =&gt;</t>
  </si>
  <si>
    <t>Current Ratio (last 5 Y) &gt;=</t>
  </si>
  <si>
    <t>PEG</t>
  </si>
  <si>
    <t>EPS Growth esitmation (%)</t>
  </si>
  <si>
    <t>Long Term Debt</t>
  </si>
  <si>
    <t>Liabilities / Equity (last 5 Y) &lt;=</t>
  </si>
  <si>
    <t>Long Term Debt / EBIDTA</t>
  </si>
  <si>
    <t>&lt;3 Excelent &lt; 3.5 Good</t>
  </si>
  <si>
    <t>BTI_BritishAmericanTabacco</t>
  </si>
  <si>
    <t>sector median (22.41)</t>
  </si>
  <si>
    <t>sector median (16.17)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</si>
</sst>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"/>
    <numFmt numFmtId="165" formatCode="0.0000"/>
    <numFmt numFmtId="166" formatCode="&quot;$&quot;#,##0.00"/>
  </numFmts>
  <fonts count="27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5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3F3F3F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5"/>
      <color theme="0"/>
      <name val="Wingdings"/>
      <charset val="2"/>
    </font>
    <font>
      <b/>
      <sz val="11"/>
      <color rgb="FF3F3F76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1"/>
      <color rgb="FF3F3F76"/>
      <name val="Calibri"/>
      <family val="2"/>
      <scheme val="minor"/>
    </font>
    <font>
      <b/>
      <sz val="14"/>
      <color rgb="FF3F3F3F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theme="1"/>
      <name val="Arial"/>
      <family val="2"/>
    </font>
    <font>
      <sz val="7"/>
      <color rgb="FFD4D4D4"/>
      <name val="Consolas"/>
      <family val="3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9.8000000000000007"/>
      <color rgb="FFA9B7C6"/>
      <name val="JetBrains Mono"/>
      <family val="3"/>
    </font>
  </fonts>
  <fills count="13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ck">
        <color theme="4" tint="0.499984740745262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medium">
        <color theme="4" tint="0.3999755851924192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medium">
        <color indexed="64"/>
      </right>
      <top style="thin">
        <color rgb="FF7F7F7F"/>
      </top>
      <bottom style="medium">
        <color indexed="64"/>
      </bottom>
      <diagonal/>
    </border>
  </borders>
  <cellStyleXfs count="12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0" borderId="3" applyNumberFormat="0" applyFill="0" applyAlignment="0" applyProtection="0"/>
    <xf numFmtId="0" fontId="3" fillId="0" borderId="0" applyNumberFormat="0" applyFill="0" applyBorder="0" applyAlignment="0" applyProtection="0"/>
    <xf numFmtId="0" fontId="4" fillId="2" borderId="4" applyNumberFormat="0" applyAlignment="0" applyProtection="0"/>
    <xf numFmtId="0" fontId="5" fillId="3" borderId="5" applyNumberFormat="0" applyAlignment="0" applyProtection="0"/>
    <xf numFmtId="0" fontId="6" fillId="0" borderId="6" applyNumberFormat="0" applyFill="0" applyAlignment="0" applyProtection="0"/>
    <xf numFmtId="0" fontId="7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4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165">
    <xf numFmtId="2" fontId="0" fillId="0" borderId="0" xfId="0" applyNumberFormat="1"/>
    <xf numFmtId="0" fontId="3" fillId="0" borderId="3" xfId="3"/>
    <xf numFmtId="0" fontId="2" fillId="0" borderId="2" xfId="2"/>
    <xf numFmtId="0" fontId="1" fillId="0" borderId="1" xfId="1"/>
    <xf numFmtId="0" fontId="3" fillId="0" borderId="0" xfId="4" applyBorder="1"/>
    <xf numFmtId="0" fontId="6" fillId="0" borderId="6" xfId="7"/>
    <xf numFmtId="0" fontId="0" fillId="0" borderId="0" xfId="0" applyAlignment="1">
      <alignment vertical="center"/>
    </xf>
    <xf numFmtId="0" fontId="3" fillId="0" borderId="0" xfId="4" applyBorder="1" applyAlignment="1">
      <alignment vertical="center"/>
    </xf>
    <xf numFmtId="0" fontId="1" fillId="0" borderId="1" xfId="1" applyAlignment="1"/>
    <xf numFmtId="3" fontId="0" fillId="0" borderId="0" xfId="0" applyNumberFormat="1"/>
    <xf numFmtId="0" fontId="3" fillId="0" borderId="0" xfId="4" applyFill="1" applyBorder="1"/>
    <xf numFmtId="3" fontId="2" fillId="0" borderId="2" xfId="2" applyNumberFormat="1"/>
    <xf numFmtId="10" fontId="2" fillId="0" borderId="2" xfId="2" applyNumberFormat="1"/>
    <xf numFmtId="10" fontId="0" fillId="0" borderId="0" xfId="0" applyNumberFormat="1"/>
    <xf numFmtId="9" fontId="0" fillId="0" borderId="0" xfId="0" applyNumberFormat="1"/>
    <xf numFmtId="0" fontId="8" fillId="0" borderId="0" xfId="0" applyFont="1" applyAlignment="1">
      <alignment vertical="top"/>
    </xf>
    <xf numFmtId="0" fontId="2" fillId="0" borderId="2" xfId="2" applyFill="1"/>
    <xf numFmtId="10" fontId="1" fillId="0" borderId="1" xfId="1" applyNumberFormat="1"/>
    <xf numFmtId="0" fontId="3" fillId="0" borderId="0" xfId="4"/>
    <xf numFmtId="0" fontId="1" fillId="0" borderId="1" xfId="1" applyAlignment="1">
      <alignment horizontal="left"/>
    </xf>
    <xf numFmtId="10" fontId="10" fillId="0" borderId="0" xfId="0" applyNumberFormat="1" applyFont="1"/>
    <xf numFmtId="4" fontId="10" fillId="0" borderId="0" xfId="0" applyNumberFormat="1" applyFont="1"/>
    <xf numFmtId="0" fontId="10" fillId="0" borderId="0" xfId="0" applyFont="1"/>
    <xf numFmtId="4" fontId="6" fillId="0" borderId="6" xfId="7" applyNumberFormat="1"/>
    <xf numFmtId="10" fontId="3" fillId="0" borderId="3" xfId="3" applyNumberFormat="1"/>
    <xf numFmtId="4" fontId="3" fillId="0" borderId="0" xfId="4" applyNumberFormat="1"/>
    <xf numFmtId="10" fontId="3" fillId="0" borderId="0" xfId="4" applyNumberFormat="1"/>
    <xf numFmtId="9" fontId="10" fillId="0" borderId="0" xfId="0" applyNumberFormat="1" applyFont="1"/>
    <xf numFmtId="164" fontId="3" fillId="0" borderId="0" xfId="4" applyNumberFormat="1"/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left"/>
    </xf>
    <xf numFmtId="0" fontId="5" fillId="3" borderId="0" xfId="6" applyBorder="1"/>
    <xf numFmtId="0" fontId="12" fillId="3" borderId="0" xfId="7" applyFont="1" applyFill="1" applyBorder="1"/>
    <xf numFmtId="0" fontId="6" fillId="0" borderId="0" xfId="0" applyFont="1"/>
    <xf numFmtId="0" fontId="0" fillId="8" borderId="0" xfId="0" applyFill="1"/>
    <xf numFmtId="0" fontId="3" fillId="8" borderId="0" xfId="4" applyFill="1"/>
    <xf numFmtId="0" fontId="3" fillId="7" borderId="0" xfId="4" applyFill="1"/>
    <xf numFmtId="4" fontId="14" fillId="9" borderId="0" xfId="0" applyNumberFormat="1" applyFont="1" applyFill="1" applyAlignment="1">
      <alignment horizontal="right" vertical="center" wrapText="1"/>
    </xf>
    <xf numFmtId="0" fontId="0" fillId="7" borderId="0" xfId="0" applyFill="1"/>
    <xf numFmtId="0" fontId="12" fillId="8" borderId="0" xfId="9" applyFont="1" applyFill="1"/>
    <xf numFmtId="2" fontId="12" fillId="8" borderId="0" xfId="0" applyNumberFormat="1" applyFont="1" applyFill="1"/>
    <xf numFmtId="0" fontId="12" fillId="7" borderId="0" xfId="10" applyFont="1" applyFill="1"/>
    <xf numFmtId="2" fontId="12" fillId="7" borderId="0" xfId="10" applyNumberFormat="1" applyFont="1" applyFill="1"/>
    <xf numFmtId="0" fontId="12" fillId="7" borderId="0" xfId="0" applyFont="1" applyFill="1"/>
    <xf numFmtId="0" fontId="12" fillId="0" borderId="0" xfId="0" applyFont="1"/>
    <xf numFmtId="0" fontId="6" fillId="8" borderId="0" xfId="9" applyFont="1" applyFill="1"/>
    <xf numFmtId="9" fontId="6" fillId="8" borderId="0" xfId="9" applyNumberFormat="1" applyFont="1" applyFill="1" applyAlignment="1">
      <alignment horizontal="left"/>
    </xf>
    <xf numFmtId="10" fontId="6" fillId="8" borderId="0" xfId="9" applyNumberFormat="1" applyFont="1" applyFill="1" applyAlignment="1">
      <alignment horizontal="left"/>
    </xf>
    <xf numFmtId="0" fontId="6" fillId="7" borderId="0" xfId="10" applyFont="1" applyFill="1"/>
    <xf numFmtId="9" fontId="6" fillId="7" borderId="0" xfId="10" applyNumberFormat="1" applyFont="1" applyFill="1" applyAlignment="1">
      <alignment horizontal="left"/>
    </xf>
    <xf numFmtId="0" fontId="6" fillId="8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10" fontId="12" fillId="8" borderId="0" xfId="0" applyNumberFormat="1" applyFont="1" applyFill="1" applyAlignment="1">
      <alignment horizontal="left"/>
    </xf>
    <xf numFmtId="0" fontId="12" fillId="8" borderId="0" xfId="0" applyFont="1" applyFill="1" applyAlignment="1">
      <alignment horizontal="left"/>
    </xf>
    <xf numFmtId="0" fontId="15" fillId="12" borderId="0" xfId="0" applyFont="1" applyFill="1" applyAlignment="1">
      <alignment horizontal="center" vertical="center"/>
    </xf>
    <xf numFmtId="0" fontId="15" fillId="10" borderId="0" xfId="0" applyFont="1" applyFill="1" applyAlignment="1">
      <alignment horizontal="center" vertical="center"/>
    </xf>
    <xf numFmtId="0" fontId="15" fillId="11" borderId="0" xfId="0" applyFont="1" applyFill="1" applyAlignment="1">
      <alignment horizontal="center" vertical="center"/>
    </xf>
    <xf numFmtId="2" fontId="6" fillId="7" borderId="0" xfId="0" applyNumberFormat="1" applyFont="1" applyFill="1" applyAlignment="1">
      <alignment horizontal="left"/>
    </xf>
    <xf numFmtId="4" fontId="16" fillId="2" borderId="4" xfId="5" applyNumberFormat="1" applyFont="1" applyAlignment="1">
      <alignment vertical="center"/>
    </xf>
    <xf numFmtId="3" fontId="16" fillId="2" borderId="4" xfId="5" applyNumberFormat="1" applyFont="1"/>
    <xf numFmtId="4" fontId="16" fillId="2" borderId="4" xfId="5" applyNumberFormat="1" applyFont="1"/>
    <xf numFmtId="165" fontId="10" fillId="0" borderId="0" xfId="0" applyNumberFormat="1" applyFont="1"/>
    <xf numFmtId="4" fontId="17" fillId="0" borderId="0" xfId="4" applyNumberFormat="1" applyFont="1"/>
    <xf numFmtId="10" fontId="17" fillId="0" borderId="0" xfId="4" applyNumberFormat="1" applyFont="1"/>
    <xf numFmtId="0" fontId="1" fillId="0" borderId="0" xfId="1" applyBorder="1"/>
    <xf numFmtId="10" fontId="18" fillId="2" borderId="4" xfId="5" applyNumberFormat="1" applyFont="1"/>
    <xf numFmtId="2" fontId="16" fillId="2" borderId="4" xfId="5" applyNumberFormat="1" applyFont="1"/>
    <xf numFmtId="10" fontId="16" fillId="2" borderId="4" xfId="5" applyNumberFormat="1" applyFont="1"/>
    <xf numFmtId="10" fontId="18" fillId="2" borderId="0" xfId="5" applyNumberFormat="1" applyFont="1" applyBorder="1"/>
    <xf numFmtId="0" fontId="19" fillId="3" borderId="5" xfId="6" applyFont="1"/>
    <xf numFmtId="166" fontId="19" fillId="3" borderId="5" xfId="6" applyNumberFormat="1" applyFont="1"/>
    <xf numFmtId="4" fontId="1" fillId="7" borderId="1" xfId="1" applyNumberFormat="1" applyFill="1"/>
    <xf numFmtId="4" fontId="1" fillId="0" borderId="1" xfId="1" applyNumberFormat="1"/>
    <xf numFmtId="0" fontId="3" fillId="0" borderId="8" xfId="4" applyBorder="1"/>
    <xf numFmtId="4" fontId="12" fillId="0" borderId="8" xfId="0" applyNumberFormat="1" applyFont="1" applyBorder="1"/>
    <xf numFmtId="0" fontId="6" fillId="8" borderId="6" xfId="7" applyFill="1"/>
    <xf numFmtId="0" fontId="20" fillId="0" borderId="0" xfId="11"/>
    <xf numFmtId="49" fontId="0" fillId="0" borderId="0" xfId="0" applyNumberFormat="1" applyAlignment="1">
      <alignment horizontal="center"/>
    </xf>
    <xf numFmtId="2" fontId="4" fillId="2" borderId="4" xfId="5" applyNumberFormat="1"/>
    <xf numFmtId="2" fontId="6" fillId="8" borderId="6" xfId="7" applyNumberFormat="1" applyFill="1"/>
    <xf numFmtId="0" fontId="3" fillId="0" borderId="18" xfId="3" applyBorder="1"/>
    <xf numFmtId="0" fontId="3" fillId="0" borderId="19" xfId="3" applyBorder="1"/>
    <xf numFmtId="0" fontId="0" fillId="0" borderId="19" xfId="0" applyBorder="1"/>
    <xf numFmtId="0" fontId="0" fillId="0" borderId="17" xfId="0" applyBorder="1"/>
    <xf numFmtId="0" fontId="3" fillId="0" borderId="20" xfId="3" applyBorder="1"/>
    <xf numFmtId="0" fontId="3" fillId="0" borderId="21" xfId="3" applyBorder="1"/>
    <xf numFmtId="0" fontId="3" fillId="0" borderId="22" xfId="4" applyBorder="1"/>
    <xf numFmtId="0" fontId="3" fillId="0" borderId="23" xfId="4" applyBorder="1"/>
    <xf numFmtId="0" fontId="3" fillId="0" borderId="25" xfId="3" applyBorder="1"/>
    <xf numFmtId="0" fontId="3" fillId="0" borderId="26" xfId="4" applyBorder="1"/>
    <xf numFmtId="2" fontId="5" fillId="3" borderId="27" xfId="6" applyNumberFormat="1" applyBorder="1"/>
    <xf numFmtId="0" fontId="3" fillId="0" borderId="14" xfId="3" applyBorder="1"/>
    <xf numFmtId="0" fontId="0" fillId="0" borderId="12" xfId="0" applyBorder="1"/>
    <xf numFmtId="0" fontId="0" fillId="0" borderId="13" xfId="0" applyBorder="1"/>
    <xf numFmtId="0" fontId="1" fillId="3" borderId="14" xfId="1" applyFill="1" applyBorder="1" applyAlignment="1"/>
    <xf numFmtId="166" fontId="1" fillId="3" borderId="8" xfId="1" applyNumberFormat="1" applyFill="1" applyBorder="1" applyAlignment="1"/>
    <xf numFmtId="0" fontId="0" fillId="0" borderId="8" xfId="0" applyBorder="1"/>
    <xf numFmtId="0" fontId="0" fillId="0" borderId="15" xfId="0" applyBorder="1"/>
    <xf numFmtId="0" fontId="22" fillId="0" borderId="0" xfId="0" applyFont="1"/>
    <xf numFmtId="166" fontId="0" fillId="0" borderId="0" xfId="0" applyNumberFormat="1"/>
    <xf numFmtId="0" fontId="3" fillId="0" borderId="0" xfId="4" applyFill="1"/>
    <xf numFmtId="9" fontId="3" fillId="0" borderId="0" xfId="4" applyNumberFormat="1" applyAlignment="1">
      <alignment horizontal="left"/>
    </xf>
    <xf numFmtId="9" fontId="3" fillId="0" borderId="0" xfId="4" applyNumberFormat="1" applyBorder="1" applyAlignment="1">
      <alignment horizontal="left"/>
    </xf>
    <xf numFmtId="10" fontId="3" fillId="0" borderId="0" xfId="4" applyNumberFormat="1" applyAlignment="1">
      <alignment horizontal="left"/>
    </xf>
    <xf numFmtId="10" fontId="16" fillId="2" borderId="29" xfId="5" applyNumberFormat="1" applyFont="1" applyBorder="1" applyAlignment="1">
      <alignment horizontal="right"/>
    </xf>
    <xf numFmtId="10" fontId="16" fillId="0" borderId="30" xfId="5" applyNumberFormat="1" applyFont="1" applyFill="1" applyBorder="1" applyAlignment="1">
      <alignment horizontal="right"/>
    </xf>
    <xf numFmtId="166" fontId="6" fillId="0" borderId="0" xfId="0" applyNumberFormat="1" applyFont="1"/>
    <xf numFmtId="49" fontId="0" fillId="0" borderId="0" xfId="0" applyNumberFormat="1"/>
    <xf numFmtId="49" fontId="23" fillId="0" borderId="0" xfId="0" applyNumberFormat="1" applyFont="1" applyAlignment="1">
      <alignment vertical="center"/>
    </xf>
    <xf numFmtId="0" fontId="2" fillId="0" borderId="2" xfId="2" applyAlignment="1">
      <alignment horizontal="right"/>
    </xf>
    <xf numFmtId="2" fontId="0" fillId="0" borderId="0" xfId="0" applyNumberFormat="1" applyAlignment="1">
      <alignment horizontal="right"/>
    </xf>
    <xf numFmtId="4" fontId="12" fillId="3" borderId="0" xfId="7" applyNumberFormat="1" applyFont="1" applyFill="1" applyBorder="1" applyAlignment="1">
      <alignment horizontal="right"/>
    </xf>
    <xf numFmtId="2" fontId="5" fillId="3" borderId="5" xfId="6" applyNumberFormat="1" applyAlignment="1">
      <alignment horizontal="right"/>
    </xf>
    <xf numFmtId="2" fontId="3" fillId="0" borderId="0" xfId="4" applyNumberFormat="1" applyAlignment="1">
      <alignment horizontal="right"/>
    </xf>
    <xf numFmtId="0" fontId="3" fillId="0" borderId="0" xfId="4" applyFill="1" applyBorder="1" applyAlignment="1">
      <alignment horizontal="right"/>
    </xf>
    <xf numFmtId="4" fontId="10" fillId="0" borderId="0" xfId="0" applyNumberFormat="1" applyFont="1" applyAlignment="1">
      <alignment horizontal="right"/>
    </xf>
    <xf numFmtId="4" fontId="5" fillId="3" borderId="0" xfId="6" applyNumberFormat="1" applyBorder="1" applyAlignment="1">
      <alignment horizontal="right"/>
    </xf>
    <xf numFmtId="166" fontId="16" fillId="2" borderId="4" xfId="5" applyNumberFormat="1" applyFont="1" applyAlignment="1">
      <alignment wrapText="1"/>
    </xf>
    <xf numFmtId="2" fontId="0" fillId="0" borderId="0" xfId="0" applyNumberFormat="1" applyAlignment="1">
      <alignment horizontal="right" vertical="center"/>
    </xf>
    <xf numFmtId="2" fontId="12" fillId="8" borderId="0" xfId="9" applyNumberFormat="1" applyFont="1" applyFill="1"/>
    <xf numFmtId="2" fontId="13" fillId="0" borderId="0" xfId="4" applyNumberFormat="1" applyFont="1" applyAlignment="1">
      <alignment horizontal="right"/>
    </xf>
    <xf numFmtId="10" fontId="12" fillId="8" borderId="0" xfId="0" applyNumberFormat="1" applyFont="1" applyFill="1" applyAlignment="1">
      <alignment horizontal="right"/>
    </xf>
    <xf numFmtId="2" fontId="3" fillId="0" borderId="0" xfId="4" applyNumberFormat="1"/>
    <xf numFmtId="2" fontId="6" fillId="8" borderId="0" xfId="9" applyNumberFormat="1" applyFont="1" applyFill="1" applyAlignment="1">
      <alignment horizontal="left"/>
    </xf>
    <xf numFmtId="2" fontId="6" fillId="8" borderId="0" xfId="0" applyNumberFormat="1" applyFont="1" applyFill="1" applyAlignment="1">
      <alignment horizontal="left"/>
    </xf>
    <xf numFmtId="2" fontId="6" fillId="0" borderId="0" xfId="0" applyNumberFormat="1" applyFont="1" applyAlignment="1">
      <alignment horizontal="left"/>
    </xf>
    <xf numFmtId="10" fontId="11" fillId="3" borderId="5" xfId="6" applyNumberFormat="1" applyFont="1" applyAlignment="1">
      <alignment horizontal="right"/>
    </xf>
    <xf numFmtId="2" fontId="12" fillId="7" borderId="0" xfId="0" applyNumberFormat="1" applyFont="1" applyFill="1" applyAlignment="1">
      <alignment horizontal="left"/>
    </xf>
    <xf numFmtId="2" fontId="24" fillId="0" borderId="0" xfId="0" applyNumberFormat="1" applyFont="1" applyAlignment="1">
      <alignment vertical="center"/>
    </xf>
    <xf numFmtId="0" fontId="24" fillId="0" borderId="0" xfId="0" applyFont="1"/>
    <xf numFmtId="2" fontId="24" fillId="0" borderId="0" xfId="0" applyNumberFormat="1" applyFont="1" applyAlignment="1">
      <alignment horizontal="right"/>
    </xf>
    <xf numFmtId="10" fontId="25" fillId="8" borderId="0" xfId="0" applyNumberFormat="1" applyFont="1" applyFill="1"/>
    <xf numFmtId="0" fontId="13" fillId="7" borderId="0" xfId="10" applyFill="1" applyAlignment="1">
      <alignment horizontal="left" vertical="center"/>
    </xf>
    <xf numFmtId="2" fontId="26" fillId="0" borderId="0" xfId="0" applyNumberFormat="1" applyFont="1" applyAlignment="1">
      <alignment vertical="center"/>
    </xf>
    <xf numFmtId="4" fontId="11" fillId="3" borderId="0" xfId="6" applyNumberFormat="1" applyFont="1" applyBorder="1" applyAlignment="1">
      <alignment horizontal="right" vertical="top"/>
    </xf>
    <xf numFmtId="2" fontId="12" fillId="0" borderId="0" xfId="0" applyNumberFormat="1" applyFont="1" applyAlignment="1">
      <alignment horizontal="right" vertical="top"/>
    </xf>
    <xf numFmtId="2" fontId="10" fillId="0" borderId="0" xfId="0" applyNumberFormat="1" applyFont="1" applyAlignment="1">
      <alignment horizontal="right" vertical="top"/>
    </xf>
    <xf numFmtId="0" fontId="0" fillId="0" borderId="0" xfId="0"/>
    <xf numFmtId="0" fontId="3" fillId="0" borderId="0" xfId="4" applyAlignment="1">
      <alignment horizontal="left" vertical="center"/>
    </xf>
    <xf numFmtId="0" fontId="21" fillId="0" borderId="9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6" fillId="8" borderId="7" xfId="9" applyFont="1" applyFill="1" applyBorder="1" applyAlignment="1">
      <alignment horizontal="left" vertical="center"/>
    </xf>
    <xf numFmtId="0" fontId="6" fillId="8" borderId="0" xfId="9" applyFont="1" applyFill="1" applyBorder="1" applyAlignment="1">
      <alignment horizontal="left" vertical="center"/>
    </xf>
    <xf numFmtId="0" fontId="6" fillId="8" borderId="0" xfId="9" applyFont="1" applyFill="1" applyAlignment="1">
      <alignment horizontal="left" vertical="center"/>
    </xf>
    <xf numFmtId="0" fontId="6" fillId="7" borderId="0" xfId="10" applyFont="1" applyFill="1" applyAlignment="1">
      <alignment horizontal="left" vertical="center"/>
    </xf>
    <xf numFmtId="0" fontId="13" fillId="7" borderId="0" xfId="10" applyFill="1" applyAlignment="1">
      <alignment horizontal="left" vertical="center"/>
    </xf>
    <xf numFmtId="0" fontId="6" fillId="8" borderId="0" xfId="0" applyFont="1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6" fillId="7" borderId="0" xfId="0" applyFont="1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3" fillId="8" borderId="0" xfId="4" applyFill="1" applyAlignment="1">
      <alignment horizontal="left"/>
    </xf>
    <xf numFmtId="0" fontId="9" fillId="5" borderId="0" xfId="8" applyFont="1" applyBorder="1" applyAlignment="1">
      <alignment horizontal="center" vertical="center"/>
    </xf>
    <xf numFmtId="2" fontId="5" fillId="3" borderId="27" xfId="6" applyNumberFormat="1" applyBorder="1" applyAlignment="1">
      <alignment horizontal="center"/>
    </xf>
    <xf numFmtId="2" fontId="5" fillId="3" borderId="28" xfId="6" applyNumberFormat="1" applyBorder="1" applyAlignment="1">
      <alignment horizontal="center"/>
    </xf>
    <xf numFmtId="0" fontId="1" fillId="0" borderId="16" xfId="1" applyFill="1" applyBorder="1" applyAlignment="1">
      <alignment horizontal="left"/>
    </xf>
    <xf numFmtId="0" fontId="1" fillId="0" borderId="17" xfId="1" applyFill="1" applyBorder="1" applyAlignment="1">
      <alignment horizontal="left"/>
    </xf>
    <xf numFmtId="0" fontId="3" fillId="0" borderId="23" xfId="4" applyBorder="1"/>
    <xf numFmtId="0" fontId="3" fillId="0" borderId="24" xfId="4" applyBorder="1"/>
  </cellXfs>
  <cellStyles count="12">
    <cellStyle name="20% - Accent1" xfId="9" builtinId="30"/>
    <cellStyle name="40% - Accent1" xfId="10" builtinId="31"/>
    <cellStyle name="60% - Accent1" xfId="8" builtinId="32"/>
    <cellStyle name="Heading 1" xfId="1" builtinId="16"/>
    <cellStyle name="Heading 2" xfId="2" builtinId="17"/>
    <cellStyle name="Heading 3" xfId="3" builtinId="18"/>
    <cellStyle name="Heading 4" xfId="4" builtinId="19"/>
    <cellStyle name="Hyperlink" xfId="11" builtinId="8"/>
    <cellStyle name="Input" xfId="5" builtinId="20"/>
    <cellStyle name="Normal" xfId="0" builtinId="0"/>
    <cellStyle name="Output" xfId="6" builtinId="21"/>
    <cellStyle name="Total" xfId="7" builtinId="2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Margins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Net margin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Financials!$D$49:$M$49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Financials!$D$50:$M$50</c:f>
              <c:numCache>
                <c:formatCode>0.00%</c:formatCode>
                <c:ptCount val="10"/>
                <c:pt idx="0">
                  <c:v>0.27516369667640167</c:v>
                </c:pt>
                <c:pt idx="1">
                  <c:v>0.24286012502897802</c:v>
                </c:pt>
                <c:pt idx="2">
                  <c:v>0.32738094193624867</c:v>
                </c:pt>
                <c:pt idx="3">
                  <c:v>0.31509733029344994</c:v>
                </c:pt>
                <c:pt idx="4">
                  <c:v>1.8496451790527448</c:v>
                </c:pt>
                <c:pt idx="5">
                  <c:v>0.24628453083811624</c:v>
                </c:pt>
                <c:pt idx="6">
                  <c:v>0.22042742804302104</c:v>
                </c:pt>
                <c:pt idx="7">
                  <c:v>0.24829301213442323</c:v>
                </c:pt>
                <c:pt idx="8">
                  <c:v>0.26479517722093837</c:v>
                </c:pt>
                <c:pt idx="9">
                  <c:v>0.23926956489863485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FE3-402B-88B1-A32EEE73278E}"/>
            </c:ext>
          </c:extLst>
        </c:ser>
        <c:ser>
          <c:idx val="1"/>
          <c:order val="1"/>
          <c:tx>
            <c:v>EBITDA margin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Financials!$D$49:$M$49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Financials!$D$51:$M$51</c:f>
              <c:numCache>
                <c:formatCode>0.00%</c:formatCode>
                <c:ptCount val="10"/>
                <c:pt idx="0">
                  <c:v>0.37011807492348664</c:v>
                </c:pt>
                <c:pt idx="1">
                  <c:v>0.33032707651224136</c:v>
                </c:pt>
                <c:pt idx="2">
                  <c:v>0.38041822835876882</c:v>
                </c:pt>
                <c:pt idx="3">
                  <c:v>0.35672160946173959</c:v>
                </c:pt>
                <c:pt idx="4">
                  <c:v>0.3635916015788806</c:v>
                </c:pt>
                <c:pt idx="5">
                  <c:v>0.42262766453125988</c:v>
                </c:pt>
                <c:pt idx="6">
                  <c:v>0.406847706877977</c:v>
                </c:pt>
                <c:pt idx="7">
                  <c:v>0.44273755165577616</c:v>
                </c:pt>
                <c:pt idx="8">
                  <c:v>0.44035191462054768</c:v>
                </c:pt>
                <c:pt idx="9">
                  <c:v>0.42769833716575906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FE3-402B-88B1-A32EEE73278E}"/>
            </c:ext>
          </c:extLst>
        </c:ser>
        <c:ser>
          <c:idx val="2"/>
          <c:order val="2"/>
          <c:tx>
            <c:v>FCF Margin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Financials!$D$49:$M$49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Financials!$D$52:$M$52</c:f>
              <c:numCache>
                <c:formatCode>0.00%</c:formatCode>
                <c:ptCount val="10"/>
                <c:pt idx="0">
                  <c:v>0.26441695895440898</c:v>
                </c:pt>
                <c:pt idx="1">
                  <c:v>0.2325528981966149</c:v>
                </c:pt>
                <c:pt idx="2">
                  <c:v>0.33157828191252497</c:v>
                </c:pt>
                <c:pt idx="3">
                  <c:v>0.27909973203187716</c:v>
                </c:pt>
                <c:pt idx="4">
                  <c:v>0.22920366724612926</c:v>
                </c:pt>
                <c:pt idx="5">
                  <c:v>0.39094400058118334</c:v>
                </c:pt>
                <c:pt idx="6">
                  <c:v>0.32329853423147076</c:v>
                </c:pt>
                <c:pt idx="7">
                  <c:v>0.36153802937986629</c:v>
                </c:pt>
                <c:pt idx="8">
                  <c:v>0.3590173441667277</c:v>
                </c:pt>
                <c:pt idx="9">
                  <c:v>0.35805450609214085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FE3-402B-88B1-A32EEE73278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4061504"/>
        <c:axId val="323784136"/>
      </c:lineChart>
      <c:catAx>
        <c:axId val="32406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784136"/>
        <c:crosses val="autoZero"/>
        <c:auto val="1"/>
        <c:lblAlgn val="ctr"/>
        <c:lblOffset val="100"/>
        <c:noMultiLvlLbl val="0"/>
      </c:catAx>
      <c:valAx>
        <c:axId val="32378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Margin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6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Dividend sustainability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Free Cash Flow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Financials!$D$20:$M$20</c:f>
              <c:numCache>
                <c:formatCode>0.00</c:formatCode>
                <c:ptCount val="10"/>
                <c:pt idx="0">
                  <c:v>6313.97021484375</c:v>
                </c:pt>
                <c:pt idx="1">
                  <c:v>5354.669921875</c:v>
                </c:pt>
                <c:pt idx="2">
                  <c:v>6643.2900390625</c:v>
                </c:pt>
                <c:pt idx="3">
                  <c:v>5579.77001953125</c:v>
                </c:pt>
                <c:pt idx="4">
                  <c:v>5994.2099609375</c:v>
                </c:pt>
                <c:pt idx="5">
                  <c:v>12780.7099609375</c:v>
                </c:pt>
                <c:pt idx="6">
                  <c:v>10682.5400390625</c:v>
                </c:pt>
                <c:pt idx="7">
                  <c:v>11965.599609375</c:v>
                </c:pt>
                <c:pt idx="8">
                  <c:v>12679.7998046875</c:v>
                </c:pt>
                <c:pt idx="9">
                  <c:v>12247.7802734375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D-4E4A-AA11-E50E447108A8}"/>
            </c:ext>
          </c:extLst>
        </c:ser>
        <c:ser>
          <c:idx val="0"/>
          <c:order val="1"/>
          <c:tx>
            <c:v>Dividend paid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Financials!$D$23:$M$23</c:f>
              <c:numCache>
                <c:formatCode>0.00</c:formatCode>
                <c:ptCount val="10"/>
                <c:pt idx="0">
                  <c:v>4500</c:v>
                </c:pt>
                <c:pt idx="1">
                  <c:v>4880</c:v>
                </c:pt>
                <c:pt idx="2">
                  <c:v>4594</c:v>
                </c:pt>
                <c:pt idx="3">
                  <c:v>4143</c:v>
                </c:pt>
                <c:pt idx="4">
                  <c:v>4681</c:v>
                </c:pt>
                <c:pt idx="5">
                  <c:v>5992</c:v>
                </c:pt>
                <c:pt idx="6">
                  <c:v>6072</c:v>
                </c:pt>
                <c:pt idx="7">
                  <c:v>6267</c:v>
                </c:pt>
                <c:pt idx="8">
                  <c:v>6950</c:v>
                </c:pt>
                <c:pt idx="9">
                  <c:v>6275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ED-4E4A-AA11-E50E4471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3890768"/>
        <c:axId val="323891152"/>
      </c:barChart>
      <c:scatterChart>
        <c:scatterStyle val="smoothMarker"/>
        <c:varyColors val="0"/>
        <c:ser>
          <c:idx val="2"/>
          <c:order val="2"/>
          <c:tx>
            <c:v>Payout Ratio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Financials!$D$55:$M$55</c:f>
              <c:numCache>
                <c:formatCode>0.00%</c:formatCode>
                <c:ptCount val="10"/>
                <c:pt idx="0">
                  <c:v>0.71270529427281437</c:v>
                </c:pt>
                <c:pt idx="1">
                  <c:v>0.91135402764307294</c:v>
                </c:pt>
                <c:pt idx="2">
                  <c:v>0.69152482775662527</c:v>
                </c:pt>
                <c:pt idx="3">
                  <c:v>0.74250372067271131</c:v>
                </c:pt>
                <c:pt idx="4">
                  <c:v>0.78092025980149138</c:v>
                </c:pt>
                <c:pt idx="5">
                  <c:v>0.46883154522039328</c:v>
                </c:pt>
                <c:pt idx="6">
                  <c:v>0.56840414150536422</c:v>
                </c:pt>
                <c:pt idx="7">
                  <c:v>0.52375143783766842</c:v>
                </c:pt>
                <c:pt idx="8">
                  <c:v>0.5481159093245862</c:v>
                </c:pt>
                <c:pt idx="9">
                  <c:v>0.51233773466764188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DED-4E4A-AA11-E50E4471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924800"/>
        <c:axId val="323899736"/>
      </c:scatterChart>
      <c:catAx>
        <c:axId val="32389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1152"/>
        <c:crosses val="autoZero"/>
        <c:auto val="1"/>
        <c:lblAlgn val="ctr"/>
        <c:lblOffset val="100"/>
        <c:noMultiLvlLbl val="0"/>
      </c:catAx>
      <c:valAx>
        <c:axId val="32389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90768"/>
        <c:crosses val="autoZero"/>
        <c:crossBetween val="between"/>
      </c:valAx>
      <c:valAx>
        <c:axId val="32389973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924800"/>
        <c:crosses val="max"/>
        <c:crossBetween val="midCat"/>
      </c:valAx>
      <c:valAx>
        <c:axId val="323924800"/>
        <c:scaling>
          <c:orientation val="minMax"/>
        </c:scaling>
        <c:delete val="1"/>
        <c:axPos val="b"/>
        <c:majorTickMark val="out"/>
        <c:minorTickMark val="none"/>
        <c:tickLblPos val="nextTo"/>
        <c:crossAx val="323899736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Assets evolution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v>Not-Current Assets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Financials!$D$31:$M$31</c:f>
              <c:numCache>
                <c:formatCode>0.00</c:formatCode>
                <c:ptCount val="10"/>
                <c:pt idx="0">
                  <c:v>27169.599609375</c:v>
                </c:pt>
                <c:pt idx="1">
                  <c:v>28075.349609375</c:v>
                </c:pt>
                <c:pt idx="2">
                  <c:v>33179.75</c:v>
                </c:pt>
                <c:pt idx="3">
                  <c:v>37154.19921875</c:v>
                </c:pt>
                <c:pt idx="4">
                  <c:v>163770.40625</c:v>
                </c:pt>
                <c:pt idx="5">
                  <c:v>178445.40625</c:v>
                </c:pt>
                <c:pt idx="6">
                  <c:v>163099.703125</c:v>
                </c:pt>
                <c:pt idx="7">
                  <c:v>159316.09375</c:v>
                </c:pt>
                <c:pt idx="8">
                  <c:v>171279.703125</c:v>
                </c:pt>
                <c:pt idx="9">
                  <c:v>170861.703125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F-4C09-80D9-ADBB573BF7C8}"/>
            </c:ext>
          </c:extLst>
        </c:ser>
        <c:ser>
          <c:idx val="0"/>
          <c:order val="1"/>
          <c:tx>
            <c:v>Current Assets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Financials!$D$28:$M$28</c:f>
              <c:numCache>
                <c:formatCode>0.00</c:formatCode>
                <c:ptCount val="10"/>
                <c:pt idx="0">
                  <c:v>14893.759765625</c:v>
                </c:pt>
                <c:pt idx="1">
                  <c:v>15050.4404296875</c:v>
                </c:pt>
                <c:pt idx="2">
                  <c:v>15005.1201171875</c:v>
                </c:pt>
                <c:pt idx="3">
                  <c:v>16750.150390625</c:v>
                </c:pt>
                <c:pt idx="4">
                  <c:v>17999.380859375</c:v>
                </c:pt>
                <c:pt idx="5">
                  <c:v>16891.890625</c:v>
                </c:pt>
                <c:pt idx="6">
                  <c:v>16949.5703125</c:v>
                </c:pt>
                <c:pt idx="7">
                  <c:v>17477.810546875</c:v>
                </c:pt>
                <c:pt idx="8">
                  <c:v>17610.91015625</c:v>
                </c:pt>
                <c:pt idx="9">
                  <c:v>19059.390625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1F-4C09-80D9-ADBB573BF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23936248"/>
        <c:axId val="324020400"/>
      </c:barChart>
      <c:catAx>
        <c:axId val="323936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20400"/>
        <c:crosses val="autoZero"/>
        <c:auto val="1"/>
        <c:lblAlgn val="ctr"/>
        <c:lblOffset val="100"/>
        <c:noMultiLvlLbl val="0"/>
      </c:catAx>
      <c:valAx>
        <c:axId val="3240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93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Liabilities evolution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Current Liabilities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Financials!$D$36:$M$36</c:f>
              <c:numCache>
                <c:formatCode>0.00</c:formatCode>
                <c:ptCount val="10"/>
                <c:pt idx="0">
                  <c:v>13200.650390625</c:v>
                </c:pt>
                <c:pt idx="1">
                  <c:v>14452.1796875</c:v>
                </c:pt>
                <c:pt idx="2">
                  <c:v>13769.7197265625</c:v>
                </c:pt>
                <c:pt idx="3">
                  <c:v>16068.4404296875</c:v>
                </c:pt>
                <c:pt idx="4">
                  <c:v>20033.109375</c:v>
                </c:pt>
                <c:pt idx="5">
                  <c:v>21795.94921875</c:v>
                </c:pt>
                <c:pt idx="6">
                  <c:v>24035.08984375</c:v>
                </c:pt>
                <c:pt idx="7">
                  <c:v>19873.75</c:v>
                </c:pt>
                <c:pt idx="8">
                  <c:v>20824.509765625</c:v>
                </c:pt>
                <c:pt idx="9">
                  <c:v>22082.380859375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68-4E8A-8CFA-F7ADD20FD77D}"/>
            </c:ext>
          </c:extLst>
        </c:ser>
        <c:ser>
          <c:idx val="1"/>
          <c:order val="1"/>
          <c:tx>
            <c:v>Non-Current liabilities</c:v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Financials!$D$39:$M$39</c:f>
              <c:numCache>
                <c:formatCode>0.00</c:formatCode>
                <c:ptCount val="10"/>
                <c:pt idx="0">
                  <c:v>18010.830078125</c:v>
                </c:pt>
                <c:pt idx="1">
                  <c:v>19091.5703125</c:v>
                </c:pt>
                <c:pt idx="2">
                  <c:v>26721.4609375</c:v>
                </c:pt>
                <c:pt idx="3">
                  <c:v>26443.259765625</c:v>
                </c:pt>
                <c:pt idx="4">
                  <c:v>83086.359375</c:v>
                </c:pt>
                <c:pt idx="5">
                  <c:v>85861.0234375</c:v>
                </c:pt>
                <c:pt idx="6">
                  <c:v>74088.2890625</c:v>
                </c:pt>
                <c:pt idx="7">
                  <c:v>76085.9921875</c:v>
                </c:pt>
                <c:pt idx="8">
                  <c:v>75382.9765625</c:v>
                </c:pt>
                <c:pt idx="9">
                  <c:v>74192.96875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68-4E8A-8CFA-F7ADD20FD7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24449320"/>
        <c:axId val="324447752"/>
      </c:barChart>
      <c:catAx>
        <c:axId val="324449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7752"/>
        <c:crosses val="autoZero"/>
        <c:auto val="1"/>
        <c:lblAlgn val="ctr"/>
        <c:lblOffset val="100"/>
        <c:noMultiLvlLbl val="0"/>
      </c:catAx>
      <c:valAx>
        <c:axId val="32444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9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Debt to equity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Total equity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Financials!$D$44:$M$44</c:f>
              <c:numCache>
                <c:formatCode>#,##0.00</c:formatCode>
                <c:ptCount val="10"/>
                <c:pt idx="0">
                  <c:v>10851.87890625</c:v>
                </c:pt>
                <c:pt idx="1">
                  <c:v>9582.0400390625</c:v>
                </c:pt>
                <c:pt idx="2">
                  <c:v>7693.689453125</c:v>
                </c:pt>
                <c:pt idx="3">
                  <c:v>11392.6494140625</c:v>
                </c:pt>
                <c:pt idx="4">
                  <c:v>78650.318359375</c:v>
                </c:pt>
                <c:pt idx="5">
                  <c:v>87680.32421875</c:v>
                </c:pt>
                <c:pt idx="6">
                  <c:v>81925.89453125</c:v>
                </c:pt>
                <c:pt idx="7">
                  <c:v>80834.162109375</c:v>
                </c:pt>
                <c:pt idx="8">
                  <c:v>92683.126953125</c:v>
                </c:pt>
                <c:pt idx="9">
                  <c:v>93645.744140625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1-4451-902B-E5C55349FE88}"/>
            </c:ext>
          </c:extLst>
        </c:ser>
        <c:ser>
          <c:idx val="0"/>
          <c:order val="1"/>
          <c:tx>
            <c:v>Total liabilities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Financials!$D$42:$M$42</c:f>
              <c:numCache>
                <c:formatCode>#,##0.00</c:formatCode>
                <c:ptCount val="10"/>
                <c:pt idx="0">
                  <c:v>31211.48046875</c:v>
                </c:pt>
                <c:pt idx="1">
                  <c:v>33543.75</c:v>
                </c:pt>
                <c:pt idx="2">
                  <c:v>40491.1806640625</c:v>
                </c:pt>
                <c:pt idx="3">
                  <c:v>42511.7001953125</c:v>
                </c:pt>
                <c:pt idx="4">
                  <c:v>103119.46875</c:v>
                </c:pt>
                <c:pt idx="5">
                  <c:v>107656.97265625</c:v>
                </c:pt>
                <c:pt idx="6">
                  <c:v>98123.37890625</c:v>
                </c:pt>
                <c:pt idx="7">
                  <c:v>95959.7421875</c:v>
                </c:pt>
                <c:pt idx="8">
                  <c:v>96207.486328125</c:v>
                </c:pt>
                <c:pt idx="9">
                  <c:v>96275.349609375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451-902B-E5C55349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4450104"/>
        <c:axId val="324450496"/>
      </c:barChart>
      <c:scatterChart>
        <c:scatterStyle val="smoothMarker"/>
        <c:varyColors val="0"/>
        <c:ser>
          <c:idx val="2"/>
          <c:order val="2"/>
          <c:tx>
            <c:v>Debt / Equity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yVal>
            <c:numRef>
              <c:f>Financials!$D$58:$M$58</c:f>
              <c:numCache>
                <c:formatCode>0.00</c:formatCode>
                <c:ptCount val="10"/>
                <c:pt idx="0">
                  <c:v>2.8761360809853995</c:v>
                </c:pt>
                <c:pt idx="1">
                  <c:v>3.5006898179567507</c:v>
                </c:pt>
                <c:pt idx="2">
                  <c:v>5.2629081158995721</c:v>
                </c:pt>
                <c:pt idx="3">
                  <c:v>3.7315025373148272</c:v>
                </c:pt>
                <c:pt idx="4">
                  <c:v>1.3111131766666055</c:v>
                </c:pt>
                <c:pt idx="5">
                  <c:v>1.2278350201769452</c:v>
                </c:pt>
                <c:pt idx="6">
                  <c:v>1.1977089718418832</c:v>
                </c:pt>
                <c:pt idx="7">
                  <c:v>1.187118659777272</c:v>
                </c:pt>
                <c:pt idx="8">
                  <c:v>1.0380259006235564</c:v>
                </c:pt>
                <c:pt idx="9">
                  <c:v>1.0280803521065645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91-4451-902B-E5C55349F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447360"/>
        <c:axId val="324446968"/>
      </c:scatterChart>
      <c:catAx>
        <c:axId val="324450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50496"/>
        <c:crosses val="autoZero"/>
        <c:auto val="1"/>
        <c:lblAlgn val="ctr"/>
        <c:lblOffset val="100"/>
        <c:noMultiLvlLbl val="0"/>
      </c:catAx>
      <c:valAx>
        <c:axId val="324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50104"/>
        <c:crosses val="autoZero"/>
        <c:crossBetween val="between"/>
      </c:valAx>
      <c:valAx>
        <c:axId val="32444696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7360"/>
        <c:crosses val="max"/>
        <c:crossBetween val="midCat"/>
      </c:valAx>
      <c:valAx>
        <c:axId val="324447360"/>
        <c:scaling>
          <c:orientation val="minMax"/>
        </c:scaling>
        <c:delete val="1"/>
        <c:axPos val="b"/>
        <c:majorTickMark val="out"/>
        <c:minorTickMark val="none"/>
        <c:tickLblPos val="nextTo"/>
        <c:crossAx val="324446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Current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Current assets</c:v>
          </c:tx>
          <c:spPr>
            <a:solidFill>
              <a:srgbClr val="92D050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Financials!$D$28:$M$28</c:f>
              <c:numCache>
                <c:formatCode>0.00</c:formatCode>
                <c:ptCount val="10"/>
                <c:pt idx="0">
                  <c:v>14893.759765625</c:v>
                </c:pt>
                <c:pt idx="1">
                  <c:v>15050.4404296875</c:v>
                </c:pt>
                <c:pt idx="2">
                  <c:v>15005.1201171875</c:v>
                </c:pt>
                <c:pt idx="3">
                  <c:v>16750.150390625</c:v>
                </c:pt>
                <c:pt idx="4">
                  <c:v>17999.380859375</c:v>
                </c:pt>
                <c:pt idx="5">
                  <c:v>16891.890625</c:v>
                </c:pt>
                <c:pt idx="6">
                  <c:v>16949.5703125</c:v>
                </c:pt>
                <c:pt idx="7">
                  <c:v>17477.810546875</c:v>
                </c:pt>
                <c:pt idx="8">
                  <c:v>17610.91015625</c:v>
                </c:pt>
                <c:pt idx="9">
                  <c:v>19059.390625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A7-4D67-B636-EDCF6282012C}"/>
            </c:ext>
          </c:extLst>
        </c:ser>
        <c:ser>
          <c:idx val="1"/>
          <c:order val="1"/>
          <c:tx>
            <c:v>Current liabilities</c:v>
          </c:tx>
          <c:spPr>
            <a:solidFill>
              <a:schemeClr val="accent2"/>
            </a:soli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Financials!$D$36:$M$36</c:f>
              <c:numCache>
                <c:formatCode>0.00</c:formatCode>
                <c:ptCount val="10"/>
                <c:pt idx="0">
                  <c:v>13200.650390625</c:v>
                </c:pt>
                <c:pt idx="1">
                  <c:v>14452.1796875</c:v>
                </c:pt>
                <c:pt idx="2">
                  <c:v>13769.7197265625</c:v>
                </c:pt>
                <c:pt idx="3">
                  <c:v>16068.4404296875</c:v>
                </c:pt>
                <c:pt idx="4">
                  <c:v>20033.109375</c:v>
                </c:pt>
                <c:pt idx="5">
                  <c:v>21795.94921875</c:v>
                </c:pt>
                <c:pt idx="6">
                  <c:v>24035.08984375</c:v>
                </c:pt>
                <c:pt idx="7">
                  <c:v>19873.75</c:v>
                </c:pt>
                <c:pt idx="8">
                  <c:v>20824.509765625</c:v>
                </c:pt>
                <c:pt idx="9">
                  <c:v>22082.380859375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A7-4D67-B636-EDCF62820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24448536"/>
        <c:axId val="324448928"/>
      </c:barChart>
      <c:lineChart>
        <c:grouping val="stacked"/>
        <c:varyColors val="0"/>
        <c:ser>
          <c:idx val="2"/>
          <c:order val="2"/>
          <c:tx>
            <c:v>Current ratio</c:v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Financials!$D$59:$M$59</c:f>
              <c:numCache>
                <c:formatCode>0.00</c:formatCode>
                <c:ptCount val="10"/>
                <c:pt idx="0">
                  <c:v>1.1282595421360779</c:v>
                </c:pt>
                <c:pt idx="1">
                  <c:v>1.0413958831901979</c:v>
                </c:pt>
                <c:pt idx="2">
                  <c:v>1.0897186300925101</c:v>
                </c:pt>
                <c:pt idx="3">
                  <c:v>1.0424253967844941</c:v>
                </c:pt>
                <c:pt idx="4">
                  <c:v>0.89848163470005515</c:v>
                </c:pt>
                <c:pt idx="5">
                  <c:v>0.77500137550645076</c:v>
                </c:pt>
                <c:pt idx="6">
                  <c:v>0.70520103826062908</c:v>
                </c:pt>
                <c:pt idx="7">
                  <c:v>0.87944200500031444</c:v>
                </c:pt>
                <c:pt idx="8">
                  <c:v>0.84568186019535085</c:v>
                </c:pt>
                <c:pt idx="9">
                  <c:v>0.86310397173085618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A7-4D67-B636-EDCF62820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912592"/>
        <c:axId val="324917688"/>
      </c:lineChart>
      <c:catAx>
        <c:axId val="32444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8928"/>
        <c:crosses val="autoZero"/>
        <c:auto val="1"/>
        <c:lblAlgn val="ctr"/>
        <c:lblOffset val="100"/>
        <c:noMultiLvlLbl val="0"/>
      </c:catAx>
      <c:valAx>
        <c:axId val="32444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48536"/>
        <c:crosses val="autoZero"/>
        <c:crossBetween val="between"/>
      </c:valAx>
      <c:valAx>
        <c:axId val="324917688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2592"/>
        <c:crosses val="max"/>
        <c:crossBetween val="between"/>
      </c:valAx>
      <c:catAx>
        <c:axId val="324912592"/>
        <c:scaling>
          <c:orientation val="minMax"/>
        </c:scaling>
        <c:delete val="0"/>
        <c:axPos val="t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7688"/>
        <c:crosses val="max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Profitability</a:t>
            </a:r>
            <a:r>
              <a:rPr lang="en-US" baseline="0"/>
              <a:t> </a:t>
            </a:r>
            <a:r>
              <a:rPr lang="en-US"/>
              <a:t>evolution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EBIDTA</c:v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Financials!$D$9:$M$9</c:f>
              <c:numCache>
                <c:formatCode>0.00</c:formatCode>
                <c:ptCount val="10"/>
                <c:pt idx="0">
                  <c:v>8837.990234375</c:v>
                </c:pt>
                <c:pt idx="1">
                  <c:v>7605.97900390625</c:v>
                </c:pt>
                <c:pt idx="2">
                  <c:v>7621.81591796875</c:v>
                </c:pt>
                <c:pt idx="3">
                  <c:v>7131.5888671875</c:v>
                </c:pt>
                <c:pt idx="4">
                  <c:v>9508.767578125</c:v>
                </c:pt>
                <c:pt idx="5">
                  <c:v>13816.509765625</c:v>
                </c:pt>
                <c:pt idx="6">
                  <c:v>13443.2001953125</c:v>
                </c:pt>
                <c:pt idx="7">
                  <c:v>14653.009765625</c:v>
                </c:pt>
                <c:pt idx="8">
                  <c:v>15552.3798828125</c:v>
                </c:pt>
                <c:pt idx="9">
                  <c:v>14630.0498046875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D-49BE-8C18-62B89DC40B3C}"/>
            </c:ext>
          </c:extLst>
        </c:ser>
        <c:ser>
          <c:idx val="2"/>
          <c:order val="1"/>
          <c:tx>
            <c:v>Net Income</c:v>
          </c:tx>
          <c:spPr>
            <a:gradFill rotWithShape="1">
              <a:gsLst>
                <a:gs pos="0">
                  <a:schemeClr val="accent5">
                    <a:shade val="51000"/>
                    <a:satMod val="130000"/>
                  </a:schemeClr>
                </a:gs>
                <a:gs pos="80000">
                  <a:schemeClr val="accent5">
                    <a:shade val="93000"/>
                    <a:satMod val="130000"/>
                  </a:schemeClr>
                </a:gs>
                <a:gs pos="100000">
                  <a:schemeClr val="accent5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Financials!$D$6:$M$6</c:f>
              <c:numCache>
                <c:formatCode>0.00</c:formatCode>
                <c:ptCount val="10"/>
                <c:pt idx="0">
                  <c:v>6570.58984375</c:v>
                </c:pt>
                <c:pt idx="1">
                  <c:v>5592</c:v>
                </c:pt>
                <c:pt idx="2">
                  <c:v>6559.19482421875</c:v>
                </c:pt>
                <c:pt idx="3">
                  <c:v>6299.43505859375</c:v>
                </c:pt>
                <c:pt idx="4">
                  <c:v>48372.53125</c:v>
                </c:pt>
                <c:pt idx="5">
                  <c:v>8051.51416015625</c:v>
                </c:pt>
                <c:pt idx="6">
                  <c:v>7283.43798828125</c:v>
                </c:pt>
                <c:pt idx="7">
                  <c:v>8217.599609375</c:v>
                </c:pt>
                <c:pt idx="8">
                  <c:v>9352.0546875</c:v>
                </c:pt>
                <c:pt idx="9">
                  <c:v>8184.56689453125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5D-49BE-8C18-62B89DC40B3C}"/>
            </c:ext>
          </c:extLst>
        </c:ser>
        <c:ser>
          <c:idx val="3"/>
          <c:order val="2"/>
          <c:tx>
            <c:v>Free Cash Flow</c:v>
          </c:tx>
          <c:spPr>
            <a:gradFill rotWithShape="1">
              <a:gsLst>
                <a:gs pos="0">
                  <a:schemeClr val="accent1">
                    <a:lumMod val="60000"/>
                    <a:shade val="51000"/>
                    <a:satMod val="130000"/>
                  </a:schemeClr>
                </a:gs>
                <a:gs pos="80000">
                  <a:schemeClr val="accent1">
                    <a:lumMod val="60000"/>
                    <a:shade val="93000"/>
                    <a:satMod val="130000"/>
                  </a:schemeClr>
                </a:gs>
                <a:gs pos="100000">
                  <a:schemeClr val="accent1">
                    <a:lumMod val="60000"/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Financials!$D$20:$M$20</c:f>
              <c:numCache>
                <c:formatCode>0.00</c:formatCode>
                <c:ptCount val="10"/>
                <c:pt idx="0">
                  <c:v>6313.97021484375</c:v>
                </c:pt>
                <c:pt idx="1">
                  <c:v>5354.669921875</c:v>
                </c:pt>
                <c:pt idx="2">
                  <c:v>6643.2900390625</c:v>
                </c:pt>
                <c:pt idx="3">
                  <c:v>5579.77001953125</c:v>
                </c:pt>
                <c:pt idx="4">
                  <c:v>5994.2099609375</c:v>
                </c:pt>
                <c:pt idx="5">
                  <c:v>12780.7099609375</c:v>
                </c:pt>
                <c:pt idx="6">
                  <c:v>10682.5400390625</c:v>
                </c:pt>
                <c:pt idx="7">
                  <c:v>11965.599609375</c:v>
                </c:pt>
                <c:pt idx="8">
                  <c:v>12679.7998046875</c:v>
                </c:pt>
                <c:pt idx="9">
                  <c:v>12247.7802734375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5D-49BE-8C18-62B89DC40B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324913768"/>
        <c:axId val="324912984"/>
      </c:barChart>
      <c:valAx>
        <c:axId val="32491298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3768"/>
        <c:crosses val="max"/>
        <c:crossBetween val="between"/>
      </c:valAx>
      <c:catAx>
        <c:axId val="32491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29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ROA ROE ROIC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ROA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Financials!$D$76:$M$76</c:f>
              <c:numCache>
                <c:formatCode>0.00</c:formatCode>
                <c:ptCount val="10"/>
                <c:pt idx="0">
                  <c:v>15.620696828259453</c:v>
                </c:pt>
                <c:pt idx="1">
                  <c:v>12.966718974736175</c:v>
                </c:pt>
                <c:pt idx="2">
                  <c:v>13.612560972493087</c:v>
                </c:pt>
                <c:pt idx="3">
                  <c:v>11.686320499632107</c:v>
                </c:pt>
                <c:pt idx="4">
                  <c:v>26.611975520933605</c:v>
                </c:pt>
                <c:pt idx="5">
                  <c:v>4.1218519396777387</c:v>
                </c:pt>
                <c:pt idx="6">
                  <c:v>4.0452470866590469</c:v>
                </c:pt>
                <c:pt idx="7">
                  <c:v>4.6481238377856524</c:v>
                </c:pt>
                <c:pt idx="8">
                  <c:v>4.9510425769941211</c:v>
                </c:pt>
                <c:pt idx="9">
                  <c:v>4.3094564868633762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F-45DB-907A-A59C0CB47A38}"/>
            </c:ext>
          </c:extLst>
        </c:ser>
        <c:ser>
          <c:idx val="1"/>
          <c:order val="1"/>
          <c:tx>
            <c:v>ROE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Financials!$D$77:$M$77</c:f>
              <c:numCache>
                <c:formatCode>0.00</c:formatCode>
                <c:ptCount val="10"/>
                <c:pt idx="0">
                  <c:v>60.547946586150658</c:v>
                </c:pt>
                <c:pt idx="1">
                  <c:v>58.359180061901696</c:v>
                </c:pt>
                <c:pt idx="2">
                  <c:v>85.254218592804733</c:v>
                </c:pt>
                <c:pt idx="3">
                  <c:v>55.293855095883593</c:v>
                </c:pt>
                <c:pt idx="4">
                  <c:v>61.503287283558805</c:v>
                </c:pt>
                <c:pt idx="5">
                  <c:v>9.182806099198336</c:v>
                </c:pt>
                <c:pt idx="6">
                  <c:v>8.8902758156678274</c:v>
                </c:pt>
                <c:pt idx="7">
                  <c:v>10.165998378576546</c:v>
                </c:pt>
                <c:pt idx="8">
                  <c:v>10.090353007004017</c:v>
                </c:pt>
                <c:pt idx="9">
                  <c:v>8.7399240292657954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6F-45DB-907A-A59C0CB47A38}"/>
            </c:ext>
          </c:extLst>
        </c:ser>
        <c:ser>
          <c:idx val="2"/>
          <c:order val="2"/>
          <c:tx>
            <c:v>ROIC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Financials!$D$78:$M$78</c:f>
              <c:numCache>
                <c:formatCode>0.00</c:formatCode>
                <c:ptCount val="10"/>
                <c:pt idx="0">
                  <c:v>23.569999694824219</c:v>
                </c:pt>
                <c:pt idx="1">
                  <c:v>19.290000915527344</c:v>
                </c:pt>
                <c:pt idx="2">
                  <c:v>23.629999160766602</c:v>
                </c:pt>
                <c:pt idx="3">
                  <c:v>20.629999160766602</c:v>
                </c:pt>
                <c:pt idx="4">
                  <c:v>55.639999389648438</c:v>
                </c:pt>
                <c:pt idx="5">
                  <c:v>6.4499998092651367</c:v>
                </c:pt>
                <c:pt idx="6">
                  <c:v>6.2699999809265137</c:v>
                </c:pt>
                <c:pt idx="7">
                  <c:v>7.1399998664855957</c:v>
                </c:pt>
                <c:pt idx="8">
                  <c:v>7.4099998474121094</c:v>
                </c:pt>
                <c:pt idx="9">
                  <c:v>6.9000000953674316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6F-45DB-907A-A59C0CB47A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24912200"/>
        <c:axId val="324911024"/>
      </c:lineChart>
      <c:catAx>
        <c:axId val="3249122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1024"/>
        <c:crosses val="autoZero"/>
        <c:auto val="1"/>
        <c:lblAlgn val="ctr"/>
        <c:lblOffset val="100"/>
        <c:noMultiLvlLbl val="1"/>
      </c:catAx>
      <c:valAx>
        <c:axId val="3249110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2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Shares outstanding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Financials!$D$12:$M$12</c:f>
              <c:numCache>
                <c:formatCode>0.00</c:formatCode>
                <c:ptCount val="10"/>
                <c:pt idx="0">
                  <c:v>1907.865966796875</c:v>
                </c:pt>
                <c:pt idx="1">
                  <c:v>1869.748046875</c:v>
                </c:pt>
                <c:pt idx="2">
                  <c:v>1863</c:v>
                </c:pt>
                <c:pt idx="3">
                  <c:v>1865</c:v>
                </c:pt>
                <c:pt idx="4">
                  <c:v>2051</c:v>
                </c:pt>
                <c:pt idx="5">
                  <c:v>2292</c:v>
                </c:pt>
                <c:pt idx="6">
                  <c:v>2291</c:v>
                </c:pt>
                <c:pt idx="7">
                  <c:v>2295</c:v>
                </c:pt>
                <c:pt idx="8">
                  <c:v>2297</c:v>
                </c:pt>
                <c:pt idx="9">
                  <c:v>2267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5-4179-91AC-A4368A515C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4911416"/>
        <c:axId val="324916120"/>
      </c:barChart>
      <c:catAx>
        <c:axId val="32491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6120"/>
        <c:crosses val="autoZero"/>
        <c:auto val="1"/>
        <c:lblAlgn val="ctr"/>
        <c:lblOffset val="100"/>
        <c:noMultiLvlLbl val="0"/>
      </c:catAx>
      <c:valAx>
        <c:axId val="324916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1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 and P/FCF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Financials!$D$81:$M$81</c:f>
              <c:numCache>
                <c:formatCode>0.00</c:formatCode>
                <c:ptCount val="10"/>
                <c:pt idx="0">
                  <c:v>15.819999694824219</c:v>
                </c:pt>
                <c:pt idx="1">
                  <c:v>18.079999923706055</c:v>
                </c:pt>
                <c:pt idx="2">
                  <c:v>17.290000915527344</c:v>
                </c:pt>
                <c:pt idx="3">
                  <c:v>19.799999237060547</c:v>
                </c:pt>
                <c:pt idx="4">
                  <c:v>21.940000534057617</c:v>
                </c:pt>
                <c:pt idx="5">
                  <c:v>1.3799999952316284</c:v>
                </c:pt>
                <c:pt idx="6">
                  <c:v>12.060000419616699</c:v>
                </c:pt>
                <c:pt idx="7">
                  <c:v>9.9300003051757813</c:v>
                </c:pt>
                <c:pt idx="8">
                  <c:v>10.270000457763672</c:v>
                </c:pt>
                <c:pt idx="9">
                  <c:v>14.130000114440918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E99-43A2-91C6-E54CD548E410}"/>
            </c:ext>
          </c:extLst>
        </c:ser>
        <c:ser>
          <c:idx val="1"/>
          <c:order val="1"/>
          <c:tx>
            <c:v>P/FCF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Financials!$D$82:$M$82</c:f>
              <c:numCache>
                <c:formatCode>0.00</c:formatCode>
                <c:ptCount val="10"/>
                <c:pt idx="0">
                  <c:v>13.770000457763672</c:v>
                </c:pt>
                <c:pt idx="1">
                  <c:v>15.229999542236328</c:v>
                </c:pt>
                <c:pt idx="2">
                  <c:v>17.799999237060547</c:v>
                </c:pt>
                <c:pt idx="3">
                  <c:v>19.340000152587891</c:v>
                </c:pt>
                <c:pt idx="4">
                  <c:v>17.670000076293945</c:v>
                </c:pt>
                <c:pt idx="5">
                  <c:v>7.5799999237060547</c:v>
                </c:pt>
                <c:pt idx="6">
                  <c:v>8.5100002288818359</c:v>
                </c:pt>
                <c:pt idx="7">
                  <c:v>6.190000057220459</c:v>
                </c:pt>
                <c:pt idx="8">
                  <c:v>7.440000057220459</c:v>
                </c:pt>
                <c:pt idx="9">
                  <c:v>7.0900001525878906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E99-43A2-91C6-E54CD548E41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4914160"/>
        <c:axId val="324911808"/>
      </c:lineChart>
      <c:catAx>
        <c:axId val="32491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1808"/>
        <c:crosses val="autoZero"/>
        <c:auto val="1"/>
        <c:lblAlgn val="ctr"/>
        <c:lblOffset val="100"/>
        <c:noMultiLvlLbl val="0"/>
      </c:catAx>
      <c:valAx>
        <c:axId val="32491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EPS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Financials!$D$15:$M$15</c:f>
              <c:numCache>
                <c:formatCode>0.00</c:formatCode>
                <c:ptCount val="10"/>
                <c:pt idx="0">
                  <c:v>3.4100000858306885</c:v>
                </c:pt>
                <c:pt idx="1">
                  <c:v>2.5799999237060547</c:v>
                </c:pt>
                <c:pt idx="2">
                  <c:v>3.5199999809265137</c:v>
                </c:pt>
                <c:pt idx="3">
                  <c:v>3.377000093460083</c:v>
                </c:pt>
                <c:pt idx="4">
                  <c:v>23.584999084472656</c:v>
                </c:pt>
                <c:pt idx="5">
                  <c:v>3.513200044631958</c:v>
                </c:pt>
                <c:pt idx="6">
                  <c:v>3.1795001029968262</c:v>
                </c:pt>
                <c:pt idx="7">
                  <c:v>3.5810999870300293</c:v>
                </c:pt>
                <c:pt idx="8">
                  <c:v>4.0784997940063477</c:v>
                </c:pt>
                <c:pt idx="9">
                  <c:v>3.6105000972747803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4E-4D0E-B961-FAF8C19FC55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4915728"/>
        <c:axId val="324918080"/>
      </c:barChart>
      <c:catAx>
        <c:axId val="324915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8080"/>
        <c:crosses val="autoZero"/>
        <c:auto val="1"/>
        <c:lblAlgn val="ctr"/>
        <c:lblOffset val="100"/>
        <c:noMultiLvlLbl val="0"/>
      </c:catAx>
      <c:valAx>
        <c:axId val="3249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5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Revenue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Financials!$D$3:$M$3</c:f>
              <c:numCache>
                <c:formatCode>0.00</c:formatCode>
                <c:ptCount val="10"/>
                <c:pt idx="0">
                  <c:v>23878.83984375</c:v>
                </c:pt>
                <c:pt idx="1">
                  <c:v>23025.599609375</c:v>
                </c:pt>
                <c:pt idx="2">
                  <c:v>20035.359375</c:v>
                </c:pt>
                <c:pt idx="3">
                  <c:v>19992.029296875</c:v>
                </c:pt>
                <c:pt idx="4">
                  <c:v>26152.330078125</c:v>
                </c:pt>
                <c:pt idx="5">
                  <c:v>32691.919921875</c:v>
                </c:pt>
                <c:pt idx="6">
                  <c:v>33042.33984375</c:v>
                </c:pt>
                <c:pt idx="7">
                  <c:v>33096.37890625</c:v>
                </c:pt>
                <c:pt idx="8">
                  <c:v>35318.0703125</c:v>
                </c:pt>
                <c:pt idx="9">
                  <c:v>34206.46875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0E-45FB-AC97-BE6E1683FD6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324914944"/>
        <c:axId val="324915336"/>
      </c:barChart>
      <c:catAx>
        <c:axId val="32491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5336"/>
        <c:crosses val="autoZero"/>
        <c:auto val="1"/>
        <c:lblAlgn val="ctr"/>
        <c:lblOffset val="100"/>
        <c:noMultiLvlLbl val="0"/>
      </c:catAx>
      <c:valAx>
        <c:axId val="32491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91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Long</a:t>
            </a:r>
            <a:r>
              <a:rPr lang="en-GB" baseline="0"/>
              <a:t> debt to EBIDTA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Long Term Debt</c:v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Financials!$D$46:$M$46</c:f>
              <c:numCache>
                <c:formatCode>0.00</c:formatCode>
                <c:ptCount val="10"/>
                <c:pt idx="0">
                  <c:v>15203.58984375</c:v>
                </c:pt>
                <c:pt idx="1">
                  <c:v>16116.759765625</c:v>
                </c:pt>
                <c:pt idx="2">
                  <c:v>22637.630859375</c:v>
                </c:pt>
                <c:pt idx="3">
                  <c:v>22346.189453125</c:v>
                </c:pt>
                <c:pt idx="4">
                  <c:v>56742</c:v>
                </c:pt>
                <c:pt idx="5">
                  <c:v>57775.48046875</c:v>
                </c:pt>
                <c:pt idx="6">
                  <c:v>48271.9296875</c:v>
                </c:pt>
                <c:pt idx="7">
                  <c:v>51266.26953125</c:v>
                </c:pt>
                <c:pt idx="8">
                  <c:v>49044.3203125</c:v>
                </c:pt>
                <c:pt idx="9">
                  <c:v>47900.19140625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E-45CF-BF1C-D9569523F0D8}"/>
            </c:ext>
          </c:extLst>
        </c:ser>
        <c:ser>
          <c:idx val="1"/>
          <c:order val="1"/>
          <c:tx>
            <c:v>EBIDTA</c:v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Financials!$D$9:$M$9</c:f>
              <c:numCache>
                <c:formatCode>0.00</c:formatCode>
                <c:ptCount val="10"/>
                <c:pt idx="0">
                  <c:v>8837.990234375</c:v>
                </c:pt>
                <c:pt idx="1">
                  <c:v>7605.97900390625</c:v>
                </c:pt>
                <c:pt idx="2">
                  <c:v>7621.81591796875</c:v>
                </c:pt>
                <c:pt idx="3">
                  <c:v>7131.5888671875</c:v>
                </c:pt>
                <c:pt idx="4">
                  <c:v>9508.767578125</c:v>
                </c:pt>
                <c:pt idx="5">
                  <c:v>13816.509765625</c:v>
                </c:pt>
                <c:pt idx="6">
                  <c:v>13443.2001953125</c:v>
                </c:pt>
                <c:pt idx="7">
                  <c:v>14653.009765625</c:v>
                </c:pt>
                <c:pt idx="8">
                  <c:v>15552.3798828125</c:v>
                </c:pt>
                <c:pt idx="9">
                  <c:v>14630.0498046875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E-45CF-BF1C-D9569523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47557008"/>
        <c:axId val="647553648"/>
      </c:barChart>
      <c:lineChart>
        <c:grouping val="stacked"/>
        <c:varyColors val="0"/>
        <c:ser>
          <c:idx val="2"/>
          <c:order val="2"/>
          <c:tx>
            <c:v>Debt / EBIDTA ratio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cat>
            <c:numRef>
              <c:f>Financials!$D$2:$M$2</c:f>
              <c:numCache>
                <c:formatCode>General</c:formatCode>
                <c:ptCount val="10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  <c:pt idx="6">
                  <c:v>2019</c:v>
                </c:pt>
                <c:pt idx="7">
                  <c:v>2020</c:v>
                </c:pt>
                <c:pt idx="8">
                  <c:v>2021</c:v>
                </c:pt>
                <c:pt idx="9">
                  <c:v>2022</c:v>
                </c:pt>
              </c:numCache>
            </c:numRef>
          </c:cat>
          <c:val>
            <c:numRef>
              <c:f>Financials!$D$60:$M$60</c:f>
              <c:numCache>
                <c:formatCode>0.00</c:formatCode>
                <c:ptCount val="10"/>
                <c:pt idx="0">
                  <c:v>1.7202542026598153</c:v>
                </c:pt>
                <c:pt idx="1">
                  <c:v>2.1189592762940594</c:v>
                </c:pt>
                <c:pt idx="2">
                  <c:v>2.9701098928413945</c:v>
                </c:pt>
                <c:pt idx="3">
                  <c:v>3.1334096607755959</c:v>
                </c:pt>
                <c:pt idx="4">
                  <c:v>5.9673348342781507</c:v>
                </c:pt>
                <c:pt idx="5">
                  <c:v>4.1816262897662773</c:v>
                </c:pt>
                <c:pt idx="6">
                  <c:v>3.590806428987936</c:v>
                </c:pt>
                <c:pt idx="7">
                  <c:v>3.4986852770355279</c:v>
                </c:pt>
                <c:pt idx="8">
                  <c:v>3.1534929497639559</c:v>
                </c:pt>
                <c:pt idx="9">
                  <c:v>3.274096263903536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4E-45CF-BF1C-D9569523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562128"/>
        <c:axId val="874567888"/>
      </c:lineChart>
      <c:catAx>
        <c:axId val="647557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53648"/>
        <c:crosses val="autoZero"/>
        <c:auto val="1"/>
        <c:lblAlgn val="ctr"/>
        <c:lblOffset val="100"/>
        <c:noMultiLvlLbl val="0"/>
      </c:catAx>
      <c:valAx>
        <c:axId val="6475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557008"/>
        <c:crosses val="autoZero"/>
        <c:crossBetween val="between"/>
      </c:valAx>
      <c:valAx>
        <c:axId val="874567888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562128"/>
        <c:crosses val="max"/>
        <c:crossBetween val="between"/>
      </c:valAx>
      <c:catAx>
        <c:axId val="8745621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7456788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291727</xdr:colOff>
      <xdr:row>25</xdr:row>
      <xdr:rowOff>184524</xdr:rowOff>
    </xdr:from>
    <xdr:to>
      <xdr:col>16</xdr:col>
      <xdr:colOff>261472</xdr:colOff>
      <xdr:row>44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433295</xdr:colOff>
      <xdr:row>83</xdr:row>
      <xdr:rowOff>175558</xdr:rowOff>
    </xdr:from>
    <xdr:to>
      <xdr:col>16</xdr:col>
      <xdr:colOff>351866</xdr:colOff>
      <xdr:row>102</xdr:row>
      <xdr:rowOff>125132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310777</xdr:colOff>
      <xdr:row>64</xdr:row>
      <xdr:rowOff>8141</xdr:rowOff>
    </xdr:from>
    <xdr:to>
      <xdr:col>33</xdr:col>
      <xdr:colOff>431427</xdr:colOff>
      <xdr:row>82</xdr:row>
      <xdr:rowOff>40342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291353</xdr:colOff>
      <xdr:row>84</xdr:row>
      <xdr:rowOff>79245</xdr:rowOff>
    </xdr:from>
    <xdr:to>
      <xdr:col>33</xdr:col>
      <xdr:colOff>430508</xdr:colOff>
      <xdr:row>102</xdr:row>
      <xdr:rowOff>162821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320115</xdr:colOff>
      <xdr:row>45</xdr:row>
      <xdr:rowOff>110192</xdr:rowOff>
    </xdr:from>
    <xdr:to>
      <xdr:col>33</xdr:col>
      <xdr:colOff>313766</xdr:colOff>
      <xdr:row>62</xdr:row>
      <xdr:rowOff>135592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288365</xdr:colOff>
      <xdr:row>45</xdr:row>
      <xdr:rowOff>148291</xdr:rowOff>
    </xdr:from>
    <xdr:to>
      <xdr:col>16</xdr:col>
      <xdr:colOff>212166</xdr:colOff>
      <xdr:row>62</xdr:row>
      <xdr:rowOff>154641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399677</xdr:colOff>
      <xdr:row>1</xdr:row>
      <xdr:rowOff>70221</xdr:rowOff>
    </xdr:from>
    <xdr:to>
      <xdr:col>16</xdr:col>
      <xdr:colOff>273051</xdr:colOff>
      <xdr:row>24</xdr:row>
      <xdr:rowOff>37352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294105</xdr:colOff>
      <xdr:row>25</xdr:row>
      <xdr:rowOff>174123</xdr:rowOff>
    </xdr:from>
    <xdr:to>
      <xdr:col>33</xdr:col>
      <xdr:colOff>387349</xdr:colOff>
      <xdr:row>44</xdr:row>
      <xdr:rowOff>139700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413251</xdr:colOff>
      <xdr:row>125</xdr:row>
      <xdr:rowOff>335</xdr:rowOff>
    </xdr:from>
    <xdr:to>
      <xdr:col>16</xdr:col>
      <xdr:colOff>406400</xdr:colOff>
      <xdr:row>143</xdr:row>
      <xdr:rowOff>120650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419100</xdr:colOff>
      <xdr:row>104</xdr:row>
      <xdr:rowOff>161471</xdr:rowOff>
    </xdr:from>
    <xdr:to>
      <xdr:col>16</xdr:col>
      <xdr:colOff>406400</xdr:colOff>
      <xdr:row>123</xdr:row>
      <xdr:rowOff>114300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304799</xdr:colOff>
      <xdr:row>105</xdr:row>
      <xdr:rowOff>33564</xdr:rowOff>
    </xdr:from>
    <xdr:to>
      <xdr:col>33</xdr:col>
      <xdr:colOff>363765</xdr:colOff>
      <xdr:row>123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320674</xdr:colOff>
      <xdr:row>1</xdr:row>
      <xdr:rowOff>82550</xdr:rowOff>
    </xdr:from>
    <xdr:to>
      <xdr:col>33</xdr:col>
      <xdr:colOff>311150</xdr:colOff>
      <xdr:row>24</xdr:row>
      <xdr:rowOff>31750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323281</xdr:colOff>
      <xdr:row>63</xdr:row>
      <xdr:rowOff>138398</xdr:rowOff>
    </xdr:from>
    <xdr:to>
      <xdr:col>16</xdr:col>
      <xdr:colOff>244232</xdr:colOff>
      <xdr:row>82</xdr:row>
      <xdr:rowOff>67571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0EF526C-4CEE-D15C-6E9C-073E5DDA4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19051</xdr:colOff>
      <xdr:row>1</xdr:row>
      <xdr:rowOff>101600</xdr:rowOff>
    </xdr:from>
    <xdr:to>
      <xdr:col>14</xdr:col>
      <xdr:colOff>355601</xdr:colOff>
      <xdr:row>11</xdr:row>
      <xdr:rowOff>184149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83801" y="469900"/>
          <a:ext cx="2774950" cy="2006599"/>
        </a:xfrm>
        <a:prstGeom prst="rect">
          <a:avLst/>
        </a:prstGeom>
      </xdr:spPr>
    </xdr:pic>
    <xdr:clientData/>
  </xdr:twoCellAnchor>
  <xdr:twoCellAnchor editAs="oneCell">
    <xdr:from>
      <xdr:col>15</xdr:col>
      <xdr:colOff>533400</xdr:colOff>
      <xdr:row>2</xdr:row>
      <xdr:rowOff>171450</xdr:rowOff>
    </xdr:from>
    <xdr:to>
      <xdr:col>19</xdr:col>
      <xdr:colOff>464485</xdr:colOff>
      <xdr:row>4</xdr:row>
      <xdr:rowOff>25399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46150" y="793750"/>
          <a:ext cx="2369485" cy="234949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590551</xdr:colOff>
      <xdr:row>15</xdr:row>
      <xdr:rowOff>25400</xdr:rowOff>
    </xdr:from>
    <xdr:to>
      <xdr:col>15</xdr:col>
      <xdr:colOff>304801</xdr:colOff>
      <xdr:row>17</xdr:row>
      <xdr:rowOff>213669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45701" y="3175000"/>
          <a:ext cx="3371850" cy="594669"/>
        </a:xfrm>
        <a:prstGeom prst="rect">
          <a:avLst/>
        </a:prstGeom>
      </xdr:spPr>
    </xdr:pic>
    <xdr:clientData/>
  </xdr:twoCellAnchor>
  <xdr:oneCellAnchor>
    <xdr:from>
      <xdr:col>9</xdr:col>
      <xdr:colOff>600075</xdr:colOff>
      <xdr:row>24</xdr:row>
      <xdr:rowOff>50800</xdr:rowOff>
    </xdr:from>
    <xdr:ext cx="4526945" cy="63831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 txBox="1"/>
          </xdr:nvSpPr>
          <xdr:spPr>
            <a:xfrm>
              <a:off x="10055225" y="4965700"/>
              <a:ext cx="4526945" cy="638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2000" b="0" i="1">
                        <a:latin typeface="Cambria Math" panose="02040503050406030204" pitchFamily="18" charset="0"/>
                      </a:rPr>
                      <m:t>𝑅𝑑</m:t>
                    </m:r>
                    <m:r>
                      <a:rPr lang="en-US" sz="2000" b="0" i="1">
                        <a:latin typeface="Cambria Math" panose="02040503050406030204" pitchFamily="18" charset="0"/>
                      </a:rPr>
                      <m:t>= </m:t>
                    </m:r>
                    <m:f>
                      <m:fPr>
                        <m:ctrlPr>
                          <a:rPr lang="en-US" sz="20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𝑇𝑜𝑡𝑎𝑙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𝑑𝑒𝑏𝑡</m:t>
                        </m:r>
                      </m:num>
                      <m:den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𝐼𝑛𝑡𝑒𝑟𝑒𝑠𝑡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𝐸𝑥𝑝𝑒𝑛𝑠𝑒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𝑁𝑜𝑛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2000" b="0" i="1">
                            <a:latin typeface="Cambria Math" panose="02040503050406030204" pitchFamily="18" charset="0"/>
                          </a:rPr>
                          <m:t>𝑂𝑝𝑒𝑟𝑎𝑡𝑖𝑛𝑔</m:t>
                        </m:r>
                      </m:den>
                    </m:f>
                  </m:oMath>
                </m:oMathPara>
              </a14:m>
              <a:endParaRPr lang="en-US" sz="2000"/>
            </a:p>
          </xdr:txBody>
        </xdr:sp>
      </mc:Choice>
      <mc:Fallback xmlns="">
        <xdr:sp macro="" textlink="">
          <xdr:nvSpPr>
            <xdr:cNvPr id="5" name="TextBox 4"/>
            <xdr:cNvSpPr txBox="1"/>
          </xdr:nvSpPr>
          <xdr:spPr>
            <a:xfrm>
              <a:off x="10055225" y="4965700"/>
              <a:ext cx="4526945" cy="6383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2000" b="0" i="0">
                  <a:latin typeface="Cambria Math" panose="02040503050406030204" pitchFamily="18" charset="0"/>
                </a:rPr>
                <a:t>𝑅𝑑=  (𝑇𝑜𝑡𝑎𝑙 𝑑𝑒𝑏𝑡)/(𝐼𝑛𝑡𝑒𝑟𝑒𝑠𝑡 𝐸𝑥𝑝𝑒𝑛𝑠𝑒 𝑁𝑜𝑛 𝑂𝑝𝑒𝑟𝑎𝑡𝑖𝑛𝑔)</a:t>
              </a:r>
              <a:endParaRPr lang="en-US" sz="20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882650</xdr:colOff>
      <xdr:row>32</xdr:row>
      <xdr:rowOff>19824</xdr:rowOff>
    </xdr:from>
    <xdr:to>
      <xdr:col>27</xdr:col>
      <xdr:colOff>107950</xdr:colOff>
      <xdr:row>47</xdr:row>
      <xdr:rowOff>243839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76400" y="7849374"/>
          <a:ext cx="8864600" cy="3037065"/>
        </a:xfrm>
        <a:prstGeom prst="rect">
          <a:avLst/>
        </a:prstGeom>
      </xdr:spPr>
    </xdr:pic>
    <xdr:clientData/>
  </xdr:twoCellAnchor>
  <xdr:twoCellAnchor editAs="oneCell">
    <xdr:from>
      <xdr:col>12</xdr:col>
      <xdr:colOff>900945</xdr:colOff>
      <xdr:row>14</xdr:row>
      <xdr:rowOff>82550</xdr:rowOff>
    </xdr:from>
    <xdr:to>
      <xdr:col>27</xdr:col>
      <xdr:colOff>100558</xdr:colOff>
      <xdr:row>37</xdr:row>
      <xdr:rowOff>14307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4695" y="3365500"/>
          <a:ext cx="8838913" cy="43482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1</xdr:row>
      <xdr:rowOff>158750</xdr:rowOff>
    </xdr:from>
    <xdr:to>
      <xdr:col>7</xdr:col>
      <xdr:colOff>361949</xdr:colOff>
      <xdr:row>9</xdr:row>
      <xdr:rowOff>181709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0" y="342900"/>
          <a:ext cx="5492749" cy="149615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fred.stlouisfed.org/series/BAMLC0A2CAAEY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V47"/>
  <sheetViews>
    <sheetView showGridLines="0" topLeftCell="A10" zoomScale="75" workbookViewId="0">
      <selection activeCell="H36" sqref="H36"/>
    </sheetView>
  </sheetViews>
  <sheetFormatPr defaultRowHeight="14.5"/>
  <cols>
    <col min="2" max="2" width="16.90625" bestFit="1" customWidth="1"/>
    <col min="3" max="3" width="31.453125" bestFit="1" customWidth="1"/>
    <col min="4" max="4" width="7.08984375" customWidth="1"/>
    <col min="5" max="5" width="22.1796875" bestFit="1" customWidth="1"/>
    <col min="6" max="6" width="19.54296875" customWidth="1"/>
    <col min="20" max="20" width="7.453125" bestFit="1" customWidth="1"/>
  </cols>
  <sheetData>
    <row r="2" spans="2:22" ht="15" thickBot="1"/>
    <row r="3" spans="2:22">
      <c r="B3" s="139" t="s">
        <v>159</v>
      </c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1"/>
    </row>
    <row r="4" spans="2:22">
      <c r="B4" s="142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4"/>
    </row>
    <row r="5" spans="2:22">
      <c r="B5" s="142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4"/>
    </row>
    <row r="6" spans="2:22" ht="15" thickBot="1">
      <c r="B6" s="145"/>
      <c r="C6" s="146"/>
      <c r="D6" s="146"/>
      <c r="E6" s="146"/>
      <c r="F6" s="146"/>
      <c r="G6" s="146"/>
      <c r="H6" s="146"/>
      <c r="I6" s="146"/>
      <c r="J6" s="146"/>
      <c r="K6" s="146"/>
      <c r="L6" s="146"/>
      <c r="M6" s="146"/>
      <c r="N6" s="146"/>
      <c r="O6" s="146"/>
      <c r="P6" s="147"/>
    </row>
    <row r="8" spans="2:22" ht="13.5" customHeight="1"/>
    <row r="10" spans="2:22" ht="17.5" thickBot="1">
      <c r="B10" s="2" t="s">
        <v>86</v>
      </c>
      <c r="C10" s="2" t="s">
        <v>66</v>
      </c>
      <c r="D10" s="2"/>
      <c r="E10" s="2" t="s">
        <v>67</v>
      </c>
      <c r="F10" s="2" t="s">
        <v>95</v>
      </c>
      <c r="G10" s="2">
        <v>2013</v>
      </c>
      <c r="H10" s="2">
        <v>2014</v>
      </c>
      <c r="I10" s="2">
        <v>2015</v>
      </c>
      <c r="J10" s="2">
        <v>2016</v>
      </c>
      <c r="K10" s="2">
        <v>2017</v>
      </c>
      <c r="L10" s="2">
        <v>2018</v>
      </c>
      <c r="M10" s="2">
        <v>2019</v>
      </c>
      <c r="N10" s="2">
        <v>2020</v>
      </c>
      <c r="O10" s="2">
        <v>2021</v>
      </c>
      <c r="P10" s="2">
        <v>2022</v>
      </c>
    </row>
    <row r="11" spans="2:22" ht="19" thickTop="1">
      <c r="B11" s="148" t="s">
        <v>87</v>
      </c>
      <c r="C11" s="35"/>
      <c r="D11" s="35"/>
      <c r="E11" s="45"/>
      <c r="F11" s="45"/>
      <c r="G11" s="39"/>
      <c r="H11" s="39"/>
      <c r="I11" s="39"/>
      <c r="J11" s="39"/>
      <c r="K11" s="39"/>
      <c r="L11" s="39"/>
      <c r="M11" s="39"/>
      <c r="N11" s="39"/>
      <c r="O11" s="39"/>
      <c r="P11" s="39"/>
      <c r="T11" s="54" t="s">
        <v>99</v>
      </c>
      <c r="U11" s="55" t="s">
        <v>97</v>
      </c>
      <c r="V11" s="56" t="s">
        <v>98</v>
      </c>
    </row>
    <row r="12" spans="2:22" ht="18.5">
      <c r="B12" s="149"/>
      <c r="C12" s="35" t="s">
        <v>149</v>
      </c>
      <c r="D12" s="56" t="str">
        <f>V11</f>
        <v>L</v>
      </c>
      <c r="E12" s="45" t="s">
        <v>141</v>
      </c>
      <c r="F12" s="123">
        <f>AVERAGE(L12:P12)</f>
        <v>4.4151443855959869</v>
      </c>
      <c r="G12" s="119">
        <f>Financials!D76</f>
        <v>15.620696828259453</v>
      </c>
      <c r="H12" s="119">
        <f>Financials!E76</f>
        <v>12.966718974736175</v>
      </c>
      <c r="I12" s="119">
        <f>Financials!F76</f>
        <v>13.612560972493087</v>
      </c>
      <c r="J12" s="119">
        <f>Financials!G76</f>
        <v>11.686320499632107</v>
      </c>
      <c r="K12" s="119">
        <f>Financials!H76</f>
        <v>26.611975520933605</v>
      </c>
      <c r="L12" s="119">
        <f>Financials!I76</f>
        <v>4.1218519396777387</v>
      </c>
      <c r="M12" s="119">
        <f>Financials!J76</f>
        <v>4.0452470866590469</v>
      </c>
      <c r="N12" s="119">
        <f>Financials!K76</f>
        <v>4.6481238377856524</v>
      </c>
      <c r="O12" s="119">
        <f>Financials!L76</f>
        <v>4.9510425769941211</v>
      </c>
      <c r="P12" s="119">
        <f>Financials!M76</f>
        <v>4.3094564868633762</v>
      </c>
    </row>
    <row r="13" spans="2:22">
      <c r="B13" s="149"/>
      <c r="C13" s="35"/>
      <c r="D13" s="35"/>
      <c r="E13" s="45"/>
      <c r="F13" s="45"/>
      <c r="G13" s="119"/>
      <c r="H13" s="119"/>
      <c r="I13" s="119"/>
      <c r="J13" s="119"/>
      <c r="K13" s="119"/>
      <c r="L13" s="119"/>
      <c r="M13" s="119"/>
      <c r="N13" s="119"/>
      <c r="O13" s="119"/>
      <c r="P13" s="119"/>
    </row>
    <row r="14" spans="2:22" ht="18.5">
      <c r="B14" s="150"/>
      <c r="C14" s="35" t="s">
        <v>150</v>
      </c>
      <c r="D14" s="54" t="str">
        <f>T11</f>
        <v>J</v>
      </c>
      <c r="E14" s="46">
        <v>0.08</v>
      </c>
      <c r="F14" s="124">
        <f>AVERAGE(L14:P14)</f>
        <v>9.4138714659425045</v>
      </c>
      <c r="G14" s="40">
        <f>Financials!D77</f>
        <v>60.547946586150658</v>
      </c>
      <c r="H14" s="40">
        <f>Financials!E77</f>
        <v>58.359180061901696</v>
      </c>
      <c r="I14" s="40">
        <f>Financials!F77</f>
        <v>85.254218592804733</v>
      </c>
      <c r="J14" s="40">
        <f>Financials!G77</f>
        <v>55.293855095883593</v>
      </c>
      <c r="K14" s="40">
        <f>Financials!H77</f>
        <v>61.503287283558805</v>
      </c>
      <c r="L14" s="40">
        <f>Financials!I77</f>
        <v>9.182806099198336</v>
      </c>
      <c r="M14" s="40">
        <f>Financials!J77</f>
        <v>8.8902758156678274</v>
      </c>
      <c r="N14" s="40">
        <f>Financials!K77</f>
        <v>10.165998378576546</v>
      </c>
      <c r="O14" s="40">
        <f>Financials!L77</f>
        <v>10.090353007004017</v>
      </c>
      <c r="P14" s="40">
        <f>Financials!M77</f>
        <v>8.7399240292657954</v>
      </c>
      <c r="R14" s="44"/>
      <c r="S14" s="44"/>
      <c r="T14" s="44"/>
    </row>
    <row r="15" spans="2:22">
      <c r="B15" s="150"/>
      <c r="C15" s="35"/>
      <c r="D15" s="35"/>
      <c r="E15" s="45"/>
      <c r="F15" s="45"/>
      <c r="G15" s="40"/>
      <c r="H15" s="40"/>
      <c r="I15" s="40"/>
      <c r="J15" s="40"/>
      <c r="K15" s="40"/>
      <c r="L15" s="40"/>
      <c r="M15" s="40"/>
      <c r="N15" s="40"/>
      <c r="O15" s="40"/>
      <c r="P15" s="40"/>
      <c r="R15" s="44"/>
      <c r="S15" s="44"/>
      <c r="T15" s="44"/>
    </row>
    <row r="16" spans="2:22" ht="18.5">
      <c r="B16" s="150"/>
      <c r="C16" s="35" t="s">
        <v>151</v>
      </c>
      <c r="D16" s="54" t="str">
        <f>T11</f>
        <v>J</v>
      </c>
      <c r="E16" s="47">
        <f>WACC!$C$25</f>
        <v>4.1486673821312575E-2</v>
      </c>
      <c r="F16" s="124">
        <f>AVERAGE(L16:P16)</f>
        <v>6.8339999198913572</v>
      </c>
      <c r="G16" s="40">
        <f>Financials!D78</f>
        <v>23.569999694824219</v>
      </c>
      <c r="H16" s="40">
        <f>Financials!E78</f>
        <v>19.290000915527344</v>
      </c>
      <c r="I16" s="40">
        <f>Financials!F78</f>
        <v>23.629999160766602</v>
      </c>
      <c r="J16" s="40">
        <f>Financials!G78</f>
        <v>20.629999160766602</v>
      </c>
      <c r="K16" s="40">
        <f>Financials!H78</f>
        <v>55.639999389648438</v>
      </c>
      <c r="L16" s="40">
        <f>Financials!I78</f>
        <v>6.4499998092651367</v>
      </c>
      <c r="M16" s="40">
        <f>Financials!J78</f>
        <v>6.2699999809265137</v>
      </c>
      <c r="N16" s="40">
        <f>Financials!K78</f>
        <v>7.1399998664855957</v>
      </c>
      <c r="O16" s="40">
        <f>Financials!L78</f>
        <v>7.4099998474121094</v>
      </c>
      <c r="P16" s="40">
        <f>Financials!M78</f>
        <v>6.9000000953674316</v>
      </c>
      <c r="R16" s="44"/>
      <c r="S16" s="44"/>
      <c r="T16" s="44"/>
    </row>
    <row r="17" spans="2:20">
      <c r="B17" s="151" t="s">
        <v>63</v>
      </c>
      <c r="C17" s="36"/>
      <c r="D17" s="36"/>
      <c r="E17" s="48"/>
      <c r="F17" s="48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4"/>
      <c r="R17" s="44"/>
      <c r="S17" s="44"/>
      <c r="T17" s="44"/>
    </row>
    <row r="18" spans="2:20" ht="18.5">
      <c r="B18" s="152"/>
      <c r="C18" s="36" t="s">
        <v>152</v>
      </c>
      <c r="D18" s="56" t="str">
        <f>V11</f>
        <v>L</v>
      </c>
      <c r="E18" s="48" t="s">
        <v>68</v>
      </c>
      <c r="F18" s="125">
        <f>AVERAGE(L18:P18)</f>
        <v>0.8136860501387202</v>
      </c>
      <c r="G18" s="42">
        <f>Financials!D59</f>
        <v>1.1282595421360779</v>
      </c>
      <c r="H18" s="42">
        <f>Financials!E59</f>
        <v>1.0413958831901979</v>
      </c>
      <c r="I18" s="42">
        <f>Financials!F59</f>
        <v>1.0897186300925101</v>
      </c>
      <c r="J18" s="42">
        <f>Financials!G59</f>
        <v>1.0424253967844941</v>
      </c>
      <c r="K18" s="42">
        <f>Financials!H59</f>
        <v>0.89848163470005515</v>
      </c>
      <c r="L18" s="42">
        <f>Financials!I59</f>
        <v>0.77500137550645076</v>
      </c>
      <c r="M18" s="42">
        <f>Financials!J59</f>
        <v>0.70520103826062908</v>
      </c>
      <c r="N18" s="42">
        <f>Financials!K59</f>
        <v>0.87944200500031444</v>
      </c>
      <c r="O18" s="42">
        <f>Financials!L59</f>
        <v>0.84568186019535085</v>
      </c>
      <c r="P18" s="42">
        <f>Financials!M59</f>
        <v>0.86310397173085618</v>
      </c>
      <c r="Q18" s="44"/>
      <c r="R18" s="44"/>
      <c r="S18" s="44"/>
      <c r="T18" s="44"/>
    </row>
    <row r="19" spans="2:20">
      <c r="B19" s="152"/>
      <c r="C19" s="36"/>
      <c r="D19" s="36"/>
      <c r="E19" s="48"/>
      <c r="F19" s="48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4"/>
      <c r="R19" s="44"/>
      <c r="S19" s="44"/>
      <c r="T19" s="44"/>
    </row>
    <row r="20" spans="2:20" ht="18.5">
      <c r="B20" s="152"/>
      <c r="C20" s="36" t="s">
        <v>156</v>
      </c>
      <c r="D20" s="55" t="str">
        <f>U11</f>
        <v>K</v>
      </c>
      <c r="E20" s="49" t="s">
        <v>137</v>
      </c>
      <c r="F20" s="125">
        <f>AVERAGE(L20:P20)</f>
        <v>1.1357537809052443</v>
      </c>
      <c r="G20" s="42">
        <f>Financials!D58</f>
        <v>2.8761360809853995</v>
      </c>
      <c r="H20" s="42">
        <f>Financials!E58</f>
        <v>3.5006898179567507</v>
      </c>
      <c r="I20" s="42">
        <f>Financials!F58</f>
        <v>5.2629081158995721</v>
      </c>
      <c r="J20" s="42">
        <f>Financials!G58</f>
        <v>3.7315025373148272</v>
      </c>
      <c r="K20" s="42">
        <f>Financials!H58</f>
        <v>1.3111131766666055</v>
      </c>
      <c r="L20" s="42">
        <f>Financials!I58</f>
        <v>1.2278350201769452</v>
      </c>
      <c r="M20" s="42">
        <f>Financials!J58</f>
        <v>1.1977089718418832</v>
      </c>
      <c r="N20" s="42">
        <f>Financials!K58</f>
        <v>1.187118659777272</v>
      </c>
      <c r="O20" s="42">
        <f>Financials!L58</f>
        <v>1.0380259006235564</v>
      </c>
      <c r="P20" s="42">
        <f>Financials!M58</f>
        <v>1.0280803521065645</v>
      </c>
      <c r="Q20" s="44"/>
      <c r="R20" s="44"/>
      <c r="S20" s="44"/>
      <c r="T20" s="44"/>
    </row>
    <row r="21" spans="2:20">
      <c r="B21" s="132"/>
      <c r="C21" s="36"/>
      <c r="D21" s="137"/>
      <c r="E21" s="49"/>
      <c r="F21" s="125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4"/>
      <c r="R21" s="44"/>
      <c r="S21" s="44"/>
      <c r="T21" s="44"/>
    </row>
    <row r="22" spans="2:20" ht="18.5">
      <c r="B22" s="132"/>
      <c r="C22" s="36" t="s">
        <v>157</v>
      </c>
      <c r="D22" s="55" t="str">
        <f>U11</f>
        <v>K</v>
      </c>
      <c r="E22" s="49" t="s">
        <v>158</v>
      </c>
      <c r="F22" s="125">
        <f>AVERAGE(L22:P22)</f>
        <v>3.5397414418914463</v>
      </c>
      <c r="G22" s="42">
        <f>Financials!D60</f>
        <v>1.7202542026598153</v>
      </c>
      <c r="H22" s="42">
        <f>Financials!E60</f>
        <v>2.1189592762940594</v>
      </c>
      <c r="I22" s="42">
        <f>Financials!F60</f>
        <v>2.9701098928413945</v>
      </c>
      <c r="J22" s="42">
        <f>Financials!G60</f>
        <v>3.1334096607755959</v>
      </c>
      <c r="K22" s="42">
        <f>Financials!H60</f>
        <v>5.9673348342781507</v>
      </c>
      <c r="L22" s="42">
        <f>Financials!I60</f>
        <v>4.1816262897662773</v>
      </c>
      <c r="M22" s="42">
        <f>Financials!J60</f>
        <v>3.590806428987936</v>
      </c>
      <c r="N22" s="42">
        <f>Financials!K60</f>
        <v>3.4986852770355279</v>
      </c>
      <c r="O22" s="42">
        <f>Financials!L60</f>
        <v>3.1534929497639559</v>
      </c>
      <c r="P22" s="42">
        <f>Financials!M60</f>
        <v>3.274096263903536</v>
      </c>
      <c r="Q22" s="44"/>
      <c r="R22" s="44"/>
      <c r="S22" s="44"/>
      <c r="T22" s="44"/>
    </row>
    <row r="23" spans="2:20">
      <c r="B23" s="157" t="s">
        <v>94</v>
      </c>
      <c r="C23" s="35"/>
      <c r="D23" s="35"/>
      <c r="E23" s="50"/>
      <c r="F23" s="5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4"/>
      <c r="R23" s="44"/>
      <c r="S23" s="44"/>
      <c r="T23" s="44"/>
    </row>
    <row r="24" spans="2:20" ht="18.5">
      <c r="B24" s="157"/>
      <c r="C24" s="35" t="s">
        <v>142</v>
      </c>
      <c r="D24" s="56" t="str">
        <f>V11</f>
        <v>L</v>
      </c>
      <c r="E24" s="50" t="s">
        <v>69</v>
      </c>
      <c r="F24" s="50"/>
      <c r="G24" s="40">
        <f>Financials!D12</f>
        <v>1907.865966796875</v>
      </c>
      <c r="H24" s="40">
        <f>Financials!E12</f>
        <v>1869.748046875</v>
      </c>
      <c r="I24" s="40">
        <f>Financials!F12</f>
        <v>1863</v>
      </c>
      <c r="J24" s="40">
        <f>Financials!G12</f>
        <v>1865</v>
      </c>
      <c r="K24" s="40">
        <f>Financials!H12</f>
        <v>2051</v>
      </c>
      <c r="L24" s="40">
        <f>Financials!I12</f>
        <v>2292</v>
      </c>
      <c r="M24" s="40">
        <f>Financials!J12</f>
        <v>2291</v>
      </c>
      <c r="N24" s="40">
        <f>Financials!K12</f>
        <v>2295</v>
      </c>
      <c r="O24" s="40">
        <f>Financials!L12</f>
        <v>2297</v>
      </c>
      <c r="P24" s="40">
        <f>Financials!M12</f>
        <v>2267</v>
      </c>
      <c r="Q24" s="44"/>
      <c r="R24" s="44"/>
      <c r="S24" s="44"/>
      <c r="T24" s="44"/>
    </row>
    <row r="25" spans="2:20">
      <c r="B25" s="155" t="s">
        <v>93</v>
      </c>
      <c r="C25" s="36"/>
      <c r="D25" s="36"/>
      <c r="E25" s="51"/>
      <c r="F25" s="51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4"/>
      <c r="R25" s="44"/>
      <c r="S25" s="44"/>
      <c r="T25" s="44"/>
    </row>
    <row r="26" spans="2:20" ht="18.5">
      <c r="B26" s="156"/>
      <c r="C26" s="36" t="s">
        <v>96</v>
      </c>
      <c r="D26" s="54" t="str">
        <f>T11</f>
        <v>J</v>
      </c>
      <c r="E26" s="51" t="s">
        <v>160</v>
      </c>
      <c r="F26" s="57">
        <f>AVERAGEIF(L26:P26,"&lt;100")</f>
        <v>9.5540002584457397</v>
      </c>
      <c r="G26" s="44">
        <f>Financials!D81</f>
        <v>15.819999694824219</v>
      </c>
      <c r="H26" s="44">
        <f>Financials!E81</f>
        <v>18.079999923706055</v>
      </c>
      <c r="I26" s="44">
        <f>Financials!F81</f>
        <v>17.290000915527344</v>
      </c>
      <c r="J26" s="44">
        <f>Financials!G81</f>
        <v>19.799999237060547</v>
      </c>
      <c r="K26" s="44">
        <f>Financials!H81</f>
        <v>21.940000534057617</v>
      </c>
      <c r="L26" s="44">
        <f>Financials!I81</f>
        <v>1.3799999952316284</v>
      </c>
      <c r="M26" s="44">
        <f>Financials!J81</f>
        <v>12.060000419616699</v>
      </c>
      <c r="N26" s="44">
        <f>Financials!K81</f>
        <v>9.9300003051757813</v>
      </c>
      <c r="O26" s="44">
        <f>Financials!L81</f>
        <v>10.270000457763672</v>
      </c>
      <c r="P26" s="44">
        <f>Financials!M81</f>
        <v>14.130000114440918</v>
      </c>
      <c r="Q26" s="44"/>
      <c r="R26" s="44"/>
      <c r="S26" s="44"/>
      <c r="T26" s="44"/>
    </row>
    <row r="27" spans="2:20">
      <c r="B27" s="156"/>
      <c r="C27" s="36"/>
      <c r="D27" s="36"/>
      <c r="E27" s="51"/>
      <c r="F27" s="57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</row>
    <row r="28" spans="2:20" ht="18.5">
      <c r="B28" s="156"/>
      <c r="C28" s="36" t="s">
        <v>104</v>
      </c>
      <c r="D28" s="54" t="str">
        <f>T11</f>
        <v>J</v>
      </c>
      <c r="E28" s="51" t="s">
        <v>161</v>
      </c>
      <c r="F28" s="57">
        <f>AVERAGEIF(L28:P28, "&lt;100")</f>
        <v>7.3620000839233395</v>
      </c>
      <c r="G28" s="44">
        <f>Financials!D82</f>
        <v>13.770000457763672</v>
      </c>
      <c r="H28" s="44">
        <f>Financials!E82</f>
        <v>15.229999542236328</v>
      </c>
      <c r="I28" s="44">
        <f>Financials!F82</f>
        <v>17.799999237060547</v>
      </c>
      <c r="J28" s="44">
        <f>Financials!G82</f>
        <v>19.340000152587891</v>
      </c>
      <c r="K28" s="44">
        <f>Financials!H82</f>
        <v>17.670000076293945</v>
      </c>
      <c r="L28" s="44">
        <f>Financials!I82</f>
        <v>7.5799999237060547</v>
      </c>
      <c r="M28" s="44">
        <f>Financials!J82</f>
        <v>8.5100002288818359</v>
      </c>
      <c r="N28" s="44">
        <f>Financials!K82</f>
        <v>6.190000057220459</v>
      </c>
      <c r="O28" s="44">
        <f>Financials!L82</f>
        <v>7.440000057220459</v>
      </c>
      <c r="P28" s="44">
        <f>Financials!M82</f>
        <v>7.0900001525878906</v>
      </c>
      <c r="Q28" s="44"/>
      <c r="R28" s="44"/>
      <c r="S28" s="44"/>
      <c r="T28" s="44"/>
    </row>
    <row r="29" spans="2:20">
      <c r="B29" s="156"/>
      <c r="C29" s="36"/>
      <c r="D29" s="36"/>
      <c r="E29" s="51"/>
      <c r="F29" s="51"/>
      <c r="G29" s="38"/>
      <c r="H29" s="38"/>
      <c r="I29" s="38"/>
      <c r="J29" s="38"/>
      <c r="K29" s="38"/>
      <c r="L29" s="38"/>
      <c r="M29" s="38"/>
      <c r="N29" s="38"/>
      <c r="O29" s="38"/>
      <c r="P29" s="38"/>
    </row>
    <row r="30" spans="2:20" ht="18.5">
      <c r="B30" s="156"/>
      <c r="C30" s="36" t="s">
        <v>71</v>
      </c>
      <c r="D30" s="56" t="str">
        <f>V11</f>
        <v>L</v>
      </c>
      <c r="E30" s="51" t="s">
        <v>70</v>
      </c>
      <c r="F30" s="127">
        <f>Financials!$C$83</f>
        <v>3.4500000476837158</v>
      </c>
      <c r="G30" s="38"/>
      <c r="H30" s="38"/>
      <c r="I30" s="38"/>
      <c r="J30" s="38"/>
      <c r="K30" s="38"/>
      <c r="L30" s="38"/>
      <c r="M30" s="38"/>
      <c r="N30" s="38"/>
      <c r="O30" s="38"/>
      <c r="P30" s="38"/>
    </row>
    <row r="31" spans="2:20">
      <c r="B31" s="153" t="s">
        <v>92</v>
      </c>
      <c r="C31" s="34"/>
      <c r="D31" s="34"/>
      <c r="E31" s="34"/>
      <c r="F31" s="34"/>
    </row>
    <row r="32" spans="2:20" ht="18.5">
      <c r="B32" s="153"/>
      <c r="C32" s="35" t="s">
        <v>76</v>
      </c>
      <c r="D32" s="56" t="str">
        <f>V11</f>
        <v>L</v>
      </c>
      <c r="E32" s="50" t="s">
        <v>77</v>
      </c>
      <c r="F32" s="52">
        <f>Financials!D63</f>
        <v>-8.4822770548845794E-3</v>
      </c>
    </row>
    <row r="33" spans="2:17" ht="18.5">
      <c r="B33" s="154"/>
      <c r="C33" s="35" t="s">
        <v>80</v>
      </c>
      <c r="D33" s="54" t="str">
        <f>T11</f>
        <v>J</v>
      </c>
      <c r="E33" s="50" t="s">
        <v>77</v>
      </c>
      <c r="F33" s="52">
        <f>Financials!D64</f>
        <v>6.8502360086984737E-2</v>
      </c>
    </row>
    <row r="34" spans="2:17">
      <c r="B34" s="154"/>
      <c r="C34" s="35"/>
      <c r="D34" s="35"/>
      <c r="E34" s="50"/>
      <c r="F34" s="52"/>
    </row>
    <row r="35" spans="2:17" ht="18.5">
      <c r="B35" s="154"/>
      <c r="C35" s="35" t="s">
        <v>90</v>
      </c>
      <c r="D35" s="54" t="str">
        <f>T11</f>
        <v>J</v>
      </c>
      <c r="E35" s="50" t="s">
        <v>77</v>
      </c>
      <c r="F35" s="52">
        <f>Financials!D69</f>
        <v>1.150839432360562E-2</v>
      </c>
    </row>
    <row r="36" spans="2:17" ht="18.5">
      <c r="B36" s="154"/>
      <c r="C36" s="35" t="s">
        <v>91</v>
      </c>
      <c r="D36" s="54" t="str">
        <f>T11</f>
        <v>J</v>
      </c>
      <c r="E36" s="50" t="s">
        <v>77</v>
      </c>
      <c r="F36" s="52">
        <f>Financials!D70</f>
        <v>0.10605941637184735</v>
      </c>
    </row>
    <row r="37" spans="2:17">
      <c r="B37" s="154"/>
      <c r="C37" s="35"/>
      <c r="D37" s="35"/>
      <c r="E37" s="50"/>
      <c r="F37" s="53"/>
      <c r="Q37" s="37"/>
    </row>
    <row r="38" spans="2:17" ht="18.5">
      <c r="B38" s="154"/>
      <c r="C38" s="35" t="s">
        <v>78</v>
      </c>
      <c r="D38" s="54" t="str">
        <f>T11</f>
        <v>J</v>
      </c>
      <c r="E38" s="50" t="s">
        <v>77</v>
      </c>
      <c r="F38" s="52">
        <f>Financials!D65</f>
        <v>3.2834039436966389E-3</v>
      </c>
    </row>
    <row r="39" spans="2:17" ht="18.5">
      <c r="B39" s="154"/>
      <c r="C39" s="35" t="s">
        <v>81</v>
      </c>
      <c r="D39" s="54" t="str">
        <f>T11</f>
        <v>J</v>
      </c>
      <c r="E39" s="50" t="s">
        <v>77</v>
      </c>
      <c r="F39" s="52">
        <f>Financials!D66</f>
        <v>2.2207668016311244E-2</v>
      </c>
    </row>
    <row r="40" spans="2:17">
      <c r="B40" s="154"/>
      <c r="C40" s="35"/>
      <c r="D40" s="35"/>
      <c r="E40" s="50"/>
      <c r="F40" s="53"/>
    </row>
    <row r="41" spans="2:17" ht="18.5">
      <c r="B41" s="154"/>
      <c r="C41" s="35" t="s">
        <v>79</v>
      </c>
      <c r="D41" s="54" t="str">
        <f>T11</f>
        <v>J</v>
      </c>
      <c r="E41" s="50" t="s">
        <v>77</v>
      </c>
      <c r="F41" s="52">
        <f>Financials!D67</f>
        <v>9.0985061897617125E-3</v>
      </c>
    </row>
    <row r="42" spans="2:17" ht="18.5">
      <c r="B42" s="154"/>
      <c r="C42" s="35" t="s">
        <v>82</v>
      </c>
      <c r="D42" s="54" t="str">
        <f>T11</f>
        <v>J</v>
      </c>
      <c r="E42" s="50" t="s">
        <v>77</v>
      </c>
      <c r="F42" s="52">
        <f>Financials!D68</f>
        <v>3.6595936390676931E-2</v>
      </c>
    </row>
    <row r="43" spans="2:17">
      <c r="B43" s="138" t="s">
        <v>61</v>
      </c>
    </row>
    <row r="44" spans="2:17" ht="18.5">
      <c r="B44" s="138"/>
      <c r="C44" s="100" t="s">
        <v>128</v>
      </c>
      <c r="D44" s="55" t="str">
        <f>U11</f>
        <v>K</v>
      </c>
      <c r="E44" s="101">
        <v>0.75</v>
      </c>
      <c r="F44" s="103">
        <f>Financials!$D$73</f>
        <v>0.5242881537111308</v>
      </c>
    </row>
    <row r="45" spans="2:17" ht="18.5">
      <c r="B45" s="138"/>
      <c r="C45" s="100" t="s">
        <v>133</v>
      </c>
      <c r="D45" s="54" t="str">
        <f>T11</f>
        <v>J</v>
      </c>
      <c r="E45" s="101" t="s">
        <v>134</v>
      </c>
      <c r="F45" s="103">
        <f>Financials!D71</f>
        <v>9.2723723024747962E-3</v>
      </c>
    </row>
    <row r="46" spans="2:17" ht="18.5">
      <c r="B46" s="138"/>
      <c r="C46" s="100" t="s">
        <v>130</v>
      </c>
      <c r="D46" s="54" t="str">
        <f>T11</f>
        <v>J</v>
      </c>
      <c r="E46" s="18" t="s">
        <v>77</v>
      </c>
      <c r="F46" s="103">
        <f>Financials!D72</f>
        <v>6.7479076671869739E-2</v>
      </c>
    </row>
    <row r="47" spans="2:17" ht="18.5">
      <c r="B47" s="138"/>
      <c r="C47" s="100" t="s">
        <v>129</v>
      </c>
      <c r="D47" s="56" t="str">
        <f>V11</f>
        <v>L</v>
      </c>
      <c r="E47" s="101">
        <v>0.12</v>
      </c>
      <c r="F47" s="102">
        <f>F45+F46</f>
        <v>7.6751448974344536E-2</v>
      </c>
    </row>
  </sheetData>
  <mergeCells count="7">
    <mergeCell ref="B43:B47"/>
    <mergeCell ref="B3:P6"/>
    <mergeCell ref="B11:B16"/>
    <mergeCell ref="B17:B20"/>
    <mergeCell ref="B31:B42"/>
    <mergeCell ref="B25:B30"/>
    <mergeCell ref="B23:B2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B62" zoomScale="78" zoomScaleNormal="100" workbookViewId="0">
      <selection activeCell="T129" sqref="T129"/>
    </sheetView>
  </sheetViews>
  <sheetFormatPr defaultRowHeight="14.5"/>
  <cols>
    <col min="2" max="2" width="10.1796875" bestFit="1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P27"/>
  <sheetViews>
    <sheetView showGridLines="0" workbookViewId="0">
      <selection activeCell="C25" sqref="C25"/>
    </sheetView>
  </sheetViews>
  <sheetFormatPr defaultRowHeight="14.5"/>
  <cols>
    <col min="2" max="2" width="61.453125" bestFit="1" customWidth="1"/>
    <col min="3" max="3" width="32.6328125" bestFit="1" customWidth="1"/>
    <col min="4" max="4" width="9.81640625" bestFit="1" customWidth="1"/>
  </cols>
  <sheetData>
    <row r="2" spans="2:16" ht="20" thickBot="1">
      <c r="B2" s="8" t="s">
        <v>1</v>
      </c>
      <c r="C2" s="8"/>
    </row>
    <row r="3" spans="2:16" ht="15" thickTop="1">
      <c r="B3" s="6"/>
      <c r="C3" s="6"/>
      <c r="D3" s="6"/>
      <c r="E3" s="6"/>
      <c r="F3" s="6"/>
      <c r="G3" s="6"/>
      <c r="H3" s="6"/>
    </row>
    <row r="4" spans="2:16" ht="15" thickBot="1">
      <c r="B4" s="1" t="s">
        <v>14</v>
      </c>
      <c r="C4" s="1"/>
      <c r="D4" s="6"/>
      <c r="E4" s="6"/>
      <c r="F4" s="6"/>
      <c r="G4" s="6"/>
      <c r="H4" s="6"/>
      <c r="P4" t="s">
        <v>2</v>
      </c>
    </row>
    <row r="5" spans="2:16">
      <c r="B5" s="7" t="s">
        <v>8</v>
      </c>
      <c r="C5" s="58">
        <v>79.199996948242188</v>
      </c>
    </row>
    <row r="6" spans="2:16">
      <c r="B6" s="4" t="s">
        <v>5</v>
      </c>
      <c r="C6" s="59">
        <v>17853000</v>
      </c>
    </row>
    <row r="7" spans="2:16">
      <c r="B7" s="4" t="s">
        <v>4</v>
      </c>
      <c r="C7" s="59">
        <v>59983000</v>
      </c>
    </row>
    <row r="8" spans="2:16">
      <c r="B8" s="4" t="s">
        <v>3</v>
      </c>
      <c r="C8" s="59">
        <v>1663000</v>
      </c>
    </row>
    <row r="9" spans="2:16">
      <c r="B9" s="10" t="s">
        <v>6</v>
      </c>
      <c r="C9" s="59">
        <v>2478000</v>
      </c>
    </row>
    <row r="10" spans="2:16">
      <c r="B10" s="10" t="s">
        <v>7</v>
      </c>
      <c r="C10" s="59">
        <v>9324000</v>
      </c>
    </row>
    <row r="11" spans="2:16">
      <c r="B11" s="10" t="s">
        <v>9</v>
      </c>
      <c r="C11" s="60">
        <v>0.33000001311302185</v>
      </c>
      <c r="G11" s="33"/>
    </row>
    <row r="13" spans="2:16" ht="15" thickBot="1">
      <c r="B13" s="1" t="s">
        <v>15</v>
      </c>
      <c r="C13" s="1"/>
    </row>
    <row r="14" spans="2:16">
      <c r="B14" s="10" t="s">
        <v>16</v>
      </c>
      <c r="C14" s="13">
        <v>3.3000000000000002E-2</v>
      </c>
    </row>
    <row r="15" spans="2:16">
      <c r="B15" s="10" t="s">
        <v>13</v>
      </c>
      <c r="C15" s="14">
        <v>0.12</v>
      </c>
      <c r="K15" t="s">
        <v>10</v>
      </c>
    </row>
    <row r="17" spans="2:15" ht="17.5" thickBot="1">
      <c r="B17" s="2" t="s">
        <v>21</v>
      </c>
      <c r="C17" s="11">
        <f>SUM(C6:C7)</f>
        <v>77836000</v>
      </c>
    </row>
    <row r="18" spans="2:15" ht="18" thickTop="1" thickBot="1">
      <c r="B18" s="2" t="s">
        <v>20</v>
      </c>
      <c r="C18" s="12">
        <f>C8/C17</f>
        <v>2.1365435017215686E-2</v>
      </c>
    </row>
    <row r="19" spans="2:15" ht="18" thickTop="1" thickBot="1">
      <c r="B19" s="2" t="s">
        <v>19</v>
      </c>
      <c r="C19" s="12">
        <f>C14+C11*(C15-C14)</f>
        <v>6.1710001140832915E-2</v>
      </c>
    </row>
    <row r="20" spans="2:15" ht="18" thickTop="1" thickBot="1">
      <c r="B20" s="2" t="s">
        <v>18</v>
      </c>
      <c r="C20" s="12">
        <f>C8/C17</f>
        <v>2.1365435017215686E-2</v>
      </c>
      <c r="K20" t="s">
        <v>17</v>
      </c>
    </row>
    <row r="21" spans="2:15" ht="18" thickTop="1" thickBot="1">
      <c r="B21" s="16" t="s">
        <v>22</v>
      </c>
      <c r="C21" s="11">
        <f>C17+C5*1000000</f>
        <v>157035996.94824219</v>
      </c>
      <c r="K21" t="s">
        <v>11</v>
      </c>
    </row>
    <row r="22" spans="2:15" ht="18" thickTop="1" thickBot="1">
      <c r="B22" s="2" t="s">
        <v>23</v>
      </c>
      <c r="C22" s="12">
        <f>C5*1000000/C21</f>
        <v>0.50434294357583487</v>
      </c>
      <c r="K22" t="s">
        <v>12</v>
      </c>
    </row>
    <row r="23" spans="2:15" ht="18" thickTop="1" thickBot="1">
      <c r="B23" s="16" t="s">
        <v>24</v>
      </c>
      <c r="C23" s="12">
        <f>C17/C21</f>
        <v>0.49565705642416635</v>
      </c>
    </row>
    <row r="24" spans="2:15" ht="14.5" customHeight="1" thickTop="1">
      <c r="K24" s="15"/>
      <c r="L24" s="15"/>
      <c r="M24" s="15"/>
      <c r="N24" s="15"/>
      <c r="O24" s="15"/>
    </row>
    <row r="25" spans="2:15" ht="18" customHeight="1" thickBot="1">
      <c r="B25" s="3" t="s">
        <v>0</v>
      </c>
      <c r="C25" s="17">
        <f>C23*C20*(1-C18)+C22*C19</f>
        <v>4.1486673821312575E-2</v>
      </c>
      <c r="K25" s="15"/>
      <c r="L25" s="15"/>
      <c r="M25" s="15"/>
      <c r="N25" s="15"/>
      <c r="O25" s="15"/>
    </row>
    <row r="26" spans="2:15" ht="14.5" customHeight="1" thickTop="1">
      <c r="K26" s="15"/>
      <c r="L26" s="15"/>
      <c r="M26" s="15"/>
      <c r="N26" s="15"/>
      <c r="O26" s="15"/>
    </row>
    <row r="27" spans="2:15" ht="14.5" customHeight="1">
      <c r="K27" s="15"/>
      <c r="L27" s="15"/>
      <c r="M27" s="15"/>
      <c r="N27" s="15"/>
      <c r="O27" s="1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L74"/>
  <sheetViews>
    <sheetView showGridLines="0" tabSelected="1" zoomScale="82" workbookViewId="0">
      <selection activeCell="C27" sqref="C27"/>
    </sheetView>
  </sheetViews>
  <sheetFormatPr defaultRowHeight="14.5"/>
  <cols>
    <col min="2" max="2" width="62.26953125" bestFit="1" customWidth="1"/>
    <col min="3" max="3" width="21.90625" bestFit="1" customWidth="1"/>
    <col min="4" max="5" width="11.81640625" bestFit="1" customWidth="1"/>
    <col min="6" max="6" width="12.1796875" bestFit="1" customWidth="1"/>
    <col min="7" max="7" width="10.81640625" bestFit="1" customWidth="1"/>
    <col min="8" max="8" width="11.453125" bestFit="1" customWidth="1"/>
    <col min="9" max="12" width="10.54296875" bestFit="1" customWidth="1"/>
    <col min="13" max="13" width="15.81640625" bestFit="1" customWidth="1"/>
  </cols>
  <sheetData>
    <row r="3" spans="2:12" ht="20" thickBot="1">
      <c r="B3" s="19" t="s">
        <v>33</v>
      </c>
      <c r="C3" s="19"/>
    </row>
    <row r="4" spans="2:12" ht="15" thickTop="1">
      <c r="B4" s="18" t="s">
        <v>0</v>
      </c>
      <c r="C4" s="20">
        <f>WACC!C25</f>
        <v>4.1486673821312575E-2</v>
      </c>
    </row>
    <row r="5" spans="2:12">
      <c r="B5" s="18" t="s">
        <v>25</v>
      </c>
      <c r="C5" s="20">
        <v>2.5000000000000001E-2</v>
      </c>
    </row>
    <row r="6" spans="2:12">
      <c r="B6" s="18" t="s">
        <v>36</v>
      </c>
      <c r="C6" s="65">
        <v>4.999999888241291E-3</v>
      </c>
    </row>
    <row r="7" spans="2:12">
      <c r="B7" s="18" t="s">
        <v>31</v>
      </c>
      <c r="C7" s="13">
        <f>AVERAGEIF(C28:L28, "&lt;0.5")</f>
        <v>0.26439686745224578</v>
      </c>
    </row>
    <row r="8" spans="2:12">
      <c r="B8" s="18" t="s">
        <v>112</v>
      </c>
      <c r="C8" s="13">
        <f>AVERAGEIF(C29:L29,"&lt;1.5")</f>
        <v>1.0795623403263233</v>
      </c>
    </row>
    <row r="9" spans="2:12">
      <c r="B9" s="18" t="s">
        <v>136</v>
      </c>
      <c r="C9" s="66">
        <v>8.6499996185302734</v>
      </c>
    </row>
    <row r="10" spans="2:12">
      <c r="B10" s="18" t="s">
        <v>100</v>
      </c>
      <c r="C10" s="67">
        <v>5.000000074505806E-2</v>
      </c>
    </row>
    <row r="11" spans="2:12">
      <c r="B11" s="18" t="s">
        <v>44</v>
      </c>
      <c r="C11" s="59">
        <v>2267000064</v>
      </c>
    </row>
    <row r="12" spans="2:12">
      <c r="B12" s="18"/>
    </row>
    <row r="13" spans="2:12" ht="20" thickBot="1">
      <c r="B13" s="3" t="s">
        <v>34</v>
      </c>
      <c r="C13" s="3"/>
    </row>
    <row r="14" spans="2:12" ht="15" thickTop="1"/>
    <row r="15" spans="2:12" ht="17.5" thickBot="1">
      <c r="B15" s="2"/>
      <c r="C15" s="2">
        <v>2013</v>
      </c>
      <c r="D15" s="2">
        <v>2014</v>
      </c>
      <c r="E15" s="2">
        <v>2015</v>
      </c>
      <c r="F15" s="2">
        <v>2016</v>
      </c>
      <c r="G15" s="2">
        <v>2017</v>
      </c>
      <c r="H15" s="2">
        <v>2018</v>
      </c>
      <c r="I15" s="2">
        <v>2019</v>
      </c>
      <c r="J15" s="2">
        <v>2020</v>
      </c>
      <c r="K15" s="2">
        <v>2021</v>
      </c>
      <c r="L15" s="2">
        <v>2022</v>
      </c>
    </row>
    <row r="16" spans="2:12" ht="15" thickTop="1">
      <c r="B16" s="18" t="s">
        <v>26</v>
      </c>
      <c r="C16" s="21">
        <f>Financials!D3</f>
        <v>23878.83984375</v>
      </c>
      <c r="D16" s="21">
        <f>Financials!E3</f>
        <v>23025.599609375</v>
      </c>
      <c r="E16" s="21">
        <f>Financials!F3</f>
        <v>20035.359375</v>
      </c>
      <c r="F16" s="21">
        <f>Financials!G3</f>
        <v>19992.029296875</v>
      </c>
      <c r="G16" s="21">
        <f>Financials!H3</f>
        <v>26152.330078125</v>
      </c>
      <c r="H16" s="21">
        <f>Financials!I3</f>
        <v>32691.919921875</v>
      </c>
      <c r="I16" s="21">
        <f>Financials!J3</f>
        <v>33042.33984375</v>
      </c>
      <c r="J16" s="21">
        <f>Financials!K3</f>
        <v>33096.37890625</v>
      </c>
      <c r="K16" s="21">
        <f>Financials!L3</f>
        <v>35318.0703125</v>
      </c>
      <c r="L16" s="21">
        <f>Financials!M3</f>
        <v>34206.46875</v>
      </c>
    </row>
    <row r="17" spans="2:12">
      <c r="B17" s="18" t="s">
        <v>27</v>
      </c>
      <c r="C17" s="22"/>
      <c r="D17" s="20">
        <f t="shared" ref="D17:L17" si="0">(D16-C16)/C16</f>
        <v>-3.573206403485827E-2</v>
      </c>
      <c r="E17" s="20">
        <f t="shared" si="0"/>
        <v>-0.12986590078451235</v>
      </c>
      <c r="F17" s="20">
        <f t="shared" si="0"/>
        <v>-2.1626803549661807E-3</v>
      </c>
      <c r="G17" s="20">
        <f t="shared" si="0"/>
        <v>0.30813784282583712</v>
      </c>
      <c r="H17" s="20">
        <f t="shared" si="0"/>
        <v>0.25005763632587413</v>
      </c>
      <c r="I17" s="20">
        <f t="shared" si="0"/>
        <v>1.0718854160673662E-2</v>
      </c>
      <c r="J17" s="20">
        <f t="shared" si="0"/>
        <v>1.6354490255695846E-3</v>
      </c>
      <c r="K17" s="20">
        <f t="shared" si="0"/>
        <v>6.7127929993285471E-2</v>
      </c>
      <c r="L17" s="20">
        <f t="shared" si="0"/>
        <v>-3.1474017483525275E-2</v>
      </c>
    </row>
    <row r="18" spans="2:12">
      <c r="B18" s="18"/>
      <c r="C18" s="22"/>
      <c r="D18" s="20"/>
      <c r="E18" s="20"/>
      <c r="F18" s="20"/>
      <c r="G18" s="20"/>
      <c r="H18" s="20"/>
      <c r="I18" s="20"/>
      <c r="J18" s="20"/>
      <c r="K18" s="20"/>
      <c r="L18" s="20"/>
    </row>
    <row r="19" spans="2:12">
      <c r="B19" s="18" t="s">
        <v>29</v>
      </c>
      <c r="C19" s="21">
        <f>Financials!D6</f>
        <v>6570.58984375</v>
      </c>
      <c r="D19" s="21">
        <f>Financials!E6</f>
        <v>5592</v>
      </c>
      <c r="E19" s="21">
        <f>Financials!F6</f>
        <v>6559.19482421875</v>
      </c>
      <c r="F19" s="21">
        <f>Financials!G6</f>
        <v>6299.43505859375</v>
      </c>
      <c r="G19" s="21">
        <f>Financials!H6</f>
        <v>48372.53125</v>
      </c>
      <c r="H19" s="21">
        <f>Financials!I6</f>
        <v>8051.51416015625</v>
      </c>
      <c r="I19" s="21">
        <f>Financials!J6</f>
        <v>7283.43798828125</v>
      </c>
      <c r="J19" s="21">
        <f>Financials!K6</f>
        <v>8217.599609375</v>
      </c>
      <c r="K19" s="21">
        <f>Financials!L6</f>
        <v>9352.0546875</v>
      </c>
      <c r="L19" s="21">
        <f>Financials!M6</f>
        <v>8184.56689453125</v>
      </c>
    </row>
    <row r="20" spans="2:12">
      <c r="B20" s="18" t="s">
        <v>27</v>
      </c>
      <c r="C20" s="22"/>
      <c r="D20" s="20">
        <f>(D19-C19)/C19</f>
        <v>-0.14893485471184034</v>
      </c>
      <c r="E20" s="20">
        <f t="shared" ref="E20:L20" si="1">(E19-D19)/D19</f>
        <v>0.17296044782166489</v>
      </c>
      <c r="F20" s="20">
        <f t="shared" si="1"/>
        <v>-3.9602386052916085E-2</v>
      </c>
      <c r="G20" s="20">
        <f t="shared" si="1"/>
        <v>6.6788681524718276</v>
      </c>
      <c r="H20" s="20">
        <f t="shared" si="1"/>
        <v>-0.83355193635528013</v>
      </c>
      <c r="I20" s="20">
        <f t="shared" si="1"/>
        <v>-9.539524573848536E-2</v>
      </c>
      <c r="J20" s="20">
        <f t="shared" si="1"/>
        <v>0.12825833385233421</v>
      </c>
      <c r="K20" s="20">
        <f t="shared" si="1"/>
        <v>0.13805188036063032</v>
      </c>
      <c r="L20" s="20">
        <f t="shared" si="1"/>
        <v>-0.12483757120552552</v>
      </c>
    </row>
    <row r="22" spans="2:12">
      <c r="B22" s="18" t="s">
        <v>30</v>
      </c>
      <c r="C22" s="25">
        <f>Financials!D20</f>
        <v>6313.97021484375</v>
      </c>
      <c r="D22" s="25">
        <f>Financials!E20</f>
        <v>5354.669921875</v>
      </c>
      <c r="E22" s="25">
        <f>Financials!F20</f>
        <v>6643.2900390625</v>
      </c>
      <c r="F22" s="25">
        <f>Financials!G20</f>
        <v>5579.77001953125</v>
      </c>
      <c r="G22" s="25">
        <f>Financials!H20</f>
        <v>5994.2099609375</v>
      </c>
      <c r="H22" s="25">
        <f>Financials!I20</f>
        <v>12780.7099609375</v>
      </c>
      <c r="I22" s="25">
        <f>Financials!J20</f>
        <v>10682.5400390625</v>
      </c>
      <c r="J22" s="25">
        <f>Financials!K20</f>
        <v>11965.599609375</v>
      </c>
      <c r="K22" s="25">
        <f>Financials!L20</f>
        <v>12679.7998046875</v>
      </c>
      <c r="L22" s="25">
        <f>Financials!M20</f>
        <v>12247.7802734375</v>
      </c>
    </row>
    <row r="23" spans="2:12">
      <c r="B23" s="18" t="s">
        <v>27</v>
      </c>
      <c r="C23" s="26"/>
      <c r="D23" s="26">
        <f>(D22-C22)/C22</f>
        <v>-0.15193297724362001</v>
      </c>
      <c r="E23" s="26">
        <f t="shared" ref="E23:L23" si="2">(E22-D22)/D22</f>
        <v>0.24065351104522884</v>
      </c>
      <c r="F23" s="26">
        <f t="shared" si="2"/>
        <v>-0.16008935531607976</v>
      </c>
      <c r="G23" s="26">
        <f t="shared" si="2"/>
        <v>7.4275452206015224E-2</v>
      </c>
      <c r="H23" s="26">
        <f t="shared" si="2"/>
        <v>1.1321758904385433</v>
      </c>
      <c r="I23" s="26">
        <f t="shared" si="2"/>
        <v>-0.16416693034172364</v>
      </c>
      <c r="J23" s="26">
        <f t="shared" si="2"/>
        <v>0.12010809841299704</v>
      </c>
      <c r="K23" s="26">
        <f t="shared" si="2"/>
        <v>5.9687789883335805E-2</v>
      </c>
      <c r="L23" s="26">
        <f t="shared" si="2"/>
        <v>-3.4071478880154715E-2</v>
      </c>
    </row>
    <row r="24" spans="2:12">
      <c r="B24" s="18"/>
      <c r="C24" s="26"/>
      <c r="D24" s="26"/>
      <c r="E24" s="26"/>
      <c r="F24" s="26"/>
      <c r="G24" s="26"/>
      <c r="H24" s="26"/>
      <c r="I24" s="26"/>
      <c r="J24" s="26"/>
      <c r="K24" s="26"/>
      <c r="L24" s="26"/>
    </row>
    <row r="25" spans="2:12">
      <c r="B25" s="18" t="s">
        <v>47</v>
      </c>
      <c r="C25" s="62">
        <f>Financials!D9</f>
        <v>8837.990234375</v>
      </c>
      <c r="D25" s="62">
        <f>Financials!E9</f>
        <v>7605.97900390625</v>
      </c>
      <c r="E25" s="62">
        <f>Financials!F9</f>
        <v>7621.81591796875</v>
      </c>
      <c r="F25" s="62">
        <f>Financials!G9</f>
        <v>7131.5888671875</v>
      </c>
      <c r="G25" s="62">
        <f>Financials!H9</f>
        <v>9508.767578125</v>
      </c>
      <c r="H25" s="62">
        <f>Financials!I9</f>
        <v>13816.509765625</v>
      </c>
      <c r="I25" s="62">
        <f>Financials!J9</f>
        <v>13443.2001953125</v>
      </c>
      <c r="J25" s="62">
        <f>Financials!K9</f>
        <v>14653.009765625</v>
      </c>
      <c r="K25" s="62">
        <f>Financials!L9</f>
        <v>15552.3798828125</v>
      </c>
      <c r="L25" s="62">
        <f>Financials!M9</f>
        <v>14630.0498046875</v>
      </c>
    </row>
    <row r="26" spans="2:12">
      <c r="B26" s="18" t="s">
        <v>27</v>
      </c>
      <c r="C26" s="63"/>
      <c r="D26" s="63">
        <f>Financials!E10</f>
        <v>-0.139399478591512</v>
      </c>
      <c r="E26" s="63">
        <f>Financials!F10</f>
        <v>2.0821664185986495E-3</v>
      </c>
      <c r="F26" s="63">
        <f>Financials!G10</f>
        <v>-6.4318930824020459E-2</v>
      </c>
      <c r="G26" s="63">
        <f>Financials!H10</f>
        <v>0.33333086850742605</v>
      </c>
      <c r="H26" s="63">
        <f>Financials!I10</f>
        <v>0.45302844475976017</v>
      </c>
      <c r="I26" s="63">
        <f>Financials!J10</f>
        <v>-2.7019093580441085E-2</v>
      </c>
      <c r="J26" s="63">
        <f>Financials!K10</f>
        <v>8.9994164539359281E-2</v>
      </c>
      <c r="K26" s="63">
        <f>Financials!L10</f>
        <v>6.1377841929605707E-2</v>
      </c>
      <c r="L26" s="63">
        <f>Financials!M10</f>
        <v>-5.9304754968356993E-2</v>
      </c>
    </row>
    <row r="28" spans="2:12" ht="15" thickBot="1">
      <c r="B28" s="1" t="s">
        <v>31</v>
      </c>
      <c r="C28" s="24">
        <f t="shared" ref="C28:L28" si="3">C19/C16</f>
        <v>0.27516369667640167</v>
      </c>
      <c r="D28" s="24">
        <f t="shared" si="3"/>
        <v>0.24286012502897802</v>
      </c>
      <c r="E28" s="24">
        <f t="shared" si="3"/>
        <v>0.32738094193624867</v>
      </c>
      <c r="F28" s="24">
        <f t="shared" si="3"/>
        <v>0.31509733029344994</v>
      </c>
      <c r="G28" s="24">
        <f t="shared" si="3"/>
        <v>1.8496451790527448</v>
      </c>
      <c r="H28" s="24">
        <f t="shared" si="3"/>
        <v>0.24628453083811624</v>
      </c>
      <c r="I28" s="24">
        <f t="shared" si="3"/>
        <v>0.22042742804302104</v>
      </c>
      <c r="J28" s="24">
        <f t="shared" si="3"/>
        <v>0.24829301213442323</v>
      </c>
      <c r="K28" s="24">
        <f t="shared" si="3"/>
        <v>0.26479517722093837</v>
      </c>
      <c r="L28" s="24">
        <f t="shared" si="3"/>
        <v>0.23926956489863485</v>
      </c>
    </row>
    <row r="29" spans="2:12" ht="15" thickBot="1">
      <c r="B29" s="1" t="s">
        <v>32</v>
      </c>
      <c r="C29" s="24">
        <f t="shared" ref="C29:L29" si="4">C22/C19</f>
        <v>0.96094420211750875</v>
      </c>
      <c r="D29" s="24">
        <f t="shared" si="4"/>
        <v>0.95755899890468521</v>
      </c>
      <c r="E29" s="24">
        <f t="shared" si="4"/>
        <v>1.0128209661547545</v>
      </c>
      <c r="F29" s="24">
        <f t="shared" si="4"/>
        <v>0.88575720959600557</v>
      </c>
      <c r="G29" s="24">
        <f t="shared" si="4"/>
        <v>0.12391764098426211</v>
      </c>
      <c r="H29" s="24">
        <f t="shared" si="4"/>
        <v>1.5873672587181382</v>
      </c>
      <c r="I29" s="24">
        <f t="shared" si="4"/>
        <v>1.4666892278413388</v>
      </c>
      <c r="J29" s="24">
        <f t="shared" si="4"/>
        <v>1.456094258440642</v>
      </c>
      <c r="K29" s="24">
        <f t="shared" si="4"/>
        <v>1.355830374007049</v>
      </c>
      <c r="L29" s="24">
        <f t="shared" si="4"/>
        <v>1.496448184890663</v>
      </c>
    </row>
    <row r="32" spans="2:12" ht="20" thickBot="1">
      <c r="B32" s="3" t="s">
        <v>35</v>
      </c>
      <c r="C32" s="3"/>
    </row>
    <row r="33" spans="2:12" ht="15" thickTop="1"/>
    <row r="35" spans="2:12" ht="17.5" thickBot="1">
      <c r="B35" s="2"/>
      <c r="C35" s="2">
        <v>2023</v>
      </c>
      <c r="D35" s="2">
        <v>2024</v>
      </c>
      <c r="E35" s="2">
        <v>2025</v>
      </c>
      <c r="F35" s="2">
        <v>2026</v>
      </c>
      <c r="G35" s="2">
        <v>2027</v>
      </c>
      <c r="H35" s="2">
        <v>2028</v>
      </c>
      <c r="I35" s="2">
        <v>2029</v>
      </c>
      <c r="J35" s="2">
        <v>2030</v>
      </c>
      <c r="K35" s="2">
        <v>2031</v>
      </c>
      <c r="L35" s="2">
        <v>2032</v>
      </c>
    </row>
    <row r="36" spans="2:12" ht="15" thickTop="1">
      <c r="B36" s="18" t="s">
        <v>26</v>
      </c>
      <c r="C36" s="21">
        <f>L16*(C37+1)</f>
        <v>36190.444007840815</v>
      </c>
      <c r="D36" s="21">
        <f>C36*(D37+1)</f>
        <v>37453.490447845084</v>
      </c>
      <c r="E36" s="21">
        <f>D36*(E37+1)</f>
        <v>38850.50571008437</v>
      </c>
      <c r="F36" s="21">
        <f t="shared" ref="F36:L36" si="5">E36*(F37+1)</f>
        <v>39044.758234292887</v>
      </c>
      <c r="G36" s="21">
        <f t="shared" si="5"/>
        <v>39239.982021100725</v>
      </c>
      <c r="H36" s="21">
        <f t="shared" si="5"/>
        <v>39436.18192682074</v>
      </c>
      <c r="I36" s="21">
        <f t="shared" si="5"/>
        <v>39633.362832047416</v>
      </c>
      <c r="J36" s="21">
        <f t="shared" si="5"/>
        <v>39831.529641778216</v>
      </c>
      <c r="K36" s="21">
        <f t="shared" si="5"/>
        <v>40030.687285535518</v>
      </c>
      <c r="L36" s="21">
        <f t="shared" si="5"/>
        <v>40230.840717489351</v>
      </c>
    </row>
    <row r="37" spans="2:12">
      <c r="B37" s="18" t="s">
        <v>27</v>
      </c>
      <c r="C37" s="68">
        <v>5.8000002056360245E-2</v>
      </c>
      <c r="D37" s="68">
        <v>3.48999984562397E-2</v>
      </c>
      <c r="E37" s="68">
        <v>3.7300001829862595E-2</v>
      </c>
      <c r="F37" s="27">
        <f>C6</f>
        <v>4.999999888241291E-3</v>
      </c>
      <c r="G37" s="27">
        <f>C6</f>
        <v>4.999999888241291E-3</v>
      </c>
      <c r="H37" s="27">
        <f>C6</f>
        <v>4.999999888241291E-3</v>
      </c>
      <c r="I37" s="27">
        <f>C6</f>
        <v>4.999999888241291E-3</v>
      </c>
      <c r="J37" s="27">
        <f>C6</f>
        <v>4.999999888241291E-3</v>
      </c>
      <c r="K37" s="27">
        <f>C6</f>
        <v>4.999999888241291E-3</v>
      </c>
      <c r="L37" s="27">
        <f>C6</f>
        <v>4.999999888241291E-3</v>
      </c>
    </row>
    <row r="38" spans="2:12">
      <c r="B38" s="18"/>
      <c r="C38" s="22"/>
      <c r="D38" s="22"/>
      <c r="E38" s="22"/>
      <c r="F38" s="22"/>
      <c r="G38" s="22"/>
      <c r="H38" s="22"/>
      <c r="I38" s="22"/>
      <c r="J38" s="22"/>
      <c r="K38" s="22"/>
      <c r="L38" s="22"/>
    </row>
    <row r="39" spans="2:12">
      <c r="B39" s="18" t="s">
        <v>28</v>
      </c>
      <c r="C39" s="21">
        <f>C36*C7</f>
        <v>9568.640027379015</v>
      </c>
      <c r="D39" s="21">
        <f>D36*C7</f>
        <v>9902.5855495628621</v>
      </c>
      <c r="E39" s="21">
        <f>E36*C7</f>
        <v>10271.952008681912</v>
      </c>
      <c r="F39" s="21">
        <f>F36*C7</f>
        <v>10323.31176757733</v>
      </c>
      <c r="G39" s="21">
        <f>G36*C7</f>
        <v>10374.928325261479</v>
      </c>
      <c r="H39" s="21">
        <f>H36*C7</f>
        <v>10426.802965728271</v>
      </c>
      <c r="I39" s="21">
        <f>I36*C7</f>
        <v>10478.93697939161</v>
      </c>
      <c r="J39" s="21">
        <f>J36*C7</f>
        <v>10531.331663117438</v>
      </c>
      <c r="K39" s="21">
        <f>K36*C7</f>
        <v>10583.98832025604</v>
      </c>
      <c r="L39" s="21">
        <f>L36*C7</f>
        <v>10636.908260674467</v>
      </c>
    </row>
    <row r="40" spans="2:12">
      <c r="B40" s="18"/>
      <c r="C40" s="20">
        <f>(C39-L19)/L19</f>
        <v>0.16910768165051929</v>
      </c>
      <c r="D40" s="20">
        <f>(D39-C39)/C39</f>
        <v>3.4899998456240304E-2</v>
      </c>
      <c r="E40" s="20">
        <f t="shared" ref="E40:L40" si="6">(E39-D39)/D39</f>
        <v>3.7300001829861019E-2</v>
      </c>
      <c r="F40" s="20">
        <f t="shared" si="6"/>
        <v>4.9999998882401904E-3</v>
      </c>
      <c r="G40" s="20">
        <f t="shared" si="6"/>
        <v>4.9999998882395563E-3</v>
      </c>
      <c r="H40" s="20">
        <f t="shared" si="6"/>
        <v>4.9999998882387653E-3</v>
      </c>
      <c r="I40" s="20">
        <f t="shared" si="6"/>
        <v>4.9999998882397029E-3</v>
      </c>
      <c r="J40" s="20">
        <f t="shared" si="6"/>
        <v>4.9999998882396274E-3</v>
      </c>
      <c r="K40" s="20">
        <f t="shared" si="6"/>
        <v>4.9999998882395945E-3</v>
      </c>
      <c r="L40" s="20">
        <f t="shared" si="6"/>
        <v>4.9999998882413162E-3</v>
      </c>
    </row>
    <row r="41" spans="2:12">
      <c r="B41" s="18"/>
      <c r="C41" s="22"/>
      <c r="D41" s="22"/>
      <c r="E41" s="22"/>
      <c r="F41" s="22"/>
      <c r="G41" s="22"/>
      <c r="H41" s="22"/>
      <c r="I41" s="22"/>
      <c r="J41" s="22"/>
      <c r="K41" s="22"/>
      <c r="L41" s="22"/>
    </row>
    <row r="42" spans="2:12">
      <c r="B42" s="18" t="s">
        <v>30</v>
      </c>
      <c r="C42" s="21">
        <f>C39*C8</f>
        <v>10329.943421697424</v>
      </c>
      <c r="D42" s="21">
        <f>D39*C8</f>
        <v>10690.458431167714</v>
      </c>
      <c r="E42" s="21">
        <f>E39*C8</f>
        <v>11089.212550212322</v>
      </c>
      <c r="F42" s="21">
        <f>F39*C8</f>
        <v>11144.658611724055</v>
      </c>
      <c r="G42" s="21">
        <f>G39*C8</f>
        <v>11200.381903537143</v>
      </c>
      <c r="H42" s="21">
        <f>H39*C8</f>
        <v>11256.38381180306</v>
      </c>
      <c r="I42" s="21">
        <f>I39*C8</f>
        <v>11312.665729604059</v>
      </c>
      <c r="J42" s="21">
        <f>J39*C8</f>
        <v>11369.229056987771</v>
      </c>
      <c r="K42" s="21">
        <f>K39*C8</f>
        <v>11426.075201002081</v>
      </c>
      <c r="L42" s="21">
        <f>L39*C8</f>
        <v>11483.205575730128</v>
      </c>
    </row>
    <row r="43" spans="2:12">
      <c r="B43" s="18" t="s">
        <v>27</v>
      </c>
      <c r="C43" s="20">
        <f>(C42-L22)/L22</f>
        <v>-0.15658648415659485</v>
      </c>
      <c r="D43" s="20">
        <f>(D42-C42)/C42</f>
        <v>3.4899998456240269E-2</v>
      </c>
      <c r="E43" s="20">
        <f t="shared" ref="E43:L43" si="7">(E42-D42)/D42</f>
        <v>3.730000182986095E-2</v>
      </c>
      <c r="F43" s="20">
        <f t="shared" si="7"/>
        <v>4.99999988824018E-3</v>
      </c>
      <c r="G43" s="20">
        <f t="shared" si="7"/>
        <v>4.9999998882395763E-3</v>
      </c>
      <c r="H43" s="20">
        <f t="shared" si="7"/>
        <v>4.9999998882386959E-3</v>
      </c>
      <c r="I43" s="20">
        <f t="shared" si="7"/>
        <v>4.9999998882397922E-3</v>
      </c>
      <c r="J43" s="20">
        <f t="shared" si="7"/>
        <v>4.9999998882395797E-3</v>
      </c>
      <c r="K43" s="20">
        <f t="shared" si="7"/>
        <v>4.9999998882395919E-3</v>
      </c>
      <c r="L43" s="20">
        <f t="shared" si="7"/>
        <v>4.9999998882413067E-3</v>
      </c>
    </row>
    <row r="45" spans="2:12">
      <c r="B45" s="18" t="s">
        <v>47</v>
      </c>
      <c r="C45" s="21">
        <f>L25*(1+C46)</f>
        <v>15361.552305822141</v>
      </c>
      <c r="D45" s="21">
        <f>C45*(1+D46)</f>
        <v>16129.629932558482</v>
      </c>
      <c r="E45" s="21">
        <f t="shared" ref="E45:L45" si="8">D45*(1+E46)</f>
        <v>16936.111441203968</v>
      </c>
      <c r="F45" s="21">
        <f t="shared" si="8"/>
        <v>17782.91702588262</v>
      </c>
      <c r="G45" s="21">
        <f t="shared" si="8"/>
        <v>18672.06289042607</v>
      </c>
      <c r="H45" s="21">
        <f t="shared" si="8"/>
        <v>19605.666048859213</v>
      </c>
      <c r="I45" s="21">
        <f t="shared" si="8"/>
        <v>20585.949365909557</v>
      </c>
      <c r="J45" s="21">
        <f t="shared" si="8"/>
        <v>21615.246849542847</v>
      </c>
      <c r="K45" s="21">
        <f t="shared" si="8"/>
        <v>22696.009208124597</v>
      </c>
      <c r="L45" s="21">
        <f t="shared" si="8"/>
        <v>23830.809685440719</v>
      </c>
    </row>
    <row r="46" spans="2:12">
      <c r="B46" s="18" t="s">
        <v>27</v>
      </c>
      <c r="C46" s="20">
        <f>C10</f>
        <v>5.000000074505806E-2</v>
      </c>
      <c r="D46" s="20">
        <f>C10</f>
        <v>5.000000074505806E-2</v>
      </c>
      <c r="E46" s="20">
        <f>C10</f>
        <v>5.000000074505806E-2</v>
      </c>
      <c r="F46" s="20">
        <f>C10</f>
        <v>5.000000074505806E-2</v>
      </c>
      <c r="G46" s="20">
        <f>C10</f>
        <v>5.000000074505806E-2</v>
      </c>
      <c r="H46" s="20">
        <f>C10</f>
        <v>5.000000074505806E-2</v>
      </c>
      <c r="I46" s="20">
        <f>C10</f>
        <v>5.000000074505806E-2</v>
      </c>
      <c r="J46" s="20">
        <f>C10</f>
        <v>5.000000074505806E-2</v>
      </c>
      <c r="K46" s="20">
        <f>C10</f>
        <v>5.000000074505806E-2</v>
      </c>
      <c r="L46" s="20">
        <f>C10</f>
        <v>5.000000074505806E-2</v>
      </c>
    </row>
    <row r="48" spans="2:12" ht="20" thickBot="1">
      <c r="B48" s="3" t="s">
        <v>103</v>
      </c>
      <c r="C48" s="3"/>
    </row>
    <row r="49" spans="2:12" ht="20" thickTop="1">
      <c r="B49" s="64"/>
      <c r="C49" s="64"/>
    </row>
    <row r="50" spans="2:12" ht="17.5" thickBot="1">
      <c r="B50" s="2"/>
      <c r="C50" s="2">
        <v>2023</v>
      </c>
      <c r="D50" s="2">
        <v>2024</v>
      </c>
      <c r="E50" s="2">
        <v>2025</v>
      </c>
      <c r="F50" s="2">
        <v>2026</v>
      </c>
      <c r="G50" s="2">
        <v>2027</v>
      </c>
      <c r="H50" s="2">
        <v>2028</v>
      </c>
      <c r="I50" s="2">
        <v>2029</v>
      </c>
      <c r="J50" s="2">
        <v>2030</v>
      </c>
      <c r="K50" s="2">
        <v>2031</v>
      </c>
      <c r="L50" s="2">
        <v>2032</v>
      </c>
    </row>
    <row r="51" spans="2:12" ht="15" thickTop="1">
      <c r="B51" s="18" t="s">
        <v>38</v>
      </c>
      <c r="C51" s="61">
        <f>POWER((1+C4),1)</f>
        <v>1.0414866738213127</v>
      </c>
      <c r="D51" s="61">
        <f>POWER((1+C4),2)</f>
        <v>1.0846944917473813</v>
      </c>
      <c r="E51" s="61">
        <f>POWER((1+C4),3)</f>
        <v>1.1296948583222794</v>
      </c>
      <c r="F51" s="61">
        <f>POWER((1+C4),4)</f>
        <v>1.1765621404271098</v>
      </c>
      <c r="G51" s="61">
        <f>POWER((1+C4),5)</f>
        <v>1.2253737901775148</v>
      </c>
      <c r="H51" s="61">
        <f>POWER((1+C4),6)</f>
        <v>1.2762104729197949</v>
      </c>
      <c r="I51" s="61">
        <f>POWER((1+C4),7)</f>
        <v>1.3291562005371618</v>
      </c>
      <c r="J51" s="61">
        <f>POWER((1+C4),8)</f>
        <v>1.3842984702864221</v>
      </c>
      <c r="K51" s="61">
        <f>POWER((1+C4),9)</f>
        <v>1.4417284093945371</v>
      </c>
      <c r="L51" s="61">
        <f>POWER((1+C4),10)</f>
        <v>1.5015409256540082</v>
      </c>
    </row>
    <row r="52" spans="2:12">
      <c r="B52" s="18"/>
      <c r="C52" s="22"/>
      <c r="D52" s="22"/>
      <c r="E52" s="22"/>
      <c r="F52" s="22"/>
      <c r="G52" s="22"/>
      <c r="H52" s="22"/>
      <c r="I52" s="22"/>
      <c r="J52" s="22"/>
      <c r="K52" s="22"/>
      <c r="L52" s="22"/>
    </row>
    <row r="53" spans="2:12">
      <c r="B53" s="18" t="s">
        <v>39</v>
      </c>
      <c r="C53" s="21">
        <f t="shared" ref="C53:L53" si="9">C42/C51</f>
        <v>9918.4595265111639</v>
      </c>
      <c r="D53" s="21">
        <f t="shared" si="9"/>
        <v>9855.7322015584232</v>
      </c>
      <c r="E53" s="21">
        <f t="shared" si="9"/>
        <v>9816.113146412843</v>
      </c>
      <c r="F53" s="21">
        <f t="shared" si="9"/>
        <v>9472.2226976285128</v>
      </c>
      <c r="G53" s="21">
        <f t="shared" si="9"/>
        <v>9140.3798525138936</v>
      </c>
      <c r="H53" s="21">
        <f t="shared" si="9"/>
        <v>8820.1625442314344</v>
      </c>
      <c r="I53" s="21">
        <f t="shared" si="9"/>
        <v>8511.1634923210586</v>
      </c>
      <c r="J53" s="21">
        <f t="shared" si="9"/>
        <v>8212.989684685117</v>
      </c>
      <c r="K53" s="21">
        <f t="shared" si="9"/>
        <v>7925.2618777211537</v>
      </c>
      <c r="L53" s="21">
        <f t="shared" si="9"/>
        <v>7647.6141139666406</v>
      </c>
    </row>
    <row r="54" spans="2:12">
      <c r="B54" s="18"/>
      <c r="C54" s="21"/>
      <c r="D54" s="21"/>
      <c r="E54" s="21"/>
      <c r="F54" s="21"/>
      <c r="G54" s="21"/>
      <c r="H54" s="21"/>
      <c r="I54" s="21"/>
      <c r="J54" s="21"/>
      <c r="K54" s="21"/>
      <c r="L54" s="21"/>
    </row>
    <row r="55" spans="2:12" ht="15" thickBot="1">
      <c r="B55" s="73" t="s">
        <v>40</v>
      </c>
      <c r="C55" s="74">
        <f>POWER((1+C4),11)</f>
        <v>1.5638348642659679</v>
      </c>
      <c r="D55" s="21"/>
      <c r="E55" s="21"/>
      <c r="F55" s="21"/>
      <c r="G55" s="21"/>
      <c r="H55" s="21"/>
      <c r="I55" s="21"/>
      <c r="J55" s="21"/>
      <c r="K55" s="21"/>
      <c r="L55" s="21"/>
    </row>
    <row r="56" spans="2:12">
      <c r="B56" s="18"/>
      <c r="C56" s="21"/>
      <c r="D56" s="21"/>
      <c r="E56" s="21"/>
      <c r="F56" s="21"/>
      <c r="G56" s="21"/>
      <c r="H56" s="21"/>
      <c r="I56" s="21"/>
      <c r="J56" s="21"/>
      <c r="K56" s="21"/>
      <c r="L56" s="21"/>
    </row>
    <row r="57" spans="2:12">
      <c r="B57" s="158" t="s">
        <v>101</v>
      </c>
      <c r="C57" s="158"/>
      <c r="D57" s="158"/>
      <c r="E57" s="158"/>
      <c r="F57" s="158"/>
      <c r="G57" s="158"/>
      <c r="H57" s="158"/>
      <c r="I57" s="158"/>
      <c r="J57" s="158"/>
      <c r="K57" s="158"/>
      <c r="L57" s="158"/>
    </row>
    <row r="58" spans="2:12">
      <c r="B58" s="158"/>
      <c r="C58" s="158"/>
      <c r="D58" s="158"/>
      <c r="E58" s="158"/>
      <c r="F58" s="158"/>
      <c r="G58" s="158"/>
      <c r="H58" s="158"/>
      <c r="I58" s="158"/>
      <c r="J58" s="158"/>
      <c r="K58" s="158"/>
      <c r="L58" s="158"/>
    </row>
    <row r="59" spans="2:12">
      <c r="B59" s="18" t="s">
        <v>37</v>
      </c>
      <c r="C59" s="25">
        <f>L53*(1+C5)/(C4-C5)</f>
        <v>475463.06500480801</v>
      </c>
    </row>
    <row r="60" spans="2:12" ht="15" thickBot="1">
      <c r="B60" s="5" t="s">
        <v>41</v>
      </c>
      <c r="C60" s="23">
        <f>C59/C55</f>
        <v>304036.61912728916</v>
      </c>
    </row>
    <row r="61" spans="2:12" ht="15" thickTop="1"/>
    <row r="62" spans="2:12" ht="14.5" customHeight="1" thickBot="1">
      <c r="B62" s="3" t="s">
        <v>43</v>
      </c>
      <c r="C62" s="71">
        <f>(SUM(C53:L53)+C59)</f>
        <v>564783.16414235823</v>
      </c>
    </row>
    <row r="63" spans="2:12" ht="15" thickTop="1">
      <c r="F63" s="9"/>
    </row>
    <row r="64" spans="2:12" ht="18.5">
      <c r="B64" s="69" t="s">
        <v>42</v>
      </c>
      <c r="C64" s="70">
        <f>C62/(C11/1000000)</f>
        <v>249.13239885217678</v>
      </c>
      <c r="D64" s="29"/>
      <c r="E64" s="30"/>
    </row>
    <row r="67" spans="2:12">
      <c r="B67" s="158" t="s">
        <v>102</v>
      </c>
      <c r="C67" s="158"/>
      <c r="D67" s="158"/>
      <c r="E67" s="158"/>
      <c r="F67" s="158"/>
      <c r="G67" s="158"/>
      <c r="H67" s="158"/>
      <c r="I67" s="158"/>
      <c r="J67" s="158"/>
      <c r="K67" s="158"/>
      <c r="L67" s="158"/>
    </row>
    <row r="68" spans="2:12"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</row>
    <row r="69" spans="2:12">
      <c r="B69" s="18" t="s">
        <v>37</v>
      </c>
      <c r="C69" s="25">
        <f>L45*C9</f>
        <v>206136.49468832952</v>
      </c>
    </row>
    <row r="70" spans="2:12" ht="15" thickBot="1">
      <c r="B70" s="5" t="s">
        <v>41</v>
      </c>
      <c r="C70" s="23">
        <f>C69/C55</f>
        <v>131814.74553266593</v>
      </c>
    </row>
    <row r="71" spans="2:12" ht="15" thickTop="1">
      <c r="B71" s="18"/>
      <c r="C71" s="28"/>
    </row>
    <row r="72" spans="2:12" ht="20" thickBot="1">
      <c r="B72" s="3" t="s">
        <v>43</v>
      </c>
      <c r="C72" s="72">
        <f>SUM(C53:L53)+C70</f>
        <v>221134.84467021615</v>
      </c>
    </row>
    <row r="73" spans="2:12" ht="15" thickTop="1"/>
    <row r="74" spans="2:12" ht="18.5">
      <c r="B74" s="69" t="s">
        <v>42</v>
      </c>
      <c r="C74" s="70">
        <f>C72/(C11/1000000)</f>
        <v>97.545142667546116</v>
      </c>
    </row>
  </sheetData>
  <mergeCells count="2">
    <mergeCell ref="B57:L58"/>
    <mergeCell ref="B67:L68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3:E21"/>
  <sheetViews>
    <sheetView showGridLines="0" workbookViewId="0">
      <selection activeCell="C15" sqref="C15"/>
    </sheetView>
  </sheetViews>
  <sheetFormatPr defaultRowHeight="14.5"/>
  <cols>
    <col min="2" max="2" width="29.90625" customWidth="1"/>
  </cols>
  <sheetData>
    <row r="13" spans="2:3" ht="20" thickBot="1">
      <c r="B13" s="8" t="s">
        <v>105</v>
      </c>
      <c r="C13" s="8"/>
    </row>
    <row r="14" spans="2:3" ht="15" thickTop="1"/>
    <row r="15" spans="2:3">
      <c r="B15" s="18" t="s">
        <v>106</v>
      </c>
      <c r="C15" s="78">
        <v>4.309999942779541</v>
      </c>
    </row>
    <row r="16" spans="2:3">
      <c r="B16" s="18" t="s">
        <v>111</v>
      </c>
      <c r="C16">
        <v>7</v>
      </c>
    </row>
    <row r="17" spans="2:5">
      <c r="B17" s="18" t="s">
        <v>154</v>
      </c>
      <c r="C17" s="78">
        <v>10</v>
      </c>
    </row>
    <row r="18" spans="2:5">
      <c r="B18" s="18" t="s">
        <v>108</v>
      </c>
      <c r="C18">
        <v>4.42</v>
      </c>
      <c r="D18" s="77" t="s">
        <v>110</v>
      </c>
      <c r="E18" s="76" t="s">
        <v>109</v>
      </c>
    </row>
    <row r="20" spans="2:5" ht="15" thickBot="1">
      <c r="B20" s="75" t="s">
        <v>107</v>
      </c>
      <c r="C20" s="79">
        <f>(C15*(C16+C17)*4.4)/C18</f>
        <v>72.938460570115382</v>
      </c>
    </row>
    <row r="21" spans="2:5" ht="15" thickTop="1"/>
  </sheetData>
  <hyperlinks>
    <hyperlink ref="E18" r:id="rId1" xr:uid="{00000000-0004-0000-0400-000000000000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P28"/>
  <sheetViews>
    <sheetView workbookViewId="0">
      <selection activeCell="O28" sqref="O28"/>
    </sheetView>
  </sheetViews>
  <sheetFormatPr defaultRowHeight="14.5"/>
  <cols>
    <col min="2" max="2" width="16.1796875" bestFit="1" customWidth="1"/>
    <col min="3" max="3" width="12.6328125" bestFit="1" customWidth="1"/>
    <col min="15" max="15" width="22.54296875" bestFit="1" customWidth="1"/>
    <col min="16" max="16" width="6.81640625" bestFit="1" customWidth="1"/>
  </cols>
  <sheetData>
    <row r="2" spans="2:16" ht="15" thickBot="1">
      <c r="B2" s="1" t="s">
        <v>120</v>
      </c>
      <c r="C2" s="117">
        <v>2.630000114440918</v>
      </c>
    </row>
    <row r="3" spans="2:16" ht="15" thickBot="1"/>
    <row r="4" spans="2:16" ht="20" thickBot="1">
      <c r="B4" s="161" t="s">
        <v>113</v>
      </c>
      <c r="C4" s="162"/>
    </row>
    <row r="5" spans="2:16" ht="15" thickBot="1">
      <c r="B5" s="80" t="s">
        <v>114</v>
      </c>
      <c r="C5" s="81" t="s">
        <v>115</v>
      </c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  <c r="O5" s="84" t="s">
        <v>116</v>
      </c>
      <c r="P5" s="85" t="s">
        <v>117</v>
      </c>
    </row>
    <row r="6" spans="2:16" ht="15" thickBot="1">
      <c r="B6" s="86" t="s">
        <v>118</v>
      </c>
      <c r="C6" s="87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163" t="s">
        <v>119</v>
      </c>
      <c r="N6" s="164"/>
      <c r="O6" s="88" t="s">
        <v>120</v>
      </c>
      <c r="P6" s="106">
        <f>C2</f>
        <v>2.630000114440918</v>
      </c>
    </row>
    <row r="7" spans="2:16" ht="15" thickBot="1">
      <c r="B7" s="89" t="s">
        <v>121</v>
      </c>
      <c r="C7" s="90">
        <f>P6*(1+P7)</f>
        <v>2.6826001155540493</v>
      </c>
      <c r="D7" s="90">
        <f>C7*(1+P7)</f>
        <v>2.7362521166659284</v>
      </c>
      <c r="E7" s="90">
        <f>D7*(1+P7)</f>
        <v>2.7909771577760618</v>
      </c>
      <c r="F7" s="90">
        <f>E7*(1+P7)</f>
        <v>2.8467966996839307</v>
      </c>
      <c r="G7" s="90">
        <f>F7*(1+P7)</f>
        <v>2.903732632405005</v>
      </c>
      <c r="H7" s="90">
        <f>G7*(1+P7)</f>
        <v>2.9618072837550544</v>
      </c>
      <c r="I7" s="90">
        <f>H7*(1+P7)</f>
        <v>3.0210434281061342</v>
      </c>
      <c r="J7" s="90">
        <f>I7*(1+P7)</f>
        <v>3.0814642953177556</v>
      </c>
      <c r="K7" s="90">
        <f>J7*(1+P7)</f>
        <v>3.1430935798466084</v>
      </c>
      <c r="L7" s="90">
        <f>K7*(1+P7)</f>
        <v>3.205955450038485</v>
      </c>
      <c r="M7" s="159">
        <f>L7*(1+P7)/(P8-P7)</f>
        <v>40.87593174166394</v>
      </c>
      <c r="N7" s="160"/>
      <c r="O7" s="88" t="s">
        <v>122</v>
      </c>
      <c r="P7" s="104">
        <v>1.9999999552965164E-2</v>
      </c>
    </row>
    <row r="8" spans="2:16" ht="15" thickBot="1">
      <c r="B8" s="89" t="s">
        <v>123</v>
      </c>
      <c r="C8" s="90">
        <f>C7/(1+P8)</f>
        <v>2.4387273777764085</v>
      </c>
      <c r="D8" s="90">
        <f>D7/(1+P8)^2</f>
        <v>2.2613653856743205</v>
      </c>
      <c r="E8" s="90">
        <f>E7/(1+P8)^3</f>
        <v>2.0969024476153728</v>
      </c>
      <c r="F8" s="90">
        <f>F7/(1+P8)^4</f>
        <v>1.9444004505730004</v>
      </c>
      <c r="G8" s="90">
        <f>G7/(1+P8)^5</f>
        <v>1.8029895079229585</v>
      </c>
      <c r="H8" s="90">
        <f>H7/(1+P8)^6</f>
        <v>1.6718629975231183</v>
      </c>
      <c r="I8" s="90">
        <f>I7/(1+P8)^7</f>
        <v>1.5502729606601864</v>
      </c>
      <c r="J8" s="90">
        <f>J7/(1+P8)^8</f>
        <v>1.4375258356185177</v>
      </c>
      <c r="K8" s="90">
        <f>K7/(1+P8)^9</f>
        <v>1.3329785015347937</v>
      </c>
      <c r="L8" s="90">
        <f>L7/(1+P8)^10</f>
        <v>1.2360346099723714</v>
      </c>
      <c r="M8" s="159">
        <f>M7/POWER((1+P8),10)</f>
        <v>15.759441182178113</v>
      </c>
      <c r="N8" s="160"/>
      <c r="O8" s="91" t="s">
        <v>124</v>
      </c>
      <c r="P8" s="105">
        <v>0.1</v>
      </c>
    </row>
    <row r="9" spans="2:16">
      <c r="B9" s="92"/>
      <c r="N9" s="93"/>
    </row>
    <row r="10" spans="2:16" ht="20" thickBot="1">
      <c r="B10" s="94" t="s">
        <v>125</v>
      </c>
      <c r="C10" s="95">
        <f>SUM(C8:N8)*(1-P9)</f>
        <v>33.532501257049162</v>
      </c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7"/>
    </row>
    <row r="11" spans="2:16">
      <c r="B11" s="98"/>
      <c r="C11" s="98"/>
    </row>
    <row r="12" spans="2:16" ht="15" thickBot="1">
      <c r="O12" s="99"/>
    </row>
    <row r="13" spans="2:16" ht="20" thickBot="1">
      <c r="B13" s="161" t="s">
        <v>113</v>
      </c>
      <c r="C13" s="162"/>
    </row>
    <row r="14" spans="2:16" ht="15" thickBot="1">
      <c r="B14" s="80" t="s">
        <v>114</v>
      </c>
      <c r="C14" s="81" t="s">
        <v>126</v>
      </c>
      <c r="D14" s="82"/>
      <c r="E14" s="82"/>
      <c r="F14" s="82"/>
      <c r="G14" s="82"/>
      <c r="H14" s="82"/>
      <c r="I14" s="82"/>
      <c r="J14" s="82"/>
      <c r="K14" s="82"/>
      <c r="L14" s="82"/>
      <c r="M14" s="82"/>
      <c r="N14" s="83"/>
      <c r="O14" s="84" t="s">
        <v>116</v>
      </c>
      <c r="P14" s="85" t="s">
        <v>117</v>
      </c>
    </row>
    <row r="15" spans="2:16" ht="15" thickBot="1">
      <c r="B15" s="86" t="s">
        <v>118</v>
      </c>
      <c r="C15" s="87">
        <v>1</v>
      </c>
      <c r="D15" s="87">
        <v>2</v>
      </c>
      <c r="E15" s="87">
        <v>3</v>
      </c>
      <c r="F15" s="87">
        <v>4</v>
      </c>
      <c r="G15" s="87">
        <v>5</v>
      </c>
      <c r="H15" s="87">
        <v>6</v>
      </c>
      <c r="I15" s="87">
        <v>7</v>
      </c>
      <c r="J15" s="87">
        <v>8</v>
      </c>
      <c r="K15" s="87">
        <v>9</v>
      </c>
      <c r="L15" s="87">
        <v>10</v>
      </c>
      <c r="M15" s="163" t="s">
        <v>119</v>
      </c>
      <c r="N15" s="164"/>
      <c r="O15" s="88" t="s">
        <v>120</v>
      </c>
      <c r="P15" s="106">
        <f>C2</f>
        <v>2.630000114440918</v>
      </c>
    </row>
    <row r="16" spans="2:16" ht="15" thickBot="1">
      <c r="B16" s="89" t="s">
        <v>121</v>
      </c>
      <c r="C16" s="90">
        <f>P15*(1+P16)</f>
        <v>2.708900116110601</v>
      </c>
      <c r="D16" s="90">
        <f>C16*(1+P16)</f>
        <v>2.790167117777465</v>
      </c>
      <c r="E16" s="90">
        <f>D16*(1+P16)</f>
        <v>2.8738721294398371</v>
      </c>
      <c r="F16" s="90">
        <f>E16*(1+P16)</f>
        <v>2.9600882913959601</v>
      </c>
      <c r="G16" s="90">
        <f>F16*(1+P16)</f>
        <v>3.0488909381529514</v>
      </c>
      <c r="H16" s="90">
        <f>G16*(1+P16)</f>
        <v>3.1403576642531048</v>
      </c>
      <c r="I16" s="90">
        <f>H16*(1+P16)</f>
        <v>3.2345683920749262</v>
      </c>
      <c r="J16" s="90">
        <f>I16*(1+P16)</f>
        <v>3.3316054416682381</v>
      </c>
      <c r="K16" s="90">
        <f>J16*(1+P16)</f>
        <v>3.431553602684279</v>
      </c>
      <c r="L16" s="90">
        <f>K16*(1+P16)</f>
        <v>3.53450020846378</v>
      </c>
      <c r="M16" s="159">
        <f>L16*(1+P16)/(P17-P16)</f>
        <v>52.007645392482601</v>
      </c>
      <c r="N16" s="160"/>
      <c r="O16" s="88" t="s">
        <v>122</v>
      </c>
      <c r="P16" s="104">
        <v>2.9999999329447746E-2</v>
      </c>
    </row>
    <row r="17" spans="2:16" ht="15" thickBot="1">
      <c r="B17" s="89" t="s">
        <v>123</v>
      </c>
      <c r="C17" s="90">
        <f>C16/(1+P17)</f>
        <v>2.4626364691914553</v>
      </c>
      <c r="D17" s="90">
        <f>D16/(1+P17)^2</f>
        <v>2.3059232378326153</v>
      </c>
      <c r="E17" s="90">
        <f>E16/(1+P17)^3</f>
        <v>2.159182666746684</v>
      </c>
      <c r="F17" s="90">
        <f>F16/(1+P17)^4</f>
        <v>2.0217801320920423</v>
      </c>
      <c r="G17" s="90">
        <f>G16/(1+P17)^5</f>
        <v>1.8931213951809989</v>
      </c>
      <c r="H17" s="90">
        <f>H16/(1+P17)^6</f>
        <v>1.7726500325154502</v>
      </c>
      <c r="I17" s="90">
        <f>I16/(1+P17)^7</f>
        <v>1.659845029365691</v>
      </c>
      <c r="J17" s="90">
        <f>J16/(1+P17)^8</f>
        <v>1.5542185264851407</v>
      </c>
      <c r="K17" s="90">
        <f>K16/(1+P17)^9</f>
        <v>1.4553137102159222</v>
      </c>
      <c r="L17" s="90">
        <f>L16/(1+P17)^10</f>
        <v>1.3627028368604905</v>
      </c>
      <c r="M17" s="159">
        <f>M16/POWER((1+P17),10)</f>
        <v>20.05119868010236</v>
      </c>
      <c r="N17" s="160"/>
      <c r="O17" s="91" t="s">
        <v>124</v>
      </c>
      <c r="P17" s="105">
        <v>0.1</v>
      </c>
    </row>
    <row r="18" spans="2:16">
      <c r="B18" s="92"/>
      <c r="N18" s="93"/>
    </row>
    <row r="19" spans="2:16" ht="20" thickBot="1">
      <c r="B19" s="94" t="s">
        <v>125</v>
      </c>
      <c r="C19" s="95">
        <f>SUM(C17:N17)*(1-P18)</f>
        <v>38.698572716588849</v>
      </c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7"/>
    </row>
    <row r="21" spans="2:16" ht="15" thickBot="1"/>
    <row r="22" spans="2:16" ht="20" thickBot="1">
      <c r="B22" s="161" t="s">
        <v>113</v>
      </c>
      <c r="C22" s="162"/>
    </row>
    <row r="23" spans="2:16" ht="15" thickBot="1">
      <c r="B23" s="80" t="s">
        <v>114</v>
      </c>
      <c r="C23" s="81" t="s">
        <v>127</v>
      </c>
      <c r="D23" s="82"/>
      <c r="E23" s="82"/>
      <c r="F23" s="82"/>
      <c r="G23" s="82"/>
      <c r="H23" s="82"/>
      <c r="I23" s="82"/>
      <c r="J23" s="82"/>
      <c r="K23" s="82"/>
      <c r="L23" s="82"/>
      <c r="M23" s="82"/>
      <c r="N23" s="83"/>
      <c r="O23" s="84" t="s">
        <v>116</v>
      </c>
      <c r="P23" s="85" t="s">
        <v>117</v>
      </c>
    </row>
    <row r="24" spans="2:16" ht="15" thickBot="1">
      <c r="B24" s="86" t="s">
        <v>118</v>
      </c>
      <c r="C24" s="87">
        <v>1</v>
      </c>
      <c r="D24" s="87">
        <v>2</v>
      </c>
      <c r="E24" s="87">
        <v>3</v>
      </c>
      <c r="F24" s="87">
        <v>4</v>
      </c>
      <c r="G24" s="87">
        <v>5</v>
      </c>
      <c r="H24" s="87">
        <v>6</v>
      </c>
      <c r="I24" s="87">
        <v>7</v>
      </c>
      <c r="J24" s="87">
        <v>8</v>
      </c>
      <c r="K24" s="87">
        <v>9</v>
      </c>
      <c r="L24" s="87">
        <v>10</v>
      </c>
      <c r="M24" s="163" t="s">
        <v>119</v>
      </c>
      <c r="N24" s="164"/>
      <c r="O24" s="88" t="s">
        <v>120</v>
      </c>
      <c r="P24" s="106">
        <f>C2</f>
        <v>2.630000114440918</v>
      </c>
    </row>
    <row r="25" spans="2:16" ht="15" thickBot="1">
      <c r="B25" s="89" t="s">
        <v>121</v>
      </c>
      <c r="C25" s="90">
        <f>P24*(1+P25)</f>
        <v>2.7352001166671527</v>
      </c>
      <c r="D25" s="90">
        <f>C25*(1+P25)</f>
        <v>2.8446081188883756</v>
      </c>
      <c r="E25" s="90">
        <f>D25*(1+P25)</f>
        <v>2.9583924411006364</v>
      </c>
      <c r="F25" s="90">
        <f>E25*(1+P25)</f>
        <v>3.0767281360996557</v>
      </c>
      <c r="G25" s="90">
        <f>F25*(1+P25)</f>
        <v>3.1997972587928363</v>
      </c>
      <c r="H25" s="90">
        <f>G25*(1+P25)</f>
        <v>3.327789146283711</v>
      </c>
      <c r="I25" s="90">
        <f>H25*(1+P25)</f>
        <v>3.4609007091597821</v>
      </c>
      <c r="J25" s="90">
        <f>I25*(1+P25)</f>
        <v>3.5993367344318838</v>
      </c>
      <c r="K25" s="90">
        <f>J25*(1+P25)</f>
        <v>3.7433102005910963</v>
      </c>
      <c r="L25" s="90">
        <f>K25*(1+P25)</f>
        <v>3.8930426052679628</v>
      </c>
      <c r="M25" s="159">
        <f>L25*(1+P25)/(P26-P25)</f>
        <v>67.479404094445684</v>
      </c>
      <c r="N25" s="160"/>
      <c r="O25" s="88" t="s">
        <v>122</v>
      </c>
      <c r="P25" s="104">
        <v>3.9999999105930328E-2</v>
      </c>
    </row>
    <row r="26" spans="2:16" ht="15" thickBot="1">
      <c r="B26" s="89" t="s">
        <v>123</v>
      </c>
      <c r="C26" s="90">
        <f>C25/(1+P26)</f>
        <v>2.4865455606065021</v>
      </c>
      <c r="D26" s="90">
        <f>D25/(1+P26)^2</f>
        <v>2.3509158007341941</v>
      </c>
      <c r="E26" s="90">
        <f>E25/(1+P26)^3</f>
        <v>2.2226840278742563</v>
      </c>
      <c r="F26" s="90">
        <f>F25/(1+P26)^4</f>
        <v>2.1014467154563587</v>
      </c>
      <c r="G26" s="90">
        <f>G25/(1+P26)^5</f>
        <v>1.9868223474507052</v>
      </c>
      <c r="H26" s="90">
        <f>H25/(1+P26)^6</f>
        <v>1.8784502177930704</v>
      </c>
      <c r="I26" s="90">
        <f>I25/(1+P26)^7</f>
        <v>1.7759892952957512</v>
      </c>
      <c r="J26" s="90">
        <f>J25/(1+P26)^8</f>
        <v>1.6791171504724742</v>
      </c>
      <c r="K26" s="90">
        <f>K25/(1+P26)^9</f>
        <v>1.5875289409001119</v>
      </c>
      <c r="L26" s="90">
        <f>L25/(1+P26)^10</f>
        <v>1.5009364519243233</v>
      </c>
      <c r="M26" s="159">
        <f>M25/POWER((1+P26),10)</f>
        <v>26.016231423317183</v>
      </c>
      <c r="N26" s="160"/>
      <c r="O26" s="91" t="s">
        <v>124</v>
      </c>
      <c r="P26" s="105">
        <v>0.1</v>
      </c>
    </row>
    <row r="27" spans="2:16">
      <c r="B27" s="92"/>
      <c r="N27" s="93"/>
    </row>
    <row r="28" spans="2:16" ht="20" thickBot="1">
      <c r="B28" s="94" t="s">
        <v>125</v>
      </c>
      <c r="C28" s="95">
        <f>SUM(C26:N26)*(1-P27)</f>
        <v>45.586667931824934</v>
      </c>
      <c r="D28" s="96"/>
      <c r="E28" s="96"/>
      <c r="F28" s="96"/>
      <c r="G28" s="96"/>
      <c r="H28" s="96"/>
      <c r="I28" s="96"/>
      <c r="J28" s="96"/>
      <c r="K28" s="96"/>
      <c r="L28" s="96"/>
      <c r="M28" s="96"/>
      <c r="N28" s="97"/>
    </row>
  </sheetData>
  <mergeCells count="12">
    <mergeCell ref="M26:N26"/>
    <mergeCell ref="B4:C4"/>
    <mergeCell ref="M6:N6"/>
    <mergeCell ref="M7:N7"/>
    <mergeCell ref="M8:N8"/>
    <mergeCell ref="B13:C13"/>
    <mergeCell ref="M15:N15"/>
    <mergeCell ref="M16:N16"/>
    <mergeCell ref="M17:N17"/>
    <mergeCell ref="B22:C22"/>
    <mergeCell ref="M24:N24"/>
    <mergeCell ref="M25:N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J83"/>
  <sheetViews>
    <sheetView zoomScale="85" zoomScaleNormal="85" workbookViewId="0">
      <selection activeCell="D60" sqref="D60:M60"/>
    </sheetView>
  </sheetViews>
  <sheetFormatPr defaultRowHeight="14.5"/>
  <cols>
    <col min="2" max="2" width="62.26953125" bestFit="1" customWidth="1"/>
    <col min="3" max="3" width="10" style="110" bestFit="1" customWidth="1"/>
    <col min="4" max="4" width="13.26953125" style="110" bestFit="1" customWidth="1"/>
    <col min="5" max="11" width="11.26953125" style="110" bestFit="1" customWidth="1"/>
    <col min="12" max="13" width="11.6328125" style="110" bestFit="1" customWidth="1"/>
    <col min="19" max="19" width="11.7265625" customWidth="1"/>
  </cols>
  <sheetData>
    <row r="2" spans="2:17" ht="17.5" thickBot="1">
      <c r="B2" s="2" t="s">
        <v>45</v>
      </c>
      <c r="C2" s="109"/>
      <c r="D2" s="109">
        <v>2013</v>
      </c>
      <c r="E2" s="109">
        <v>2014</v>
      </c>
      <c r="F2" s="109">
        <v>2015</v>
      </c>
      <c r="G2" s="109">
        <v>2016</v>
      </c>
      <c r="H2" s="109">
        <v>2017</v>
      </c>
      <c r="I2" s="109">
        <v>2018</v>
      </c>
      <c r="J2" s="109">
        <v>2019</v>
      </c>
      <c r="K2" s="109">
        <v>2020</v>
      </c>
      <c r="L2" s="109">
        <v>2021</v>
      </c>
      <c r="M2" s="109">
        <v>2022</v>
      </c>
    </row>
    <row r="3" spans="2:17" ht="15" thickTop="1">
      <c r="B3" s="18" t="s">
        <v>26</v>
      </c>
      <c r="C3" s="120">
        <v>24077.66015625</v>
      </c>
      <c r="D3" s="110">
        <v>23878.83984375</v>
      </c>
      <c r="E3" s="110">
        <v>23025.599609375</v>
      </c>
      <c r="F3" s="110">
        <v>20035.359375</v>
      </c>
      <c r="G3" s="110">
        <v>19992.029296875</v>
      </c>
      <c r="H3" s="110">
        <v>26152.330078125</v>
      </c>
      <c r="I3" s="110">
        <v>32691.919921875</v>
      </c>
      <c r="J3" s="110">
        <v>33042.33984375</v>
      </c>
      <c r="K3" s="110">
        <v>33096.37890625</v>
      </c>
      <c r="L3" s="110">
        <v>35318.0703125</v>
      </c>
      <c r="M3" s="110">
        <v>34206.46875</v>
      </c>
      <c r="Q3" s="107"/>
    </row>
    <row r="4" spans="2:17">
      <c r="B4" s="18" t="s">
        <v>27</v>
      </c>
      <c r="C4" s="113"/>
      <c r="D4" s="121">
        <f t="shared" ref="D4:M4" si="0">(D3-C3)/C3</f>
        <v>-8.2574598698449894E-3</v>
      </c>
      <c r="E4" s="121">
        <f t="shared" si="0"/>
        <v>-3.573206403485827E-2</v>
      </c>
      <c r="F4" s="121">
        <f t="shared" si="0"/>
        <v>-0.12986590078451235</v>
      </c>
      <c r="G4" s="121">
        <f t="shared" si="0"/>
        <v>-2.1626803549661807E-3</v>
      </c>
      <c r="H4" s="121">
        <f t="shared" si="0"/>
        <v>0.30813784282583712</v>
      </c>
      <c r="I4" s="121">
        <f t="shared" si="0"/>
        <v>0.25005763632587413</v>
      </c>
      <c r="J4" s="121">
        <f t="shared" si="0"/>
        <v>1.0718854160673662E-2</v>
      </c>
      <c r="K4" s="121">
        <f t="shared" si="0"/>
        <v>1.6354490255695846E-3</v>
      </c>
      <c r="L4" s="121">
        <f t="shared" si="0"/>
        <v>6.7127929993285471E-2</v>
      </c>
      <c r="M4" s="121">
        <f t="shared" si="0"/>
        <v>-3.1474017483525275E-2</v>
      </c>
      <c r="Q4" s="107"/>
    </row>
    <row r="5" spans="2:17">
      <c r="B5" s="18"/>
      <c r="C5" s="113"/>
      <c r="D5" s="115"/>
      <c r="E5" s="115"/>
      <c r="F5" s="115"/>
      <c r="G5" s="115"/>
      <c r="H5" s="115"/>
      <c r="I5" s="115"/>
      <c r="J5" s="115"/>
      <c r="K5" s="115"/>
      <c r="L5" s="115"/>
      <c r="M5" s="115"/>
      <c r="Q5" s="107"/>
    </row>
    <row r="6" spans="2:17">
      <c r="B6" s="18" t="s">
        <v>29</v>
      </c>
      <c r="C6" s="110">
        <v>6533.77978515625</v>
      </c>
      <c r="D6" s="110">
        <v>6570.58984375</v>
      </c>
      <c r="E6" s="110">
        <v>5592</v>
      </c>
      <c r="F6" s="110">
        <v>6559.19482421875</v>
      </c>
      <c r="G6" s="110">
        <v>6299.43505859375</v>
      </c>
      <c r="H6" s="110">
        <v>48372.53125</v>
      </c>
      <c r="I6" s="110">
        <v>8051.51416015625</v>
      </c>
      <c r="J6" s="110">
        <v>7283.43798828125</v>
      </c>
      <c r="K6" s="110">
        <v>8217.599609375</v>
      </c>
      <c r="L6" s="110">
        <v>9352.0546875</v>
      </c>
      <c r="M6" s="110">
        <v>8184.56689453125</v>
      </c>
      <c r="Q6" s="107"/>
    </row>
    <row r="7" spans="2:17">
      <c r="B7" s="18" t="s">
        <v>27</v>
      </c>
      <c r="C7" s="113"/>
      <c r="D7" s="121">
        <f t="shared" ref="D7" si="1">(D6-C6)/C6</f>
        <v>5.6338076586812478E-3</v>
      </c>
      <c r="E7" s="121">
        <f t="shared" ref="E7" si="2">(E6-D6)/D6</f>
        <v>-0.14893485471184034</v>
      </c>
      <c r="F7" s="121">
        <f t="shared" ref="F7" si="3">(F6-E6)/E6</f>
        <v>0.17296044782166489</v>
      </c>
      <c r="G7" s="121">
        <f t="shared" ref="G7" si="4">(G6-F6)/F6</f>
        <v>-3.9602386052916085E-2</v>
      </c>
      <c r="H7" s="121">
        <f t="shared" ref="H7" si="5">(H6-G6)/G6</f>
        <v>6.6788681524718276</v>
      </c>
      <c r="I7" s="121">
        <f t="shared" ref="I7" si="6">(I6-H6)/H6</f>
        <v>-0.83355193635528013</v>
      </c>
      <c r="J7" s="121">
        <f t="shared" ref="J7" si="7">(J6-I6)/I6</f>
        <v>-9.539524573848536E-2</v>
      </c>
      <c r="K7" s="121">
        <f t="shared" ref="K7" si="8">(K6-J6)/J6</f>
        <v>0.12825833385233421</v>
      </c>
      <c r="L7" s="121">
        <f t="shared" ref="L7" si="9">(L6-K6)/K6</f>
        <v>0.13805188036063032</v>
      </c>
      <c r="M7" s="121">
        <f t="shared" ref="M7" si="10">(M6-L6)/L6</f>
        <v>-0.12483757120552552</v>
      </c>
      <c r="Q7" s="107"/>
    </row>
    <row r="8" spans="2:17">
      <c r="D8" s="115"/>
      <c r="E8" s="115"/>
      <c r="F8" s="115"/>
      <c r="G8" s="115"/>
      <c r="H8" s="115"/>
      <c r="I8" s="115"/>
      <c r="J8" s="115"/>
      <c r="K8" s="115"/>
      <c r="L8" s="115"/>
      <c r="M8" s="115"/>
      <c r="Q8" s="107"/>
    </row>
    <row r="9" spans="2:17">
      <c r="B9" s="18" t="s">
        <v>47</v>
      </c>
      <c r="C9" s="110">
        <v>9331.490234375</v>
      </c>
      <c r="D9" s="110">
        <v>8837.990234375</v>
      </c>
      <c r="E9" s="110">
        <v>7605.97900390625</v>
      </c>
      <c r="F9" s="110">
        <v>7621.81591796875</v>
      </c>
      <c r="G9" s="110">
        <v>7131.5888671875</v>
      </c>
      <c r="H9" s="110">
        <v>9508.767578125</v>
      </c>
      <c r="I9" s="110">
        <v>13816.509765625</v>
      </c>
      <c r="J9" s="110">
        <v>13443.2001953125</v>
      </c>
      <c r="K9" s="110">
        <v>14653.009765625</v>
      </c>
      <c r="L9" s="110">
        <v>15552.3798828125</v>
      </c>
      <c r="M9" s="110">
        <v>14630.0498046875</v>
      </c>
      <c r="Q9" s="107"/>
    </row>
    <row r="10" spans="2:17">
      <c r="B10" s="18" t="s">
        <v>27</v>
      </c>
      <c r="C10" s="113"/>
      <c r="D10" s="121">
        <f t="shared" ref="D10" si="11">(D9-C9)/C9</f>
        <v>-5.288544354706206E-2</v>
      </c>
      <c r="E10" s="121">
        <f t="shared" ref="E10" si="12">(E9-D9)/D9</f>
        <v>-0.139399478591512</v>
      </c>
      <c r="F10" s="121">
        <f t="shared" ref="F10" si="13">(F9-E9)/E9</f>
        <v>2.0821664185986495E-3</v>
      </c>
      <c r="G10" s="121">
        <f t="shared" ref="G10" si="14">(G9-F9)/F9</f>
        <v>-6.4318930824020459E-2</v>
      </c>
      <c r="H10" s="121">
        <f t="shared" ref="H10" si="15">(H9-G9)/G9</f>
        <v>0.33333086850742605</v>
      </c>
      <c r="I10" s="121">
        <f t="shared" ref="I10" si="16">(I9-H9)/H9</f>
        <v>0.45302844475976017</v>
      </c>
      <c r="J10" s="121">
        <f t="shared" ref="J10" si="17">(J9-I9)/I9</f>
        <v>-2.7019093580441085E-2</v>
      </c>
      <c r="K10" s="121">
        <f t="shared" ref="K10" si="18">(K9-J9)/J9</f>
        <v>8.9994164539359281E-2</v>
      </c>
      <c r="L10" s="121">
        <f t="shared" ref="L10" si="19">(L9-K9)/K9</f>
        <v>6.1377841929605707E-2</v>
      </c>
      <c r="M10" s="121">
        <f t="shared" ref="M10" si="20">(M9-L9)/L9</f>
        <v>-5.9304754968356993E-2</v>
      </c>
      <c r="Q10" s="107"/>
    </row>
    <row r="11" spans="2:17">
      <c r="B11" s="18"/>
      <c r="C11" s="113"/>
      <c r="Q11" s="107"/>
    </row>
    <row r="12" spans="2:17">
      <c r="B12" s="18" t="s">
        <v>143</v>
      </c>
      <c r="C12" s="110">
        <v>1949</v>
      </c>
      <c r="D12" s="110">
        <v>1907.865966796875</v>
      </c>
      <c r="E12" s="110">
        <v>1869.748046875</v>
      </c>
      <c r="F12" s="110">
        <v>1863</v>
      </c>
      <c r="G12" s="110">
        <v>1865</v>
      </c>
      <c r="H12" s="110">
        <v>2051</v>
      </c>
      <c r="I12" s="110">
        <v>2292</v>
      </c>
      <c r="J12" s="110">
        <v>2291</v>
      </c>
      <c r="K12" s="110">
        <v>2295</v>
      </c>
      <c r="L12" s="110">
        <v>2297</v>
      </c>
      <c r="M12" s="110">
        <v>2267</v>
      </c>
      <c r="Q12" s="107"/>
    </row>
    <row r="13" spans="2:17">
      <c r="B13" s="18" t="s">
        <v>27</v>
      </c>
      <c r="C13" s="113"/>
      <c r="D13" s="121">
        <f t="shared" ref="D13" si="21">(D12-C12)/C12</f>
        <v>-2.1105199180669575E-2</v>
      </c>
      <c r="E13" s="121">
        <f t="shared" ref="E13" si="22">(E12-D12)/D12</f>
        <v>-1.9979348961222498E-2</v>
      </c>
      <c r="F13" s="121">
        <f t="shared" ref="F13" si="23">(F12-E12)/E12</f>
        <v>-3.6090674817274636E-3</v>
      </c>
      <c r="G13" s="121">
        <f t="shared" ref="G13" si="24">(G12-F12)/F12</f>
        <v>1.0735373054213634E-3</v>
      </c>
      <c r="H13" s="121">
        <f t="shared" ref="H13" si="25">(H12-G12)/G12</f>
        <v>9.9731903485254694E-2</v>
      </c>
      <c r="I13" s="121">
        <f t="shared" ref="I13" si="26">(I12-H12)/H12</f>
        <v>0.11750365675280351</v>
      </c>
      <c r="J13" s="121">
        <f t="shared" ref="J13" si="27">(J12-I12)/I12</f>
        <v>-4.3630017452006982E-4</v>
      </c>
      <c r="K13" s="121">
        <f t="shared" ref="K13" si="28">(K12-J12)/J12</f>
        <v>1.7459624618070711E-3</v>
      </c>
      <c r="L13" s="121">
        <f t="shared" ref="L13" si="29">(L12-K12)/K12</f>
        <v>8.7145969498910673E-4</v>
      </c>
      <c r="M13" s="121">
        <f t="shared" ref="M13" si="30">(M12-L12)/L12</f>
        <v>-1.3060513713539399E-2</v>
      </c>
      <c r="Q13" s="107"/>
    </row>
    <row r="14" spans="2:17">
      <c r="B14" s="18"/>
      <c r="C14" s="113"/>
      <c r="Q14" s="107"/>
    </row>
    <row r="15" spans="2:17">
      <c r="B15" s="18" t="s">
        <v>144</v>
      </c>
      <c r="C15" s="110">
        <v>3.125</v>
      </c>
      <c r="D15" s="110">
        <v>3.4100000858306885</v>
      </c>
      <c r="E15" s="110">
        <v>2.5799999237060547</v>
      </c>
      <c r="F15" s="110">
        <v>3.5199999809265137</v>
      </c>
      <c r="G15" s="110">
        <v>3.377000093460083</v>
      </c>
      <c r="H15" s="110">
        <v>23.584999084472656</v>
      </c>
      <c r="I15" s="110">
        <v>3.513200044631958</v>
      </c>
      <c r="J15" s="110">
        <v>3.1795001029968262</v>
      </c>
      <c r="K15" s="110">
        <v>3.5810999870300293</v>
      </c>
      <c r="L15" s="110">
        <v>4.0784997940063477</v>
      </c>
      <c r="M15" s="110">
        <v>3.6105000972747803</v>
      </c>
      <c r="Q15" s="107"/>
    </row>
    <row r="16" spans="2:17">
      <c r="B16" s="18" t="s">
        <v>27</v>
      </c>
      <c r="D16" s="121">
        <f t="shared" ref="D16" si="31">(D15-C15)/C15</f>
        <v>9.1200027465820163E-2</v>
      </c>
      <c r="E16" s="121">
        <f t="shared" ref="E16" si="32">(E15-D15)/D15</f>
        <v>-0.24340180094817873</v>
      </c>
      <c r="F16" s="121">
        <f t="shared" ref="F16" si="33">(F15-E15)/E15</f>
        <v>0.36434111822383025</v>
      </c>
      <c r="G16" s="121">
        <f t="shared" ref="G16" si="34">(G15-F15)/F15</f>
        <v>-4.0624968250366739E-2</v>
      </c>
      <c r="H16" s="121">
        <f t="shared" ref="H16" si="35">(H15-G15)/G15</f>
        <v>5.9840090114736864</v>
      </c>
      <c r="I16" s="121">
        <f t="shared" ref="I16" si="36">(I15-H15)/H15</f>
        <v>-0.85104090816162326</v>
      </c>
      <c r="J16" s="121">
        <f t="shared" ref="J16" si="37">(J15-I15)/I15</f>
        <v>-9.4984611577986627E-2</v>
      </c>
      <c r="K16" s="121">
        <f t="shared" ref="K16" si="38">(K15-J15)/J15</f>
        <v>0.12630912754324997</v>
      </c>
      <c r="L16" s="121">
        <f t="shared" ref="L16" si="39">(L15-K15)/K15</f>
        <v>0.13889581658646577</v>
      </c>
      <c r="M16" s="121">
        <f t="shared" ref="M16" si="40">(M15-L15)/L15</f>
        <v>-0.11474800058083277</v>
      </c>
      <c r="Q16" s="107"/>
    </row>
    <row r="17" spans="2:36">
      <c r="B17" s="18"/>
      <c r="Q17" s="107"/>
    </row>
    <row r="19" spans="2:36" ht="17.5" thickBot="1">
      <c r="B19" s="2" t="s">
        <v>46</v>
      </c>
      <c r="C19" s="109"/>
      <c r="D19" s="109">
        <v>2013</v>
      </c>
      <c r="E19" s="109">
        <v>2014</v>
      </c>
      <c r="F19" s="109">
        <v>2015</v>
      </c>
      <c r="G19" s="109">
        <v>2016</v>
      </c>
      <c r="H19" s="109">
        <v>2017</v>
      </c>
      <c r="I19" s="109">
        <v>2018</v>
      </c>
      <c r="J19" s="109">
        <v>2019</v>
      </c>
      <c r="K19" s="109">
        <v>2020</v>
      </c>
      <c r="L19" s="109">
        <v>2021</v>
      </c>
      <c r="M19" s="109">
        <v>2022</v>
      </c>
    </row>
    <row r="20" spans="2:36" ht="15" thickTop="1">
      <c r="B20" s="31" t="s">
        <v>30</v>
      </c>
      <c r="C20" s="110">
        <v>6053.490234375</v>
      </c>
      <c r="D20" s="128">
        <v>6313.97021484375</v>
      </c>
      <c r="E20" s="128">
        <v>5354.669921875</v>
      </c>
      <c r="F20" s="128">
        <v>6643.2900390625</v>
      </c>
      <c r="G20" s="128">
        <v>5579.77001953125</v>
      </c>
      <c r="H20" s="128">
        <v>5994.2099609375</v>
      </c>
      <c r="I20" s="128">
        <v>12780.7099609375</v>
      </c>
      <c r="J20" s="128">
        <v>10682.5400390625</v>
      </c>
      <c r="K20" s="128">
        <v>11965.599609375</v>
      </c>
      <c r="L20" s="128">
        <v>12679.7998046875</v>
      </c>
      <c r="M20" s="128">
        <v>12247.7802734375</v>
      </c>
      <c r="O20" s="107"/>
      <c r="P20" s="107"/>
      <c r="Q20" s="107"/>
      <c r="R20" s="107"/>
      <c r="S20" s="107"/>
      <c r="T20" s="108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</row>
    <row r="21" spans="2:36">
      <c r="B21" s="31" t="s">
        <v>27</v>
      </c>
      <c r="D21" s="129"/>
      <c r="E21" s="131">
        <f t="shared" ref="E21" si="41">(E20-D20)/D20</f>
        <v>-0.15193297724362001</v>
      </c>
      <c r="F21" s="131">
        <f t="shared" ref="F21" si="42">(F20-E20)/E20</f>
        <v>0.24065351104522884</v>
      </c>
      <c r="G21" s="131">
        <f t="shared" ref="G21" si="43">(G20-F20)/F20</f>
        <v>-0.16008935531607976</v>
      </c>
      <c r="H21" s="131">
        <f t="shared" ref="H21" si="44">(H20-G20)/G20</f>
        <v>7.4275452206015224E-2</v>
      </c>
      <c r="I21" s="131">
        <f t="shared" ref="I21" si="45">(I20-H20)/H20</f>
        <v>1.1321758904385433</v>
      </c>
      <c r="J21" s="131">
        <f t="shared" ref="J21" si="46">(J20-I20)/I20</f>
        <v>-0.16416693034172364</v>
      </c>
      <c r="K21" s="131">
        <f t="shared" ref="K21" si="47">(K20-J20)/J20</f>
        <v>0.12010809841299704</v>
      </c>
      <c r="L21" s="131">
        <f t="shared" ref="L21" si="48">(L20-K20)/K20</f>
        <v>5.9687789883335805E-2</v>
      </c>
      <c r="M21" s="131">
        <f t="shared" ref="M21" si="49">(M20-L20)/L20</f>
        <v>-3.4071478880154715E-2</v>
      </c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</row>
    <row r="22" spans="2:36"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</row>
    <row r="23" spans="2:36">
      <c r="B23" s="18" t="s">
        <v>60</v>
      </c>
      <c r="C23" s="113">
        <v>4434</v>
      </c>
      <c r="D23" s="130">
        <v>4500</v>
      </c>
      <c r="E23" s="130">
        <v>4880</v>
      </c>
      <c r="F23" s="130">
        <v>4594</v>
      </c>
      <c r="G23" s="130">
        <v>4143</v>
      </c>
      <c r="H23" s="130">
        <v>4681</v>
      </c>
      <c r="I23" s="130">
        <v>5992</v>
      </c>
      <c r="J23" s="130">
        <v>6072</v>
      </c>
      <c r="K23" s="130">
        <v>6267</v>
      </c>
      <c r="L23" s="130">
        <v>6950</v>
      </c>
      <c r="M23" s="130">
        <v>6275</v>
      </c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</row>
    <row r="24" spans="2:36">
      <c r="D24" s="121">
        <f t="shared" ref="D24" si="50">(D23-C23)/C23</f>
        <v>1.4884979702300407E-2</v>
      </c>
      <c r="E24" s="121">
        <f t="shared" ref="E24" si="51">(E23-D23)/D23</f>
        <v>8.4444444444444447E-2</v>
      </c>
      <c r="F24" s="121">
        <f t="shared" ref="F24" si="52">(F23-E23)/E23</f>
        <v>-5.860655737704918E-2</v>
      </c>
      <c r="G24" s="121">
        <f t="shared" ref="G24" si="53">(G23-F23)/F23</f>
        <v>-9.8171528080104487E-2</v>
      </c>
      <c r="H24" s="121">
        <f t="shared" ref="H24" si="54">(H23-G23)/G23</f>
        <v>0.12985759111754766</v>
      </c>
      <c r="I24" s="121">
        <f t="shared" ref="I24" si="55">(I23-H23)/H23</f>
        <v>0.28006836146122621</v>
      </c>
      <c r="J24" s="121">
        <f t="shared" ref="J24" si="56">(J23-I23)/I23</f>
        <v>1.335113484646195E-2</v>
      </c>
      <c r="K24" s="121">
        <f t="shared" ref="K24" si="57">(K23-J23)/J23</f>
        <v>3.2114624505928856E-2</v>
      </c>
      <c r="L24" s="121">
        <f t="shared" ref="L24" si="58">(L23-K23)/K23</f>
        <v>0.10898356470400511</v>
      </c>
      <c r="M24" s="121">
        <f t="shared" ref="M24" si="59">(M23-L23)/L23</f>
        <v>-9.7122302158273388E-2</v>
      </c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</row>
    <row r="25" spans="2:36"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</row>
    <row r="26" spans="2:36"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</row>
    <row r="27" spans="2:36" ht="17.5" thickBot="1">
      <c r="B27" s="2" t="s">
        <v>48</v>
      </c>
      <c r="C27" s="109">
        <v>2012</v>
      </c>
      <c r="D27" s="109">
        <v>2013</v>
      </c>
      <c r="E27" s="109">
        <v>2014</v>
      </c>
      <c r="F27" s="109">
        <v>2015</v>
      </c>
      <c r="G27" s="109">
        <v>2016</v>
      </c>
      <c r="H27" s="109">
        <v>2017</v>
      </c>
      <c r="I27" s="109">
        <v>2018</v>
      </c>
      <c r="J27" s="109">
        <v>2019</v>
      </c>
      <c r="K27" s="109">
        <v>2020</v>
      </c>
      <c r="L27" s="109">
        <v>2021</v>
      </c>
      <c r="M27" s="109">
        <v>2022</v>
      </c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</row>
    <row r="28" spans="2:36" ht="15" thickTop="1">
      <c r="B28" s="18" t="s">
        <v>49</v>
      </c>
      <c r="C28" s="110">
        <v>14560.7197265625</v>
      </c>
      <c r="D28" s="110">
        <v>14893.759765625</v>
      </c>
      <c r="E28" s="110">
        <v>15050.4404296875</v>
      </c>
      <c r="F28" s="110">
        <v>15005.1201171875</v>
      </c>
      <c r="G28" s="110">
        <v>16750.150390625</v>
      </c>
      <c r="H28" s="110">
        <v>17999.380859375</v>
      </c>
      <c r="I28" s="110">
        <v>16891.890625</v>
      </c>
      <c r="J28" s="110">
        <v>16949.5703125</v>
      </c>
      <c r="K28" s="110">
        <v>17477.810546875</v>
      </c>
      <c r="L28" s="110">
        <v>17610.91015625</v>
      </c>
      <c r="M28" s="110">
        <v>19059.390625</v>
      </c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</row>
    <row r="29" spans="2:36">
      <c r="B29" s="18" t="s">
        <v>27</v>
      </c>
      <c r="C29" s="113"/>
      <c r="D29" s="121">
        <f t="shared" ref="D29" si="60">(D28-C28)/C28</f>
        <v>2.2872498428422414E-2</v>
      </c>
      <c r="E29" s="121">
        <f t="shared" ref="E29" si="61">(E28-D28)/D28</f>
        <v>1.051988661883221E-2</v>
      </c>
      <c r="F29" s="121">
        <f t="shared" ref="F29" si="62">(F28-E28)/E28</f>
        <v>-3.011228323299042E-3</v>
      </c>
      <c r="G29" s="121">
        <f t="shared" ref="G29" si="63">(G28-F28)/F28</f>
        <v>0.11629565507034285</v>
      </c>
      <c r="H29" s="121">
        <f t="shared" ref="H29" si="64">(H28-G28)/G28</f>
        <v>7.4580253885313766E-2</v>
      </c>
      <c r="I29" s="121">
        <f t="shared" ref="I29" si="65">(I28-H28)/H28</f>
        <v>-6.1529351649790905E-2</v>
      </c>
      <c r="J29" s="121">
        <f t="shared" ref="J29" si="66">(J28-I28)/I28</f>
        <v>3.4146377560978318E-3</v>
      </c>
      <c r="K29" s="121">
        <f t="shared" ref="K29" si="67">(K28-J28)/J28</f>
        <v>3.1165405649571685E-2</v>
      </c>
      <c r="L29" s="121">
        <f t="shared" ref="L29" si="68">(L28-K28)/K28</f>
        <v>7.6153479875543089E-3</v>
      </c>
      <c r="M29" s="121">
        <f t="shared" ref="M29" si="69">(M28-L28)/L28</f>
        <v>8.2249040844487156E-2</v>
      </c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</row>
    <row r="30" spans="2:36"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</row>
    <row r="31" spans="2:36">
      <c r="B31" s="18" t="s">
        <v>53</v>
      </c>
      <c r="C31" s="110">
        <v>28755.279296875</v>
      </c>
      <c r="D31" s="110">
        <v>27169.599609375</v>
      </c>
      <c r="E31" s="110">
        <v>28075.349609375</v>
      </c>
      <c r="F31" s="110">
        <v>33179.75</v>
      </c>
      <c r="G31" s="110">
        <v>37154.19921875</v>
      </c>
      <c r="H31" s="110">
        <v>163770.40625</v>
      </c>
      <c r="I31" s="110">
        <v>178445.40625</v>
      </c>
      <c r="J31" s="110">
        <v>163099.703125</v>
      </c>
      <c r="K31" s="110">
        <v>159316.09375</v>
      </c>
      <c r="L31" s="110">
        <v>171279.703125</v>
      </c>
      <c r="M31" s="110">
        <v>170861.703125</v>
      </c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</row>
    <row r="32" spans="2:36">
      <c r="B32" s="18" t="s">
        <v>27</v>
      </c>
      <c r="C32" s="113"/>
      <c r="D32" s="121">
        <f t="shared" ref="D32" si="70">(D31-C31)/C31</f>
        <v>-5.5143950129266345E-2</v>
      </c>
      <c r="E32" s="121">
        <f t="shared" ref="E32" si="71">(E31-D31)/D31</f>
        <v>3.3336891710670134E-2</v>
      </c>
      <c r="F32" s="121">
        <f t="shared" ref="F32" si="72">(F31-E31)/E31</f>
        <v>0.18181075077050951</v>
      </c>
      <c r="G32" s="121">
        <f t="shared" ref="G32" si="73">(G31-F31)/F31</f>
        <v>0.1197853877364959</v>
      </c>
      <c r="H32" s="121">
        <f t="shared" ref="H32" si="74">(H31-G31)/G31</f>
        <v>3.407857246115876</v>
      </c>
      <c r="I32" s="121">
        <f t="shared" ref="I32" si="75">(I31-H31)/H31</f>
        <v>8.9607153917651103E-2</v>
      </c>
      <c r="J32" s="121">
        <f t="shared" ref="J32" si="76">(J31-I31)/I31</f>
        <v>-8.5996627469921205E-2</v>
      </c>
      <c r="K32" s="121">
        <f t="shared" ref="K32" si="77">(K31-J31)/J31</f>
        <v>-2.3198137718866557E-2</v>
      </c>
      <c r="L32" s="121">
        <f t="shared" ref="L32" si="78">(L31-K31)/K31</f>
        <v>7.5093539474884341E-2</v>
      </c>
      <c r="M32" s="121">
        <f t="shared" ref="M32" si="79">(M31-L31)/L31</f>
        <v>-2.4404526185740957E-3</v>
      </c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</row>
    <row r="33" spans="2:36"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</row>
    <row r="34" spans="2:36">
      <c r="B34" s="32" t="s">
        <v>50</v>
      </c>
      <c r="C34" s="111"/>
      <c r="D34" s="111">
        <f>D28+D31</f>
        <v>42063.359375</v>
      </c>
      <c r="E34" s="111">
        <f t="shared" ref="E34:M34" si="80">E28+E31</f>
        <v>43125.7900390625</v>
      </c>
      <c r="F34" s="111">
        <f t="shared" si="80"/>
        <v>48184.8701171875</v>
      </c>
      <c r="G34" s="111">
        <f t="shared" si="80"/>
        <v>53904.349609375</v>
      </c>
      <c r="H34" s="111">
        <f t="shared" si="80"/>
        <v>181769.787109375</v>
      </c>
      <c r="I34" s="111">
        <f t="shared" si="80"/>
        <v>195337.296875</v>
      </c>
      <c r="J34" s="111">
        <f t="shared" si="80"/>
        <v>180049.2734375</v>
      </c>
      <c r="K34" s="111">
        <f t="shared" si="80"/>
        <v>176793.904296875</v>
      </c>
      <c r="L34" s="111">
        <f t="shared" si="80"/>
        <v>188890.61328125</v>
      </c>
      <c r="M34" s="111">
        <f t="shared" si="80"/>
        <v>189921.09375</v>
      </c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</row>
    <row r="35" spans="2:36"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</row>
    <row r="36" spans="2:36">
      <c r="B36" s="18" t="s">
        <v>51</v>
      </c>
      <c r="C36" s="113">
        <v>12905.8798828125</v>
      </c>
      <c r="D36" s="118">
        <v>13200.650390625</v>
      </c>
      <c r="E36" s="110">
        <v>14452.1796875</v>
      </c>
      <c r="F36" s="110">
        <v>13769.7197265625</v>
      </c>
      <c r="G36" s="110">
        <v>16068.4404296875</v>
      </c>
      <c r="H36" s="110">
        <v>20033.109375</v>
      </c>
      <c r="I36" s="110">
        <v>21795.94921875</v>
      </c>
      <c r="J36" s="110">
        <v>24035.08984375</v>
      </c>
      <c r="K36" s="110">
        <v>19873.75</v>
      </c>
      <c r="L36" s="110">
        <v>20824.509765625</v>
      </c>
      <c r="M36" s="110">
        <v>22082.380859375</v>
      </c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</row>
    <row r="37" spans="2:36">
      <c r="B37" s="18" t="s">
        <v>27</v>
      </c>
      <c r="C37" s="113"/>
      <c r="D37" s="121">
        <f t="shared" ref="D37" si="81">(D36-C36)/C36</f>
        <v>2.2840016371534867E-2</v>
      </c>
      <c r="E37" s="121">
        <f t="shared" ref="E37" si="82">(E36-D36)/D36</f>
        <v>9.48081541318469E-2</v>
      </c>
      <c r="F37" s="121">
        <f t="shared" ref="F37" si="83">(F36-E36)/E36</f>
        <v>-4.7221939921475949E-2</v>
      </c>
      <c r="G37" s="121">
        <f t="shared" ref="G37" si="84">(G36-F36)/F36</f>
        <v>0.16694026812257109</v>
      </c>
      <c r="H37" s="121">
        <f t="shared" ref="H37" si="85">(H36-G36)/G36</f>
        <v>0.24673638755803043</v>
      </c>
      <c r="I37" s="121">
        <f t="shared" ref="I37" si="86">(I36-H36)/H36</f>
        <v>8.7996317034534241E-2</v>
      </c>
      <c r="J37" s="121">
        <f t="shared" ref="J37" si="87">(J36-I36)/I36</f>
        <v>0.10273196191307767</v>
      </c>
      <c r="K37" s="121">
        <f t="shared" ref="K37" si="88">(K36-J36)/J36</f>
        <v>-0.17313602199128456</v>
      </c>
      <c r="L37" s="121">
        <f t="shared" ref="L37" si="89">(L36-K36)/K36</f>
        <v>4.7839978143279449E-2</v>
      </c>
      <c r="M37" s="121">
        <f t="shared" ref="M37" si="90">(M36-L36)/L36</f>
        <v>6.0403395225484095E-2</v>
      </c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</row>
    <row r="38" spans="2:36"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</row>
    <row r="39" spans="2:36">
      <c r="B39" s="18" t="s">
        <v>52</v>
      </c>
      <c r="C39" s="113">
        <v>18079.640625</v>
      </c>
      <c r="D39" s="110">
        <v>18010.830078125</v>
      </c>
      <c r="E39" s="110">
        <v>19091.5703125</v>
      </c>
      <c r="F39" s="110">
        <v>26721.4609375</v>
      </c>
      <c r="G39" s="110">
        <v>26443.259765625</v>
      </c>
      <c r="H39" s="110">
        <v>83086.359375</v>
      </c>
      <c r="I39" s="110">
        <v>85861.0234375</v>
      </c>
      <c r="J39" s="110">
        <v>74088.2890625</v>
      </c>
      <c r="K39" s="110">
        <v>76085.9921875</v>
      </c>
      <c r="L39" s="110">
        <v>75382.9765625</v>
      </c>
      <c r="M39" s="110">
        <v>74192.96875</v>
      </c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</row>
    <row r="40" spans="2:36">
      <c r="B40" s="18" t="s">
        <v>27</v>
      </c>
      <c r="C40" s="113"/>
      <c r="D40" s="121">
        <f t="shared" ref="D40" si="91">(D39-C39)/C39</f>
        <v>-3.8059687303657343E-3</v>
      </c>
      <c r="E40" s="121">
        <f t="shared" ref="E40" si="92">(E39-D39)/D39</f>
        <v>6.0005020850627526E-2</v>
      </c>
      <c r="F40" s="121">
        <f t="shared" ref="F40" si="93">(F39-E39)/E39</f>
        <v>0.39964709555632577</v>
      </c>
      <c r="G40" s="121">
        <f t="shared" ref="G40" si="94">(G39-F39)/F39</f>
        <v>-1.0411151266231175E-2</v>
      </c>
      <c r="H40" s="121">
        <f t="shared" ref="H40" si="95">(H39-G39)/G39</f>
        <v>2.1420619133730394</v>
      </c>
      <c r="I40" s="121">
        <f t="shared" ref="I40" si="96">(I39-H39)/H39</f>
        <v>3.3394940918964777E-2</v>
      </c>
      <c r="J40" s="121">
        <f t="shared" ref="J40" si="97">(J39-I39)/I39</f>
        <v>-0.13711383703188229</v>
      </c>
      <c r="K40" s="121">
        <f t="shared" ref="K40" si="98">(K39-J39)/J39</f>
        <v>2.6963817767673936E-2</v>
      </c>
      <c r="L40" s="121">
        <f t="shared" ref="L40" si="99">(L39-K39)/K39</f>
        <v>-9.2397510341660095E-3</v>
      </c>
      <c r="M40" s="121">
        <f t="shared" ref="M40" si="100">(M39-L39)/L39</f>
        <v>-1.5786161103805246E-2</v>
      </c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</row>
    <row r="41" spans="2:36"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</row>
    <row r="42" spans="2:36">
      <c r="B42" s="31" t="s">
        <v>54</v>
      </c>
      <c r="C42" s="116">
        <v>1</v>
      </c>
      <c r="D42" s="111">
        <f>D36+D39</f>
        <v>31211.48046875</v>
      </c>
      <c r="E42" s="111">
        <f t="shared" ref="E42:M42" si="101">E36+E39</f>
        <v>33543.75</v>
      </c>
      <c r="F42" s="111">
        <f t="shared" si="101"/>
        <v>40491.1806640625</v>
      </c>
      <c r="G42" s="111">
        <f t="shared" si="101"/>
        <v>42511.7001953125</v>
      </c>
      <c r="H42" s="111">
        <f t="shared" si="101"/>
        <v>103119.46875</v>
      </c>
      <c r="I42" s="111">
        <f t="shared" si="101"/>
        <v>107656.97265625</v>
      </c>
      <c r="J42" s="111">
        <f t="shared" si="101"/>
        <v>98123.37890625</v>
      </c>
      <c r="K42" s="111">
        <f t="shared" si="101"/>
        <v>95959.7421875</v>
      </c>
      <c r="L42" s="111">
        <f t="shared" si="101"/>
        <v>96207.486328125</v>
      </c>
      <c r="M42" s="111">
        <f t="shared" si="101"/>
        <v>96275.349609375</v>
      </c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</row>
    <row r="43" spans="2:36">
      <c r="B43" s="18"/>
      <c r="C43" s="113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</row>
    <row r="44" spans="2:36">
      <c r="B44" s="31" t="s">
        <v>55</v>
      </c>
      <c r="C44" s="134">
        <v>1</v>
      </c>
      <c r="D44" s="134">
        <f>D34-D42</f>
        <v>10851.87890625</v>
      </c>
      <c r="E44" s="134">
        <f t="shared" ref="E44:M44" si="102">E34-E42</f>
        <v>9582.0400390625</v>
      </c>
      <c r="F44" s="134">
        <f t="shared" si="102"/>
        <v>7693.689453125</v>
      </c>
      <c r="G44" s="134">
        <f t="shared" si="102"/>
        <v>11392.6494140625</v>
      </c>
      <c r="H44" s="134">
        <f t="shared" si="102"/>
        <v>78650.318359375</v>
      </c>
      <c r="I44" s="134">
        <f t="shared" si="102"/>
        <v>87680.32421875</v>
      </c>
      <c r="J44" s="134">
        <f t="shared" si="102"/>
        <v>81925.89453125</v>
      </c>
      <c r="K44" s="134">
        <f t="shared" si="102"/>
        <v>80834.162109375</v>
      </c>
      <c r="L44" s="134">
        <f t="shared" si="102"/>
        <v>92683.126953125</v>
      </c>
      <c r="M44" s="134">
        <f t="shared" si="102"/>
        <v>93645.744140625</v>
      </c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</row>
    <row r="45" spans="2:36">
      <c r="C45" s="135"/>
      <c r="D45" s="135"/>
      <c r="E45" s="135"/>
      <c r="F45" s="135"/>
      <c r="G45" s="135"/>
      <c r="H45" s="135"/>
      <c r="I45" s="135"/>
      <c r="J45" s="135"/>
      <c r="K45" s="135"/>
      <c r="L45" s="135"/>
      <c r="M45" s="135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</row>
    <row r="46" spans="2:36">
      <c r="B46" s="122" t="s">
        <v>155</v>
      </c>
      <c r="C46" s="133">
        <v>14397.4599609375</v>
      </c>
      <c r="D46" s="133">
        <v>15203.58984375</v>
      </c>
      <c r="E46" s="133">
        <v>16116.759765625</v>
      </c>
      <c r="F46" s="133">
        <v>22637.630859375</v>
      </c>
      <c r="G46" s="133">
        <v>22346.189453125</v>
      </c>
      <c r="H46" s="133">
        <v>56742</v>
      </c>
      <c r="I46" s="133">
        <v>57775.48046875</v>
      </c>
      <c r="J46" s="133">
        <v>48271.9296875</v>
      </c>
      <c r="K46" s="136">
        <v>51266.26953125</v>
      </c>
      <c r="L46" s="133">
        <v>49044.3203125</v>
      </c>
      <c r="M46" s="133">
        <v>47900.19140625</v>
      </c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</row>
    <row r="47" spans="2:36"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</row>
    <row r="48" spans="2:36"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</row>
    <row r="49" spans="2:36" ht="17.5" thickBot="1">
      <c r="B49" s="2" t="s">
        <v>56</v>
      </c>
      <c r="C49" s="109"/>
      <c r="D49" s="109">
        <v>2013</v>
      </c>
      <c r="E49" s="109">
        <v>2014</v>
      </c>
      <c r="F49" s="109">
        <v>2015</v>
      </c>
      <c r="G49" s="109">
        <v>2016</v>
      </c>
      <c r="H49" s="109">
        <v>2017</v>
      </c>
      <c r="I49" s="109">
        <v>2018</v>
      </c>
      <c r="J49" s="109">
        <v>2019</v>
      </c>
      <c r="K49" s="109">
        <v>2020</v>
      </c>
      <c r="L49" s="109">
        <v>2021</v>
      </c>
      <c r="M49" s="109">
        <v>2022</v>
      </c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</row>
    <row r="50" spans="2:36" ht="15" thickTop="1">
      <c r="B50" s="18" t="s">
        <v>57</v>
      </c>
      <c r="C50" s="113"/>
      <c r="D50" s="126">
        <f t="shared" ref="D50:M50" si="103">D6/D3</f>
        <v>0.27516369667640167</v>
      </c>
      <c r="E50" s="126">
        <f t="shared" si="103"/>
        <v>0.24286012502897802</v>
      </c>
      <c r="F50" s="126">
        <f t="shared" si="103"/>
        <v>0.32738094193624867</v>
      </c>
      <c r="G50" s="126">
        <f t="shared" si="103"/>
        <v>0.31509733029344994</v>
      </c>
      <c r="H50" s="126">
        <f t="shared" si="103"/>
        <v>1.8496451790527448</v>
      </c>
      <c r="I50" s="126">
        <f t="shared" si="103"/>
        <v>0.24628453083811624</v>
      </c>
      <c r="J50" s="126">
        <f t="shared" si="103"/>
        <v>0.22042742804302104</v>
      </c>
      <c r="K50" s="126">
        <f t="shared" si="103"/>
        <v>0.24829301213442323</v>
      </c>
      <c r="L50" s="126">
        <f t="shared" si="103"/>
        <v>0.26479517722093837</v>
      </c>
      <c r="M50" s="126">
        <f t="shared" si="103"/>
        <v>0.23926956489863485</v>
      </c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</row>
    <row r="51" spans="2:36">
      <c r="B51" s="18" t="s">
        <v>58</v>
      </c>
      <c r="C51" s="113"/>
      <c r="D51" s="126">
        <f t="shared" ref="D51:M51" si="104">D9/D3</f>
        <v>0.37011807492348664</v>
      </c>
      <c r="E51" s="126">
        <f t="shared" si="104"/>
        <v>0.33032707651224136</v>
      </c>
      <c r="F51" s="126">
        <f t="shared" si="104"/>
        <v>0.38041822835876882</v>
      </c>
      <c r="G51" s="126">
        <f t="shared" si="104"/>
        <v>0.35672160946173959</v>
      </c>
      <c r="H51" s="126">
        <f t="shared" si="104"/>
        <v>0.3635916015788806</v>
      </c>
      <c r="I51" s="126">
        <f t="shared" si="104"/>
        <v>0.42262766453125988</v>
      </c>
      <c r="J51" s="126">
        <f t="shared" si="104"/>
        <v>0.406847706877977</v>
      </c>
      <c r="K51" s="126">
        <f t="shared" si="104"/>
        <v>0.44273755165577616</v>
      </c>
      <c r="L51" s="126">
        <f t="shared" si="104"/>
        <v>0.44035191462054768</v>
      </c>
      <c r="M51" s="126">
        <f t="shared" si="104"/>
        <v>0.42769833716575906</v>
      </c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</row>
    <row r="52" spans="2:36">
      <c r="B52" s="18" t="s">
        <v>59</v>
      </c>
      <c r="C52" s="113"/>
      <c r="D52" s="126">
        <f t="shared" ref="D52:M52" si="105">D20/D3</f>
        <v>0.26441695895440898</v>
      </c>
      <c r="E52" s="126">
        <f t="shared" si="105"/>
        <v>0.2325528981966149</v>
      </c>
      <c r="F52" s="126">
        <f t="shared" si="105"/>
        <v>0.33157828191252497</v>
      </c>
      <c r="G52" s="126">
        <f t="shared" si="105"/>
        <v>0.27909973203187716</v>
      </c>
      <c r="H52" s="126">
        <f t="shared" si="105"/>
        <v>0.22920366724612926</v>
      </c>
      <c r="I52" s="126">
        <f t="shared" si="105"/>
        <v>0.39094400058118334</v>
      </c>
      <c r="J52" s="126">
        <f t="shared" si="105"/>
        <v>0.32329853423147076</v>
      </c>
      <c r="K52" s="126">
        <f t="shared" si="105"/>
        <v>0.36153802937986629</v>
      </c>
      <c r="L52" s="126">
        <f t="shared" si="105"/>
        <v>0.3590173441667277</v>
      </c>
      <c r="M52" s="126">
        <f t="shared" si="105"/>
        <v>0.35805450609214085</v>
      </c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</row>
    <row r="53" spans="2:36"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</row>
    <row r="54" spans="2:36" ht="17.5" thickBot="1">
      <c r="B54" s="2" t="s">
        <v>61</v>
      </c>
      <c r="C54" s="109"/>
      <c r="D54" s="109">
        <v>2013</v>
      </c>
      <c r="E54" s="109">
        <v>2014</v>
      </c>
      <c r="F54" s="109">
        <v>2015</v>
      </c>
      <c r="G54" s="109">
        <v>2016</v>
      </c>
      <c r="H54" s="109">
        <v>2017</v>
      </c>
      <c r="I54" s="109">
        <v>2018</v>
      </c>
      <c r="J54" s="109">
        <v>2019</v>
      </c>
      <c r="K54" s="109">
        <v>2020</v>
      </c>
      <c r="L54" s="109">
        <v>2021</v>
      </c>
      <c r="M54" s="109">
        <v>2022</v>
      </c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</row>
    <row r="55" spans="2:36" ht="15" thickTop="1">
      <c r="B55" s="10" t="s">
        <v>62</v>
      </c>
      <c r="C55" s="114"/>
      <c r="D55" s="126">
        <f>D23/D20</f>
        <v>0.71270529427281437</v>
      </c>
      <c r="E55" s="126">
        <f t="shared" ref="E55:M55" si="106">E23/E20</f>
        <v>0.91135402764307294</v>
      </c>
      <c r="F55" s="126">
        <f t="shared" si="106"/>
        <v>0.69152482775662527</v>
      </c>
      <c r="G55" s="126">
        <f t="shared" si="106"/>
        <v>0.74250372067271131</v>
      </c>
      <c r="H55" s="126">
        <f t="shared" si="106"/>
        <v>0.78092025980149138</v>
      </c>
      <c r="I55" s="126">
        <f t="shared" si="106"/>
        <v>0.46883154522039328</v>
      </c>
      <c r="J55" s="126">
        <f t="shared" si="106"/>
        <v>0.56840414150536422</v>
      </c>
      <c r="K55" s="126">
        <f t="shared" si="106"/>
        <v>0.52375143783766842</v>
      </c>
      <c r="L55" s="126">
        <f t="shared" si="106"/>
        <v>0.5481159093245862</v>
      </c>
      <c r="M55" s="126">
        <f t="shared" si="106"/>
        <v>0.51233773466764188</v>
      </c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</row>
    <row r="56" spans="2:36"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</row>
    <row r="57" spans="2:36" ht="17.5" thickBot="1">
      <c r="B57" s="2" t="s">
        <v>63</v>
      </c>
      <c r="C57" s="109"/>
      <c r="D57" s="109">
        <v>2013</v>
      </c>
      <c r="E57" s="109">
        <v>2014</v>
      </c>
      <c r="F57" s="109">
        <v>2015</v>
      </c>
      <c r="G57" s="109">
        <v>2016</v>
      </c>
      <c r="H57" s="109">
        <v>2017</v>
      </c>
      <c r="I57" s="109">
        <v>2018</v>
      </c>
      <c r="J57" s="109">
        <v>2019</v>
      </c>
      <c r="K57" s="109">
        <v>2020</v>
      </c>
      <c r="L57" s="109">
        <v>2021</v>
      </c>
      <c r="M57" s="109">
        <v>2022</v>
      </c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</row>
    <row r="58" spans="2:36" ht="15" thickTop="1">
      <c r="B58" s="18" t="s">
        <v>64</v>
      </c>
      <c r="C58" s="113"/>
      <c r="D58" s="112">
        <f>D42/D44</f>
        <v>2.8761360809853995</v>
      </c>
      <c r="E58" s="112">
        <f t="shared" ref="E58:M58" si="107">E42/E44</f>
        <v>3.5006898179567507</v>
      </c>
      <c r="F58" s="112">
        <f t="shared" si="107"/>
        <v>5.2629081158995721</v>
      </c>
      <c r="G58" s="112">
        <f t="shared" si="107"/>
        <v>3.7315025373148272</v>
      </c>
      <c r="H58" s="112">
        <f t="shared" si="107"/>
        <v>1.3111131766666055</v>
      </c>
      <c r="I58" s="112">
        <f t="shared" si="107"/>
        <v>1.2278350201769452</v>
      </c>
      <c r="J58" s="112">
        <f t="shared" si="107"/>
        <v>1.1977089718418832</v>
      </c>
      <c r="K58" s="112">
        <f t="shared" si="107"/>
        <v>1.187118659777272</v>
      </c>
      <c r="L58" s="112">
        <f t="shared" si="107"/>
        <v>1.0380259006235564</v>
      </c>
      <c r="M58" s="112">
        <f t="shared" si="107"/>
        <v>1.0280803521065645</v>
      </c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</row>
    <row r="59" spans="2:36">
      <c r="B59" s="18" t="s">
        <v>65</v>
      </c>
      <c r="C59" s="113"/>
      <c r="D59" s="112">
        <f>D28/D36</f>
        <v>1.1282595421360779</v>
      </c>
      <c r="E59" s="112">
        <f t="shared" ref="E59:M59" si="108">E28/E36</f>
        <v>1.0413958831901979</v>
      </c>
      <c r="F59" s="112">
        <f t="shared" si="108"/>
        <v>1.0897186300925101</v>
      </c>
      <c r="G59" s="112">
        <f t="shared" si="108"/>
        <v>1.0424253967844941</v>
      </c>
      <c r="H59" s="112">
        <f t="shared" si="108"/>
        <v>0.89848163470005515</v>
      </c>
      <c r="I59" s="112">
        <f t="shared" si="108"/>
        <v>0.77500137550645076</v>
      </c>
      <c r="J59" s="112">
        <f t="shared" si="108"/>
        <v>0.70520103826062908</v>
      </c>
      <c r="K59" s="112">
        <f t="shared" si="108"/>
        <v>0.87944200500031444</v>
      </c>
      <c r="L59" s="112">
        <f t="shared" si="108"/>
        <v>0.84568186019535085</v>
      </c>
      <c r="M59" s="112">
        <f t="shared" si="108"/>
        <v>0.86310397173085618</v>
      </c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</row>
    <row r="60" spans="2:36">
      <c r="B60" s="122" t="s">
        <v>157</v>
      </c>
      <c r="D60" s="112">
        <f>D46/D9</f>
        <v>1.7202542026598153</v>
      </c>
      <c r="E60" s="112">
        <f t="shared" ref="E60:M60" si="109">E46/E9</f>
        <v>2.1189592762940594</v>
      </c>
      <c r="F60" s="112">
        <f t="shared" si="109"/>
        <v>2.9701098928413945</v>
      </c>
      <c r="G60" s="112">
        <f t="shared" si="109"/>
        <v>3.1334096607755959</v>
      </c>
      <c r="H60" s="112">
        <f t="shared" si="109"/>
        <v>5.9673348342781507</v>
      </c>
      <c r="I60" s="112">
        <f t="shared" si="109"/>
        <v>4.1816262897662773</v>
      </c>
      <c r="J60" s="112">
        <f t="shared" si="109"/>
        <v>3.590806428987936</v>
      </c>
      <c r="K60" s="112">
        <f t="shared" si="109"/>
        <v>3.4986852770355279</v>
      </c>
      <c r="L60" s="112">
        <f t="shared" si="109"/>
        <v>3.1534929497639559</v>
      </c>
      <c r="M60" s="112">
        <f t="shared" si="109"/>
        <v>3.274096263903536</v>
      </c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</row>
    <row r="61" spans="2:36"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</row>
    <row r="62" spans="2:36" ht="17.5" thickBot="1">
      <c r="B62" s="2" t="s">
        <v>72</v>
      </c>
      <c r="C62" s="109"/>
      <c r="D62" s="109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</row>
    <row r="63" spans="2:36" ht="15" thickTop="1">
      <c r="B63" s="18" t="s">
        <v>73</v>
      </c>
      <c r="C63" s="113"/>
      <c r="D63" s="121">
        <f>(M20/I20)^0.2 - 1</f>
        <v>-8.4822770548845794E-3</v>
      </c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</row>
    <row r="64" spans="2:36">
      <c r="B64" s="18" t="s">
        <v>83</v>
      </c>
      <c r="C64" s="113"/>
      <c r="D64" s="121">
        <f>(M20/D20)^0.1 - 1</f>
        <v>6.8502360086984737E-2</v>
      </c>
    </row>
    <row r="65" spans="2:13">
      <c r="B65" s="10" t="s">
        <v>74</v>
      </c>
      <c r="C65" s="114"/>
      <c r="D65" s="121">
        <f>(M6/I6)^0.2 - 1</f>
        <v>3.2834039436966389E-3</v>
      </c>
    </row>
    <row r="66" spans="2:13">
      <c r="B66" s="10" t="s">
        <v>84</v>
      </c>
      <c r="C66" s="114"/>
      <c r="D66" s="121">
        <f>(M6/D6)^0.1 - 1</f>
        <v>2.2207668016311244E-2</v>
      </c>
    </row>
    <row r="67" spans="2:13">
      <c r="B67" s="10" t="s">
        <v>75</v>
      </c>
      <c r="C67" s="114"/>
      <c r="D67" s="121">
        <f>(M3/I3)^0.2 - 1</f>
        <v>9.0985061897617125E-3</v>
      </c>
    </row>
    <row r="68" spans="2:13">
      <c r="B68" s="10" t="s">
        <v>85</v>
      </c>
      <c r="C68" s="114"/>
      <c r="D68" s="121">
        <f>(M3/D3)^0.1 - 1</f>
        <v>3.6595936390676931E-2</v>
      </c>
    </row>
    <row r="69" spans="2:13">
      <c r="B69" s="10" t="s">
        <v>88</v>
      </c>
      <c r="C69" s="114"/>
      <c r="D69" s="121">
        <f>(M9/I9)^0.2 - 1</f>
        <v>1.150839432360562E-2</v>
      </c>
    </row>
    <row r="70" spans="2:13">
      <c r="B70" s="10" t="s">
        <v>89</v>
      </c>
      <c r="C70" s="114"/>
      <c r="D70" s="121">
        <f>(M9/D9)^0.2 - 1</f>
        <v>0.10605941637184735</v>
      </c>
    </row>
    <row r="71" spans="2:13">
      <c r="B71" s="10" t="s">
        <v>131</v>
      </c>
      <c r="D71" s="121">
        <f>(M23/I23)^0.2 - 1</f>
        <v>9.2723723024747962E-3</v>
      </c>
    </row>
    <row r="72" spans="2:13">
      <c r="B72" s="10" t="s">
        <v>132</v>
      </c>
      <c r="D72" s="121">
        <f>AVERAGE(I24:M24)</f>
        <v>6.7479076671869739E-2</v>
      </c>
    </row>
    <row r="73" spans="2:13">
      <c r="B73" s="10" t="s">
        <v>135</v>
      </c>
      <c r="D73" s="121">
        <f>AVERAGE(I55:M55)</f>
        <v>0.5242881537111308</v>
      </c>
    </row>
    <row r="75" spans="2:13" ht="17.5" thickBot="1">
      <c r="B75" s="2" t="s">
        <v>145</v>
      </c>
      <c r="C75" s="109"/>
      <c r="D75" s="109">
        <v>2013</v>
      </c>
      <c r="E75" s="109">
        <v>2014</v>
      </c>
      <c r="F75" s="109">
        <v>2015</v>
      </c>
      <c r="G75" s="109">
        <v>2016</v>
      </c>
      <c r="H75" s="109">
        <v>2017</v>
      </c>
      <c r="I75" s="109">
        <v>2018</v>
      </c>
      <c r="J75" s="109">
        <v>2019</v>
      </c>
      <c r="K75" s="109">
        <v>2020</v>
      </c>
      <c r="L75" s="109">
        <v>2021</v>
      </c>
      <c r="M75" s="109">
        <v>2022</v>
      </c>
    </row>
    <row r="76" spans="2:13" ht="15" thickTop="1">
      <c r="B76" s="10" t="s">
        <v>138</v>
      </c>
      <c r="C76" s="110">
        <v>0</v>
      </c>
      <c r="D76" s="110">
        <f t="shared" ref="D76:M76" si="110">100*D6/D34</f>
        <v>15.620696828259453</v>
      </c>
      <c r="E76" s="110">
        <f t="shared" si="110"/>
        <v>12.966718974736175</v>
      </c>
      <c r="F76" s="110">
        <f t="shared" si="110"/>
        <v>13.612560972493087</v>
      </c>
      <c r="G76" s="110">
        <f t="shared" si="110"/>
        <v>11.686320499632107</v>
      </c>
      <c r="H76" s="110">
        <f t="shared" si="110"/>
        <v>26.611975520933605</v>
      </c>
      <c r="I76" s="110">
        <f t="shared" si="110"/>
        <v>4.1218519396777387</v>
      </c>
      <c r="J76" s="110">
        <f t="shared" si="110"/>
        <v>4.0452470866590469</v>
      </c>
      <c r="K76" s="110">
        <f t="shared" si="110"/>
        <v>4.6481238377856524</v>
      </c>
      <c r="L76" s="110">
        <f t="shared" si="110"/>
        <v>4.9510425769941211</v>
      </c>
      <c r="M76" s="110">
        <f t="shared" si="110"/>
        <v>4.3094564868633762</v>
      </c>
    </row>
    <row r="77" spans="2:13">
      <c r="B77" s="10" t="s">
        <v>139</v>
      </c>
      <c r="C77" s="110">
        <v>0</v>
      </c>
      <c r="D77" s="110">
        <f t="shared" ref="D77:M77" si="111">100*D6/D44</f>
        <v>60.547946586150658</v>
      </c>
      <c r="E77" s="110">
        <f t="shared" si="111"/>
        <v>58.359180061901696</v>
      </c>
      <c r="F77" s="110">
        <f t="shared" si="111"/>
        <v>85.254218592804733</v>
      </c>
      <c r="G77" s="110">
        <f t="shared" si="111"/>
        <v>55.293855095883593</v>
      </c>
      <c r="H77" s="110">
        <f t="shared" si="111"/>
        <v>61.503287283558805</v>
      </c>
      <c r="I77" s="110">
        <f t="shared" si="111"/>
        <v>9.182806099198336</v>
      </c>
      <c r="J77" s="110">
        <f t="shared" si="111"/>
        <v>8.8902758156678274</v>
      </c>
      <c r="K77" s="110">
        <f t="shared" si="111"/>
        <v>10.165998378576546</v>
      </c>
      <c r="L77" s="110">
        <f t="shared" si="111"/>
        <v>10.090353007004017</v>
      </c>
      <c r="M77" s="110">
        <f t="shared" si="111"/>
        <v>8.7399240292657954</v>
      </c>
    </row>
    <row r="78" spans="2:13">
      <c r="B78" s="10" t="s">
        <v>140</v>
      </c>
      <c r="C78" s="110">
        <v>0</v>
      </c>
      <c r="D78" s="40">
        <v>23.569999694824219</v>
      </c>
      <c r="E78" s="40">
        <v>19.290000915527344</v>
      </c>
      <c r="F78" s="40">
        <v>23.629999160766602</v>
      </c>
      <c r="G78" s="40">
        <v>20.629999160766602</v>
      </c>
      <c r="H78" s="40">
        <v>55.639999389648438</v>
      </c>
      <c r="I78" s="40">
        <v>6.4499998092651367</v>
      </c>
      <c r="J78" s="40">
        <v>6.2699999809265137</v>
      </c>
      <c r="K78" s="40">
        <v>7.1399998664855957</v>
      </c>
      <c r="L78" s="40">
        <v>7.4099998474121094</v>
      </c>
      <c r="M78" s="40">
        <v>6.9000000953674316</v>
      </c>
    </row>
    <row r="80" spans="2:13" ht="17.5" thickBot="1">
      <c r="B80" s="2" t="s">
        <v>146</v>
      </c>
      <c r="C80" s="109"/>
      <c r="D80" s="109">
        <v>2013</v>
      </c>
      <c r="E80" s="109">
        <v>2014</v>
      </c>
      <c r="F80" s="109">
        <v>2015</v>
      </c>
      <c r="G80" s="109">
        <v>2016</v>
      </c>
      <c r="H80" s="109">
        <v>2017</v>
      </c>
      <c r="I80" s="109">
        <v>2018</v>
      </c>
      <c r="J80" s="109">
        <v>2019</v>
      </c>
      <c r="K80" s="109">
        <v>2020</v>
      </c>
      <c r="L80" s="109">
        <v>2021</v>
      </c>
      <c r="M80" s="109">
        <v>2022</v>
      </c>
    </row>
    <row r="81" spans="2:13" ht="15" thickTop="1">
      <c r="B81" s="122" t="s">
        <v>147</v>
      </c>
      <c r="C81" s="110">
        <v>0</v>
      </c>
      <c r="D81" s="40">
        <v>15.819999694824219</v>
      </c>
      <c r="E81" s="40">
        <v>18.079999923706055</v>
      </c>
      <c r="F81" s="40">
        <v>17.290000915527344</v>
      </c>
      <c r="G81" s="40">
        <v>19.799999237060547</v>
      </c>
      <c r="H81" s="40">
        <v>21.940000534057617</v>
      </c>
      <c r="I81" s="40">
        <v>1.3799999952316284</v>
      </c>
      <c r="J81" s="40">
        <v>12.060000419616699</v>
      </c>
      <c r="K81" s="40">
        <v>9.9300003051757813</v>
      </c>
      <c r="L81" s="40">
        <v>10.270000457763672</v>
      </c>
      <c r="M81" s="40">
        <v>14.130000114440918</v>
      </c>
    </row>
    <row r="82" spans="2:13">
      <c r="B82" s="122" t="s">
        <v>148</v>
      </c>
      <c r="C82" s="110">
        <v>0</v>
      </c>
      <c r="D82" s="40">
        <v>13.770000457763672</v>
      </c>
      <c r="E82" s="40">
        <v>15.229999542236328</v>
      </c>
      <c r="F82" s="40">
        <v>17.799999237060547</v>
      </c>
      <c r="G82" s="40">
        <v>19.340000152587891</v>
      </c>
      <c r="H82" s="40">
        <v>17.670000076293945</v>
      </c>
      <c r="I82" s="40">
        <v>7.5799999237060547</v>
      </c>
      <c r="J82" s="40">
        <v>8.5100002288818359</v>
      </c>
      <c r="K82" s="40">
        <v>6.190000057220459</v>
      </c>
      <c r="L82" s="40">
        <v>7.440000057220459</v>
      </c>
      <c r="M82" s="40">
        <v>7.0900001525878906</v>
      </c>
    </row>
    <row r="83" spans="2:13">
      <c r="B83" s="122" t="s">
        <v>153</v>
      </c>
      <c r="C83" s="110">
        <v>3.4500000476837158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Valuation Metrics</vt:lpstr>
      <vt:lpstr>Graphics</vt:lpstr>
      <vt:lpstr>WACC</vt:lpstr>
      <vt:lpstr>DCF</vt:lpstr>
      <vt:lpstr>Graham</vt:lpstr>
      <vt:lpstr>DDM</vt:lpstr>
      <vt:lpstr>Financials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2023-04-20T18:48:10Z</dcterms:modified>
</cp:coreProperties>
</file>